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0" windowWidth="14805" windowHeight="7965" firstSheet="39" activeTab="40"/>
  </bookViews>
  <sheets>
    <sheet name="JUNE " sheetId="1" r:id="rId1"/>
    <sheet name="JULY" sheetId="2" r:id="rId2"/>
    <sheet name="AUGUST" sheetId="3" r:id="rId3"/>
    <sheet name="SEPTEMBER" sheetId="4" r:id="rId4"/>
    <sheet name="OCTOBER" sheetId="5" r:id="rId5"/>
    <sheet name="NOVEMBER" sheetId="6" r:id="rId6"/>
    <sheet name="DECEMBER" sheetId="7" r:id="rId7"/>
    <sheet name="JANUARY" sheetId="8" r:id="rId8"/>
    <sheet name="FEBRUARY" sheetId="9" r:id="rId9"/>
    <sheet name="MARCH" sheetId="10" r:id="rId10"/>
    <sheet name="APRIL" sheetId="11" r:id="rId11"/>
    <sheet name="MAY" sheetId="12" r:id="rId12"/>
    <sheet name="JUNEE " sheetId="13" r:id="rId13"/>
    <sheet name="JULY " sheetId="14" r:id="rId14"/>
    <sheet name="AUGUST19" sheetId="15" r:id="rId15"/>
    <sheet name="SEPTEMBER 19" sheetId="16" r:id="rId16"/>
    <sheet name="OCTOBER 19" sheetId="17" r:id="rId17"/>
    <sheet name="NOVEMBER 19" sheetId="18" r:id="rId18"/>
    <sheet name="DECEMBER 19" sheetId="19" r:id="rId19"/>
    <sheet name="JANUARY 20" sheetId="20" r:id="rId20"/>
    <sheet name="FEBRUARY 20" sheetId="21" r:id="rId21"/>
    <sheet name="MARCH 20" sheetId="22" r:id="rId22"/>
    <sheet name="APRIL 20" sheetId="23" r:id="rId23"/>
    <sheet name="MAY 20" sheetId="24" r:id="rId24"/>
    <sheet name="JUNE 20" sheetId="25" r:id="rId25"/>
    <sheet name="JULY 20" sheetId="26" r:id="rId26"/>
    <sheet name="AUGUST 20" sheetId="27" r:id="rId27"/>
    <sheet name="SEPTEMBER20" sheetId="28" r:id="rId28"/>
    <sheet name="OCTOBER 20" sheetId="29" r:id="rId29"/>
    <sheet name="NOVEMBER20" sheetId="30" r:id="rId30"/>
    <sheet name="DECEMBER 20" sheetId="31" r:id="rId31"/>
    <sheet name="JANUARY 21" sheetId="32" r:id="rId32"/>
    <sheet name="FEBRUARY 21" sheetId="33" r:id="rId33"/>
    <sheet name="MARCH 21" sheetId="34" r:id="rId34"/>
    <sheet name="APRIL21" sheetId="35" r:id="rId35"/>
    <sheet name="MAY 21" sheetId="36" r:id="rId36"/>
    <sheet name="JUNE 21" sheetId="37" r:id="rId37"/>
    <sheet name="JULY 21" sheetId="38" r:id="rId38"/>
    <sheet name="AUGUST 21" sheetId="39" r:id="rId39"/>
    <sheet name="SEPTEMBER 21" sheetId="40" r:id="rId40"/>
    <sheet name="OCTOBER  21" sheetId="41" r:id="rId41"/>
    <sheet name="NOVEMBER 21" sheetId="42" r:id="rId42"/>
    <sheet name="DECEMBER 21" sheetId="43" r:id="rId43"/>
  </sheets>
  <calcPr calcId="162913"/>
</workbook>
</file>

<file path=xl/calcChain.xml><?xml version="1.0" encoding="utf-8"?>
<calcChain xmlns="http://schemas.openxmlformats.org/spreadsheetml/2006/main">
  <c r="G19" i="42" l="1"/>
  <c r="L39" i="43" l="1"/>
  <c r="G37" i="43"/>
  <c r="C37" i="43"/>
  <c r="N23" i="43"/>
  <c r="N25" i="43" s="1"/>
  <c r="G22" i="43"/>
  <c r="B29" i="43" s="1"/>
  <c r="E22" i="43"/>
  <c r="F27" i="43" s="1"/>
  <c r="C22" i="43"/>
  <c r="B27" i="43" s="1"/>
  <c r="A22" i="43"/>
  <c r="C30" i="43" l="1"/>
  <c r="L28" i="43"/>
  <c r="G14" i="37"/>
  <c r="G13" i="37"/>
  <c r="G30" i="43" l="1"/>
  <c r="L29" i="43"/>
  <c r="L30" i="43" s="1"/>
  <c r="L32" i="43" s="1"/>
  <c r="G10" i="41"/>
  <c r="N39" i="42" l="1"/>
  <c r="I37" i="42"/>
  <c r="E37" i="42"/>
  <c r="P25" i="42"/>
  <c r="P23" i="42"/>
  <c r="I22" i="42"/>
  <c r="D29" i="42" s="1"/>
  <c r="G22" i="42"/>
  <c r="H27" i="42" s="1"/>
  <c r="E22" i="42"/>
  <c r="D27" i="42" s="1"/>
  <c r="C22" i="42"/>
  <c r="F17" i="42"/>
  <c r="H17" i="42" s="1"/>
  <c r="B17" i="43" s="1"/>
  <c r="D17" i="43" s="1"/>
  <c r="F17" i="43" s="1"/>
  <c r="E30" i="42" l="1"/>
  <c r="N28" i="42"/>
  <c r="N39" i="41"/>
  <c r="P23" i="41"/>
  <c r="P25" i="41" s="1"/>
  <c r="I22" i="41"/>
  <c r="H29" i="41" l="1"/>
  <c r="D29" i="41"/>
  <c r="I30" i="42"/>
  <c r="N29" i="42"/>
  <c r="I37" i="41"/>
  <c r="E37" i="41"/>
  <c r="E22" i="41"/>
  <c r="D27" i="41" s="1"/>
  <c r="N28" i="41" s="1"/>
  <c r="C22" i="41"/>
  <c r="G22" i="41"/>
  <c r="H27" i="41" s="1"/>
  <c r="N30" i="42" l="1"/>
  <c r="N32" i="42" s="1"/>
  <c r="E30" i="41"/>
  <c r="G14" i="40"/>
  <c r="K18" i="40"/>
  <c r="I30" i="41" l="1"/>
  <c r="N29" i="41"/>
  <c r="N30" i="41" s="1"/>
  <c r="N32" i="41" s="1"/>
  <c r="N34" i="41" l="1"/>
  <c r="O34" i="41" s="1"/>
  <c r="G9" i="40"/>
  <c r="G7" i="40" l="1"/>
  <c r="M21" i="40" l="1"/>
  <c r="L33" i="40"/>
  <c r="N28" i="40"/>
  <c r="D7" i="40"/>
  <c r="G18" i="40" l="1"/>
  <c r="G12" i="40" l="1"/>
  <c r="G19" i="40" l="1"/>
  <c r="I37" i="40" l="1"/>
  <c r="E37" i="40"/>
  <c r="E22" i="40"/>
  <c r="D27" i="40" s="1"/>
  <c r="L28" i="40" s="1"/>
  <c r="C22" i="40"/>
  <c r="F16" i="40"/>
  <c r="H16" i="40" s="1"/>
  <c r="D16" i="41" s="1"/>
  <c r="F16" i="41" s="1"/>
  <c r="H16" i="41" s="1"/>
  <c r="D16" i="42" s="1"/>
  <c r="F16" i="42" s="1"/>
  <c r="H16" i="42" s="1"/>
  <c r="B16" i="43" s="1"/>
  <c r="D16" i="43" s="1"/>
  <c r="F16" i="43" s="1"/>
  <c r="G22" i="40"/>
  <c r="F7" i="40"/>
  <c r="H7" i="40" s="1"/>
  <c r="D7" i="41" s="1"/>
  <c r="F7" i="41" s="1"/>
  <c r="H7" i="41" s="1"/>
  <c r="D7" i="42" s="1"/>
  <c r="F7" i="42" s="1"/>
  <c r="H7" i="42" s="1"/>
  <c r="B7" i="43" s="1"/>
  <c r="D7" i="43" s="1"/>
  <c r="F7" i="43" s="1"/>
  <c r="G21" i="39"/>
  <c r="H27" i="40" l="1"/>
  <c r="E30" i="40"/>
  <c r="G17" i="39"/>
  <c r="G18" i="39"/>
  <c r="I30" i="40" l="1"/>
  <c r="L29" i="40"/>
  <c r="L30" i="40" s="1"/>
  <c r="L32" i="40" s="1"/>
  <c r="L34" i="40" s="1"/>
  <c r="G19" i="39" l="1"/>
  <c r="G8" i="39" l="1"/>
  <c r="G7" i="39" l="1"/>
  <c r="G9" i="39" l="1"/>
  <c r="G15" i="39" l="1"/>
  <c r="G14" i="39"/>
  <c r="D7" i="39"/>
  <c r="I37" i="39"/>
  <c r="E22" i="39"/>
  <c r="D27" i="39" s="1"/>
  <c r="C22" i="39"/>
  <c r="F7" i="39"/>
  <c r="G22" i="39" l="1"/>
  <c r="H27" i="39" s="1"/>
  <c r="E30" i="39"/>
  <c r="I30" i="39" s="1"/>
  <c r="G16" i="38" l="1"/>
  <c r="I34" i="38"/>
  <c r="E34" i="38"/>
  <c r="G6" i="38" l="1"/>
  <c r="G19" i="38" l="1"/>
  <c r="G9" i="38" l="1"/>
  <c r="G7" i="38" l="1"/>
  <c r="G19" i="32" l="1"/>
  <c r="D17" i="31"/>
  <c r="D7" i="38"/>
  <c r="I37" i="38"/>
  <c r="E37" i="38"/>
  <c r="E22" i="38"/>
  <c r="D27" i="38" s="1"/>
  <c r="C22" i="38"/>
  <c r="G22" i="38"/>
  <c r="H27" i="38" s="1"/>
  <c r="F7" i="38"/>
  <c r="E30" i="38" l="1"/>
  <c r="I30" i="38" s="1"/>
  <c r="G21" i="37"/>
  <c r="G16" i="37"/>
  <c r="G19" i="37" l="1"/>
  <c r="G12" i="37" l="1"/>
  <c r="G9" i="37" l="1"/>
  <c r="G8" i="37" l="1"/>
  <c r="D7" i="37" l="1"/>
  <c r="I37" i="37"/>
  <c r="E37" i="37"/>
  <c r="E22" i="37"/>
  <c r="D27" i="37" s="1"/>
  <c r="C22" i="37"/>
  <c r="G22" i="37"/>
  <c r="H27" i="37" s="1"/>
  <c r="F7" i="37"/>
  <c r="E30" i="37" l="1"/>
  <c r="I30" i="37" s="1"/>
  <c r="G19" i="36"/>
  <c r="D7" i="36" l="1"/>
  <c r="G18" i="36" l="1"/>
  <c r="G12" i="36" l="1"/>
  <c r="I37" i="36" l="1"/>
  <c r="E37" i="36"/>
  <c r="G22" i="36"/>
  <c r="H27" i="36" s="1"/>
  <c r="E22" i="36"/>
  <c r="D27" i="36" s="1"/>
  <c r="C22" i="36"/>
  <c r="F17" i="36"/>
  <c r="H17" i="36" s="1"/>
  <c r="D17" i="37" s="1"/>
  <c r="F17" i="37" s="1"/>
  <c r="H17" i="37" s="1"/>
  <c r="D17" i="38" s="1"/>
  <c r="F17" i="38" s="1"/>
  <c r="H17" i="38" s="1"/>
  <c r="D17" i="39" s="1"/>
  <c r="F17" i="39" s="1"/>
  <c r="H17" i="39" s="1"/>
  <c r="D17" i="40" s="1"/>
  <c r="F17" i="40" s="1"/>
  <c r="H17" i="40" s="1"/>
  <c r="D17" i="41" s="1"/>
  <c r="F17" i="41" s="1"/>
  <c r="H17" i="41" s="1"/>
  <c r="F15" i="36"/>
  <c r="H15" i="36" s="1"/>
  <c r="D15" i="37" s="1"/>
  <c r="F15" i="37" s="1"/>
  <c r="H15" i="37" s="1"/>
  <c r="D15" i="38" s="1"/>
  <c r="F15" i="38" s="1"/>
  <c r="H15" i="38" s="1"/>
  <c r="D15" i="39" s="1"/>
  <c r="F15" i="39" s="1"/>
  <c r="H15" i="39" s="1"/>
  <c r="D15" i="40" s="1"/>
  <c r="F15" i="40" s="1"/>
  <c r="H15" i="40" s="1"/>
  <c r="D15" i="41" s="1"/>
  <c r="F15" i="41" s="1"/>
  <c r="H15" i="41" s="1"/>
  <c r="D15" i="42" s="1"/>
  <c r="F15" i="42" s="1"/>
  <c r="H15" i="42" s="1"/>
  <c r="B15" i="43" s="1"/>
  <c r="D15" i="43" s="1"/>
  <c r="F15" i="43" s="1"/>
  <c r="F7" i="36"/>
  <c r="E30" i="36" l="1"/>
  <c r="I30" i="36" s="1"/>
  <c r="G16" i="35"/>
  <c r="K14" i="35" l="1"/>
  <c r="G21" i="35" l="1"/>
  <c r="E36" i="34" l="1"/>
  <c r="G12" i="35" l="1"/>
  <c r="D7" i="35" l="1"/>
  <c r="I37" i="35"/>
  <c r="E37" i="35"/>
  <c r="E22" i="35"/>
  <c r="D27" i="35" s="1"/>
  <c r="C22" i="35"/>
  <c r="G22" i="35"/>
  <c r="H27" i="35" s="1"/>
  <c r="F7" i="35"/>
  <c r="E30" i="35" l="1"/>
  <c r="I30" i="35" s="1"/>
  <c r="G16" i="34"/>
  <c r="G11" i="34" l="1"/>
  <c r="G18" i="34" l="1"/>
  <c r="G15" i="34"/>
  <c r="G21" i="34" l="1"/>
  <c r="G19" i="34" l="1"/>
  <c r="G17" i="34"/>
  <c r="I37" i="34" l="1"/>
  <c r="E37" i="34"/>
  <c r="E22" i="34"/>
  <c r="D27" i="34" s="1"/>
  <c r="C22" i="34"/>
  <c r="K14" i="34"/>
  <c r="G22" i="34"/>
  <c r="H27" i="34" s="1"/>
  <c r="E30" i="34" l="1"/>
  <c r="I30" i="34" s="1"/>
  <c r="G15" i="33"/>
  <c r="K14" i="33"/>
  <c r="G16" i="33"/>
  <c r="G11" i="33" l="1"/>
  <c r="G21" i="33" l="1"/>
  <c r="G8" i="33" l="1"/>
  <c r="G12" i="33" l="1"/>
  <c r="G9" i="33" l="1"/>
  <c r="I37" i="33" l="1"/>
  <c r="E37" i="33"/>
  <c r="E22" i="33"/>
  <c r="D27" i="33" s="1"/>
  <c r="C22" i="33"/>
  <c r="G22" i="33"/>
  <c r="H27" i="33" s="1"/>
  <c r="G16" i="32"/>
  <c r="E30" i="33" l="1"/>
  <c r="I30" i="33" s="1"/>
  <c r="G16" i="31" l="1"/>
  <c r="G21" i="32" l="1"/>
  <c r="G8" i="32" l="1"/>
  <c r="I37" i="32" l="1"/>
  <c r="E37" i="32"/>
  <c r="E22" i="32"/>
  <c r="D27" i="32" s="1"/>
  <c r="C22" i="32"/>
  <c r="G22" i="32"/>
  <c r="H27" i="32" s="1"/>
  <c r="E30" i="32" l="1"/>
  <c r="I30" i="32" s="1"/>
  <c r="G13" i="31" l="1"/>
  <c r="E22" i="31" l="1"/>
  <c r="I37" i="31" l="1"/>
  <c r="E37" i="31"/>
  <c r="D27" i="31"/>
  <c r="C22" i="31"/>
  <c r="F17" i="31"/>
  <c r="H17" i="31" s="1"/>
  <c r="D17" i="32" s="1"/>
  <c r="F17" i="32" s="1"/>
  <c r="H17" i="32" s="1"/>
  <c r="D17" i="33" s="1"/>
  <c r="F17" i="33" s="1"/>
  <c r="H17" i="33" s="1"/>
  <c r="D17" i="34" s="1"/>
  <c r="F17" i="34" s="1"/>
  <c r="H17" i="34" s="1"/>
  <c r="D17" i="35" s="1"/>
  <c r="F17" i="35" s="1"/>
  <c r="H17" i="35" s="1"/>
  <c r="G22" i="31"/>
  <c r="H27" i="31" s="1"/>
  <c r="E30" i="31" l="1"/>
  <c r="I30" i="31" s="1"/>
  <c r="G8" i="30" l="1"/>
  <c r="I37" i="30" l="1"/>
  <c r="E37" i="30"/>
  <c r="E22" i="30"/>
  <c r="D27" i="30" s="1"/>
  <c r="C22" i="30"/>
  <c r="G22" i="30"/>
  <c r="H27" i="30" s="1"/>
  <c r="E30" i="30" l="1"/>
  <c r="I30" i="30" s="1"/>
  <c r="G6" i="29"/>
  <c r="G16" i="29" l="1"/>
  <c r="G12" i="29" l="1"/>
  <c r="G9" i="29" l="1"/>
  <c r="G8" i="29" l="1"/>
  <c r="G14" i="28" l="1"/>
  <c r="I37" i="29" l="1"/>
  <c r="E37" i="29"/>
  <c r="E22" i="29"/>
  <c r="D27" i="29" s="1"/>
  <c r="C22" i="29"/>
  <c r="G22" i="29"/>
  <c r="H27" i="29" s="1"/>
  <c r="E30" i="29" l="1"/>
  <c r="I30" i="29" s="1"/>
  <c r="G9" i="28" l="1"/>
  <c r="G8" i="28" l="1"/>
  <c r="G12" i="28" l="1"/>
  <c r="G17" i="28" l="1"/>
  <c r="G15" i="27" l="1"/>
  <c r="G18" i="28" l="1"/>
  <c r="I37" i="28" l="1"/>
  <c r="E37" i="28"/>
  <c r="G22" i="28"/>
  <c r="H27" i="28" s="1"/>
  <c r="E22" i="28"/>
  <c r="D27" i="28" s="1"/>
  <c r="C22" i="28"/>
  <c r="F12" i="28"/>
  <c r="H12" i="28" s="1"/>
  <c r="D12" i="29" s="1"/>
  <c r="F12" i="29" s="1"/>
  <c r="H12" i="29" s="1"/>
  <c r="D12" i="30" s="1"/>
  <c r="F12" i="30" s="1"/>
  <c r="H12" i="30" s="1"/>
  <c r="D12" i="31" l="1"/>
  <c r="F12" i="31" s="1"/>
  <c r="H12" i="31" s="1"/>
  <c r="D12" i="32" s="1"/>
  <c r="F12" i="32" s="1"/>
  <c r="H12" i="32" s="1"/>
  <c r="D12" i="33" s="1"/>
  <c r="F12" i="33" s="1"/>
  <c r="H12" i="33" s="1"/>
  <c r="D12" i="34" s="1"/>
  <c r="F12" i="34" s="1"/>
  <c r="H12" i="34" s="1"/>
  <c r="D12" i="35" s="1"/>
  <c r="F12" i="35" s="1"/>
  <c r="H12" i="35" s="1"/>
  <c r="D12" i="36" s="1"/>
  <c r="F12" i="36" s="1"/>
  <c r="H12" i="36" s="1"/>
  <c r="D12" i="37" s="1"/>
  <c r="F12" i="37" s="1"/>
  <c r="H12" i="37" s="1"/>
  <c r="D12" i="38" s="1"/>
  <c r="F12" i="38" s="1"/>
  <c r="H12" i="38" s="1"/>
  <c r="D12" i="39" s="1"/>
  <c r="F12" i="39" s="1"/>
  <c r="H12" i="39" s="1"/>
  <c r="D12" i="40" s="1"/>
  <c r="F12" i="40" s="1"/>
  <c r="H12" i="40" s="1"/>
  <c r="D12" i="41" s="1"/>
  <c r="F12" i="41" s="1"/>
  <c r="H12" i="41" s="1"/>
  <c r="D12" i="42" s="1"/>
  <c r="F12" i="42" s="1"/>
  <c r="H12" i="42" s="1"/>
  <c r="B12" i="43" s="1"/>
  <c r="D12" i="43" s="1"/>
  <c r="F12" i="43" s="1"/>
  <c r="E30" i="28"/>
  <c r="I30" i="28" s="1"/>
  <c r="G13" i="27"/>
  <c r="G6" i="27" l="1"/>
  <c r="N24" i="26" l="1"/>
  <c r="N26" i="26" s="1"/>
  <c r="N28" i="26" s="1"/>
  <c r="N30" i="26" s="1"/>
  <c r="I36" i="27" l="1"/>
  <c r="E36" i="27"/>
  <c r="G21" i="27"/>
  <c r="H26" i="27" s="1"/>
  <c r="E21" i="27"/>
  <c r="D26" i="27" s="1"/>
  <c r="E29" i="27" s="1"/>
  <c r="I29" i="27" s="1"/>
  <c r="C21" i="27"/>
  <c r="K14" i="27"/>
  <c r="K15" i="27" s="1"/>
  <c r="F9" i="27"/>
  <c r="H9" i="27" s="1"/>
  <c r="D9" i="28" s="1"/>
  <c r="F9" i="28" s="1"/>
  <c r="H9" i="28" s="1"/>
  <c r="D9" i="29" s="1"/>
  <c r="F9" i="29" s="1"/>
  <c r="H9" i="29" s="1"/>
  <c r="D9" i="30" s="1"/>
  <c r="F9" i="30" s="1"/>
  <c r="H9" i="30" s="1"/>
  <c r="D9" i="31" l="1"/>
  <c r="F9" i="31" s="1"/>
  <c r="H9" i="31" s="1"/>
  <c r="D9" i="32" s="1"/>
  <c r="F9" i="32" s="1"/>
  <c r="H9" i="32" s="1"/>
  <c r="D9" i="33" s="1"/>
  <c r="F9" i="33" s="1"/>
  <c r="H9" i="33" s="1"/>
  <c r="D9" i="34" s="1"/>
  <c r="F9" i="34" s="1"/>
  <c r="H9" i="34" s="1"/>
  <c r="D9" i="35" s="1"/>
  <c r="F9" i="35" s="1"/>
  <c r="H9" i="35" s="1"/>
  <c r="D9" i="36" s="1"/>
  <c r="F9" i="36" s="1"/>
  <c r="H9" i="36" s="1"/>
  <c r="D9" i="37" s="1"/>
  <c r="F9" i="37" s="1"/>
  <c r="H9" i="37" s="1"/>
  <c r="D9" i="38" s="1"/>
  <c r="F9" i="38" s="1"/>
  <c r="H9" i="38" s="1"/>
  <c r="D9" i="39" s="1"/>
  <c r="F9" i="39" s="1"/>
  <c r="H9" i="39" s="1"/>
  <c r="D9" i="40" s="1"/>
  <c r="F9" i="40" s="1"/>
  <c r="H9" i="40" s="1"/>
  <c r="D9" i="41" s="1"/>
  <c r="F9" i="41" s="1"/>
  <c r="H9" i="41" s="1"/>
  <c r="D9" i="42" s="1"/>
  <c r="F9" i="42" s="1"/>
  <c r="H9" i="42" s="1"/>
  <c r="B9" i="43" s="1"/>
  <c r="D9" i="43" s="1"/>
  <c r="F9" i="43" s="1"/>
  <c r="E33" i="26"/>
  <c r="E35" i="26" s="1"/>
  <c r="K14" i="26" l="1"/>
  <c r="K15" i="26" l="1"/>
  <c r="G13" i="25"/>
  <c r="J14" i="24"/>
  <c r="G8" i="26" l="1"/>
  <c r="I35" i="26" l="1"/>
  <c r="E21" i="26"/>
  <c r="D26" i="26" s="1"/>
  <c r="C21" i="26"/>
  <c r="F10" i="26"/>
  <c r="H10" i="26" s="1"/>
  <c r="D10" i="27" s="1"/>
  <c r="F10" i="27" s="1"/>
  <c r="H10" i="27" s="1"/>
  <c r="D10" i="28" s="1"/>
  <c r="F10" i="28" s="1"/>
  <c r="H10" i="28" s="1"/>
  <c r="D10" i="29" s="1"/>
  <c r="F10" i="29" s="1"/>
  <c r="H10" i="29" s="1"/>
  <c r="D10" i="30" s="1"/>
  <c r="F10" i="30" s="1"/>
  <c r="H10" i="30" s="1"/>
  <c r="G21" i="26"/>
  <c r="H26" i="26" s="1"/>
  <c r="D10" i="31" l="1"/>
  <c r="F10" i="31" s="1"/>
  <c r="H10" i="31" s="1"/>
  <c r="D10" i="32" s="1"/>
  <c r="F10" i="32" s="1"/>
  <c r="H10" i="32" s="1"/>
  <c r="D10" i="33" s="1"/>
  <c r="F10" i="33" s="1"/>
  <c r="H10" i="33" s="1"/>
  <c r="D10" i="34" s="1"/>
  <c r="F10" i="34" s="1"/>
  <c r="H10" i="34" s="1"/>
  <c r="D10" i="35" s="1"/>
  <c r="F10" i="35" s="1"/>
  <c r="H10" i="35" s="1"/>
  <c r="D10" i="36" s="1"/>
  <c r="F10" i="36" s="1"/>
  <c r="H10" i="36" s="1"/>
  <c r="D10" i="37" s="1"/>
  <c r="F10" i="37" s="1"/>
  <c r="H10" i="37" s="1"/>
  <c r="D10" i="38" s="1"/>
  <c r="F10" i="38" s="1"/>
  <c r="H10" i="38" s="1"/>
  <c r="D10" i="39" s="1"/>
  <c r="F10" i="39" s="1"/>
  <c r="H10" i="39" s="1"/>
  <c r="D10" i="40" s="1"/>
  <c r="F10" i="40" s="1"/>
  <c r="H10" i="40" s="1"/>
  <c r="D10" i="41" s="1"/>
  <c r="F10" i="41" s="1"/>
  <c r="H10" i="41" s="1"/>
  <c r="D10" i="42" s="1"/>
  <c r="F10" i="42" s="1"/>
  <c r="H10" i="42" s="1"/>
  <c r="B10" i="43" s="1"/>
  <c r="D10" i="43" s="1"/>
  <c r="F10" i="43" s="1"/>
  <c r="E29" i="26"/>
  <c r="I29" i="26" s="1"/>
  <c r="G10" i="25"/>
  <c r="G10" i="24" l="1"/>
  <c r="G12" i="25" l="1"/>
  <c r="G9" i="25"/>
  <c r="I35" i="25" l="1"/>
  <c r="E21" i="25"/>
  <c r="D26" i="25" s="1"/>
  <c r="C21" i="25"/>
  <c r="G21" i="25"/>
  <c r="H26" i="25" s="1"/>
  <c r="E29" i="25" l="1"/>
  <c r="I29" i="25" s="1"/>
  <c r="G16" i="24" l="1"/>
  <c r="C21" i="24" l="1"/>
  <c r="D28" i="24" s="1"/>
  <c r="F13" i="21" l="1"/>
  <c r="I35" i="24" l="1"/>
  <c r="E35" i="24"/>
  <c r="G21" i="24"/>
  <c r="H26" i="24" s="1"/>
  <c r="E21" i="24"/>
  <c r="D26" i="24" s="1"/>
  <c r="E29" i="24" l="1"/>
  <c r="I29" i="24" s="1"/>
  <c r="H34" i="23" l="1"/>
  <c r="D34" i="23"/>
  <c r="D21" i="23"/>
  <c r="C26" i="23" s="1"/>
  <c r="F21" i="23"/>
  <c r="G26" i="23" s="1"/>
  <c r="D28" i="23" l="1"/>
  <c r="H28" i="23" s="1"/>
  <c r="K30" i="23" s="1"/>
  <c r="F10" i="22"/>
  <c r="F12" i="21" l="1"/>
  <c r="H34" i="22" l="1"/>
  <c r="D34" i="22"/>
  <c r="D21" i="22"/>
  <c r="C26" i="22" s="1"/>
  <c r="D28" i="22" s="1"/>
  <c r="F21" i="22"/>
  <c r="G26" i="22" s="1"/>
  <c r="H28" i="22" l="1"/>
  <c r="F10" i="21" l="1"/>
  <c r="H34" i="21" l="1"/>
  <c r="D21" i="21"/>
  <c r="C26" i="21" s="1"/>
  <c r="D34" i="21"/>
  <c r="F21" i="21"/>
  <c r="G26" i="21" l="1"/>
  <c r="D28" i="21"/>
  <c r="H28" i="21" s="1"/>
  <c r="F10" i="20"/>
  <c r="F21" i="20" l="1"/>
  <c r="G26" i="20" s="1"/>
  <c r="D21" i="20"/>
  <c r="C26" i="20" s="1"/>
  <c r="H34" i="20" l="1"/>
  <c r="D28" i="20"/>
  <c r="H28" i="20" s="1"/>
  <c r="H34" i="19" l="1"/>
  <c r="D34" i="19"/>
  <c r="F21" i="19"/>
  <c r="G26" i="19" s="1"/>
  <c r="D21" i="19"/>
  <c r="C26" i="19" s="1"/>
  <c r="D28" i="19" l="1"/>
  <c r="H28" i="19" s="1"/>
  <c r="F10" i="14"/>
  <c r="F15" i="16" l="1"/>
  <c r="H34" i="18" l="1"/>
  <c r="D34" i="18"/>
  <c r="F21" i="18"/>
  <c r="D21" i="18"/>
  <c r="C26" i="18" s="1"/>
  <c r="G26" i="18" l="1"/>
  <c r="D28" i="18"/>
  <c r="H28" i="18" s="1"/>
  <c r="H34" i="17" l="1"/>
  <c r="D34" i="17"/>
  <c r="F21" i="17"/>
  <c r="G26" i="17" s="1"/>
  <c r="D21" i="17"/>
  <c r="C26" i="17" s="1"/>
  <c r="E10" i="18" l="1"/>
  <c r="D28" i="17"/>
  <c r="H28" i="17" s="1"/>
  <c r="E9" i="15"/>
  <c r="E6" i="16"/>
  <c r="G6" i="16" s="1"/>
  <c r="C6" i="17" s="1"/>
  <c r="E6" i="17" s="1"/>
  <c r="G6" i="17" s="1"/>
  <c r="C6" i="18" s="1"/>
  <c r="E6" i="18" s="1"/>
  <c r="G6" i="18" s="1"/>
  <c r="C6" i="19" s="1"/>
  <c r="E6" i="19" s="1"/>
  <c r="G6" i="19" s="1"/>
  <c r="C6" i="20" s="1"/>
  <c r="E6" i="20" s="1"/>
  <c r="G6" i="20" s="1"/>
  <c r="C6" i="21" s="1"/>
  <c r="E6" i="21" s="1"/>
  <c r="G6" i="21" s="1"/>
  <c r="C6" i="22" s="1"/>
  <c r="E6" i="22" s="1"/>
  <c r="G6" i="22" s="1"/>
  <c r="C6" i="23" s="1"/>
  <c r="E6" i="23" s="1"/>
  <c r="G6" i="23" s="1"/>
  <c r="D6" i="24" s="1"/>
  <c r="F6" i="24" s="1"/>
  <c r="H6" i="24" s="1"/>
  <c r="D6" i="25" s="1"/>
  <c r="F6" i="25" s="1"/>
  <c r="H6" i="25" s="1"/>
  <c r="D6" i="26" s="1"/>
  <c r="F6" i="26" s="1"/>
  <c r="H6" i="26" s="1"/>
  <c r="D6" i="27" s="1"/>
  <c r="F6" i="27" s="1"/>
  <c r="H6" i="27" s="1"/>
  <c r="D6" i="28" s="1"/>
  <c r="F6" i="28" s="1"/>
  <c r="H6" i="28" s="1"/>
  <c r="D6" i="29" s="1"/>
  <c r="F6" i="29" s="1"/>
  <c r="H6" i="29" l="1"/>
  <c r="G10" i="18"/>
  <c r="C10" i="19" s="1"/>
  <c r="E10" i="19" s="1"/>
  <c r="G10" i="19" s="1"/>
  <c r="C10" i="20" s="1"/>
  <c r="E10" i="20" s="1"/>
  <c r="G10" i="20" s="1"/>
  <c r="C10" i="21" s="1"/>
  <c r="E10" i="21" s="1"/>
  <c r="G10" i="21" s="1"/>
  <c r="C10" i="22" s="1"/>
  <c r="E10" i="22" s="1"/>
  <c r="G10" i="22" s="1"/>
  <c r="C10" i="23" s="1"/>
  <c r="E10" i="23" s="1"/>
  <c r="G10" i="23" s="1"/>
  <c r="D10" i="24" s="1"/>
  <c r="F10" i="24" s="1"/>
  <c r="H10" i="24" s="1"/>
  <c r="D10" i="25" s="1"/>
  <c r="D6" i="30" l="1"/>
  <c r="F6" i="30" s="1"/>
  <c r="E33" i="25"/>
  <c r="E35" i="25" s="1"/>
  <c r="F10" i="25"/>
  <c r="H10" i="25" s="1"/>
  <c r="H34" i="16"/>
  <c r="D34" i="16"/>
  <c r="D21" i="16"/>
  <c r="C26" i="16" s="1"/>
  <c r="F21" i="16"/>
  <c r="G26" i="16" s="1"/>
  <c r="H6" i="30" l="1"/>
  <c r="D6" i="31" s="1"/>
  <c r="D28" i="16"/>
  <c r="H28" i="16" s="1"/>
  <c r="F16" i="15" l="1"/>
  <c r="F6" i="31" l="1"/>
  <c r="D34" i="14"/>
  <c r="H6" i="31" l="1"/>
  <c r="D6" i="32" s="1"/>
  <c r="H34" i="15"/>
  <c r="D34" i="15"/>
  <c r="F21" i="15"/>
  <c r="D21" i="15"/>
  <c r="G9" i="15"/>
  <c r="C9" i="16" s="1"/>
  <c r="E9" i="16" s="1"/>
  <c r="G9" i="16" s="1"/>
  <c r="C9" i="17" s="1"/>
  <c r="E9" i="17" s="1"/>
  <c r="G9" i="17" s="1"/>
  <c r="C9" i="18" s="1"/>
  <c r="E9" i="18" s="1"/>
  <c r="G9" i="18" s="1"/>
  <c r="C9" i="19" s="1"/>
  <c r="G6" i="15"/>
  <c r="F6" i="32" l="1"/>
  <c r="E9" i="19"/>
  <c r="G9" i="19" s="1"/>
  <c r="C9" i="20" s="1"/>
  <c r="E9" i="20" s="1"/>
  <c r="G9" i="20" s="1"/>
  <c r="C9" i="21" s="1"/>
  <c r="E9" i="21" s="1"/>
  <c r="G9" i="21" s="1"/>
  <c r="C9" i="22" s="1"/>
  <c r="E9" i="22" s="1"/>
  <c r="G9" i="22" s="1"/>
  <c r="C9" i="23" s="1"/>
  <c r="E9" i="23" s="1"/>
  <c r="G9" i="23" s="1"/>
  <c r="D9" i="24" s="1"/>
  <c r="F9" i="24" s="1"/>
  <c r="H9" i="24" s="1"/>
  <c r="D9" i="25" s="1"/>
  <c r="F9" i="25" s="1"/>
  <c r="H9" i="25" s="1"/>
  <c r="D9" i="26" s="1"/>
  <c r="F9" i="26" s="1"/>
  <c r="H9" i="26" s="1"/>
  <c r="G26" i="15"/>
  <c r="C26" i="15"/>
  <c r="D28" i="15" s="1"/>
  <c r="H28" i="15" s="1"/>
  <c r="H34" i="14"/>
  <c r="D21" i="14"/>
  <c r="C26" i="14" s="1"/>
  <c r="C21" i="14"/>
  <c r="F21" i="14"/>
  <c r="G26" i="14" s="1"/>
  <c r="E20" i="14"/>
  <c r="G20" i="14" s="1"/>
  <c r="C20" i="15" s="1"/>
  <c r="E20" i="15" s="1"/>
  <c r="G20" i="15" s="1"/>
  <c r="C20" i="16" s="1"/>
  <c r="E20" i="16" s="1"/>
  <c r="G20" i="16" s="1"/>
  <c r="C20" i="17" s="1"/>
  <c r="E20" i="17" s="1"/>
  <c r="G20" i="17" s="1"/>
  <c r="C20" i="18" s="1"/>
  <c r="E20" i="18" s="1"/>
  <c r="G20" i="18" s="1"/>
  <c r="C20" i="19" s="1"/>
  <c r="E20" i="19" s="1"/>
  <c r="G20" i="19" s="1"/>
  <c r="C20" i="20" s="1"/>
  <c r="E20" i="20" s="1"/>
  <c r="G20" i="20" s="1"/>
  <c r="C20" i="21" s="1"/>
  <c r="E20" i="21" s="1"/>
  <c r="G20" i="21" s="1"/>
  <c r="C20" i="22" s="1"/>
  <c r="E20" i="22" s="1"/>
  <c r="G20" i="22" s="1"/>
  <c r="C20" i="23" s="1"/>
  <c r="E20" i="23" s="1"/>
  <c r="G20" i="23" s="1"/>
  <c r="D20" i="24" s="1"/>
  <c r="F20" i="24" s="1"/>
  <c r="H20" i="24" s="1"/>
  <c r="D20" i="25" s="1"/>
  <c r="F20" i="25" s="1"/>
  <c r="H20" i="25" s="1"/>
  <c r="D20" i="26" s="1"/>
  <c r="F20" i="26" s="1"/>
  <c r="H20" i="26" s="1"/>
  <c r="D20" i="27" s="1"/>
  <c r="F20" i="27" s="1"/>
  <c r="H20" i="27" s="1"/>
  <c r="E19" i="14"/>
  <c r="G19" i="14" s="1"/>
  <c r="C19" i="15" s="1"/>
  <c r="E19" i="15" s="1"/>
  <c r="G19" i="15" s="1"/>
  <c r="C19" i="16" s="1"/>
  <c r="E19" i="16" s="1"/>
  <c r="G19" i="16" s="1"/>
  <c r="C19" i="17" s="1"/>
  <c r="E19" i="17" s="1"/>
  <c r="G19" i="17" s="1"/>
  <c r="C19" i="18" s="1"/>
  <c r="E19" i="18" s="1"/>
  <c r="G19" i="18" s="1"/>
  <c r="C19" i="19" s="1"/>
  <c r="E19" i="19" s="1"/>
  <c r="G19" i="19" s="1"/>
  <c r="C19" i="20" s="1"/>
  <c r="E18" i="14"/>
  <c r="G18" i="14" s="1"/>
  <c r="C18" i="15" s="1"/>
  <c r="E18" i="15" s="1"/>
  <c r="G18" i="15" s="1"/>
  <c r="C18" i="16" s="1"/>
  <c r="E18" i="16" s="1"/>
  <c r="G18" i="16" s="1"/>
  <c r="C18" i="17" s="1"/>
  <c r="E18" i="17" s="1"/>
  <c r="G18" i="17" s="1"/>
  <c r="C18" i="18" s="1"/>
  <c r="E18" i="18" s="1"/>
  <c r="G18" i="18" s="1"/>
  <c r="C18" i="19" s="1"/>
  <c r="E18" i="19" s="1"/>
  <c r="G18" i="19" s="1"/>
  <c r="C18" i="20" s="1"/>
  <c r="E18" i="20" s="1"/>
  <c r="G18" i="20" s="1"/>
  <c r="C18" i="21" s="1"/>
  <c r="E18" i="21" s="1"/>
  <c r="G18" i="21" s="1"/>
  <c r="C18" i="22" s="1"/>
  <c r="E18" i="22" s="1"/>
  <c r="G18" i="22" s="1"/>
  <c r="C18" i="23" s="1"/>
  <c r="E18" i="23" s="1"/>
  <c r="G18" i="23" s="1"/>
  <c r="D18" i="24" s="1"/>
  <c r="F18" i="24" s="1"/>
  <c r="H18" i="24" s="1"/>
  <c r="D18" i="25" s="1"/>
  <c r="F18" i="25" s="1"/>
  <c r="H18" i="25" s="1"/>
  <c r="D18" i="26" s="1"/>
  <c r="F18" i="26" s="1"/>
  <c r="H18" i="26" s="1"/>
  <c r="D18" i="27" s="1"/>
  <c r="F18" i="27" s="1"/>
  <c r="H18" i="27" s="1"/>
  <c r="D18" i="28" s="1"/>
  <c r="F18" i="28" s="1"/>
  <c r="H18" i="28" s="1"/>
  <c r="D18" i="29" s="1"/>
  <c r="F18" i="29" s="1"/>
  <c r="H18" i="29" s="1"/>
  <c r="D18" i="30" s="1"/>
  <c r="F18" i="30" s="1"/>
  <c r="H18" i="30" s="1"/>
  <c r="E17" i="14"/>
  <c r="G17" i="14" s="1"/>
  <c r="C17" i="15" s="1"/>
  <c r="E17" i="15" s="1"/>
  <c r="G17" i="15" s="1"/>
  <c r="C17" i="16" s="1"/>
  <c r="E17" i="16" s="1"/>
  <c r="G17" i="16" s="1"/>
  <c r="C17" i="17" s="1"/>
  <c r="E17" i="17" s="1"/>
  <c r="G17" i="17" s="1"/>
  <c r="C17" i="18" s="1"/>
  <c r="E16" i="14"/>
  <c r="G16" i="14" s="1"/>
  <c r="C16" i="15" s="1"/>
  <c r="E16" i="15" s="1"/>
  <c r="G16" i="15" s="1"/>
  <c r="C16" i="16" s="1"/>
  <c r="E16" i="16" s="1"/>
  <c r="G16" i="16" s="1"/>
  <c r="C16" i="17" s="1"/>
  <c r="E16" i="17" s="1"/>
  <c r="G16" i="17" s="1"/>
  <c r="C16" i="18" s="1"/>
  <c r="E16" i="18" s="1"/>
  <c r="G16" i="18" s="1"/>
  <c r="C16" i="19" s="1"/>
  <c r="E16" i="19" s="1"/>
  <c r="G16" i="19" s="1"/>
  <c r="C16" i="20" s="1"/>
  <c r="E16" i="20" s="1"/>
  <c r="G16" i="20" s="1"/>
  <c r="C16" i="21" s="1"/>
  <c r="E16" i="21" s="1"/>
  <c r="G16" i="21" s="1"/>
  <c r="C16" i="22" s="1"/>
  <c r="E16" i="22" s="1"/>
  <c r="G16" i="22" s="1"/>
  <c r="C16" i="23" s="1"/>
  <c r="E16" i="23" s="1"/>
  <c r="G16" i="23" s="1"/>
  <c r="D16" i="24" s="1"/>
  <c r="F16" i="24" s="1"/>
  <c r="H16" i="24" s="1"/>
  <c r="D16" i="25" s="1"/>
  <c r="F16" i="25" s="1"/>
  <c r="H16" i="25" s="1"/>
  <c r="D16" i="26" s="1"/>
  <c r="F16" i="26" s="1"/>
  <c r="H16" i="26" s="1"/>
  <c r="D16" i="27" s="1"/>
  <c r="F16" i="27" s="1"/>
  <c r="H16" i="27" s="1"/>
  <c r="D17" i="28" s="1"/>
  <c r="F17" i="28" s="1"/>
  <c r="H17" i="28" s="1"/>
  <c r="D17" i="29" s="1"/>
  <c r="F17" i="29" s="1"/>
  <c r="H17" i="29" s="1"/>
  <c r="D17" i="30" s="1"/>
  <c r="F17" i="30" s="1"/>
  <c r="E15" i="14"/>
  <c r="G15" i="14" s="1"/>
  <c r="E14" i="14"/>
  <c r="G14" i="14" s="1"/>
  <c r="C14" i="15" s="1"/>
  <c r="E14" i="15" s="1"/>
  <c r="G14" i="15" s="1"/>
  <c r="C14" i="16" s="1"/>
  <c r="E14" i="16" s="1"/>
  <c r="G14" i="16" s="1"/>
  <c r="C14" i="17" s="1"/>
  <c r="E14" i="17" s="1"/>
  <c r="G14" i="17" s="1"/>
  <c r="C14" i="18" s="1"/>
  <c r="E14" i="18" s="1"/>
  <c r="G14" i="18" s="1"/>
  <c r="C14" i="19" s="1"/>
  <c r="E14" i="19" s="1"/>
  <c r="G14" i="19" s="1"/>
  <c r="C14" i="20" s="1"/>
  <c r="E14" i="20" s="1"/>
  <c r="G14" i="20" s="1"/>
  <c r="C14" i="21" s="1"/>
  <c r="E14" i="21" s="1"/>
  <c r="G14" i="21" s="1"/>
  <c r="C14" i="22" s="1"/>
  <c r="E14" i="22" s="1"/>
  <c r="G14" i="22" s="1"/>
  <c r="C14" i="23" s="1"/>
  <c r="E14" i="23" s="1"/>
  <c r="G14" i="23" s="1"/>
  <c r="D14" i="24" s="1"/>
  <c r="F14" i="24" s="1"/>
  <c r="H14" i="24" s="1"/>
  <c r="D14" i="25" s="1"/>
  <c r="F14" i="25" s="1"/>
  <c r="H14" i="25" s="1"/>
  <c r="D14" i="26" s="1"/>
  <c r="F14" i="26" s="1"/>
  <c r="H14" i="26" s="1"/>
  <c r="D14" i="27" s="1"/>
  <c r="F14" i="27" s="1"/>
  <c r="H14" i="27" s="1"/>
  <c r="D15" i="28" s="1"/>
  <c r="F15" i="28" s="1"/>
  <c r="H15" i="28" s="1"/>
  <c r="D15" i="29" s="1"/>
  <c r="F15" i="29" s="1"/>
  <c r="H15" i="29" s="1"/>
  <c r="D15" i="30" s="1"/>
  <c r="F15" i="30" s="1"/>
  <c r="H15" i="30" s="1"/>
  <c r="E13" i="14"/>
  <c r="G13" i="14" s="1"/>
  <c r="C13" i="15" s="1"/>
  <c r="E13" i="15" s="1"/>
  <c r="G13" i="15" s="1"/>
  <c r="C13" i="16" s="1"/>
  <c r="E13" i="16" s="1"/>
  <c r="G13" i="16" s="1"/>
  <c r="C13" i="17" s="1"/>
  <c r="E13" i="17" s="1"/>
  <c r="G13" i="17" s="1"/>
  <c r="C13" i="18" s="1"/>
  <c r="E13" i="18" s="1"/>
  <c r="G13" i="18" s="1"/>
  <c r="C13" i="19" s="1"/>
  <c r="E12" i="14"/>
  <c r="G12" i="14" s="1"/>
  <c r="C12" i="15" s="1"/>
  <c r="E12" i="15" s="1"/>
  <c r="G12" i="15" s="1"/>
  <c r="C12" i="16" s="1"/>
  <c r="E12" i="16" s="1"/>
  <c r="G12" i="16" s="1"/>
  <c r="C12" i="17" s="1"/>
  <c r="E12" i="17" s="1"/>
  <c r="G12" i="17" s="1"/>
  <c r="E12" i="18" s="1"/>
  <c r="G12" i="18" s="1"/>
  <c r="C12" i="19" s="1"/>
  <c r="E12" i="19" s="1"/>
  <c r="G12" i="19" s="1"/>
  <c r="C12" i="20" s="1"/>
  <c r="E12" i="20" s="1"/>
  <c r="G12" i="20" s="1"/>
  <c r="C12" i="21" s="1"/>
  <c r="E12" i="21" s="1"/>
  <c r="G12" i="21" s="1"/>
  <c r="C12" i="22" s="1"/>
  <c r="E12" i="22" s="1"/>
  <c r="G12" i="22" s="1"/>
  <c r="C12" i="23" s="1"/>
  <c r="E12" i="23" s="1"/>
  <c r="G12" i="23" s="1"/>
  <c r="D12" i="24" s="1"/>
  <c r="F12" i="24" s="1"/>
  <c r="H12" i="24" s="1"/>
  <c r="D12" i="25" s="1"/>
  <c r="F12" i="25" s="1"/>
  <c r="H12" i="25" s="1"/>
  <c r="D12" i="26" s="1"/>
  <c r="F12" i="26" s="1"/>
  <c r="H12" i="26" s="1"/>
  <c r="D12" i="27" s="1"/>
  <c r="F12" i="27" s="1"/>
  <c r="H12" i="27" s="1"/>
  <c r="D13" i="28" s="1"/>
  <c r="F13" i="28" s="1"/>
  <c r="H13" i="28" s="1"/>
  <c r="D13" i="29" s="1"/>
  <c r="F13" i="29" s="1"/>
  <c r="H13" i="29" s="1"/>
  <c r="D13" i="30" s="1"/>
  <c r="F13" i="30" s="1"/>
  <c r="H13" i="30" s="1"/>
  <c r="E11" i="14"/>
  <c r="G11" i="14" s="1"/>
  <c r="C11" i="15" s="1"/>
  <c r="E11" i="15" s="1"/>
  <c r="G11" i="15" s="1"/>
  <c r="C11" i="16" s="1"/>
  <c r="E11" i="16" s="1"/>
  <c r="G11" i="16" s="1"/>
  <c r="C11" i="17" s="1"/>
  <c r="E11" i="17" s="1"/>
  <c r="G11" i="17" s="1"/>
  <c r="C11" i="18" s="1"/>
  <c r="E11" i="18" s="1"/>
  <c r="G11" i="18" s="1"/>
  <c r="C11" i="19" s="1"/>
  <c r="E11" i="19" s="1"/>
  <c r="G11" i="19" s="1"/>
  <c r="C11" i="20" s="1"/>
  <c r="E11" i="20" s="1"/>
  <c r="G11" i="20" s="1"/>
  <c r="C11" i="21" s="1"/>
  <c r="E11" i="21" s="1"/>
  <c r="G11" i="21" s="1"/>
  <c r="C11" i="22" s="1"/>
  <c r="E11" i="22" s="1"/>
  <c r="G11" i="22" s="1"/>
  <c r="C11" i="23" s="1"/>
  <c r="E11" i="23" s="1"/>
  <c r="G11" i="23" s="1"/>
  <c r="D11" i="24" s="1"/>
  <c r="F11" i="24" s="1"/>
  <c r="H11" i="24" s="1"/>
  <c r="D11" i="25" s="1"/>
  <c r="F11" i="25" s="1"/>
  <c r="H11" i="25" s="1"/>
  <c r="D11" i="26" s="1"/>
  <c r="F11" i="26" s="1"/>
  <c r="H11" i="26" s="1"/>
  <c r="D11" i="27" s="1"/>
  <c r="F11" i="27" s="1"/>
  <c r="H11" i="27" s="1"/>
  <c r="D11" i="28" s="1"/>
  <c r="F11" i="28" s="1"/>
  <c r="H11" i="28" s="1"/>
  <c r="D11" i="29" s="1"/>
  <c r="F11" i="29" s="1"/>
  <c r="H11" i="29" s="1"/>
  <c r="D11" i="30" s="1"/>
  <c r="F11" i="30" s="1"/>
  <c r="H11" i="30" s="1"/>
  <c r="E10" i="14"/>
  <c r="G10" i="14" s="1"/>
  <c r="C10" i="15" s="1"/>
  <c r="E10" i="15" s="1"/>
  <c r="G10" i="15" s="1"/>
  <c r="C10" i="16" s="1"/>
  <c r="E10" i="16" s="1"/>
  <c r="G10" i="16" s="1"/>
  <c r="C10" i="17" s="1"/>
  <c r="E10" i="17" s="1"/>
  <c r="G10" i="17" s="1"/>
  <c r="E9" i="14"/>
  <c r="G9" i="14" s="1"/>
  <c r="E8" i="14"/>
  <c r="G8" i="14" s="1"/>
  <c r="C8" i="15" s="1"/>
  <c r="E8" i="15" s="1"/>
  <c r="G8" i="15" s="1"/>
  <c r="C8" i="16" s="1"/>
  <c r="E8" i="16" s="1"/>
  <c r="G8" i="16" s="1"/>
  <c r="C8" i="17" s="1"/>
  <c r="E8" i="17" s="1"/>
  <c r="G8" i="17" s="1"/>
  <c r="C8" i="18" s="1"/>
  <c r="E8" i="18" s="1"/>
  <c r="G8" i="18" s="1"/>
  <c r="C8" i="19" s="1"/>
  <c r="E8" i="19" s="1"/>
  <c r="G8" i="19" s="1"/>
  <c r="C8" i="20" s="1"/>
  <c r="E8" i="20" s="1"/>
  <c r="G8" i="20" s="1"/>
  <c r="C8" i="21" s="1"/>
  <c r="E8" i="21" s="1"/>
  <c r="G8" i="21" s="1"/>
  <c r="C8" i="22" s="1"/>
  <c r="E8" i="22" s="1"/>
  <c r="G8" i="22" s="1"/>
  <c r="C8" i="23" s="1"/>
  <c r="E8" i="23" s="1"/>
  <c r="G8" i="23" s="1"/>
  <c r="D8" i="24" s="1"/>
  <c r="F8" i="24" s="1"/>
  <c r="H8" i="24" s="1"/>
  <c r="D8" i="25" s="1"/>
  <c r="F8" i="25" s="1"/>
  <c r="H8" i="25" s="1"/>
  <c r="D8" i="26" s="1"/>
  <c r="F8" i="26" s="1"/>
  <c r="H8" i="26" s="1"/>
  <c r="D8" i="27" s="1"/>
  <c r="F8" i="27" s="1"/>
  <c r="H8" i="27" s="1"/>
  <c r="D8" i="28" s="1"/>
  <c r="F8" i="28" s="1"/>
  <c r="H8" i="28" s="1"/>
  <c r="D8" i="29" s="1"/>
  <c r="F8" i="29" s="1"/>
  <c r="H8" i="29" s="1"/>
  <c r="D8" i="30" s="1"/>
  <c r="F8" i="30" s="1"/>
  <c r="H8" i="30" s="1"/>
  <c r="E7" i="14"/>
  <c r="G7" i="14" s="1"/>
  <c r="C7" i="15" s="1"/>
  <c r="E7" i="15" s="1"/>
  <c r="G7" i="15" s="1"/>
  <c r="C7" i="16" s="1"/>
  <c r="E7" i="16" s="1"/>
  <c r="G7" i="16" s="1"/>
  <c r="C7" i="17" s="1"/>
  <c r="E7" i="17" s="1"/>
  <c r="G7" i="17" s="1"/>
  <c r="C7" i="18" s="1"/>
  <c r="E7" i="18" s="1"/>
  <c r="G7" i="18" s="1"/>
  <c r="C7" i="19" s="1"/>
  <c r="E7" i="19" s="1"/>
  <c r="G7" i="19" s="1"/>
  <c r="C7" i="20" s="1"/>
  <c r="E7" i="20" s="1"/>
  <c r="G7" i="20" s="1"/>
  <c r="C7" i="21" s="1"/>
  <c r="E7" i="21" s="1"/>
  <c r="G7" i="21" s="1"/>
  <c r="C7" i="22" s="1"/>
  <c r="E7" i="22" s="1"/>
  <c r="G7" i="22" s="1"/>
  <c r="C7" i="23" s="1"/>
  <c r="E7" i="23" s="1"/>
  <c r="G7" i="23" s="1"/>
  <c r="D7" i="24" s="1"/>
  <c r="F7" i="24" s="1"/>
  <c r="H7" i="24" s="1"/>
  <c r="D7" i="25" s="1"/>
  <c r="F7" i="25" s="1"/>
  <c r="H7" i="25" s="1"/>
  <c r="D7" i="26" s="1"/>
  <c r="F7" i="26" s="1"/>
  <c r="H7" i="26" s="1"/>
  <c r="D7" i="27" s="1"/>
  <c r="F7" i="27" s="1"/>
  <c r="H7" i="27" s="1"/>
  <c r="D7" i="28" s="1"/>
  <c r="F7" i="28" s="1"/>
  <c r="H7" i="28" s="1"/>
  <c r="D7" i="29" s="1"/>
  <c r="F7" i="29" s="1"/>
  <c r="E6" i="14"/>
  <c r="G6" i="14" s="1"/>
  <c r="E5" i="14"/>
  <c r="D13" i="31" l="1"/>
  <c r="F13" i="31" s="1"/>
  <c r="H13" i="31" s="1"/>
  <c r="D13" i="32" s="1"/>
  <c r="F13" i="32" s="1"/>
  <c r="H13" i="32" s="1"/>
  <c r="D13" i="33" s="1"/>
  <c r="F13" i="33" s="1"/>
  <c r="H13" i="33" s="1"/>
  <c r="D13" i="34" s="1"/>
  <c r="F13" i="34" s="1"/>
  <c r="H13" i="34" s="1"/>
  <c r="D13" i="35" s="1"/>
  <c r="F13" i="35" s="1"/>
  <c r="H13" i="35" s="1"/>
  <c r="D13" i="36" s="1"/>
  <c r="F13" i="36" s="1"/>
  <c r="H13" i="36" s="1"/>
  <c r="D13" i="37" s="1"/>
  <c r="F13" i="37" s="1"/>
  <c r="H13" i="37" s="1"/>
  <c r="D13" i="38" s="1"/>
  <c r="F13" i="38" s="1"/>
  <c r="H13" i="38" s="1"/>
  <c r="D13" i="39" s="1"/>
  <c r="F13" i="39" s="1"/>
  <c r="H13" i="39" s="1"/>
  <c r="D13" i="40" s="1"/>
  <c r="F13" i="40" s="1"/>
  <c r="H13" i="40" s="1"/>
  <c r="D13" i="41" s="1"/>
  <c r="F13" i="41" s="1"/>
  <c r="H13" i="41" s="1"/>
  <c r="D13" i="42" s="1"/>
  <c r="F13" i="42" s="1"/>
  <c r="H13" i="42" s="1"/>
  <c r="B13" i="43" s="1"/>
  <c r="D13" i="43" s="1"/>
  <c r="F13" i="43" s="1"/>
  <c r="D11" i="31"/>
  <c r="F11" i="31" s="1"/>
  <c r="H11" i="31" s="1"/>
  <c r="D11" i="32" s="1"/>
  <c r="F11" i="32" s="1"/>
  <c r="H11" i="32" s="1"/>
  <c r="D11" i="33" s="1"/>
  <c r="F11" i="33" s="1"/>
  <c r="H11" i="33" s="1"/>
  <c r="D11" i="34" s="1"/>
  <c r="F11" i="34" s="1"/>
  <c r="H11" i="34" s="1"/>
  <c r="D11" i="35" s="1"/>
  <c r="F11" i="35" s="1"/>
  <c r="H11" i="35" s="1"/>
  <c r="D11" i="36" s="1"/>
  <c r="F11" i="36" s="1"/>
  <c r="H11" i="36" s="1"/>
  <c r="D11" i="37" s="1"/>
  <c r="F11" i="37" s="1"/>
  <c r="H11" i="37" s="1"/>
  <c r="D11" i="38" s="1"/>
  <c r="F11" i="38" s="1"/>
  <c r="H11" i="38" s="1"/>
  <c r="D11" i="39" s="1"/>
  <c r="F11" i="39" s="1"/>
  <c r="H11" i="39" s="1"/>
  <c r="D11" i="40" s="1"/>
  <c r="F11" i="40" s="1"/>
  <c r="H11" i="40" s="1"/>
  <c r="D11" i="41" s="1"/>
  <c r="F11" i="41" s="1"/>
  <c r="H11" i="41" s="1"/>
  <c r="D11" i="42" s="1"/>
  <c r="F11" i="42" s="1"/>
  <c r="H11" i="42" s="1"/>
  <c r="B11" i="43" s="1"/>
  <c r="D11" i="43" s="1"/>
  <c r="F11" i="43" s="1"/>
  <c r="D8" i="31"/>
  <c r="F8" i="31" s="1"/>
  <c r="H8" i="31" s="1"/>
  <c r="D8" i="32" s="1"/>
  <c r="F8" i="32" s="1"/>
  <c r="H8" i="32" s="1"/>
  <c r="D8" i="33" s="1"/>
  <c r="F8" i="33" s="1"/>
  <c r="H8" i="33" s="1"/>
  <c r="D8" i="34" s="1"/>
  <c r="F8" i="34" s="1"/>
  <c r="H8" i="34" s="1"/>
  <c r="D8" i="35" s="1"/>
  <c r="F8" i="35" s="1"/>
  <c r="H8" i="35" s="1"/>
  <c r="D8" i="36" s="1"/>
  <c r="F8" i="36" s="1"/>
  <c r="H8" i="36" s="1"/>
  <c r="D8" i="37" s="1"/>
  <c r="F8" i="37" s="1"/>
  <c r="H8" i="37" s="1"/>
  <c r="D8" i="38" s="1"/>
  <c r="F8" i="38" s="1"/>
  <c r="H8" i="38" s="1"/>
  <c r="D8" i="39" s="1"/>
  <c r="F8" i="39" s="1"/>
  <c r="H8" i="39" s="1"/>
  <c r="D8" i="40" s="1"/>
  <c r="F8" i="40" s="1"/>
  <c r="H8" i="40" s="1"/>
  <c r="D8" i="41" s="1"/>
  <c r="F8" i="41" s="1"/>
  <c r="H8" i="41" s="1"/>
  <c r="D8" i="42" s="1"/>
  <c r="F8" i="42" s="1"/>
  <c r="H8" i="42" s="1"/>
  <c r="B8" i="43" s="1"/>
  <c r="D8" i="43" s="1"/>
  <c r="F8" i="43" s="1"/>
  <c r="D15" i="31"/>
  <c r="F15" i="31" s="1"/>
  <c r="H15" i="31" s="1"/>
  <c r="D15" i="32" s="1"/>
  <c r="F15" i="32" s="1"/>
  <c r="H15" i="32" s="1"/>
  <c r="D15" i="33" s="1"/>
  <c r="F15" i="33" s="1"/>
  <c r="H15" i="33" s="1"/>
  <c r="D15" i="34" s="1"/>
  <c r="F15" i="34" s="1"/>
  <c r="H15" i="34" s="1"/>
  <c r="D15" i="35" s="1"/>
  <c r="F15" i="35" s="1"/>
  <c r="H15" i="35" s="1"/>
  <c r="D18" i="31"/>
  <c r="F18" i="31" s="1"/>
  <c r="H18" i="31" s="1"/>
  <c r="D18" i="32" s="1"/>
  <c r="F18" i="32" s="1"/>
  <c r="H18" i="32" s="1"/>
  <c r="D18" i="33" s="1"/>
  <c r="F18" i="33" s="1"/>
  <c r="H6" i="32"/>
  <c r="D6" i="33" s="1"/>
  <c r="F6" i="33" s="1"/>
  <c r="H6" i="33" s="1"/>
  <c r="D6" i="34" s="1"/>
  <c r="F6" i="34" s="1"/>
  <c r="H6" i="34" s="1"/>
  <c r="D6" i="35" s="1"/>
  <c r="F6" i="35" s="1"/>
  <c r="H6" i="35" s="1"/>
  <c r="D6" i="36" s="1"/>
  <c r="F6" i="36" s="1"/>
  <c r="H6" i="36" s="1"/>
  <c r="D6" i="37" s="1"/>
  <c r="F6" i="37" s="1"/>
  <c r="H6" i="37" s="1"/>
  <c r="D6" i="38" s="1"/>
  <c r="D21" i="28"/>
  <c r="F21" i="28" s="1"/>
  <c r="H21" i="28" s="1"/>
  <c r="D21" i="29" s="1"/>
  <c r="F21" i="29" s="1"/>
  <c r="H21" i="29" s="1"/>
  <c r="D21" i="30" s="1"/>
  <c r="F21" i="30" s="1"/>
  <c r="H21" i="30" s="1"/>
  <c r="D20" i="28"/>
  <c r="F20" i="28" s="1"/>
  <c r="H20" i="28" s="1"/>
  <c r="D20" i="29" s="1"/>
  <c r="F20" i="29" s="1"/>
  <c r="H20" i="29" s="1"/>
  <c r="D20" i="30" s="1"/>
  <c r="F20" i="30" s="1"/>
  <c r="H20" i="30" s="1"/>
  <c r="E21" i="14"/>
  <c r="H7" i="29"/>
  <c r="E17" i="18"/>
  <c r="G17" i="18" s="1"/>
  <c r="C17" i="19" s="1"/>
  <c r="E17" i="19" s="1"/>
  <c r="G17" i="19" s="1"/>
  <c r="C17" i="20" s="1"/>
  <c r="E19" i="20"/>
  <c r="G19" i="20" s="1"/>
  <c r="C19" i="21" s="1"/>
  <c r="E19" i="21" s="1"/>
  <c r="G19" i="21" s="1"/>
  <c r="C19" i="22" s="1"/>
  <c r="E19" i="22" s="1"/>
  <c r="G19" i="22" s="1"/>
  <c r="C19" i="23" s="1"/>
  <c r="E19" i="23" s="1"/>
  <c r="G19" i="23" s="1"/>
  <c r="D19" i="24" s="1"/>
  <c r="F19" i="24" s="1"/>
  <c r="H19" i="24" s="1"/>
  <c r="D19" i="25" s="1"/>
  <c r="F19" i="25" s="1"/>
  <c r="H19" i="25" s="1"/>
  <c r="D19" i="26" s="1"/>
  <c r="F19" i="26" s="1"/>
  <c r="H19" i="26" s="1"/>
  <c r="D19" i="27" s="1"/>
  <c r="F19" i="27" s="1"/>
  <c r="H19" i="27" s="1"/>
  <c r="D19" i="28" s="1"/>
  <c r="F19" i="28" s="1"/>
  <c r="H19" i="28" s="1"/>
  <c r="D19" i="29" s="1"/>
  <c r="F19" i="29" s="1"/>
  <c r="H19" i="29" s="1"/>
  <c r="D19" i="30" s="1"/>
  <c r="F19" i="30" s="1"/>
  <c r="H19" i="30" s="1"/>
  <c r="D19" i="31" s="1"/>
  <c r="F19" i="31" s="1"/>
  <c r="H19" i="31" s="1"/>
  <c r="D19" i="32" s="1"/>
  <c r="F19" i="32" s="1"/>
  <c r="H19" i="32" s="1"/>
  <c r="D19" i="33" s="1"/>
  <c r="F19" i="33" s="1"/>
  <c r="H19" i="33" s="1"/>
  <c r="D19" i="34" s="1"/>
  <c r="F19" i="34" s="1"/>
  <c r="H19" i="34" s="1"/>
  <c r="D19" i="35" s="1"/>
  <c r="F19" i="35" s="1"/>
  <c r="H19" i="35" s="1"/>
  <c r="D19" i="36" s="1"/>
  <c r="F19" i="36" s="1"/>
  <c r="H19" i="36" s="1"/>
  <c r="D19" i="37" s="1"/>
  <c r="F19" i="37" s="1"/>
  <c r="H19" i="37" s="1"/>
  <c r="D19" i="38" s="1"/>
  <c r="F19" i="38" s="1"/>
  <c r="H19" i="38" s="1"/>
  <c r="D19" i="39" s="1"/>
  <c r="F19" i="39" s="1"/>
  <c r="H19" i="39" s="1"/>
  <c r="D19" i="40" s="1"/>
  <c r="F19" i="40" s="1"/>
  <c r="H19" i="40" s="1"/>
  <c r="D19" i="41" s="1"/>
  <c r="F19" i="41" s="1"/>
  <c r="H19" i="41" s="1"/>
  <c r="D19" i="42" s="1"/>
  <c r="F19" i="42" s="1"/>
  <c r="H19" i="42" s="1"/>
  <c r="B19" i="43" s="1"/>
  <c r="E13" i="19"/>
  <c r="G21" i="14"/>
  <c r="C21" i="15" s="1"/>
  <c r="C15" i="15"/>
  <c r="E15" i="15" s="1"/>
  <c r="D28" i="14"/>
  <c r="H28" i="14" s="1"/>
  <c r="G5" i="14"/>
  <c r="C5" i="15" s="1"/>
  <c r="E5" i="15" s="1"/>
  <c r="G5" i="15" s="1"/>
  <c r="C5" i="16" s="1"/>
  <c r="E5" i="16" s="1"/>
  <c r="G5" i="16" s="1"/>
  <c r="C5" i="17" s="1"/>
  <c r="E5" i="17" s="1"/>
  <c r="G5" i="17" s="1"/>
  <c r="C5" i="18" s="1"/>
  <c r="E5" i="18" s="1"/>
  <c r="G5" i="18" s="1"/>
  <c r="C5" i="19" s="1"/>
  <c r="E5" i="19" s="1"/>
  <c r="G5" i="19" s="1"/>
  <c r="C5" i="20" s="1"/>
  <c r="E5" i="20" s="1"/>
  <c r="D19" i="43" l="1"/>
  <c r="D20" i="31"/>
  <c r="F20" i="31" s="1"/>
  <c r="H20" i="31" s="1"/>
  <c r="D20" i="32" s="1"/>
  <c r="F20" i="32" s="1"/>
  <c r="H20" i="32" s="1"/>
  <c r="D20" i="33" s="1"/>
  <c r="F20" i="33" s="1"/>
  <c r="H20" i="33" s="1"/>
  <c r="D20" i="34" s="1"/>
  <c r="F20" i="34" s="1"/>
  <c r="H20" i="34" s="1"/>
  <c r="D20" i="35" s="1"/>
  <c r="F20" i="35" s="1"/>
  <c r="H20" i="35" s="1"/>
  <c r="D20" i="36" s="1"/>
  <c r="F20" i="36" s="1"/>
  <c r="H20" i="36" s="1"/>
  <c r="D20" i="37" s="1"/>
  <c r="F20" i="37" s="1"/>
  <c r="H20" i="37" s="1"/>
  <c r="D20" i="38" s="1"/>
  <c r="F20" i="38" s="1"/>
  <c r="H20" i="38" s="1"/>
  <c r="D20" i="39" s="1"/>
  <c r="F20" i="39" s="1"/>
  <c r="H20" i="39" s="1"/>
  <c r="D20" i="40" s="1"/>
  <c r="F20" i="40" s="1"/>
  <c r="H20" i="40" s="1"/>
  <c r="D20" i="41" s="1"/>
  <c r="F20" i="41" s="1"/>
  <c r="H20" i="41" s="1"/>
  <c r="D20" i="42" s="1"/>
  <c r="F20" i="42" s="1"/>
  <c r="H20" i="42" s="1"/>
  <c r="B20" i="43" s="1"/>
  <c r="D20" i="43" s="1"/>
  <c r="F20" i="43" s="1"/>
  <c r="D21" i="31"/>
  <c r="F21" i="31" s="1"/>
  <c r="H21" i="31" s="1"/>
  <c r="D21" i="32" s="1"/>
  <c r="F21" i="32" s="1"/>
  <c r="H21" i="32" s="1"/>
  <c r="D21" i="33" s="1"/>
  <c r="F21" i="33" s="1"/>
  <c r="H21" i="33" s="1"/>
  <c r="D21" i="34" s="1"/>
  <c r="F21" i="34" s="1"/>
  <c r="H21" i="34" s="1"/>
  <c r="D21" i="35" s="1"/>
  <c r="F21" i="35" s="1"/>
  <c r="H21" i="35" s="1"/>
  <c r="D21" i="36" s="1"/>
  <c r="F21" i="36" s="1"/>
  <c r="H21" i="36" s="1"/>
  <c r="D21" i="37" s="1"/>
  <c r="F21" i="37" s="1"/>
  <c r="H21" i="37" s="1"/>
  <c r="D21" i="38" s="1"/>
  <c r="F21" i="38" s="1"/>
  <c r="H21" i="38" s="1"/>
  <c r="D21" i="39" s="1"/>
  <c r="F21" i="39" s="1"/>
  <c r="H21" i="39" s="1"/>
  <c r="D21" i="40" s="1"/>
  <c r="F21" i="40" s="1"/>
  <c r="H21" i="40" s="1"/>
  <c r="D21" i="41" s="1"/>
  <c r="F21" i="41" s="1"/>
  <c r="H21" i="41" s="1"/>
  <c r="D21" i="42" s="1"/>
  <c r="F21" i="42" s="1"/>
  <c r="H21" i="42" s="1"/>
  <c r="B21" i="43" s="1"/>
  <c r="D21" i="43" s="1"/>
  <c r="F21" i="43" s="1"/>
  <c r="F6" i="38"/>
  <c r="H18" i="33"/>
  <c r="D7" i="30"/>
  <c r="F7" i="30" s="1"/>
  <c r="E17" i="20"/>
  <c r="G17" i="20" s="1"/>
  <c r="C17" i="21" s="1"/>
  <c r="E17" i="21" s="1"/>
  <c r="G17" i="21" s="1"/>
  <c r="C17" i="22" s="1"/>
  <c r="E17" i="22" s="1"/>
  <c r="G17" i="22" s="1"/>
  <c r="C17" i="23" s="1"/>
  <c r="E17" i="23" s="1"/>
  <c r="G17" i="23" s="1"/>
  <c r="D17" i="24" s="1"/>
  <c r="F17" i="24" s="1"/>
  <c r="H17" i="24" s="1"/>
  <c r="D17" i="25" s="1"/>
  <c r="F17" i="25" s="1"/>
  <c r="H17" i="25" s="1"/>
  <c r="D17" i="26" s="1"/>
  <c r="F17" i="26" s="1"/>
  <c r="H17" i="26" s="1"/>
  <c r="D17" i="27" s="1"/>
  <c r="F17" i="27" s="1"/>
  <c r="H17" i="27" s="1"/>
  <c r="D31" i="20"/>
  <c r="D34" i="20" s="1"/>
  <c r="G5" i="20"/>
  <c r="G13" i="19"/>
  <c r="G15" i="15"/>
  <c r="E21" i="15"/>
  <c r="H34" i="13"/>
  <c r="D34" i="13"/>
  <c r="F21" i="13"/>
  <c r="G26" i="13" s="1"/>
  <c r="D21" i="13"/>
  <c r="C26" i="13" s="1"/>
  <c r="D28" i="13" s="1"/>
  <c r="C21" i="13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F19" i="43" l="1"/>
  <c r="H6" i="38"/>
  <c r="D6" i="39" s="1"/>
  <c r="F6" i="39" s="1"/>
  <c r="H6" i="39" s="1"/>
  <c r="D6" i="40" s="1"/>
  <c r="F6" i="40" s="1"/>
  <c r="H6" i="40" s="1"/>
  <c r="D6" i="41" s="1"/>
  <c r="F6" i="41" s="1"/>
  <c r="D18" i="34"/>
  <c r="E21" i="13"/>
  <c r="H7" i="30"/>
  <c r="D7" i="31" s="1"/>
  <c r="C13" i="20"/>
  <c r="C5" i="21"/>
  <c r="G21" i="15"/>
  <c r="C21" i="16" s="1"/>
  <c r="C15" i="16"/>
  <c r="E15" i="16" s="1"/>
  <c r="H28" i="13"/>
  <c r="G5" i="13"/>
  <c r="G21" i="13" s="1"/>
  <c r="E17" i="12"/>
  <c r="G17" i="12" s="1"/>
  <c r="H6" i="41" l="1"/>
  <c r="D6" i="42" s="1"/>
  <c r="F6" i="42" s="1"/>
  <c r="F18" i="34"/>
  <c r="E13" i="20"/>
  <c r="E5" i="21"/>
  <c r="G15" i="16"/>
  <c r="E21" i="16"/>
  <c r="H34" i="11"/>
  <c r="H6" i="42" l="1"/>
  <c r="B6" i="43" s="1"/>
  <c r="D6" i="43" s="1"/>
  <c r="F6" i="43" s="1"/>
  <c r="H18" i="34"/>
  <c r="F7" i="31"/>
  <c r="G5" i="21"/>
  <c r="G13" i="20"/>
  <c r="C15" i="17"/>
  <c r="E15" i="17" s="1"/>
  <c r="G21" i="16"/>
  <c r="C21" i="17" s="1"/>
  <c r="C21" i="12"/>
  <c r="H34" i="12"/>
  <c r="D34" i="12"/>
  <c r="F21" i="12"/>
  <c r="G26" i="12" s="1"/>
  <c r="D21" i="12"/>
  <c r="C26" i="12" s="1"/>
  <c r="E20" i="12"/>
  <c r="G20" i="12" s="1"/>
  <c r="E19" i="12"/>
  <c r="G19" i="12" s="1"/>
  <c r="E18" i="12"/>
  <c r="G18" i="12" s="1"/>
  <c r="E6" i="12"/>
  <c r="G6" i="12" s="1"/>
  <c r="E16" i="12"/>
  <c r="G16" i="12" s="1"/>
  <c r="E15" i="12"/>
  <c r="G15" i="12" s="1"/>
  <c r="E14" i="12"/>
  <c r="G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E7" i="12"/>
  <c r="G7" i="12" s="1"/>
  <c r="E5" i="12"/>
  <c r="D18" i="35" l="1"/>
  <c r="F18" i="35" s="1"/>
  <c r="E21" i="12"/>
  <c r="H7" i="31"/>
  <c r="D7" i="32" s="1"/>
  <c r="C13" i="21"/>
  <c r="C5" i="22"/>
  <c r="G15" i="17"/>
  <c r="E21" i="17"/>
  <c r="D28" i="12"/>
  <c r="H28" i="12" s="1"/>
  <c r="G5" i="12"/>
  <c r="G21" i="12" s="1"/>
  <c r="E17" i="11"/>
  <c r="G17" i="11" s="1"/>
  <c r="H18" i="35" l="1"/>
  <c r="F7" i="32"/>
  <c r="E5" i="22"/>
  <c r="E13" i="21"/>
  <c r="C15" i="18"/>
  <c r="G21" i="17"/>
  <c r="D34" i="11"/>
  <c r="F21" i="11"/>
  <c r="G26" i="11" s="1"/>
  <c r="D21" i="11"/>
  <c r="C26" i="11" s="1"/>
  <c r="E20" i="11"/>
  <c r="G20" i="11" s="1"/>
  <c r="E19" i="11"/>
  <c r="G19" i="11" s="1"/>
  <c r="E18" i="11"/>
  <c r="G18" i="11" s="1"/>
  <c r="E16" i="11"/>
  <c r="G16" i="11" s="1"/>
  <c r="E8" i="11"/>
  <c r="G8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7" i="11"/>
  <c r="G7" i="11" s="1"/>
  <c r="G6" i="11"/>
  <c r="E5" i="11"/>
  <c r="D18" i="36" l="1"/>
  <c r="H7" i="32"/>
  <c r="D7" i="33" s="1"/>
  <c r="G13" i="21"/>
  <c r="G5" i="22"/>
  <c r="E15" i="18"/>
  <c r="C21" i="18"/>
  <c r="E21" i="11"/>
  <c r="D28" i="11"/>
  <c r="H28" i="11" s="1"/>
  <c r="G5" i="11"/>
  <c r="G21" i="11" s="1"/>
  <c r="D52" i="9"/>
  <c r="E52" i="9" s="1"/>
  <c r="G52" i="9" s="1"/>
  <c r="F7" i="33" l="1"/>
  <c r="F18" i="36"/>
  <c r="H52" i="9"/>
  <c r="I52" i="9" s="1"/>
  <c r="I54" i="9" s="1"/>
  <c r="C5" i="23"/>
  <c r="C13" i="22"/>
  <c r="G15" i="18"/>
  <c r="E21" i="18"/>
  <c r="H34" i="10"/>
  <c r="D34" i="10"/>
  <c r="F21" i="10"/>
  <c r="G26" i="10" s="1"/>
  <c r="D21" i="10"/>
  <c r="C26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H7" i="33" l="1"/>
  <c r="H18" i="36"/>
  <c r="G21" i="18"/>
  <c r="C15" i="19"/>
  <c r="E13" i="22"/>
  <c r="E5" i="23"/>
  <c r="E21" i="10"/>
  <c r="D28" i="10"/>
  <c r="H28" i="10" s="1"/>
  <c r="G5" i="10"/>
  <c r="G21" i="10" s="1"/>
  <c r="D34" i="9"/>
  <c r="D7" i="34" l="1"/>
  <c r="D18" i="37"/>
  <c r="E15" i="19"/>
  <c r="C21" i="19"/>
  <c r="G5" i="23"/>
  <c r="G13" i="22"/>
  <c r="E14" i="9"/>
  <c r="G14" i="9" s="1"/>
  <c r="F7" i="34" l="1"/>
  <c r="F18" i="37"/>
  <c r="C13" i="23"/>
  <c r="D5" i="24"/>
  <c r="G15" i="19"/>
  <c r="E21" i="19"/>
  <c r="H34" i="9"/>
  <c r="F21" i="9"/>
  <c r="G26" i="9" s="1"/>
  <c r="D21" i="9"/>
  <c r="C26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H18" i="37" l="1"/>
  <c r="C15" i="20"/>
  <c r="G21" i="19"/>
  <c r="F5" i="24"/>
  <c r="H5" i="24" s="1"/>
  <c r="E13" i="23"/>
  <c r="G21" i="9"/>
  <c r="E21" i="9"/>
  <c r="D28" i="9"/>
  <c r="H28" i="9" s="1"/>
  <c r="F21" i="8"/>
  <c r="D18" i="38" l="1"/>
  <c r="F18" i="38" s="1"/>
  <c r="H18" i="38" s="1"/>
  <c r="D18" i="39" s="1"/>
  <c r="F18" i="39" s="1"/>
  <c r="H18" i="39" s="1"/>
  <c r="D18" i="40" s="1"/>
  <c r="F18" i="40" s="1"/>
  <c r="H18" i="40" s="1"/>
  <c r="D18" i="41" s="1"/>
  <c r="F18" i="41" s="1"/>
  <c r="H18" i="41" s="1"/>
  <c r="D18" i="42" s="1"/>
  <c r="F18" i="42" s="1"/>
  <c r="H18" i="42" s="1"/>
  <c r="B18" i="43" s="1"/>
  <c r="D18" i="43" s="1"/>
  <c r="F18" i="43" s="1"/>
  <c r="G13" i="23"/>
  <c r="D5" i="25"/>
  <c r="E15" i="20"/>
  <c r="C21" i="20"/>
  <c r="H34" i="8"/>
  <c r="D34" i="8"/>
  <c r="G26" i="8"/>
  <c r="D21" i="8"/>
  <c r="C26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H34" i="7"/>
  <c r="D34" i="7"/>
  <c r="G15" i="20" l="1"/>
  <c r="E21" i="20"/>
  <c r="F5" i="25"/>
  <c r="D13" i="24"/>
  <c r="E21" i="8"/>
  <c r="D28" i="8"/>
  <c r="G5" i="8"/>
  <c r="G21" i="8" s="1"/>
  <c r="F21" i="7"/>
  <c r="F13" i="24" l="1"/>
  <c r="H5" i="25"/>
  <c r="C15" i="21"/>
  <c r="G21" i="20"/>
  <c r="H28" i="8"/>
  <c r="E15" i="21" l="1"/>
  <c r="C21" i="21"/>
  <c r="D5" i="26"/>
  <c r="H13" i="24"/>
  <c r="E9" i="7"/>
  <c r="D21" i="7"/>
  <c r="C26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G9" i="7"/>
  <c r="E8" i="7"/>
  <c r="G8" i="7" s="1"/>
  <c r="E7" i="7"/>
  <c r="G7" i="7" s="1"/>
  <c r="E6" i="7"/>
  <c r="G6" i="7" s="1"/>
  <c r="E5" i="7"/>
  <c r="E21" i="7" s="1"/>
  <c r="D13" i="25" l="1"/>
  <c r="F5" i="26"/>
  <c r="G15" i="21"/>
  <c r="E21" i="21"/>
  <c r="G26" i="7"/>
  <c r="D28" i="7"/>
  <c r="G5" i="7"/>
  <c r="G21" i="7" s="1"/>
  <c r="D21" i="6"/>
  <c r="C15" i="22" l="1"/>
  <c r="G21" i="21"/>
  <c r="H5" i="26"/>
  <c r="D5" i="27" s="1"/>
  <c r="F13" i="25"/>
  <c r="H28" i="7"/>
  <c r="F21" i="6"/>
  <c r="G26" i="6" s="1"/>
  <c r="C26" i="6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E21" i="6" l="1"/>
  <c r="H13" i="25"/>
  <c r="F5" i="27"/>
  <c r="E15" i="22"/>
  <c r="C21" i="22"/>
  <c r="D28" i="6"/>
  <c r="D34" i="6" s="1"/>
  <c r="G5" i="6"/>
  <c r="G21" i="6" s="1"/>
  <c r="F22" i="5"/>
  <c r="G15" i="22" l="1"/>
  <c r="E21" i="22"/>
  <c r="H5" i="27"/>
  <c r="J13" i="25"/>
  <c r="D13" i="26"/>
  <c r="H28" i="6"/>
  <c r="H34" i="6" s="1"/>
  <c r="D22" i="5"/>
  <c r="F13" i="26" l="1"/>
  <c r="C15" i="23"/>
  <c r="G21" i="22"/>
  <c r="G27" i="5"/>
  <c r="C27" i="5"/>
  <c r="E20" i="5"/>
  <c r="G20" i="5" s="1"/>
  <c r="E19" i="5"/>
  <c r="G19" i="5" s="1"/>
  <c r="E18" i="5"/>
  <c r="G18" i="5" s="1"/>
  <c r="E17" i="5"/>
  <c r="G17" i="5" s="1"/>
  <c r="E16" i="5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E8" i="5"/>
  <c r="G8" i="5" s="1"/>
  <c r="E7" i="5"/>
  <c r="G7" i="5" s="1"/>
  <c r="E6" i="5"/>
  <c r="G6" i="5" s="1"/>
  <c r="E5" i="5"/>
  <c r="E15" i="23" l="1"/>
  <c r="C21" i="23"/>
  <c r="H13" i="26"/>
  <c r="G9" i="5"/>
  <c r="E22" i="5"/>
  <c r="G16" i="5"/>
  <c r="D29" i="5"/>
  <c r="G5" i="5"/>
  <c r="G22" i="5" l="1"/>
  <c r="D13" i="27"/>
  <c r="G15" i="23"/>
  <c r="E21" i="23"/>
  <c r="D35" i="5"/>
  <c r="H29" i="5"/>
  <c r="H35" i="5" s="1"/>
  <c r="F13" i="27" l="1"/>
  <c r="D15" i="24"/>
  <c r="G21" i="23"/>
  <c r="D22" i="4"/>
  <c r="F15" i="24" l="1"/>
  <c r="F21" i="24" s="1"/>
  <c r="D21" i="24"/>
  <c r="H13" i="27"/>
  <c r="D14" i="28" s="1"/>
  <c r="F14" i="28" s="1"/>
  <c r="H14" i="28" s="1"/>
  <c r="D14" i="29" s="1"/>
  <c r="F14" i="29" s="1"/>
  <c r="F22" i="4"/>
  <c r="G27" i="4" s="1"/>
  <c r="C27" i="4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H14" i="29" l="1"/>
  <c r="H15" i="24"/>
  <c r="E22" i="4"/>
  <c r="D29" i="4"/>
  <c r="D35" i="4" s="1"/>
  <c r="G5" i="4"/>
  <c r="G22" i="4" s="1"/>
  <c r="D22" i="3"/>
  <c r="F22" i="3"/>
  <c r="D14" i="30" l="1"/>
  <c r="F14" i="30" s="1"/>
  <c r="D15" i="25"/>
  <c r="H21" i="24"/>
  <c r="H29" i="4"/>
  <c r="H35" i="4" s="1"/>
  <c r="G27" i="3"/>
  <c r="C27" i="3"/>
  <c r="E20" i="3"/>
  <c r="G20" i="3" s="1"/>
  <c r="E19" i="3"/>
  <c r="G19" i="3" s="1"/>
  <c r="E18" i="3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H14" i="30" l="1"/>
  <c r="D14" i="31" s="1"/>
  <c r="F15" i="25"/>
  <c r="D21" i="25"/>
  <c r="G18" i="3"/>
  <c r="E22" i="3"/>
  <c r="D29" i="3"/>
  <c r="D35" i="3" s="1"/>
  <c r="G5" i="3"/>
  <c r="F22" i="2"/>
  <c r="G27" i="2" s="1"/>
  <c r="G22" i="3" l="1"/>
  <c r="H15" i="25"/>
  <c r="F21" i="25"/>
  <c r="H29" i="3"/>
  <c r="H35" i="3" s="1"/>
  <c r="D32" i="1"/>
  <c r="F14" i="31" l="1"/>
  <c r="D15" i="26"/>
  <c r="H21" i="25"/>
  <c r="H32" i="1"/>
  <c r="H14" i="31" l="1"/>
  <c r="D14" i="32" s="1"/>
  <c r="F15" i="26"/>
  <c r="D21" i="26"/>
  <c r="D22" i="2"/>
  <c r="C27" i="2" s="1"/>
  <c r="D29" i="2" s="1"/>
  <c r="D35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E22" i="2" s="1"/>
  <c r="F14" i="32" l="1"/>
  <c r="H15" i="26"/>
  <c r="F21" i="26"/>
  <c r="G5" i="2"/>
  <c r="G22" i="2" s="1"/>
  <c r="F22" i="1"/>
  <c r="G27" i="1" s="1"/>
  <c r="H14" i="32" l="1"/>
  <c r="D14" i="33" s="1"/>
  <c r="D15" i="27"/>
  <c r="H21" i="26"/>
  <c r="H29" i="2"/>
  <c r="H35" i="2" s="1"/>
  <c r="G35" i="1"/>
  <c r="F14" i="33" l="1"/>
  <c r="F15" i="27"/>
  <c r="D21" i="27"/>
  <c r="E6" i="1"/>
  <c r="G6" i="1" s="1"/>
  <c r="E7" i="1"/>
  <c r="G7" i="1" s="1"/>
  <c r="E8" i="1"/>
  <c r="G8" i="1" s="1"/>
  <c r="E9" i="1"/>
  <c r="G9" i="1" s="1"/>
  <c r="G10" i="1"/>
  <c r="E11" i="1"/>
  <c r="G11" i="1" s="1"/>
  <c r="E12" i="1"/>
  <c r="G12" i="1" s="1"/>
  <c r="E13" i="1"/>
  <c r="G13" i="1" s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5" i="1"/>
  <c r="G5" i="1" s="1"/>
  <c r="H14" i="33" l="1"/>
  <c r="H15" i="27"/>
  <c r="F21" i="27"/>
  <c r="G14" i="1"/>
  <c r="G22" i="1" s="1"/>
  <c r="E22" i="1"/>
  <c r="D22" i="1"/>
  <c r="C27" i="1" s="1"/>
  <c r="D14" i="34" l="1"/>
  <c r="H21" i="27"/>
  <c r="D16" i="28"/>
  <c r="C35" i="1"/>
  <c r="D29" i="1"/>
  <c r="D35" i="1" s="1"/>
  <c r="F14" i="34" l="1"/>
  <c r="D22" i="28"/>
  <c r="F16" i="28"/>
  <c r="E35" i="1"/>
  <c r="C28" i="2" s="1"/>
  <c r="C35" i="2" s="1"/>
  <c r="E35" i="2" s="1"/>
  <c r="C28" i="3" s="1"/>
  <c r="C35" i="3" s="1"/>
  <c r="E35" i="3" s="1"/>
  <c r="C28" i="4" s="1"/>
  <c r="C35" i="4" s="1"/>
  <c r="E35" i="4" s="1"/>
  <c r="C28" i="5" s="1"/>
  <c r="C35" i="5" s="1"/>
  <c r="E35" i="5" s="1"/>
  <c r="C27" i="6" s="1"/>
  <c r="H29" i="1"/>
  <c r="H35" i="1" s="1"/>
  <c r="I35" i="1" s="1"/>
  <c r="G28" i="2" s="1"/>
  <c r="G35" i="2" s="1"/>
  <c r="I35" i="2" s="1"/>
  <c r="G28" i="3" s="1"/>
  <c r="G35" i="3" s="1"/>
  <c r="I35" i="3" s="1"/>
  <c r="G28" i="4" s="1"/>
  <c r="G35" i="4" s="1"/>
  <c r="I35" i="4" s="1"/>
  <c r="G28" i="5" s="1"/>
  <c r="G35" i="5" s="1"/>
  <c r="I35" i="5" s="1"/>
  <c r="G27" i="6" s="1"/>
  <c r="H14" i="34" l="1"/>
  <c r="H16" i="28"/>
  <c r="F22" i="28"/>
  <c r="G34" i="6"/>
  <c r="I34" i="6" s="1"/>
  <c r="G27" i="7" s="1"/>
  <c r="G34" i="7" s="1"/>
  <c r="I34" i="7" s="1"/>
  <c r="G27" i="8" s="1"/>
  <c r="G34" i="8" s="1"/>
  <c r="I34" i="8" s="1"/>
  <c r="G27" i="9" s="1"/>
  <c r="G34" i="9" s="1"/>
  <c r="I34" i="9" s="1"/>
  <c r="G27" i="10" s="1"/>
  <c r="G34" i="10" s="1"/>
  <c r="I34" i="10" s="1"/>
  <c r="G27" i="11" s="1"/>
  <c r="G34" i="11" s="1"/>
  <c r="I34" i="11" s="1"/>
  <c r="G27" i="12" s="1"/>
  <c r="G34" i="12" s="1"/>
  <c r="I34" i="12" s="1"/>
  <c r="G27" i="13" s="1"/>
  <c r="G34" i="13" s="1"/>
  <c r="I34" i="13" s="1"/>
  <c r="G27" i="14" s="1"/>
  <c r="G34" i="14" s="1"/>
  <c r="C34" i="6"/>
  <c r="E34" i="6" s="1"/>
  <c r="C27" i="7" s="1"/>
  <c r="C34" i="7" s="1"/>
  <c r="E34" i="7" s="1"/>
  <c r="C27" i="8" s="1"/>
  <c r="C34" i="8" s="1"/>
  <c r="E34" i="8" s="1"/>
  <c r="C27" i="9" s="1"/>
  <c r="C34" i="9" s="1"/>
  <c r="E34" i="9" s="1"/>
  <c r="C27" i="10" s="1"/>
  <c r="C34" i="10" s="1"/>
  <c r="E34" i="10" s="1"/>
  <c r="C27" i="11" s="1"/>
  <c r="C34" i="11" s="1"/>
  <c r="E34" i="11" s="1"/>
  <c r="C27" i="12" s="1"/>
  <c r="C34" i="12" s="1"/>
  <c r="E34" i="12" s="1"/>
  <c r="C27" i="13" s="1"/>
  <c r="C34" i="13" s="1"/>
  <c r="E34" i="13" s="1"/>
  <c r="C27" i="14" s="1"/>
  <c r="C34" i="14" s="1"/>
  <c r="E34" i="14" s="1"/>
  <c r="C27" i="15" s="1"/>
  <c r="C34" i="15" s="1"/>
  <c r="E34" i="15" s="1"/>
  <c r="C27" i="16" s="1"/>
  <c r="C34" i="16" s="1"/>
  <c r="E34" i="16" s="1"/>
  <c r="C27" i="17" s="1"/>
  <c r="C34" i="17" s="1"/>
  <c r="E34" i="17" s="1"/>
  <c r="C27" i="18" s="1"/>
  <c r="C34" i="18" s="1"/>
  <c r="E34" i="18" s="1"/>
  <c r="C27" i="19" s="1"/>
  <c r="C34" i="19" s="1"/>
  <c r="E34" i="19" s="1"/>
  <c r="C27" i="20" s="1"/>
  <c r="C34" i="20" s="1"/>
  <c r="E34" i="20" s="1"/>
  <c r="C27" i="21" s="1"/>
  <c r="C34" i="21" s="1"/>
  <c r="E34" i="21" s="1"/>
  <c r="C27" i="22" s="1"/>
  <c r="C34" i="22" s="1"/>
  <c r="E34" i="22" s="1"/>
  <c r="C27" i="23" s="1"/>
  <c r="C34" i="23" s="1"/>
  <c r="E34" i="23" s="1"/>
  <c r="D14" i="35" l="1"/>
  <c r="F14" i="35" s="1"/>
  <c r="H22" i="28"/>
  <c r="D16" i="29"/>
  <c r="F16" i="29" s="1"/>
  <c r="D27" i="24"/>
  <c r="I34" i="14"/>
  <c r="G27" i="15" s="1"/>
  <c r="G34" i="15" s="1"/>
  <c r="I34" i="15" s="1"/>
  <c r="G27" i="16" s="1"/>
  <c r="G34" i="16" s="1"/>
  <c r="I34" i="16" s="1"/>
  <c r="G27" i="17" s="1"/>
  <c r="G34" i="17" s="1"/>
  <c r="I34" i="17" s="1"/>
  <c r="G27" i="18" s="1"/>
  <c r="G34" i="18" s="1"/>
  <c r="I34" i="18" s="1"/>
  <c r="G27" i="19" s="1"/>
  <c r="G34" i="19" s="1"/>
  <c r="I34" i="19" s="1"/>
  <c r="G27" i="20" s="1"/>
  <c r="G34" i="20" s="1"/>
  <c r="I34" i="20" s="1"/>
  <c r="D22" i="29" l="1"/>
  <c r="H14" i="35"/>
  <c r="H16" i="29"/>
  <c r="F22" i="29"/>
  <c r="D35" i="24"/>
  <c r="F35" i="24" s="1"/>
  <c r="D27" i="25" s="1"/>
  <c r="D35" i="25" s="1"/>
  <c r="F35" i="25" s="1"/>
  <c r="D27" i="26" s="1"/>
  <c r="D35" i="26" s="1"/>
  <c r="F35" i="26" s="1"/>
  <c r="D27" i="27" s="1"/>
  <c r="D36" i="27" s="1"/>
  <c r="F36" i="27" s="1"/>
  <c r="D28" i="28" s="1"/>
  <c r="D37" i="28" s="1"/>
  <c r="F37" i="28" s="1"/>
  <c r="D28" i="29" s="1"/>
  <c r="D37" i="29" s="1"/>
  <c r="F37" i="29" s="1"/>
  <c r="D28" i="30" s="1"/>
  <c r="D37" i="30" s="1"/>
  <c r="F37" i="30" s="1"/>
  <c r="D28" i="31" s="1"/>
  <c r="D37" i="31" s="1"/>
  <c r="F37" i="31" s="1"/>
  <c r="D28" i="32" s="1"/>
  <c r="D37" i="32" s="1"/>
  <c r="F37" i="32" s="1"/>
  <c r="D28" i="33" s="1"/>
  <c r="D37" i="33" s="1"/>
  <c r="F37" i="33" s="1"/>
  <c r="D28" i="34" s="1"/>
  <c r="D37" i="34" s="1"/>
  <c r="F37" i="34" s="1"/>
  <c r="D28" i="35" s="1"/>
  <c r="D37" i="35" s="1"/>
  <c r="F37" i="35" s="1"/>
  <c r="D28" i="36" s="1"/>
  <c r="D37" i="36" s="1"/>
  <c r="F37" i="36" s="1"/>
  <c r="D28" i="37" s="1"/>
  <c r="D37" i="37" s="1"/>
  <c r="F37" i="37" s="1"/>
  <c r="D28" i="38" s="1"/>
  <c r="D37" i="38" s="1"/>
  <c r="F37" i="38" s="1"/>
  <c r="D28" i="39" s="1"/>
  <c r="D37" i="39" s="1"/>
  <c r="G27" i="21"/>
  <c r="G34" i="21" s="1"/>
  <c r="I34" i="21" s="1"/>
  <c r="G27" i="22" s="1"/>
  <c r="G34" i="22" s="1"/>
  <c r="I34" i="22" s="1"/>
  <c r="G27" i="23" s="1"/>
  <c r="G34" i="23" s="1"/>
  <c r="I34" i="23" s="1"/>
  <c r="D14" i="36" l="1"/>
  <c r="D16" i="30"/>
  <c r="F16" i="30" s="1"/>
  <c r="H22" i="29"/>
  <c r="H27" i="24"/>
  <c r="H35" i="24" s="1"/>
  <c r="J35" i="24" s="1"/>
  <c r="H27" i="25" s="1"/>
  <c r="H35" i="25" s="1"/>
  <c r="J35" i="25" s="1"/>
  <c r="H27" i="26" s="1"/>
  <c r="H35" i="26" s="1"/>
  <c r="J35" i="26" s="1"/>
  <c r="D22" i="30" l="1"/>
  <c r="F14" i="36"/>
  <c r="H16" i="30"/>
  <c r="D16" i="31" s="1"/>
  <c r="D22" i="31" s="1"/>
  <c r="F22" i="30"/>
  <c r="H27" i="27"/>
  <c r="H36" i="27" s="1"/>
  <c r="J36" i="27" s="1"/>
  <c r="H28" i="28" s="1"/>
  <c r="H37" i="28" s="1"/>
  <c r="J37" i="28" s="1"/>
  <c r="H28" i="29" l="1"/>
  <c r="H37" i="29" s="1"/>
  <c r="J37" i="29" s="1"/>
  <c r="K39" i="28"/>
  <c r="H14" i="36"/>
  <c r="H22" i="30"/>
  <c r="H28" i="30" l="1"/>
  <c r="H37" i="30" s="1"/>
  <c r="J37" i="30" s="1"/>
  <c r="H28" i="31" s="1"/>
  <c r="H37" i="31" s="1"/>
  <c r="J37" i="31" s="1"/>
  <c r="H28" i="32" s="1"/>
  <c r="H37" i="32" s="1"/>
  <c r="J37" i="32" s="1"/>
  <c r="H28" i="33" s="1"/>
  <c r="H37" i="33" s="1"/>
  <c r="J37" i="33" s="1"/>
  <c r="H28" i="34" s="1"/>
  <c r="H37" i="34" s="1"/>
  <c r="J37" i="34" s="1"/>
  <c r="H28" i="35" s="1"/>
  <c r="H37" i="35" s="1"/>
  <c r="J37" i="35" s="1"/>
  <c r="H28" i="36" s="1"/>
  <c r="H37" i="36" s="1"/>
  <c r="J37" i="36" s="1"/>
  <c r="H28" i="37" s="1"/>
  <c r="H37" i="37" s="1"/>
  <c r="J37" i="37" s="1"/>
  <c r="H28" i="38" s="1"/>
  <c r="H37" i="38" s="1"/>
  <c r="J37" i="38" s="1"/>
  <c r="H28" i="39" s="1"/>
  <c r="H37" i="39" s="1"/>
  <c r="J37" i="39" s="1"/>
  <c r="K40" i="29"/>
  <c r="D14" i="37"/>
  <c r="F16" i="31"/>
  <c r="H28" i="40" l="1"/>
  <c r="H37" i="40" s="1"/>
  <c r="J37" i="40" s="1"/>
  <c r="H28" i="41" s="1"/>
  <c r="H37" i="41" s="1"/>
  <c r="J37" i="41" s="1"/>
  <c r="H28" i="42" s="1"/>
  <c r="H37" i="42" s="1"/>
  <c r="J37" i="42" s="1"/>
  <c r="F28" i="43" s="1"/>
  <c r="F37" i="43" s="1"/>
  <c r="H37" i="43" s="1"/>
  <c r="J39" i="30"/>
  <c r="F14" i="37"/>
  <c r="H16" i="31"/>
  <c r="F22" i="31"/>
  <c r="H14" i="37" l="1"/>
  <c r="H22" i="31"/>
  <c r="K40" i="31" s="1"/>
  <c r="D16" i="32"/>
  <c r="D14" i="38" l="1"/>
  <c r="F16" i="32"/>
  <c r="D22" i="32"/>
  <c r="F14" i="38" l="1"/>
  <c r="H16" i="32"/>
  <c r="F22" i="32"/>
  <c r="H22" i="32" l="1"/>
  <c r="D16" i="33"/>
  <c r="H14" i="38"/>
  <c r="D14" i="39" s="1"/>
  <c r="F14" i="39" l="1"/>
  <c r="F16" i="33"/>
  <c r="D22" i="33"/>
  <c r="H14" i="39" l="1"/>
  <c r="H16" i="33"/>
  <c r="F22" i="33"/>
  <c r="D14" i="40" l="1"/>
  <c r="D16" i="34"/>
  <c r="H22" i="33"/>
  <c r="J39" i="33" s="1"/>
  <c r="F14" i="40" l="1"/>
  <c r="D22" i="40"/>
  <c r="F16" i="34"/>
  <c r="D22" i="34"/>
  <c r="H14" i="40" l="1"/>
  <c r="F22" i="40"/>
  <c r="H16" i="34"/>
  <c r="F22" i="34"/>
  <c r="H22" i="40" l="1"/>
  <c r="D14" i="41"/>
  <c r="F14" i="41" s="1"/>
  <c r="D16" i="35"/>
  <c r="F16" i="35" s="1"/>
  <c r="H22" i="34"/>
  <c r="D22" i="41" l="1"/>
  <c r="D22" i="42"/>
  <c r="H14" i="41"/>
  <c r="F22" i="41"/>
  <c r="D22" i="35"/>
  <c r="K39" i="34"/>
  <c r="H16" i="35"/>
  <c r="F22" i="35"/>
  <c r="H22" i="41" l="1"/>
  <c r="D14" i="42"/>
  <c r="F14" i="42" s="1"/>
  <c r="D16" i="36"/>
  <c r="H22" i="35"/>
  <c r="H14" i="42" l="1"/>
  <c r="F22" i="42"/>
  <c r="F16" i="36"/>
  <c r="D22" i="36"/>
  <c r="H22" i="42" l="1"/>
  <c r="B14" i="43"/>
  <c r="H16" i="36"/>
  <c r="F22" i="36"/>
  <c r="D14" i="43" l="1"/>
  <c r="B22" i="43"/>
  <c r="D16" i="37"/>
  <c r="H22" i="36"/>
  <c r="F14" i="43" l="1"/>
  <c r="F22" i="43" s="1"/>
  <c r="D22" i="43"/>
  <c r="F16" i="37"/>
  <c r="D22" i="37"/>
  <c r="H16" i="37" l="1"/>
  <c r="F22" i="37"/>
  <c r="D16" i="38" l="1"/>
  <c r="H22" i="37"/>
  <c r="F16" i="38" l="1"/>
  <c r="D22" i="38"/>
  <c r="H16" i="38" l="1"/>
  <c r="F22" i="38"/>
  <c r="H22" i="38" l="1"/>
  <c r="D16" i="39"/>
  <c r="F16" i="39" l="1"/>
  <c r="D22" i="39"/>
  <c r="H16" i="39" l="1"/>
  <c r="H22" i="39" s="1"/>
  <c r="E35" i="39"/>
  <c r="E37" i="39" s="1"/>
  <c r="F37" i="39" s="1"/>
  <c r="D28" i="40" s="1"/>
  <c r="D37" i="40" s="1"/>
  <c r="F37" i="40" s="1"/>
  <c r="D28" i="41" s="1"/>
  <c r="D37" i="41" s="1"/>
  <c r="F37" i="41" s="1"/>
  <c r="D28" i="42" s="1"/>
  <c r="D37" i="42" s="1"/>
  <c r="F37" i="42" s="1"/>
  <c r="B28" i="43" s="1"/>
  <c r="B37" i="43" s="1"/>
  <c r="D37" i="43" s="1"/>
  <c r="F22" i="39"/>
</calcChain>
</file>

<file path=xl/sharedStrings.xml><?xml version="1.0" encoding="utf-8"?>
<sst xmlns="http://schemas.openxmlformats.org/spreadsheetml/2006/main" count="2597" uniqueCount="207">
  <si>
    <t xml:space="preserve">NAOMY MUTHONI </t>
  </si>
  <si>
    <t xml:space="preserve">RENT STATEMENT </t>
  </si>
  <si>
    <t>FOR THE MONTH OF JUNE 2018</t>
  </si>
  <si>
    <t>NO.</t>
  </si>
  <si>
    <t>TENANT</t>
  </si>
  <si>
    <t>BF</t>
  </si>
  <si>
    <t>RENT</t>
  </si>
  <si>
    <t>TOTAL DUE</t>
  </si>
  <si>
    <t xml:space="preserve">PAID </t>
  </si>
  <si>
    <t>BALANCE</t>
  </si>
  <si>
    <t>CARETAKER</t>
  </si>
  <si>
    <t>BENSON LAHO</t>
  </si>
  <si>
    <t>PETER</t>
  </si>
  <si>
    <t>MUTHAMA</t>
  </si>
  <si>
    <t>JOYCE WAITHERA</t>
  </si>
  <si>
    <t>VACCANT</t>
  </si>
  <si>
    <t>KIRIMI</t>
  </si>
  <si>
    <t>DANIEL SIRONIK</t>
  </si>
  <si>
    <t>PETER MUTINDA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</si>
  <si>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</si>
  <si>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</si>
  <si>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</si>
  <si>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</si>
  <si>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</si>
  <si>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</si>
  <si>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</si>
  <si>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</si>
  <si>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JUNE</t>
  </si>
  <si>
    <t>COMM</t>
  </si>
  <si>
    <t>PAYMENTS</t>
  </si>
  <si>
    <t xml:space="preserve"> </t>
  </si>
  <si>
    <t>LL</t>
  </si>
  <si>
    <t>DAVID EKISA</t>
  </si>
  <si>
    <t>DIRECT TO LL</t>
  </si>
  <si>
    <t>CHRIS MWAYA</t>
  </si>
  <si>
    <t>NOT TO PAY</t>
  </si>
  <si>
    <t>JACK OMONDI</t>
  </si>
  <si>
    <t>JULY</t>
  </si>
  <si>
    <t>FOR THE MONTH OF JULY 2018</t>
  </si>
  <si>
    <t>ISAAC NGENO</t>
  </si>
  <si>
    <t>NEW</t>
  </si>
  <si>
    <t>ROBERT SANG</t>
  </si>
  <si>
    <t>PREPARED BY</t>
  </si>
  <si>
    <t>RUTH</t>
  </si>
  <si>
    <t>APPROVED BY</t>
  </si>
  <si>
    <t>GRACE</t>
  </si>
  <si>
    <t>RECEIVED BY</t>
  </si>
  <si>
    <t>NAOMY</t>
  </si>
  <si>
    <t>FOR THE MONTH OF AUGUST 2018</t>
  </si>
  <si>
    <t>AUG</t>
  </si>
  <si>
    <t>JOSEPH MUNENE</t>
  </si>
  <si>
    <t>FOR THE MONTH OF SEPTEMBER 2018</t>
  </si>
  <si>
    <t>SEP</t>
  </si>
  <si>
    <t xml:space="preserve">      </t>
  </si>
  <si>
    <t>FOR THE MONTH OF OCTOBER 2018</t>
  </si>
  <si>
    <t>OCT</t>
  </si>
  <si>
    <t>FOR THE MONTH OF NOVEMBER 2018</t>
  </si>
  <si>
    <t>NOV</t>
  </si>
  <si>
    <t>DANSON KONES</t>
  </si>
  <si>
    <t xml:space="preserve">ISACK BET </t>
  </si>
  <si>
    <t>FOR THE MONTH OF DECEMBER  2018</t>
  </si>
  <si>
    <t>DEC</t>
  </si>
  <si>
    <t>PAID ON 13/12/18</t>
  </si>
  <si>
    <t>PAID ON 22/12/18</t>
  </si>
  <si>
    <t>FOR THE MONTH OF JANUARY 2019</t>
  </si>
  <si>
    <t>JAN</t>
  </si>
  <si>
    <t>JOHN</t>
  </si>
  <si>
    <t>PAID ON 12/1/19</t>
  </si>
  <si>
    <t>PAID ON 23/1/19</t>
  </si>
  <si>
    <t>JACK -10</t>
  </si>
  <si>
    <t>FOR THE MONTH OF FEBRUARY 2019</t>
  </si>
  <si>
    <t>FEB</t>
  </si>
  <si>
    <t>ELPHAS</t>
  </si>
  <si>
    <t>WELDING HSE. 2</t>
  </si>
  <si>
    <t>ISAIAH</t>
  </si>
  <si>
    <t xml:space="preserve">LOAN </t>
  </si>
  <si>
    <t>FOR THE MONTH OF MARCH 2019</t>
  </si>
  <si>
    <t>MARCH</t>
  </si>
  <si>
    <t>to deduct from lamndlord</t>
  </si>
  <si>
    <t>PAID ON 13/3/17</t>
  </si>
  <si>
    <t>PAID ON 19/3/19</t>
  </si>
  <si>
    <t xml:space="preserve">ELPHAS </t>
  </si>
  <si>
    <t>APRIL</t>
  </si>
  <si>
    <t>FOR THE MONTH OF APRIL 2019</t>
  </si>
  <si>
    <t>WACAIU</t>
  </si>
  <si>
    <t>PAID ON 12/4/19</t>
  </si>
  <si>
    <t>FOR THE MONTH OF MAY 2019</t>
  </si>
  <si>
    <t>MAY</t>
  </si>
  <si>
    <t>ROOF REPAIR</t>
  </si>
  <si>
    <t>PAID ON 13/5/19</t>
  </si>
  <si>
    <t>PAID ON 20/5/19</t>
  </si>
  <si>
    <t>FOR THE MONTH OF JUNE 2019</t>
  </si>
  <si>
    <t>PAID ON 13/6/19</t>
  </si>
  <si>
    <t>SHEM ONAMI</t>
  </si>
  <si>
    <t>PAID ON 21/6/19</t>
  </si>
  <si>
    <t>PAID ON 28/6/19</t>
  </si>
  <si>
    <t>FOR THE MONTH OF JULY 2019</t>
  </si>
  <si>
    <t>PAID ON 12/7/19</t>
  </si>
  <si>
    <t>BENSON ISIAHO</t>
  </si>
  <si>
    <t>FOR THE MONTH OF AUGUST 2019</t>
  </si>
  <si>
    <t>FLORENCE</t>
  </si>
  <si>
    <t>.</t>
  </si>
  <si>
    <t>SEPT</t>
  </si>
  <si>
    <t>FOR THE MONTH OF SEPTEMBER 2019</t>
  </si>
  <si>
    <t>PAID ON 14/9</t>
  </si>
  <si>
    <t>OCTOBER</t>
  </si>
  <si>
    <t>SHEM</t>
  </si>
  <si>
    <t>FOR THE MONTH OF OCTOBER 2019</t>
  </si>
  <si>
    <t>PAID ON 16/10</t>
  </si>
  <si>
    <t>NOVEMBER</t>
  </si>
  <si>
    <t>FOR THE MONTH OF NOVEMBER 2019</t>
  </si>
  <si>
    <t>PAID TILL DEC</t>
  </si>
  <si>
    <t>PAID ON 15/11</t>
  </si>
  <si>
    <t>PAUL OLIECH</t>
  </si>
  <si>
    <t>PAID ON 13/8</t>
  </si>
  <si>
    <t>FOR THE MONTH OF DECEMBER 2019</t>
  </si>
  <si>
    <t>DECEMBER</t>
  </si>
  <si>
    <t>PAID ON 12/12</t>
  </si>
  <si>
    <t>FOR THE MONTH OF JANUARY 2020</t>
  </si>
  <si>
    <t>JANUARY</t>
  </si>
  <si>
    <t>TITUS KIOKO</t>
  </si>
  <si>
    <t>PAID ON 14/1</t>
  </si>
  <si>
    <t>VACCATED</t>
  </si>
  <si>
    <t>PAID ON 18/1</t>
  </si>
  <si>
    <t>FEBRUARY</t>
  </si>
  <si>
    <t>FOR THE MONTH OF FEBRUARY 2020</t>
  </si>
  <si>
    <t>PAID ON 13/2</t>
  </si>
  <si>
    <t>FOR THE MONTH OF MARCH 2020</t>
  </si>
  <si>
    <t>PAID ON 14/3</t>
  </si>
  <si>
    <t>FOR THE MONTH OF APRIL 2020</t>
  </si>
  <si>
    <t>EVICTED</t>
  </si>
  <si>
    <t>LOAN</t>
  </si>
  <si>
    <t xml:space="preserve">    </t>
  </si>
  <si>
    <t>PAID ON 14/4</t>
  </si>
  <si>
    <t>NJUGUNA</t>
  </si>
  <si>
    <t>SAMSON OTIENO</t>
  </si>
  <si>
    <t>STEPHEN</t>
  </si>
  <si>
    <t>FOR THE MONTH OF MAY  2020</t>
  </si>
  <si>
    <t>HAVE NO MONEY</t>
  </si>
  <si>
    <t>TO PAY WHEN HE GETS MONEY</t>
  </si>
  <si>
    <t>ALI GUYO</t>
  </si>
  <si>
    <t>DEPOSIT</t>
  </si>
  <si>
    <t>PAID ON 12/5</t>
  </si>
  <si>
    <t>FOR THE MONTH OF JUNE  2020</t>
  </si>
  <si>
    <t>PAID ON 25/5</t>
  </si>
  <si>
    <t>PAID ON 15/6</t>
  </si>
  <si>
    <t xml:space="preserve">JOHN </t>
  </si>
  <si>
    <t>FOR THE MONTH OF JULY  2020</t>
  </si>
  <si>
    <t>PAID ON 14/7</t>
  </si>
  <si>
    <t>PAUL LIECH</t>
  </si>
  <si>
    <t>WACAIU VACCATED</t>
  </si>
  <si>
    <t>AUGUST</t>
  </si>
  <si>
    <t>FOR THE MONTH OF AUGUST  2020</t>
  </si>
  <si>
    <t>PAID ON 3/8</t>
  </si>
  <si>
    <t>PAID ON 4/8</t>
  </si>
  <si>
    <t>PAID ON 15/8</t>
  </si>
  <si>
    <t>PAID ON 22/8</t>
  </si>
  <si>
    <t>FOR THE MONTH OF SEPTEMBER  2020</t>
  </si>
  <si>
    <t>SEPTEMBER</t>
  </si>
  <si>
    <t>PAID ON 16/9</t>
  </si>
  <si>
    <t>PAID ON 23/9</t>
  </si>
  <si>
    <t>FOR THE MONTH OF OCTOBER  2020</t>
  </si>
  <si>
    <t>PAID ON 2/10</t>
  </si>
  <si>
    <t>FOR THE MONTH OF NOVEMBER  2020</t>
  </si>
  <si>
    <t>PAID ON 14/11</t>
  </si>
  <si>
    <t>FOR THE MONTH OF DECEMBER  2020</t>
  </si>
  <si>
    <t>BENSON EVICTED</t>
  </si>
  <si>
    <t>ALI GUYO ON DEP</t>
  </si>
  <si>
    <t>ON DEPOSIT</t>
  </si>
  <si>
    <t>PAID ON 14/12</t>
  </si>
  <si>
    <t>FOR THE MONTH OF JANUARY  2021</t>
  </si>
  <si>
    <t>PAID ON 16/1</t>
  </si>
  <si>
    <t>FOR THE MONTH OF FEBRUARY  2021</t>
  </si>
  <si>
    <t>PAID ON 20/1</t>
  </si>
  <si>
    <t>PAID ON 27/2</t>
  </si>
  <si>
    <t>FOR THE MONTH OF MARCH  2021</t>
  </si>
  <si>
    <t>SOLOMON MBANAH</t>
  </si>
  <si>
    <t>NJUGUNA VACCATED</t>
  </si>
  <si>
    <t>PAID ON 16/3</t>
  </si>
  <si>
    <t>CARETAKER MABATI</t>
  </si>
  <si>
    <t>FOR THE MONTH OF APRIL  2021</t>
  </si>
  <si>
    <t>paid on 21/3</t>
  </si>
  <si>
    <t>PAID ON 15/4</t>
  </si>
  <si>
    <t>STEPHEN NO.10 VACCATED</t>
  </si>
  <si>
    <t>BROKE &amp;VACCATED</t>
  </si>
  <si>
    <t>FOR THE MONTH OF MAY  2021</t>
  </si>
  <si>
    <t>SOLOMON VACCATED</t>
  </si>
  <si>
    <t>PAID ON 14/5</t>
  </si>
  <si>
    <t>PAID ON 21/5</t>
  </si>
  <si>
    <t>PAID ON 27/5</t>
  </si>
  <si>
    <t>FOR THE MONTH OF JUNE  2021</t>
  </si>
  <si>
    <t>KEVIN OWIGI</t>
  </si>
  <si>
    <t>PAID ON 11/6</t>
  </si>
  <si>
    <t>JACOB WAMBUA</t>
  </si>
  <si>
    <t>FOR THE MONTH OF JULY  2021</t>
  </si>
  <si>
    <t>TOILET REPAIR CARETAKER</t>
  </si>
  <si>
    <t>FOR THE MONTH OF AUGUST  2021</t>
  </si>
  <si>
    <t>JOSPHAT MUTINDA</t>
  </si>
  <si>
    <t>PAID ON 16/8</t>
  </si>
  <si>
    <t>FOR THE MONTH OF SEPTEMBER  2021</t>
  </si>
  <si>
    <t>john vaccated</t>
  </si>
  <si>
    <t>FOR THE MONTH OF OCTOBER   2021</t>
  </si>
  <si>
    <t xml:space="preserve">OCTOBER </t>
  </si>
  <si>
    <t>ELECTRICITY</t>
  </si>
  <si>
    <t>PAID ON 14/10</t>
  </si>
  <si>
    <t>FOR THE MONTH OF NOVEMBER   2021</t>
  </si>
  <si>
    <t>JACOB NO.12 EVICTED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</si>
</sst>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4" fillId="0" borderId="0" xfId="0" applyFont="1"/>
    <xf numFmtId="49" fontId="5" fillId="0" borderId="0" xfId="1" applyNumberFormat="1" applyFont="1" applyBorder="1" applyAlignment="1">
      <alignment horizontal="right"/>
    </xf>
    <xf numFmtId="49" fontId="6" fillId="0" borderId="0" xfId="0" applyNumberFormat="1" applyFont="1" applyBorder="1" applyAlignment="1">
      <alignment horizontal="right"/>
    </xf>
    <xf numFmtId="0" fontId="3" fillId="0" borderId="0" xfId="0" applyFont="1" applyBorder="1"/>
    <xf numFmtId="4" fontId="3" fillId="0" borderId="0" xfId="0" applyNumberFormat="1" applyFont="1" applyBorder="1"/>
    <xf numFmtId="164" fontId="6" fillId="0" borderId="0" xfId="0" applyNumberFormat="1" applyFont="1" applyBorder="1"/>
    <xf numFmtId="0" fontId="3" fillId="0" borderId="2" xfId="0" applyFont="1" applyBorder="1"/>
    <xf numFmtId="3" fontId="2" fillId="0" borderId="1" xfId="0" applyNumberFormat="1" applyFont="1" applyBorder="1"/>
    <xf numFmtId="4" fontId="2" fillId="0" borderId="1" xfId="0" applyNumberFormat="1" applyFont="1" applyBorder="1"/>
    <xf numFmtId="9" fontId="2" fillId="0" borderId="1" xfId="0" applyNumberFormat="1" applyFont="1" applyBorder="1"/>
    <xf numFmtId="0" fontId="2" fillId="0" borderId="1" xfId="0" applyFont="1" applyFill="1" applyBorder="1"/>
    <xf numFmtId="0" fontId="4" fillId="0" borderId="1" xfId="0" applyFont="1" applyBorder="1"/>
    <xf numFmtId="14" fontId="2" fillId="0" borderId="1" xfId="0" applyNumberFormat="1" applyFont="1" applyBorder="1"/>
    <xf numFmtId="3" fontId="4" fillId="0" borderId="1" xfId="0" applyNumberFormat="1" applyFont="1" applyBorder="1"/>
    <xf numFmtId="14" fontId="2" fillId="0" borderId="1" xfId="0" applyNumberFormat="1" applyFont="1" applyFill="1" applyBorder="1"/>
    <xf numFmtId="3" fontId="0" fillId="0" borderId="0" xfId="0" applyNumberFormat="1"/>
    <xf numFmtId="0" fontId="7" fillId="0" borderId="0" xfId="0" applyFont="1"/>
    <xf numFmtId="49" fontId="6" fillId="0" borderId="0" xfId="1" applyNumberFormat="1" applyFont="1" applyBorder="1" applyAlignment="1">
      <alignment horizontal="right"/>
    </xf>
    <xf numFmtId="0" fontId="8" fillId="0" borderId="0" xfId="0" applyFont="1" applyBorder="1"/>
    <xf numFmtId="4" fontId="8" fillId="0" borderId="0" xfId="0" applyNumberFormat="1" applyFont="1" applyBorder="1"/>
    <xf numFmtId="0" fontId="8" fillId="0" borderId="0" xfId="0" applyFont="1"/>
    <xf numFmtId="0" fontId="8" fillId="0" borderId="2" xfId="0" applyFont="1" applyBorder="1"/>
    <xf numFmtId="0" fontId="8" fillId="0" borderId="1" xfId="0" applyFont="1" applyBorder="1"/>
    <xf numFmtId="0" fontId="7" fillId="0" borderId="1" xfId="0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14" fontId="7" fillId="0" borderId="1" xfId="0" applyNumberFormat="1" applyFont="1" applyBorder="1"/>
    <xf numFmtId="14" fontId="7" fillId="0" borderId="1" xfId="0" applyNumberFormat="1" applyFont="1" applyFill="1" applyBorder="1"/>
    <xf numFmtId="3" fontId="8" fillId="0" borderId="1" xfId="0" applyNumberFormat="1" applyFont="1" applyBorder="1"/>
    <xf numFmtId="0" fontId="0" fillId="0" borderId="1" xfId="0" applyBorder="1"/>
    <xf numFmtId="9" fontId="0" fillId="0" borderId="0" xfId="0" applyNumberFormat="1"/>
    <xf numFmtId="0" fontId="8" fillId="0" borderId="0" xfId="0" applyFont="1" applyFill="1" applyBorder="1"/>
    <xf numFmtId="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36" sqref="B36"/>
    </sheetView>
  </sheetViews>
  <sheetFormatPr defaultRowHeight="15" x14ac:dyDescent="0.25"/>
  <cols>
    <col min="1" max="1" width="4.140625" customWidth="1"/>
    <col min="2" max="2" width="21.42578125" customWidth="1"/>
    <col min="3" max="3" width="10.28515625" customWidth="1"/>
    <col min="4" max="4" width="10.140625" customWidth="1"/>
    <col min="5" max="5" width="13.28515625" customWidth="1"/>
    <col min="6" max="6" width="15.5703125" customWidth="1"/>
    <col min="7" max="7" width="11.7109375" customWidth="1"/>
  </cols>
  <sheetData>
    <row r="1" spans="1:10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</row>
    <row r="2" spans="1:10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2" t="s">
        <v>2</v>
      </c>
      <c r="D3" s="1"/>
      <c r="E3" s="1"/>
      <c r="F3" s="1"/>
      <c r="G3" s="1"/>
      <c r="H3" s="1"/>
      <c r="I3" s="1"/>
      <c r="J3" s="1"/>
    </row>
    <row r="4" spans="1:10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  <c r="J4" s="1"/>
    </row>
    <row r="5" spans="1:10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  <c r="J5" s="1"/>
    </row>
    <row r="6" spans="1:10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  <c r="J6" s="1"/>
    </row>
    <row r="7" spans="1:10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 t="s">
        <v>31</v>
      </c>
      <c r="I7" s="1"/>
      <c r="J7" s="1"/>
    </row>
    <row r="8" spans="1:10" ht="15.75" x14ac:dyDescent="0.25">
      <c r="A8" s="4">
        <v>4</v>
      </c>
      <c r="B8" s="4" t="s">
        <v>12</v>
      </c>
      <c r="C8" s="4"/>
      <c r="D8" s="4">
        <v>1200</v>
      </c>
      <c r="E8" s="4">
        <f t="shared" si="0"/>
        <v>1200</v>
      </c>
      <c r="F8" s="4">
        <v>1200</v>
      </c>
      <c r="G8" s="4">
        <f t="shared" si="1"/>
        <v>0</v>
      </c>
      <c r="H8" s="1" t="s">
        <v>31</v>
      </c>
      <c r="I8" s="1"/>
      <c r="J8" s="1"/>
    </row>
    <row r="9" spans="1:10" ht="15.75" x14ac:dyDescent="0.25">
      <c r="A9" s="4">
        <v>5</v>
      </c>
      <c r="B9" s="4" t="s">
        <v>13</v>
      </c>
      <c r="C9" s="4"/>
      <c r="D9" s="4"/>
      <c r="E9" s="4">
        <f t="shared" si="0"/>
        <v>0</v>
      </c>
      <c r="F9" s="4"/>
      <c r="G9" s="4">
        <f t="shared" si="1"/>
        <v>0</v>
      </c>
      <c r="H9" s="1" t="s">
        <v>35</v>
      </c>
      <c r="I9" s="1"/>
      <c r="J9" s="1"/>
    </row>
    <row r="10" spans="1:10" ht="15.75" x14ac:dyDescent="0.25">
      <c r="A10" s="4">
        <v>6</v>
      </c>
      <c r="B10" s="4" t="s">
        <v>15</v>
      </c>
      <c r="C10" s="4"/>
      <c r="D10" s="4"/>
      <c r="E10" s="4"/>
      <c r="F10" s="4"/>
      <c r="G10" s="4">
        <f t="shared" si="1"/>
        <v>0</v>
      </c>
      <c r="H10" s="1"/>
      <c r="I10" s="1"/>
      <c r="J10" s="1"/>
    </row>
    <row r="11" spans="1:10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  <c r="J11" s="1"/>
    </row>
    <row r="12" spans="1:10" ht="15.75" x14ac:dyDescent="0.25">
      <c r="A12" s="4">
        <v>8</v>
      </c>
      <c r="B12" s="4" t="s">
        <v>15</v>
      </c>
      <c r="C12" s="4"/>
      <c r="D12" s="4"/>
      <c r="E12" s="4">
        <f t="shared" si="0"/>
        <v>0</v>
      </c>
      <c r="F12" s="4"/>
      <c r="G12" s="4">
        <f t="shared" si="1"/>
        <v>0</v>
      </c>
      <c r="H12" s="1"/>
      <c r="I12" s="1"/>
      <c r="J12" s="1"/>
    </row>
    <row r="13" spans="1:10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  <c r="J13" s="1"/>
    </row>
    <row r="14" spans="1:10" ht="15.75" x14ac:dyDescent="0.25">
      <c r="A14" s="4">
        <v>10</v>
      </c>
      <c r="B14" s="4" t="s">
        <v>16</v>
      </c>
      <c r="C14" s="4"/>
      <c r="D14" s="4"/>
      <c r="E14" s="4">
        <f t="shared" si="0"/>
        <v>0</v>
      </c>
      <c r="F14" s="4"/>
      <c r="G14" s="4">
        <f t="shared" si="1"/>
        <v>0</v>
      </c>
      <c r="H14" s="1" t="s">
        <v>35</v>
      </c>
      <c r="I14" s="1"/>
      <c r="J14" s="1"/>
    </row>
    <row r="15" spans="1:10" ht="15.75" x14ac:dyDescent="0.25">
      <c r="A15" s="4">
        <v>11</v>
      </c>
      <c r="B15" s="4" t="s">
        <v>15</v>
      </c>
      <c r="C15" s="4"/>
      <c r="D15" s="4"/>
      <c r="E15" s="4">
        <f t="shared" si="0"/>
        <v>0</v>
      </c>
      <c r="F15" s="4"/>
      <c r="G15" s="4">
        <f t="shared" si="1"/>
        <v>0</v>
      </c>
      <c r="H15" s="1"/>
      <c r="I15" s="1"/>
      <c r="J15" s="1"/>
    </row>
    <row r="16" spans="1:10" ht="15.75" x14ac:dyDescent="0.25">
      <c r="A16" s="4">
        <v>12</v>
      </c>
      <c r="B16" s="4" t="s">
        <v>32</v>
      </c>
      <c r="C16" s="4"/>
      <c r="D16" s="4">
        <v>1200</v>
      </c>
      <c r="E16" s="4">
        <f t="shared" si="0"/>
        <v>1200</v>
      </c>
      <c r="F16" s="4">
        <v>1200</v>
      </c>
      <c r="G16" s="4">
        <f t="shared" si="1"/>
        <v>0</v>
      </c>
      <c r="H16" s="1"/>
      <c r="I16" s="1"/>
      <c r="J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  <c r="J17" s="1"/>
    </row>
    <row r="18" spans="1:10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  <c r="J18" s="1"/>
    </row>
    <row r="19" spans="1:10" ht="15.75" x14ac:dyDescent="0.25">
      <c r="A19" s="4">
        <v>15</v>
      </c>
      <c r="B19" s="4" t="s">
        <v>17</v>
      </c>
      <c r="C19" s="4"/>
      <c r="D19" s="4">
        <v>3000</v>
      </c>
      <c r="E19" s="4">
        <f t="shared" si="0"/>
        <v>3000</v>
      </c>
      <c r="F19" s="4"/>
      <c r="G19" s="4">
        <f t="shared" si="1"/>
        <v>3000</v>
      </c>
      <c r="H19" s="1"/>
      <c r="I19" s="1"/>
      <c r="J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1"/>
    </row>
    <row r="21" spans="1:10" ht="15.75" x14ac:dyDescent="0.25">
      <c r="A21" s="4"/>
      <c r="B21" s="4"/>
      <c r="C21" s="4"/>
      <c r="D21" s="4"/>
      <c r="E21" s="4"/>
      <c r="F21" s="4"/>
      <c r="G21" s="4"/>
      <c r="H21" s="1"/>
      <c r="I21" s="1"/>
      <c r="J21" s="1"/>
    </row>
    <row r="22" spans="1:10" ht="15.75" x14ac:dyDescent="0.25">
      <c r="A22" s="4"/>
      <c r="B22" s="3" t="s">
        <v>19</v>
      </c>
      <c r="C22" s="3"/>
      <c r="D22" s="3">
        <f>SUM(D5:D21)</f>
        <v>16500</v>
      </c>
      <c r="E22" s="3">
        <f>SUM(E5:E21)</f>
        <v>16500</v>
      </c>
      <c r="F22" s="3">
        <f>SUM(F5:F21)</f>
        <v>13500</v>
      </c>
      <c r="G22" s="3">
        <f>SUM(G5:G21)</f>
        <v>3000</v>
      </c>
      <c r="H22" s="1"/>
      <c r="I22" s="1"/>
      <c r="J22" s="1"/>
    </row>
    <row r="23" spans="1:10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  <c r="J24" s="1"/>
    </row>
    <row r="25" spans="1:10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  <c r="J25" s="1"/>
    </row>
    <row r="26" spans="1:10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  <c r="J26" s="1"/>
    </row>
    <row r="27" spans="1:10" ht="15.75" x14ac:dyDescent="0.25">
      <c r="A27" s="1"/>
      <c r="B27" s="4" t="s">
        <v>27</v>
      </c>
      <c r="C27" s="12">
        <f>D22</f>
        <v>16500</v>
      </c>
      <c r="D27" s="4"/>
      <c r="E27" s="4"/>
      <c r="F27" s="4" t="s">
        <v>27</v>
      </c>
      <c r="G27" s="12">
        <f>F22</f>
        <v>13500</v>
      </c>
      <c r="H27" s="4"/>
      <c r="I27" s="4"/>
      <c r="J27" s="1"/>
    </row>
    <row r="28" spans="1:10" ht="15.75" x14ac:dyDescent="0.25">
      <c r="A28" s="1"/>
      <c r="B28" s="4" t="s">
        <v>5</v>
      </c>
      <c r="C28" s="13"/>
      <c r="D28" s="4"/>
      <c r="E28" s="4"/>
      <c r="F28" s="4" t="s">
        <v>5</v>
      </c>
      <c r="G28" s="12"/>
      <c r="H28" s="4"/>
      <c r="I28" s="4"/>
      <c r="J28" s="1"/>
    </row>
    <row r="29" spans="1:10" ht="15.75" x14ac:dyDescent="0.25">
      <c r="A29" s="1"/>
      <c r="B29" s="4" t="s">
        <v>28</v>
      </c>
      <c r="C29" s="14">
        <v>0.1</v>
      </c>
      <c r="D29" s="12">
        <f>C27*C29</f>
        <v>1650</v>
      </c>
      <c r="E29" s="4"/>
      <c r="F29" s="4" t="s">
        <v>28</v>
      </c>
      <c r="G29" s="14">
        <v>0.1</v>
      </c>
      <c r="H29" s="12">
        <f>D29</f>
        <v>1650</v>
      </c>
      <c r="I29" s="4"/>
      <c r="J29" s="1"/>
    </row>
    <row r="30" spans="1:10" ht="15.75" x14ac:dyDescent="0.25">
      <c r="A30" s="1"/>
      <c r="B30" s="15"/>
      <c r="C30" s="12"/>
      <c r="D30" s="4"/>
      <c r="E30" s="4"/>
      <c r="F30" s="15"/>
      <c r="G30" s="12"/>
      <c r="H30" s="4"/>
      <c r="I30" s="4"/>
      <c r="J30" s="1"/>
    </row>
    <row r="31" spans="1:10" ht="15.75" x14ac:dyDescent="0.25">
      <c r="A31" s="1"/>
      <c r="B31" s="16" t="s">
        <v>29</v>
      </c>
      <c r="C31" s="4" t="s">
        <v>30</v>
      </c>
      <c r="D31" s="4"/>
      <c r="E31" s="4"/>
      <c r="F31" s="16" t="s">
        <v>29</v>
      </c>
      <c r="G31" s="4" t="s">
        <v>30</v>
      </c>
      <c r="H31" s="4"/>
      <c r="I31" s="4"/>
      <c r="J31" s="1"/>
    </row>
    <row r="32" spans="1:10" ht="15.75" x14ac:dyDescent="0.25">
      <c r="A32" s="1"/>
      <c r="B32" s="4" t="s">
        <v>33</v>
      </c>
      <c r="C32" s="4"/>
      <c r="D32" s="4">
        <f>D7+D8</f>
        <v>2700</v>
      </c>
      <c r="E32" s="4"/>
      <c r="F32" s="4" t="s">
        <v>33</v>
      </c>
      <c r="G32" s="4"/>
      <c r="H32" s="4">
        <f>D32</f>
        <v>2700</v>
      </c>
      <c r="I32" s="4"/>
      <c r="J32" s="1"/>
    </row>
    <row r="33" spans="1:10" ht="15.75" x14ac:dyDescent="0.25">
      <c r="A33" s="1"/>
      <c r="B33" s="17">
        <v>43266</v>
      </c>
      <c r="C33" s="4"/>
      <c r="D33" s="4">
        <v>7355</v>
      </c>
      <c r="E33" s="4"/>
      <c r="F33" s="17">
        <v>43266</v>
      </c>
      <c r="G33" s="4"/>
      <c r="H33" s="4">
        <v>7355</v>
      </c>
      <c r="I33" s="4"/>
      <c r="J33" s="1"/>
    </row>
    <row r="34" spans="1:10" ht="15.75" x14ac:dyDescent="0.25">
      <c r="A34" s="1"/>
      <c r="B34" s="17">
        <v>43276</v>
      </c>
      <c r="C34" s="4"/>
      <c r="D34" s="4">
        <v>1740</v>
      </c>
      <c r="E34" s="4"/>
      <c r="F34" s="17">
        <v>43276</v>
      </c>
      <c r="G34" s="4"/>
      <c r="H34" s="4">
        <v>1740</v>
      </c>
      <c r="I34" s="4"/>
      <c r="J34" s="1"/>
    </row>
    <row r="35" spans="1:10" ht="15.75" x14ac:dyDescent="0.25">
      <c r="A35" s="1"/>
      <c r="B35" s="16" t="s">
        <v>19</v>
      </c>
      <c r="C35" s="18">
        <f>C27+C28</f>
        <v>16500</v>
      </c>
      <c r="D35" s="18">
        <f>SUM(D29:D34)</f>
        <v>13445</v>
      </c>
      <c r="E35" s="18">
        <f>C35-D35</f>
        <v>3055</v>
      </c>
      <c r="F35" s="16" t="s">
        <v>19</v>
      </c>
      <c r="G35" s="18">
        <f>G27+G28</f>
        <v>13500</v>
      </c>
      <c r="H35" s="18">
        <f>SUM(H29:H34)</f>
        <v>13445</v>
      </c>
      <c r="I35" s="12">
        <f>G35-H35</f>
        <v>55</v>
      </c>
      <c r="J35" s="1"/>
    </row>
    <row r="36" spans="1:10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  <c r="J37" s="1"/>
    </row>
    <row r="38" spans="1:10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  <c r="J39" s="1"/>
    </row>
    <row r="40" spans="1:10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25" right="0.25" top="0.75" bottom="0.75" header="0.3" footer="0.3"/>
  <pageSetup paperSize="286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workbookViewId="0">
      <selection activeCell="C46" sqref="C46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76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>
        <v>1500</v>
      </c>
      <c r="D6" s="4">
        <v>1500</v>
      </c>
      <c r="E6" s="4">
        <f t="shared" ref="E6:E20" si="0">C6+D6</f>
        <v>3000</v>
      </c>
      <c r="F6" s="4">
        <v>1500</v>
      </c>
      <c r="G6" s="4">
        <f t="shared" ref="G6:G20" si="1">E6-F6</f>
        <v>1500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/>
      <c r="C8" s="4"/>
      <c r="D8" s="4"/>
      <c r="E8" s="4">
        <f t="shared" si="0"/>
        <v>0</v>
      </c>
      <c r="F8" s="4"/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72</v>
      </c>
      <c r="C9" s="4">
        <v>1500</v>
      </c>
      <c r="D9" s="4">
        <v>1500</v>
      </c>
      <c r="E9" s="4">
        <f>C9+D9</f>
        <v>3000</v>
      </c>
      <c r="F9" s="4">
        <v>3000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0"/>
        <v>2400</v>
      </c>
      <c r="F10" s="4">
        <v>2400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74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>
        <v>1500</v>
      </c>
      <c r="D16" s="4">
        <v>1500</v>
      </c>
      <c r="E16" s="4">
        <f t="shared" si="0"/>
        <v>3000</v>
      </c>
      <c r="F16" s="4">
        <v>1500</v>
      </c>
      <c r="G16" s="4">
        <f t="shared" si="1"/>
        <v>1500</v>
      </c>
      <c r="H16" s="1"/>
      <c r="I16" s="1"/>
    </row>
    <row r="17" spans="1:12" ht="15.75" x14ac:dyDescent="0.25">
      <c r="A17" s="4">
        <v>13</v>
      </c>
      <c r="B17" s="4" t="s">
        <v>11</v>
      </c>
      <c r="C17" s="4">
        <v>1500</v>
      </c>
      <c r="D17" s="4">
        <v>1500</v>
      </c>
      <c r="E17" s="4">
        <f t="shared" si="0"/>
        <v>3000</v>
      </c>
      <c r="F17" s="4">
        <v>1500</v>
      </c>
      <c r="G17" s="4">
        <f t="shared" si="1"/>
        <v>1500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12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3"/>
      <c r="D21" s="3">
        <f>SUM(D5:D20)</f>
        <v>24000</v>
      </c>
      <c r="E21" s="3">
        <f>SUM(E5:E20)</f>
        <v>30000</v>
      </c>
      <c r="F21" s="3">
        <f>SUM(F5:F20)</f>
        <v>25500</v>
      </c>
      <c r="G21" s="3">
        <f>SUM(G5:G20)</f>
        <v>4500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77</v>
      </c>
      <c r="C26" s="29">
        <f>D21</f>
        <v>24000</v>
      </c>
      <c r="D26" s="28"/>
      <c r="E26" s="28"/>
      <c r="F26" s="28" t="s">
        <v>77</v>
      </c>
      <c r="G26" s="29">
        <f>F21</f>
        <v>25500</v>
      </c>
      <c r="H26" s="28"/>
      <c r="I26" s="28"/>
    </row>
    <row r="27" spans="1:12" ht="15.75" x14ac:dyDescent="0.25">
      <c r="A27" s="1"/>
      <c r="B27" s="28" t="s">
        <v>5</v>
      </c>
      <c r="C27" s="29">
        <f>FEBRUARY!E34</f>
        <v>3349</v>
      </c>
      <c r="D27" s="28"/>
      <c r="E27" s="28"/>
      <c r="F27" s="28" t="s">
        <v>5</v>
      </c>
      <c r="G27" s="29">
        <f>FEBRUARY!I34</f>
        <v>-2651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2400</v>
      </c>
      <c r="E28" s="28"/>
      <c r="F28" s="28" t="s">
        <v>28</v>
      </c>
      <c r="G28" s="30">
        <v>0.1</v>
      </c>
      <c r="H28" s="29">
        <f>D28</f>
        <v>2400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79</v>
      </c>
      <c r="C30" s="28"/>
      <c r="D30" s="28">
        <v>17000</v>
      </c>
      <c r="E30" s="28"/>
      <c r="F30" s="31" t="s">
        <v>79</v>
      </c>
      <c r="G30" s="28"/>
      <c r="H30" s="28">
        <v>17000</v>
      </c>
      <c r="I30" s="28"/>
    </row>
    <row r="31" spans="1:12" ht="15.75" x14ac:dyDescent="0.25">
      <c r="A31" s="1"/>
      <c r="B31" s="34" t="s">
        <v>80</v>
      </c>
      <c r="C31" s="34"/>
      <c r="D31" s="34">
        <v>3456</v>
      </c>
      <c r="E31" s="34"/>
      <c r="F31" s="34" t="s">
        <v>80</v>
      </c>
      <c r="G31" s="34"/>
      <c r="H31" s="34">
        <v>3456</v>
      </c>
      <c r="I31" s="28"/>
    </row>
    <row r="32" spans="1:12" ht="15.75" x14ac:dyDescent="0.25">
      <c r="A32" s="1"/>
      <c r="B32" s="31" t="s">
        <v>81</v>
      </c>
      <c r="C32" s="28"/>
      <c r="D32" s="28">
        <v>3000</v>
      </c>
      <c r="E32" s="28"/>
      <c r="F32" s="31" t="s">
        <v>81</v>
      </c>
      <c r="G32" s="28"/>
      <c r="H32" s="28">
        <v>3000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24949</v>
      </c>
      <c r="D34" s="29">
        <f>SUM(D30:D33)</f>
        <v>23456</v>
      </c>
      <c r="E34" s="29">
        <f>C34-D34</f>
        <v>1493</v>
      </c>
      <c r="F34" s="28" t="s">
        <v>19</v>
      </c>
      <c r="G34" s="29">
        <f>G26+G27-H28</f>
        <v>20449</v>
      </c>
      <c r="H34" s="29">
        <f>SUM(H30:H33)</f>
        <v>23456</v>
      </c>
      <c r="I34" s="29">
        <f>G34-H34</f>
        <v>-3007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G35" sqref="G35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83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/>
      <c r="C6" s="4"/>
      <c r="D6" s="4"/>
      <c r="E6" s="4"/>
      <c r="F6" s="4"/>
      <c r="G6" s="4">
        <f t="shared" ref="G6:G20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1"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v>1500</v>
      </c>
      <c r="D8" s="4">
        <v>1500</v>
      </c>
      <c r="E8" s="4">
        <f>C8+D8</f>
        <v>3000</v>
      </c>
      <c r="F8" s="4">
        <v>3000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 t="shared" si="0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1"/>
        <v>2400</v>
      </c>
      <c r="F10" s="4">
        <v>2400</v>
      </c>
      <c r="G10" s="4">
        <f t="shared" si="0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1"/>
        <v>1200</v>
      </c>
      <c r="F12" s="4">
        <v>1200</v>
      </c>
      <c r="G12" s="4">
        <f t="shared" si="0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1"/>
        <v>2400</v>
      </c>
      <c r="F13" s="4">
        <v>2400</v>
      </c>
      <c r="G13" s="4">
        <f t="shared" si="0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1"/>
        <v>1500</v>
      </c>
      <c r="F15" s="4"/>
      <c r="G15" s="4">
        <f t="shared" si="0"/>
        <v>1500</v>
      </c>
      <c r="H15" s="1"/>
      <c r="I15" s="1"/>
    </row>
    <row r="16" spans="1:9" ht="15.75" x14ac:dyDescent="0.25">
      <c r="A16" s="4">
        <v>12</v>
      </c>
      <c r="B16" s="4" t="s">
        <v>11</v>
      </c>
      <c r="C16" s="4">
        <v>3000</v>
      </c>
      <c r="D16" s="4">
        <v>1500</v>
      </c>
      <c r="E16" s="4">
        <f>C16+D16</f>
        <v>4500</v>
      </c>
      <c r="F16" s="4">
        <v>2000</v>
      </c>
      <c r="G16" s="4">
        <f>E16-F16</f>
        <v>2500</v>
      </c>
      <c r="H16" s="1"/>
      <c r="I16" s="1"/>
    </row>
    <row r="17" spans="1:12" ht="15.75" x14ac:dyDescent="0.25">
      <c r="A17" s="4">
        <v>13</v>
      </c>
      <c r="B17" s="34" t="s">
        <v>84</v>
      </c>
      <c r="C17" s="34"/>
      <c r="D17" s="34">
        <v>1500</v>
      </c>
      <c r="E17" s="4">
        <f>C17+D17</f>
        <v>1500</v>
      </c>
      <c r="F17" s="34">
        <v>1500</v>
      </c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1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/>
      <c r="C19" s="4"/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/>
      <c r="D20" s="4">
        <v>1500</v>
      </c>
      <c r="E20" s="4">
        <f t="shared" si="1"/>
        <v>1500</v>
      </c>
      <c r="F20" s="4"/>
      <c r="G20" s="4">
        <f t="shared" si="0"/>
        <v>1500</v>
      </c>
      <c r="H20" s="1"/>
      <c r="I20" s="1"/>
      <c r="J20" s="20"/>
    </row>
    <row r="21" spans="1:12" ht="15.75" x14ac:dyDescent="0.25">
      <c r="A21" s="4"/>
      <c r="B21" s="3" t="s">
        <v>19</v>
      </c>
      <c r="C21" s="3"/>
      <c r="D21" s="3">
        <f>SUM(D5:D20)</f>
        <v>21000</v>
      </c>
      <c r="E21" s="3">
        <f>SUM(E5:E20)</f>
        <v>25500</v>
      </c>
      <c r="F21" s="3">
        <f>SUM(F5:F20)</f>
        <v>20000</v>
      </c>
      <c r="G21" s="3">
        <f>SUM(G5:G20)</f>
        <v>5500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82</v>
      </c>
      <c r="C26" s="29">
        <f>D21</f>
        <v>21000</v>
      </c>
      <c r="D26" s="28"/>
      <c r="E26" s="28"/>
      <c r="F26" s="28" t="s">
        <v>82</v>
      </c>
      <c r="G26" s="29">
        <f>F21</f>
        <v>20000</v>
      </c>
      <c r="H26" s="28"/>
      <c r="I26" s="28"/>
    </row>
    <row r="27" spans="1:12" ht="15.75" x14ac:dyDescent="0.25">
      <c r="A27" s="1"/>
      <c r="B27" s="28" t="s">
        <v>5</v>
      </c>
      <c r="C27" s="29">
        <f>MARCH!E34</f>
        <v>1493</v>
      </c>
      <c r="D27" s="28"/>
      <c r="E27" s="28"/>
      <c r="F27" s="28" t="s">
        <v>5</v>
      </c>
      <c r="G27" s="29">
        <f>MARCH!I34</f>
        <v>-3007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2100</v>
      </c>
      <c r="E28" s="28"/>
      <c r="F28" s="28" t="s">
        <v>28</v>
      </c>
      <c r="G28" s="30">
        <v>0.1</v>
      </c>
      <c r="H28" s="29">
        <f>D28</f>
        <v>2100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85</v>
      </c>
      <c r="C30" s="28"/>
      <c r="D30" s="28">
        <v>18000</v>
      </c>
      <c r="E30" s="28"/>
      <c r="F30" s="31" t="s">
        <v>85</v>
      </c>
      <c r="G30" s="28"/>
      <c r="H30" s="28">
        <v>18000</v>
      </c>
      <c r="I30" s="28"/>
    </row>
    <row r="31" spans="1:12" ht="15.75" x14ac:dyDescent="0.25">
      <c r="A31" s="1"/>
      <c r="B31" s="34"/>
      <c r="C31" s="34"/>
      <c r="D31" s="34"/>
      <c r="E31" s="34"/>
      <c r="F31" s="34"/>
      <c r="G31" s="34"/>
      <c r="H31" s="34"/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20393</v>
      </c>
      <c r="D34" s="29">
        <f>SUM(D30:D33)</f>
        <v>18000</v>
      </c>
      <c r="E34" s="29">
        <f>C34-D34</f>
        <v>2393</v>
      </c>
      <c r="F34" s="28" t="s">
        <v>19</v>
      </c>
      <c r="G34" s="29">
        <f>G26+G27-H28</f>
        <v>14893</v>
      </c>
      <c r="H34" s="29">
        <f>SUM(H30:H33)</f>
        <v>18000</v>
      </c>
      <c r="I34" s="29">
        <f>G34-H34</f>
        <v>-3107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L27" sqref="L27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86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/>
      <c r="G5" s="4">
        <f>E5-F5</f>
        <v>1500</v>
      </c>
      <c r="H5" s="1"/>
      <c r="I5" s="1"/>
    </row>
    <row r="6" spans="1:9" ht="15.75" x14ac:dyDescent="0.25">
      <c r="A6" s="4">
        <v>2</v>
      </c>
      <c r="B6" s="34" t="s">
        <v>84</v>
      </c>
      <c r="C6" s="34"/>
      <c r="D6" s="34">
        <v>1500</v>
      </c>
      <c r="E6" s="4">
        <f>C6+D6</f>
        <v>1500</v>
      </c>
      <c r="F6" s="34">
        <v>1500</v>
      </c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/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0"/>
        <v>2400</v>
      </c>
      <c r="F10" s="4">
        <v>700</v>
      </c>
      <c r="G10" s="4">
        <f t="shared" si="1"/>
        <v>1700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v>1500</v>
      </c>
      <c r="D15" s="4">
        <v>1500</v>
      </c>
      <c r="E15" s="4">
        <f t="shared" si="0"/>
        <v>3000</v>
      </c>
      <c r="F15" s="4">
        <v>3000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11</v>
      </c>
      <c r="C16" s="4">
        <v>2500</v>
      </c>
      <c r="D16" s="4">
        <v>1500</v>
      </c>
      <c r="E16" s="4">
        <f>C16+D16</f>
        <v>4000</v>
      </c>
      <c r="F16" s="4">
        <v>2500</v>
      </c>
      <c r="G16" s="4">
        <f>E16-F16</f>
        <v>1500</v>
      </c>
      <c r="H16" s="1"/>
      <c r="I16" s="1"/>
    </row>
    <row r="17" spans="1:12" ht="15.75" x14ac:dyDescent="0.25">
      <c r="A17" s="4">
        <v>13</v>
      </c>
      <c r="B17" s="34"/>
      <c r="C17" s="34"/>
      <c r="D17" s="34"/>
      <c r="E17" s="4">
        <f>C17+D17</f>
        <v>0</v>
      </c>
      <c r="F17" s="34"/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40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v>1500</v>
      </c>
      <c r="D20" s="4">
        <v>1500</v>
      </c>
      <c r="E20" s="4">
        <f t="shared" si="0"/>
        <v>3000</v>
      </c>
      <c r="F20" s="4">
        <v>2000</v>
      </c>
      <c r="G20" s="4">
        <f t="shared" si="1"/>
        <v>1000</v>
      </c>
      <c r="H20" s="1"/>
      <c r="I20" s="1"/>
      <c r="J20" s="20"/>
    </row>
    <row r="21" spans="1:12" ht="15.75" x14ac:dyDescent="0.25">
      <c r="A21" s="4"/>
      <c r="B21" s="3" t="s">
        <v>19</v>
      </c>
      <c r="C21" s="3">
        <f>SUM(C5:C20)</f>
        <v>5500</v>
      </c>
      <c r="D21" s="3">
        <f>SUM(D5:D20)</f>
        <v>24000</v>
      </c>
      <c r="E21" s="3">
        <f>SUM(E5:E20)</f>
        <v>29500</v>
      </c>
      <c r="F21" s="3">
        <f>SUM(F5:F20)</f>
        <v>23800</v>
      </c>
      <c r="G21" s="3">
        <f>SUM(G5:G20)</f>
        <v>5700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87</v>
      </c>
      <c r="C26" s="29">
        <f>D21</f>
        <v>24000</v>
      </c>
      <c r="D26" s="28"/>
      <c r="E26" s="28"/>
      <c r="F26" s="28" t="s">
        <v>87</v>
      </c>
      <c r="G26" s="29">
        <f>F21</f>
        <v>23800</v>
      </c>
      <c r="H26" s="28"/>
      <c r="I26" s="28"/>
    </row>
    <row r="27" spans="1:12" ht="15.75" x14ac:dyDescent="0.25">
      <c r="A27" s="1"/>
      <c r="B27" s="28" t="s">
        <v>5</v>
      </c>
      <c r="C27" s="29">
        <f>APRIL!E34</f>
        <v>2393</v>
      </c>
      <c r="D27" s="28"/>
      <c r="E27" s="28"/>
      <c r="F27" s="28" t="s">
        <v>5</v>
      </c>
      <c r="G27" s="29">
        <f>APRIL!I34</f>
        <v>-3107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2400</v>
      </c>
      <c r="E28" s="28"/>
      <c r="F28" s="28" t="s">
        <v>28</v>
      </c>
      <c r="G28" s="30">
        <v>0.1</v>
      </c>
      <c r="H28" s="29">
        <f>D28</f>
        <v>2400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88</v>
      </c>
      <c r="C30" s="28"/>
      <c r="D30" s="28">
        <v>1800</v>
      </c>
      <c r="E30" s="28"/>
      <c r="F30" s="31" t="s">
        <v>88</v>
      </c>
      <c r="G30" s="28"/>
      <c r="H30" s="28">
        <v>1800</v>
      </c>
      <c r="I30" s="28"/>
    </row>
    <row r="31" spans="1:12" ht="15.75" x14ac:dyDescent="0.25">
      <c r="A31" s="1"/>
      <c r="B31" s="34" t="s">
        <v>89</v>
      </c>
      <c r="C31" s="34"/>
      <c r="D31" s="34">
        <v>14097</v>
      </c>
      <c r="E31" s="34"/>
      <c r="F31" s="34" t="s">
        <v>89</v>
      </c>
      <c r="G31" s="34"/>
      <c r="H31" s="34">
        <v>14097</v>
      </c>
      <c r="I31" s="28"/>
    </row>
    <row r="32" spans="1:12" ht="15.75" x14ac:dyDescent="0.25">
      <c r="A32" s="1"/>
      <c r="B32" s="31" t="s">
        <v>90</v>
      </c>
      <c r="C32" s="28"/>
      <c r="D32" s="28">
        <v>3056</v>
      </c>
      <c r="E32" s="28"/>
      <c r="F32" s="31" t="s">
        <v>90</v>
      </c>
      <c r="G32" s="28"/>
      <c r="H32" s="28">
        <v>3056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23993</v>
      </c>
      <c r="D34" s="29">
        <f>SUM(D30:D33)</f>
        <v>18953</v>
      </c>
      <c r="E34" s="29">
        <f>C34-D34</f>
        <v>5040</v>
      </c>
      <c r="F34" s="28" t="s">
        <v>19</v>
      </c>
      <c r="G34" s="29">
        <f>G26+G27-H28</f>
        <v>18293</v>
      </c>
      <c r="H34" s="29">
        <f>SUM(H30:H33)</f>
        <v>18953</v>
      </c>
      <c r="I34" s="29">
        <f>G34-H34</f>
        <v>-660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33" sqref="K33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91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84</v>
      </c>
      <c r="C6" s="4"/>
      <c r="D6" s="4">
        <v>1500</v>
      </c>
      <c r="E6" s="4">
        <f>C6+D6</f>
        <v>1500</v>
      </c>
      <c r="F6" s="4">
        <v>1000</v>
      </c>
      <c r="G6" s="4">
        <f>E6-F6</f>
        <v>500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/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v>1700</v>
      </c>
      <c r="D10" s="4">
        <v>2400</v>
      </c>
      <c r="E10" s="4">
        <f t="shared" si="0"/>
        <v>4100</v>
      </c>
      <c r="F10" s="4">
        <v>1700</v>
      </c>
      <c r="G10" s="4">
        <f t="shared" si="1"/>
        <v>2400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/>
      <c r="G15" s="4">
        <f t="shared" si="1"/>
        <v>1500</v>
      </c>
      <c r="H15" s="1"/>
      <c r="I15" s="1"/>
    </row>
    <row r="16" spans="1:9" ht="15.75" x14ac:dyDescent="0.25">
      <c r="A16" s="4">
        <v>12</v>
      </c>
      <c r="B16" s="4" t="s">
        <v>11</v>
      </c>
      <c r="C16" s="4">
        <v>1500</v>
      </c>
      <c r="D16" s="4">
        <v>1500</v>
      </c>
      <c r="E16" s="4">
        <f>C16+D16</f>
        <v>3000</v>
      </c>
      <c r="F16" s="4"/>
      <c r="G16" s="4">
        <f>E16-F16</f>
        <v>3000</v>
      </c>
      <c r="H16" s="1"/>
      <c r="I16" s="1"/>
    </row>
    <row r="17" spans="1:12" ht="15.75" x14ac:dyDescent="0.25">
      <c r="A17" s="4">
        <v>13</v>
      </c>
      <c r="B17" s="4"/>
      <c r="C17" s="4"/>
      <c r="D17" s="4"/>
      <c r="E17" s="4">
        <f>C17+D17</f>
        <v>0</v>
      </c>
      <c r="F17" s="4"/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93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v>1000</v>
      </c>
      <c r="D20" s="4">
        <v>1500</v>
      </c>
      <c r="E20" s="4">
        <f t="shared" si="0"/>
        <v>2500</v>
      </c>
      <c r="F20" s="4">
        <v>2500</v>
      </c>
      <c r="G20" s="4">
        <f t="shared" si="1"/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3">
        <f>SUM(C5:C20)</f>
        <v>5700</v>
      </c>
      <c r="D21" s="3">
        <f>SUM(D5:D20)</f>
        <v>24000</v>
      </c>
      <c r="E21" s="3">
        <f>SUM(E5:E20)</f>
        <v>29700</v>
      </c>
      <c r="F21" s="3">
        <f>SUM(F5:F20)</f>
        <v>20800</v>
      </c>
      <c r="G21" s="3">
        <f>SUM(G5:G20)</f>
        <v>8900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27</v>
      </c>
      <c r="C26" s="29">
        <f>D21</f>
        <v>24000</v>
      </c>
      <c r="D26" s="28"/>
      <c r="E26" s="28"/>
      <c r="F26" s="28" t="s">
        <v>27</v>
      </c>
      <c r="G26" s="29">
        <f>F21</f>
        <v>20800</v>
      </c>
      <c r="H26" s="28"/>
      <c r="I26" s="28"/>
    </row>
    <row r="27" spans="1:12" ht="15.75" x14ac:dyDescent="0.25">
      <c r="A27" s="1"/>
      <c r="B27" s="28" t="s">
        <v>5</v>
      </c>
      <c r="C27" s="29">
        <f>MAY!E34</f>
        <v>5040</v>
      </c>
      <c r="D27" s="28"/>
      <c r="E27" s="28"/>
      <c r="F27" s="28" t="s">
        <v>5</v>
      </c>
      <c r="G27" s="29">
        <f>MAY!I34</f>
        <v>-660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2400</v>
      </c>
      <c r="E28" s="28"/>
      <c r="F28" s="28" t="s">
        <v>28</v>
      </c>
      <c r="G28" s="30">
        <v>0.1</v>
      </c>
      <c r="H28" s="29">
        <f>D28</f>
        <v>2400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92</v>
      </c>
      <c r="C30" s="28"/>
      <c r="D30" s="28">
        <v>10087</v>
      </c>
      <c r="E30" s="28"/>
      <c r="F30" s="31" t="s">
        <v>92</v>
      </c>
      <c r="G30" s="28"/>
      <c r="H30" s="28">
        <v>10087</v>
      </c>
      <c r="I30" s="28"/>
    </row>
    <row r="31" spans="1:12" ht="15.75" x14ac:dyDescent="0.25">
      <c r="A31" s="1"/>
      <c r="B31" s="4" t="s">
        <v>94</v>
      </c>
      <c r="C31" s="4"/>
      <c r="D31" s="4">
        <v>5061</v>
      </c>
      <c r="E31" s="4"/>
      <c r="F31" s="4" t="s">
        <v>94</v>
      </c>
      <c r="G31" s="4"/>
      <c r="H31" s="4">
        <v>5061</v>
      </c>
      <c r="I31" s="28"/>
    </row>
    <row r="32" spans="1:12" ht="15.75" x14ac:dyDescent="0.25">
      <c r="A32" s="1"/>
      <c r="B32" s="31" t="s">
        <v>95</v>
      </c>
      <c r="C32" s="28"/>
      <c r="D32" s="28">
        <v>8087</v>
      </c>
      <c r="E32" s="28"/>
      <c r="F32" s="31" t="s">
        <v>95</v>
      </c>
      <c r="G32" s="28"/>
      <c r="H32" s="28">
        <v>8087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26640</v>
      </c>
      <c r="D34" s="29">
        <f>SUM(D30:D33)</f>
        <v>23235</v>
      </c>
      <c r="E34" s="29">
        <f>C34-D34</f>
        <v>3405</v>
      </c>
      <c r="F34" s="28" t="s">
        <v>19</v>
      </c>
      <c r="G34" s="29">
        <f>G26+G27-H28</f>
        <v>17740</v>
      </c>
      <c r="H34" s="29">
        <f>SUM(H30:H33)</f>
        <v>23235</v>
      </c>
      <c r="I34" s="29">
        <f>G34-H34</f>
        <v>-5495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N28" sqref="N28"/>
    </sheetView>
  </sheetViews>
  <sheetFormatPr defaultRowHeight="15" x14ac:dyDescent="0.25"/>
  <cols>
    <col min="1" max="1" width="4.42578125" customWidth="1"/>
    <col min="2" max="2" width="17.42578125" customWidth="1"/>
    <col min="4" max="4" width="8.28515625" customWidth="1"/>
    <col min="5" max="5" width="11.42578125" customWidth="1"/>
    <col min="6" max="6" width="18.2851562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96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84</v>
      </c>
      <c r="C6" s="4">
        <v>500</v>
      </c>
      <c r="D6" s="4">
        <v>1500</v>
      </c>
      <c r="E6" s="4">
        <f>C6+D6</f>
        <v>2000</v>
      </c>
      <c r="F6" s="4">
        <v>2000</v>
      </c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/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v>2400</v>
      </c>
      <c r="D10" s="4">
        <v>2400</v>
      </c>
      <c r="E10" s="4">
        <f t="shared" si="0"/>
        <v>4800</v>
      </c>
      <c r="F10" s="4">
        <f>4400+400</f>
        <v>4800</v>
      </c>
      <c r="G10" s="4">
        <f>E10-F10</f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v>1500</v>
      </c>
      <c r="D15" s="4">
        <v>1500</v>
      </c>
      <c r="E15" s="4">
        <f t="shared" si="0"/>
        <v>3000</v>
      </c>
      <c r="F15" s="4">
        <v>2250</v>
      </c>
      <c r="G15" s="4">
        <f t="shared" si="1"/>
        <v>750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v>3000</v>
      </c>
      <c r="D16" s="4">
        <v>1500</v>
      </c>
      <c r="E16" s="4">
        <f>C16+D16</f>
        <v>4500</v>
      </c>
      <c r="F16" s="4">
        <v>2500</v>
      </c>
      <c r="G16" s="4">
        <f>E16-F16</f>
        <v>2000</v>
      </c>
      <c r="H16" s="1"/>
      <c r="I16" s="1"/>
    </row>
    <row r="17" spans="1:12" ht="15.75" x14ac:dyDescent="0.25">
      <c r="A17" s="4">
        <v>13</v>
      </c>
      <c r="B17" s="4" t="s">
        <v>93</v>
      </c>
      <c r="C17" s="4"/>
      <c r="D17" s="4">
        <v>1500</v>
      </c>
      <c r="E17" s="4">
        <f>C17+D17</f>
        <v>1500</v>
      </c>
      <c r="F17" s="4"/>
      <c r="G17" s="4">
        <f>E17-F17</f>
        <v>1500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93</v>
      </c>
      <c r="C19" s="4"/>
      <c r="D19" s="4">
        <v>3000</v>
      </c>
      <c r="E19" s="4">
        <f t="shared" si="0"/>
        <v>3000</v>
      </c>
      <c r="F19" s="4"/>
      <c r="G19" s="4">
        <f t="shared" si="1"/>
        <v>3000</v>
      </c>
      <c r="H19" s="1"/>
      <c r="I19" s="1"/>
    </row>
    <row r="20" spans="1:12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3">
        <f>SUM(C5:C20)</f>
        <v>8900</v>
      </c>
      <c r="D21" s="3">
        <f>SUM(D5:D20)</f>
        <v>25500</v>
      </c>
      <c r="E21" s="3">
        <f>SUM(E5:E20)</f>
        <v>34400</v>
      </c>
      <c r="F21" s="3">
        <f>SUM(F5:F20)</f>
        <v>25650</v>
      </c>
      <c r="G21" s="3">
        <f>SUM(G5:G20)</f>
        <v>8750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37</v>
      </c>
      <c r="C26" s="29">
        <f>D21</f>
        <v>25500</v>
      </c>
      <c r="D26" s="28"/>
      <c r="E26" s="28"/>
      <c r="F26" s="28" t="s">
        <v>37</v>
      </c>
      <c r="G26" s="29">
        <f>F21</f>
        <v>25650</v>
      </c>
      <c r="H26" s="28"/>
      <c r="I26" s="28"/>
    </row>
    <row r="27" spans="1:12" ht="15.75" x14ac:dyDescent="0.25">
      <c r="A27" s="1"/>
      <c r="B27" s="28" t="s">
        <v>5</v>
      </c>
      <c r="C27" s="29">
        <f>'JUNEE '!E34</f>
        <v>3405</v>
      </c>
      <c r="D27" s="28"/>
      <c r="E27" s="28"/>
      <c r="F27" s="28" t="s">
        <v>5</v>
      </c>
      <c r="G27" s="29">
        <f>'JUNEE '!I34</f>
        <v>-5495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2550</v>
      </c>
      <c r="E28" s="28"/>
      <c r="F28" s="28" t="s">
        <v>28</v>
      </c>
      <c r="G28" s="30">
        <v>0.1</v>
      </c>
      <c r="H28" s="29">
        <f>D28</f>
        <v>2550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2" ht="15.75" x14ac:dyDescent="0.25">
      <c r="A31" s="1"/>
      <c r="B31" s="4" t="s">
        <v>97</v>
      </c>
      <c r="C31" s="4"/>
      <c r="D31" s="4">
        <v>10000</v>
      </c>
      <c r="E31" s="4"/>
      <c r="F31" s="4" t="s">
        <v>97</v>
      </c>
      <c r="G31" s="4"/>
      <c r="H31" s="4">
        <v>10000</v>
      </c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26355</v>
      </c>
      <c r="D34" s="29">
        <f>SUM(D30:D33)</f>
        <v>18000</v>
      </c>
      <c r="E34" s="29">
        <f>C34-D34</f>
        <v>8355</v>
      </c>
      <c r="F34" s="28" t="s">
        <v>19</v>
      </c>
      <c r="G34" s="29">
        <f>G26+G27-H28</f>
        <v>17605</v>
      </c>
      <c r="H34" s="29">
        <f>SUM(H30:H33)</f>
        <v>18000</v>
      </c>
      <c r="I34" s="29">
        <f>G34-H34</f>
        <v>-395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31" sqref="H31"/>
    </sheetView>
  </sheetViews>
  <sheetFormatPr defaultRowHeight="15" x14ac:dyDescent="0.25"/>
  <cols>
    <col min="2" max="2" width="16.7109375" bestFit="1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99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'JULY '!G5:G21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/>
      <c r="C6" s="4"/>
      <c r="D6" s="4"/>
      <c r="E6" s="4"/>
      <c r="F6" s="4"/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'JULY '!G7:G23</f>
        <v>0</v>
      </c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'JULY '!G8:G24</f>
        <v>0</v>
      </c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/>
      <c r="D9" s="4">
        <v>1200</v>
      </c>
      <c r="E9" s="4">
        <f>C9+D9</f>
        <v>1200</v>
      </c>
      <c r="F9" s="4">
        <v>1500</v>
      </c>
      <c r="G9" s="4">
        <f>E9-F9</f>
        <v>-300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f>'JULY '!G10:G26</f>
        <v>0</v>
      </c>
      <c r="D10" s="4">
        <v>2400</v>
      </c>
      <c r="E10" s="4">
        <f t="shared" si="0"/>
        <v>2400</v>
      </c>
      <c r="F10" s="4">
        <v>1800</v>
      </c>
      <c r="G10" s="4">
        <f>E10-F10</f>
        <v>600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'JULY '!G11:G27</f>
        <v>0</v>
      </c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'JULY '!G12:G28</f>
        <v>0</v>
      </c>
      <c r="D12" s="4">
        <v>1200</v>
      </c>
      <c r="E12" s="4">
        <f t="shared" si="0"/>
        <v>1200</v>
      </c>
      <c r="F12" s="4">
        <v>1000</v>
      </c>
      <c r="G12" s="4">
        <f t="shared" si="1"/>
        <v>200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'JULY '!G13:G29</f>
        <v>0</v>
      </c>
      <c r="D13" s="4">
        <v>2400</v>
      </c>
      <c r="E13" s="4">
        <f t="shared" si="0"/>
        <v>2400</v>
      </c>
      <c r="F13" s="4">
        <v>1800</v>
      </c>
      <c r="G13" s="4">
        <f t="shared" si="1"/>
        <v>600</v>
      </c>
      <c r="H13" s="1"/>
      <c r="I13" s="1"/>
    </row>
    <row r="14" spans="1:9" ht="15.75" x14ac:dyDescent="0.25">
      <c r="A14" s="4">
        <v>10</v>
      </c>
      <c r="B14" s="4"/>
      <c r="C14" s="4">
        <f>'JULY '!G14:G30</f>
        <v>0</v>
      </c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'JULY '!G15:G31</f>
        <v>750</v>
      </c>
      <c r="D15" s="4">
        <v>1500</v>
      </c>
      <c r="E15" s="4">
        <f t="shared" si="0"/>
        <v>2250</v>
      </c>
      <c r="F15" s="4"/>
      <c r="G15" s="4">
        <f t="shared" si="1"/>
        <v>2250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'JULY '!G16:G32</f>
        <v>2000</v>
      </c>
      <c r="D16" s="4">
        <v>1500</v>
      </c>
      <c r="E16" s="4">
        <f>C16+D16</f>
        <v>3500</v>
      </c>
      <c r="F16" s="4">
        <f>2000+1500</f>
        <v>3500</v>
      </c>
      <c r="G16" s="4">
        <f>E16-F16</f>
        <v>0</v>
      </c>
      <c r="H16" s="1"/>
      <c r="I16" s="1"/>
    </row>
    <row r="17" spans="1:12" ht="15.75" x14ac:dyDescent="0.25">
      <c r="A17" s="4">
        <v>13</v>
      </c>
      <c r="B17" s="4" t="s">
        <v>93</v>
      </c>
      <c r="C17" s="4">
        <f>'JULY '!G17:G33</f>
        <v>1500</v>
      </c>
      <c r="D17" s="4">
        <v>1500</v>
      </c>
      <c r="E17" s="4">
        <f>C17+D17</f>
        <v>3000</v>
      </c>
      <c r="F17" s="4">
        <v>1500</v>
      </c>
      <c r="G17" s="4">
        <f>E17-F17</f>
        <v>1500</v>
      </c>
      <c r="H17" s="1"/>
      <c r="I17" s="1"/>
    </row>
    <row r="18" spans="1:12" ht="15.75" x14ac:dyDescent="0.25">
      <c r="A18" s="4">
        <v>14</v>
      </c>
      <c r="B18" s="4" t="s">
        <v>66</v>
      </c>
      <c r="C18" s="4">
        <f>'JULY '!G18:G34</f>
        <v>0</v>
      </c>
      <c r="D18" s="4"/>
      <c r="E18" s="4">
        <f>C18+D18</f>
        <v>0</v>
      </c>
      <c r="F18" s="4"/>
      <c r="G18" s="4">
        <f>E18-F18</f>
        <v>0</v>
      </c>
      <c r="H18" s="1" t="s">
        <v>15</v>
      </c>
      <c r="I18" s="1"/>
    </row>
    <row r="19" spans="1:12" ht="15.75" x14ac:dyDescent="0.25">
      <c r="A19" s="4">
        <v>15</v>
      </c>
      <c r="B19" s="4" t="s">
        <v>93</v>
      </c>
      <c r="C19" s="4">
        <f>'JULY '!G19:G35</f>
        <v>3000</v>
      </c>
      <c r="D19" s="4">
        <v>3000</v>
      </c>
      <c r="E19" s="4">
        <f t="shared" si="0"/>
        <v>6000</v>
      </c>
      <c r="F19" s="4">
        <v>3000</v>
      </c>
      <c r="G19" s="4">
        <f t="shared" si="1"/>
        <v>3000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f>'JULY '!G20:G36</f>
        <v>0</v>
      </c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 t="s">
        <v>101</v>
      </c>
      <c r="I20" s="1"/>
      <c r="J20" s="20"/>
    </row>
    <row r="21" spans="1:12" ht="15.75" x14ac:dyDescent="0.25">
      <c r="A21" s="4"/>
      <c r="B21" s="3" t="s">
        <v>19</v>
      </c>
      <c r="C21" s="4">
        <f>'JULY '!G21:G37</f>
        <v>8750</v>
      </c>
      <c r="D21" s="3">
        <f>SUM(D5:D20)</f>
        <v>22200</v>
      </c>
      <c r="E21" s="3">
        <f>SUM(E5:E20)</f>
        <v>30950</v>
      </c>
      <c r="F21" s="3">
        <f>SUM(F5:F20)</f>
        <v>21600</v>
      </c>
      <c r="G21" s="3">
        <f>SUM(G5:G20)</f>
        <v>9350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49</v>
      </c>
      <c r="C26" s="29">
        <f>D21</f>
        <v>22200</v>
      </c>
      <c r="D26" s="28"/>
      <c r="E26" s="28"/>
      <c r="F26" s="28" t="s">
        <v>49</v>
      </c>
      <c r="G26" s="29">
        <f>F21</f>
        <v>21600</v>
      </c>
      <c r="H26" s="28"/>
      <c r="I26" s="28"/>
    </row>
    <row r="27" spans="1:12" ht="15.75" x14ac:dyDescent="0.25">
      <c r="A27" s="1"/>
      <c r="B27" s="28" t="s">
        <v>5</v>
      </c>
      <c r="C27" s="29">
        <f>'JULY '!E34</f>
        <v>8355</v>
      </c>
      <c r="D27" s="28"/>
      <c r="E27" s="28"/>
      <c r="F27" s="28" t="s">
        <v>5</v>
      </c>
      <c r="G27" s="29">
        <f>'JULY '!I34</f>
        <v>-395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2220</v>
      </c>
      <c r="E28" s="28"/>
      <c r="F28" s="28" t="s">
        <v>28</v>
      </c>
      <c r="G28" s="30">
        <v>0.1</v>
      </c>
      <c r="H28" s="29">
        <f>D28</f>
        <v>2220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2" ht="15.75" x14ac:dyDescent="0.25">
      <c r="A31" s="1"/>
      <c r="B31" s="4" t="s">
        <v>114</v>
      </c>
      <c r="C31" s="4"/>
      <c r="D31" s="4">
        <v>10087</v>
      </c>
      <c r="E31" s="4"/>
      <c r="F31" s="4" t="s">
        <v>114</v>
      </c>
      <c r="G31" s="4"/>
      <c r="H31" s="4">
        <v>10087</v>
      </c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28335</v>
      </c>
      <c r="D34" s="29">
        <f>SUM(D30:D33)</f>
        <v>18087</v>
      </c>
      <c r="E34" s="29">
        <f>C34-D34</f>
        <v>10248</v>
      </c>
      <c r="F34" s="28" t="s">
        <v>19</v>
      </c>
      <c r="G34" s="29">
        <f>G26+G27-H28</f>
        <v>18985</v>
      </c>
      <c r="H34" s="29">
        <f>SUM(H30:H33)</f>
        <v>18087</v>
      </c>
      <c r="I34" s="29">
        <f>G34-H34</f>
        <v>898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37" sqref="D37"/>
    </sheetView>
  </sheetViews>
  <sheetFormatPr defaultRowHeight="15" x14ac:dyDescent="0.25"/>
  <cols>
    <col min="2" max="2" width="20.42578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103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AUGUST19!G5:G21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40</v>
      </c>
      <c r="C6" s="4"/>
      <c r="D6" s="4">
        <v>1500</v>
      </c>
      <c r="E6" s="4">
        <f>C6+D6</f>
        <v>1500</v>
      </c>
      <c r="F6" s="4">
        <v>1500</v>
      </c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AUGUST19!G7:G23</f>
        <v>0</v>
      </c>
      <c r="D7" s="4">
        <v>1500</v>
      </c>
      <c r="E7" s="4">
        <f>C7+D7</f>
        <v>1500</v>
      </c>
      <c r="F7" s="4">
        <v>1500</v>
      </c>
      <c r="G7" s="4">
        <f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AUGUST19!G8:G24</f>
        <v>0</v>
      </c>
      <c r="D8" s="4">
        <v>1500</v>
      </c>
      <c r="E8" s="4">
        <f>C8+D8</f>
        <v>1500</v>
      </c>
      <c r="F8" s="4">
        <v>1500</v>
      </c>
      <c r="G8" s="4">
        <f t="shared" ref="G8:G20" si="0">E8-F8</f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AUGUST19!G9:G25</f>
        <v>-300</v>
      </c>
      <c r="D9" s="4">
        <v>1200</v>
      </c>
      <c r="E9" s="4">
        <f>C9+D9</f>
        <v>900</v>
      </c>
      <c r="F9" s="4">
        <v>900</v>
      </c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f>AUGUST19!G10:G26</f>
        <v>600</v>
      </c>
      <c r="D10" s="4">
        <v>2400</v>
      </c>
      <c r="E10" s="4">
        <f t="shared" ref="E10:E20" si="1">C10+D10</f>
        <v>3000</v>
      </c>
      <c r="F10" s="4">
        <v>2700</v>
      </c>
      <c r="G10" s="4">
        <f>E10-F10</f>
        <v>300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AUGUST19!G11:G27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AUGUST19!G12:G28</f>
        <v>200</v>
      </c>
      <c r="D12" s="4">
        <v>1200</v>
      </c>
      <c r="E12" s="4">
        <f>C12+D12</f>
        <v>1400</v>
      </c>
      <c r="F12" s="4">
        <v>1400</v>
      </c>
      <c r="G12" s="4">
        <f t="shared" si="0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AUGUST19!G13:G29</f>
        <v>600</v>
      </c>
      <c r="D13" s="4">
        <v>2400</v>
      </c>
      <c r="E13" s="4">
        <f t="shared" si="1"/>
        <v>3000</v>
      </c>
      <c r="F13" s="4">
        <v>2500</v>
      </c>
      <c r="G13" s="4">
        <f t="shared" si="0"/>
        <v>500</v>
      </c>
      <c r="H13" s="1"/>
      <c r="I13" s="1"/>
    </row>
    <row r="14" spans="1:9" ht="15.75" x14ac:dyDescent="0.25">
      <c r="A14" s="4">
        <v>10</v>
      </c>
      <c r="B14" s="4"/>
      <c r="C14" s="4">
        <f>AUGUST19!G14:G30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AUGUST19!G15:G31</f>
        <v>2250</v>
      </c>
      <c r="D15" s="4">
        <v>1500</v>
      </c>
      <c r="E15" s="4">
        <f t="shared" si="1"/>
        <v>3750</v>
      </c>
      <c r="F15" s="4">
        <f>2850+900</f>
        <v>3750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AUGUST19!G16:G32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AUGUST19!G17:G33</f>
        <v>1500</v>
      </c>
      <c r="D17" s="4">
        <v>1500</v>
      </c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AUGUST19!G18:G34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AUGUST19!G19:G35</f>
        <v>3000</v>
      </c>
      <c r="D19" s="4">
        <v>3000</v>
      </c>
      <c r="E19" s="4">
        <f t="shared" si="1"/>
        <v>6000</v>
      </c>
      <c r="F19" s="4"/>
      <c r="G19" s="4">
        <f t="shared" si="0"/>
        <v>6000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AUGUST19!G20:G36</f>
        <v>0</v>
      </c>
      <c r="D20" s="4">
        <v>1500</v>
      </c>
      <c r="E20" s="4">
        <f t="shared" si="1"/>
        <v>1500</v>
      </c>
      <c r="F20" s="4">
        <v>1500</v>
      </c>
      <c r="G20" s="4">
        <f t="shared" si="0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AUGUST19!G21:G37</f>
        <v>9350</v>
      </c>
      <c r="D21" s="3">
        <f>SUM(D5:D20)</f>
        <v>23700</v>
      </c>
      <c r="E21" s="3">
        <f>SUM(E5:E20)</f>
        <v>33050</v>
      </c>
      <c r="F21" s="3">
        <f>SUM(F5:F20)</f>
        <v>21750</v>
      </c>
      <c r="G21" s="3">
        <f>SUM(G5:G20)</f>
        <v>11300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102</v>
      </c>
      <c r="C26" s="29">
        <f>D21</f>
        <v>23700</v>
      </c>
      <c r="D26" s="28"/>
      <c r="E26" s="28"/>
      <c r="F26" s="28" t="s">
        <v>102</v>
      </c>
      <c r="G26" s="29">
        <f>F21</f>
        <v>21750</v>
      </c>
      <c r="H26" s="28"/>
      <c r="I26" s="28"/>
    </row>
    <row r="27" spans="1:10" ht="15.75" x14ac:dyDescent="0.25">
      <c r="A27" s="1"/>
      <c r="B27" s="28" t="s">
        <v>5</v>
      </c>
      <c r="C27" s="29">
        <f>AUGUST19!E34</f>
        <v>10248</v>
      </c>
      <c r="D27" s="28"/>
      <c r="E27" s="28"/>
      <c r="F27" s="28" t="s">
        <v>5</v>
      </c>
      <c r="G27" s="29">
        <f>AUGUST19!I34</f>
        <v>898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2370</v>
      </c>
      <c r="E28" s="28"/>
      <c r="F28" s="28" t="s">
        <v>28</v>
      </c>
      <c r="G28" s="30">
        <v>0.1</v>
      </c>
      <c r="H28" s="29">
        <f>D28</f>
        <v>2370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104</v>
      </c>
      <c r="C31" s="4"/>
      <c r="D31" s="4">
        <v>12097</v>
      </c>
      <c r="E31" s="4"/>
      <c r="F31" s="4" t="s">
        <v>104</v>
      </c>
      <c r="G31" s="4"/>
      <c r="H31" s="4">
        <v>12097</v>
      </c>
      <c r="I31" s="28"/>
    </row>
    <row r="32" spans="1:10" ht="15.75" x14ac:dyDescent="0.25">
      <c r="A32" s="1"/>
      <c r="B32" s="31" t="s">
        <v>106</v>
      </c>
      <c r="C32" s="28"/>
      <c r="D32" s="28"/>
      <c r="E32" s="28"/>
      <c r="F32" s="31" t="s">
        <v>106</v>
      </c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31578</v>
      </c>
      <c r="D34" s="29">
        <f>SUM(D30:D33)</f>
        <v>20097</v>
      </c>
      <c r="E34" s="29">
        <f>C34-D34</f>
        <v>11481</v>
      </c>
      <c r="F34" s="28" t="s">
        <v>19</v>
      </c>
      <c r="G34" s="29">
        <f>G26+G27-H28</f>
        <v>20278</v>
      </c>
      <c r="H34" s="29">
        <f>SUM(H30:H33)</f>
        <v>20097</v>
      </c>
      <c r="I34" s="29">
        <f>G34-H34</f>
        <v>181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4" workbookViewId="0">
      <selection activeCell="K12" sqref="K12"/>
    </sheetView>
  </sheetViews>
  <sheetFormatPr defaultRowHeight="15" x14ac:dyDescent="0.25"/>
  <cols>
    <col min="2" max="2" width="17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107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'SEPTEMBER 19'!G5:G20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40</v>
      </c>
      <c r="C6" s="4">
        <f>'SEPTEMBER 19'!G6:G21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'SEPTEMBER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'SEPTEMBER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'SEPTEMBER 19'!G9:G24</f>
        <v>0</v>
      </c>
      <c r="D9" s="4">
        <v>1200</v>
      </c>
      <c r="E9" s="4">
        <f>C9+D9</f>
        <v>1200</v>
      </c>
      <c r="F9" s="4">
        <v>1200</v>
      </c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f>'SEPTEMBER 19'!G10:G25</f>
        <v>300</v>
      </c>
      <c r="D10" s="4">
        <v>2400</v>
      </c>
      <c r="E10" s="4">
        <f t="shared" ref="E10:E20" si="1">C10+D10</f>
        <v>2700</v>
      </c>
      <c r="F10" s="4">
        <v>2400</v>
      </c>
      <c r="G10" s="4">
        <f>E10-F10</f>
        <v>300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'SEPTEMBER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'SEPTEMBER 19'!G12:G27</f>
        <v>0</v>
      </c>
      <c r="D12" s="4">
        <v>1200</v>
      </c>
      <c r="E12" s="4">
        <f t="shared" si="1"/>
        <v>1200</v>
      </c>
      <c r="F12" s="4">
        <v>1200</v>
      </c>
      <c r="G12" s="4">
        <f t="shared" si="0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'SEPTEMBER 19'!G13:G28</f>
        <v>500</v>
      </c>
      <c r="D13" s="4">
        <v>2400</v>
      </c>
      <c r="E13" s="4">
        <f t="shared" si="1"/>
        <v>2900</v>
      </c>
      <c r="F13" s="4">
        <v>2400</v>
      </c>
      <c r="G13" s="4">
        <f t="shared" si="0"/>
        <v>500</v>
      </c>
      <c r="H13" s="1"/>
      <c r="I13" s="1"/>
    </row>
    <row r="14" spans="1:9" ht="15.75" x14ac:dyDescent="0.25">
      <c r="A14" s="4">
        <v>10</v>
      </c>
      <c r="B14" s="4"/>
      <c r="C14" s="4">
        <f>'SEPTEMBER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'SEPTEMBER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'SEPTEMBER 19'!G16:G31</f>
        <v>0</v>
      </c>
      <c r="D16" s="4">
        <v>1500</v>
      </c>
      <c r="E16" s="4">
        <f>C16+D16</f>
        <v>1500</v>
      </c>
      <c r="F16" s="4"/>
      <c r="G16" s="4">
        <f>E16-F16</f>
        <v>1500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'SEPTEMBER 19'!G17:G32</f>
        <v>3000</v>
      </c>
      <c r="D17" s="4"/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'SEPTEMBER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'SEPTEMBER 19'!G19:G34</f>
        <v>6000</v>
      </c>
      <c r="D19" s="4">
        <v>3000</v>
      </c>
      <c r="E19" s="4">
        <f t="shared" si="1"/>
        <v>9000</v>
      </c>
      <c r="F19" s="4"/>
      <c r="G19" s="4">
        <f t="shared" si="0"/>
        <v>9000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'SEPTEMBER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'SEPTEMBER 19'!G21:G36</f>
        <v>11300</v>
      </c>
      <c r="D21" s="3">
        <f>SUM(D5:D20)</f>
        <v>22200</v>
      </c>
      <c r="E21" s="3">
        <f>SUM(E5:E20)</f>
        <v>33500</v>
      </c>
      <c r="F21" s="3">
        <f>SUM(F5:F20)</f>
        <v>17700</v>
      </c>
      <c r="G21" s="3">
        <f>SUM(G5:G20)</f>
        <v>15800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105</v>
      </c>
      <c r="C26" s="29">
        <f>D21</f>
        <v>22200</v>
      </c>
      <c r="D26" s="28"/>
      <c r="E26" s="28"/>
      <c r="F26" s="28" t="s">
        <v>55</v>
      </c>
      <c r="G26" s="29">
        <f>F21</f>
        <v>17700</v>
      </c>
      <c r="H26" s="28"/>
      <c r="I26" s="28"/>
    </row>
    <row r="27" spans="1:10" ht="15.75" x14ac:dyDescent="0.25">
      <c r="A27" s="1"/>
      <c r="B27" s="28" t="s">
        <v>5</v>
      </c>
      <c r="C27" s="29">
        <f>'SEPTEMBER 19'!E34</f>
        <v>11481</v>
      </c>
      <c r="D27" s="28"/>
      <c r="E27" s="28"/>
      <c r="F27" s="28" t="s">
        <v>5</v>
      </c>
      <c r="G27" s="29">
        <f>'SEPTEMBER 19'!I34</f>
        <v>181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2220</v>
      </c>
      <c r="E28" s="28"/>
      <c r="F28" s="28" t="s">
        <v>28</v>
      </c>
      <c r="G28" s="30">
        <v>0.1</v>
      </c>
      <c r="H28" s="29">
        <f>D28</f>
        <v>2220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108</v>
      </c>
      <c r="C31" s="4"/>
      <c r="D31" s="4">
        <v>10087</v>
      </c>
      <c r="E31" s="4"/>
      <c r="F31" s="4" t="s">
        <v>108</v>
      </c>
      <c r="G31" s="4"/>
      <c r="H31" s="4">
        <v>10087</v>
      </c>
      <c r="I31" s="28"/>
    </row>
    <row r="32" spans="1:10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31461</v>
      </c>
      <c r="D34" s="29">
        <f>SUM(D30:D33)</f>
        <v>18087</v>
      </c>
      <c r="E34" s="29">
        <f>C34-D34</f>
        <v>13374</v>
      </c>
      <c r="F34" s="28" t="s">
        <v>19</v>
      </c>
      <c r="G34" s="29">
        <f>G26+G27-H28</f>
        <v>15661</v>
      </c>
      <c r="H34" s="29">
        <f>SUM(H30:H33)</f>
        <v>18087</v>
      </c>
      <c r="I34" s="29">
        <f>G34-H34</f>
        <v>-2426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M32" sqref="M32"/>
    </sheetView>
  </sheetViews>
  <sheetFormatPr defaultRowHeight="15" x14ac:dyDescent="0.25"/>
  <cols>
    <col min="2" max="2" width="16.8554687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110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'OCTOBER 19'!G5:G20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/>
      <c r="C6" s="4">
        <f>'OCTOBER 19'!G6:G21</f>
        <v>0</v>
      </c>
      <c r="D6" s="4"/>
      <c r="E6" s="4">
        <f>C6+D6</f>
        <v>0</v>
      </c>
      <c r="F6" s="4"/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'OCTOBER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 t="s">
        <v>111</v>
      </c>
      <c r="I7" s="1"/>
    </row>
    <row r="8" spans="1:9" ht="15.75" x14ac:dyDescent="0.25">
      <c r="A8" s="4">
        <v>4</v>
      </c>
      <c r="B8" s="4" t="s">
        <v>58</v>
      </c>
      <c r="C8" s="4">
        <f>'OCTOBER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'OCTOBER 19'!G9:G24</f>
        <v>0</v>
      </c>
      <c r="D9" s="4">
        <v>1200</v>
      </c>
      <c r="E9" s="4">
        <f>C9+D9</f>
        <v>1200</v>
      </c>
      <c r="F9" s="4">
        <v>1200</v>
      </c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113</v>
      </c>
      <c r="C10" s="4"/>
      <c r="D10" s="4">
        <v>3000</v>
      </c>
      <c r="E10" s="4">
        <f t="shared" ref="E10:E20" si="1">C10+D10</f>
        <v>3000</v>
      </c>
      <c r="F10" s="4">
        <v>2500</v>
      </c>
      <c r="G10" s="4">
        <f>E10-F10</f>
        <v>500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'OCTOBER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v>300</v>
      </c>
      <c r="D12" s="4">
        <v>1200</v>
      </c>
      <c r="E12" s="4">
        <f t="shared" si="1"/>
        <v>1500</v>
      </c>
      <c r="F12" s="4"/>
      <c r="G12" s="4">
        <f t="shared" si="0"/>
        <v>1500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'OCTOBER 19'!G13:G28</f>
        <v>500</v>
      </c>
      <c r="D13" s="4">
        <v>2400</v>
      </c>
      <c r="E13" s="4">
        <f t="shared" si="1"/>
        <v>2900</v>
      </c>
      <c r="F13" s="4"/>
      <c r="G13" s="4">
        <f t="shared" si="0"/>
        <v>2900</v>
      </c>
      <c r="H13" s="1"/>
      <c r="I13" s="1"/>
    </row>
    <row r="14" spans="1:9" ht="15.75" x14ac:dyDescent="0.25">
      <c r="A14" s="4">
        <v>10</v>
      </c>
      <c r="B14" s="4"/>
      <c r="C14" s="4">
        <f>'OCTOBER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'OCTOBER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'OCTOBER 19'!G16:G31</f>
        <v>1500</v>
      </c>
      <c r="D16" s="4">
        <v>1500</v>
      </c>
      <c r="E16" s="4">
        <f>C16+D16</f>
        <v>3000</v>
      </c>
      <c r="F16" s="4">
        <v>3000</v>
      </c>
      <c r="G16" s="4">
        <f>E16-F16</f>
        <v>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'OCTOBER 19'!G17:G32</f>
        <v>3000</v>
      </c>
      <c r="D17" s="4"/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'OCTOBER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'OCTOBER 19'!G19:G34</f>
        <v>9000</v>
      </c>
      <c r="D19" s="4">
        <v>3000</v>
      </c>
      <c r="E19" s="4">
        <f t="shared" si="1"/>
        <v>12000</v>
      </c>
      <c r="F19" s="4"/>
      <c r="G19" s="4">
        <f t="shared" si="0"/>
        <v>12000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'OCTOBER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SUM(C5:C20)</f>
        <v>15800</v>
      </c>
      <c r="D21" s="3">
        <f>SUM(D5:D20)</f>
        <v>21300</v>
      </c>
      <c r="E21" s="3">
        <f>SUM(E5:E20)</f>
        <v>37100</v>
      </c>
      <c r="F21" s="3">
        <f>SUM(F5:F20)</f>
        <v>15700</v>
      </c>
      <c r="G21" s="3">
        <f>SUM(G5:G20)</f>
        <v>21400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109</v>
      </c>
      <c r="C26" s="29">
        <f>D21</f>
        <v>21300</v>
      </c>
      <c r="D26" s="28"/>
      <c r="E26" s="28"/>
      <c r="F26" s="28" t="s">
        <v>109</v>
      </c>
      <c r="G26" s="29">
        <f>F21</f>
        <v>15700</v>
      </c>
      <c r="H26" s="28"/>
      <c r="I26" s="28"/>
    </row>
    <row r="27" spans="1:10" ht="15.75" x14ac:dyDescent="0.25">
      <c r="A27" s="1"/>
      <c r="B27" s="28" t="s">
        <v>5</v>
      </c>
      <c r="C27" s="29">
        <f>'OCTOBER 19'!E34</f>
        <v>13374</v>
      </c>
      <c r="D27" s="28"/>
      <c r="E27" s="28"/>
      <c r="F27" s="28" t="s">
        <v>5</v>
      </c>
      <c r="G27" s="29">
        <f>'OCTOBER 19'!I34</f>
        <v>-2426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2130</v>
      </c>
      <c r="E28" s="28"/>
      <c r="F28" s="28" t="s">
        <v>28</v>
      </c>
      <c r="G28" s="30">
        <v>0.1</v>
      </c>
      <c r="H28" s="29">
        <f>D28</f>
        <v>2130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112</v>
      </c>
      <c r="C31" s="4"/>
      <c r="D31" s="4">
        <v>10087</v>
      </c>
      <c r="E31" s="4"/>
      <c r="F31" s="4" t="s">
        <v>112</v>
      </c>
      <c r="G31" s="4"/>
      <c r="H31" s="4">
        <v>10087</v>
      </c>
      <c r="I31" s="28"/>
    </row>
    <row r="32" spans="1:10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32544</v>
      </c>
      <c r="D34" s="29">
        <f>SUM(D30:D33)</f>
        <v>18087</v>
      </c>
      <c r="E34" s="29">
        <f>C34-D34</f>
        <v>14457</v>
      </c>
      <c r="F34" s="28" t="s">
        <v>19</v>
      </c>
      <c r="G34" s="29">
        <f>G26+G27-H28</f>
        <v>11144</v>
      </c>
      <c r="H34" s="29">
        <f>SUM(H30:H33)</f>
        <v>18087</v>
      </c>
      <c r="I34" s="29">
        <f>G34-H34</f>
        <v>-6943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K34" sqref="K34"/>
    </sheetView>
  </sheetViews>
  <sheetFormatPr defaultRowHeight="15" x14ac:dyDescent="0.25"/>
  <cols>
    <col min="2" max="2" width="17.710937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115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'NOVEMBER 19'!G5:G20</f>
        <v>1500</v>
      </c>
      <c r="D5" s="4">
        <v>1500</v>
      </c>
      <c r="E5" s="4">
        <f>C5+D5</f>
        <v>3000</v>
      </c>
      <c r="F5" s="4"/>
      <c r="G5" s="4">
        <f>E5-F5</f>
        <v>3000</v>
      </c>
      <c r="H5" s="1"/>
      <c r="I5" s="1"/>
    </row>
    <row r="6" spans="1:9" ht="15.75" x14ac:dyDescent="0.25">
      <c r="A6" s="4">
        <v>2</v>
      </c>
      <c r="B6" s="4"/>
      <c r="C6" s="4">
        <f>'NOVEMBER 19'!G6:G21</f>
        <v>0</v>
      </c>
      <c r="D6" s="4"/>
      <c r="E6" s="4">
        <f>C6+D6</f>
        <v>0</v>
      </c>
      <c r="F6" s="4"/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'NOVEMBER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'NOVEMBER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'NOVEMBER 19'!G9:G24</f>
        <v>0</v>
      </c>
      <c r="D9" s="4">
        <v>1200</v>
      </c>
      <c r="E9" s="4">
        <f>C9+D9</f>
        <v>1200</v>
      </c>
      <c r="F9" s="4">
        <v>1000</v>
      </c>
      <c r="G9" s="4">
        <f>E9-F9</f>
        <v>200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'NOVEMBER 19'!G10:G25</f>
        <v>500</v>
      </c>
      <c r="D10" s="4">
        <v>3000</v>
      </c>
      <c r="E10" s="4">
        <f t="shared" ref="E10:E20" si="1">C10+D10</f>
        <v>3500</v>
      </c>
      <c r="F10" s="4">
        <v>1500</v>
      </c>
      <c r="G10" s="4">
        <f>E10-F10</f>
        <v>2000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'NOVEMBER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'NOVEMBER 19'!G12:G27</f>
        <v>1500</v>
      </c>
      <c r="D12" s="4">
        <v>1200</v>
      </c>
      <c r="E12" s="4">
        <f t="shared" si="1"/>
        <v>2700</v>
      </c>
      <c r="F12" s="4">
        <v>1200</v>
      </c>
      <c r="G12" s="4">
        <f t="shared" si="0"/>
        <v>1500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'NOVEMBER 19'!G13:G28</f>
        <v>2900</v>
      </c>
      <c r="D13" s="4">
        <v>2400</v>
      </c>
      <c r="E13" s="4">
        <f t="shared" si="1"/>
        <v>5300</v>
      </c>
      <c r="F13" s="4">
        <v>2400</v>
      </c>
      <c r="G13" s="4">
        <f t="shared" si="0"/>
        <v>2900</v>
      </c>
      <c r="H13" s="1"/>
      <c r="I13" s="1"/>
    </row>
    <row r="14" spans="1:9" ht="15.75" x14ac:dyDescent="0.25">
      <c r="A14" s="4">
        <v>10</v>
      </c>
      <c r="B14" s="4"/>
      <c r="C14" s="4">
        <f>'NOVEMBER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'NOVEMBER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'NOVEMBER 19'!G16:G31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'NOVEMBER 19'!G17:G32</f>
        <v>3000</v>
      </c>
      <c r="D17" s="4"/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'NOVEMBER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'NOVEMBER 19'!G19:G34</f>
        <v>12000</v>
      </c>
      <c r="D19" s="4">
        <v>3000</v>
      </c>
      <c r="E19" s="4">
        <f t="shared" si="1"/>
        <v>15000</v>
      </c>
      <c r="F19" s="4"/>
      <c r="G19" s="4">
        <f t="shared" si="0"/>
        <v>15000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'NOVEMBER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SUM(C5:C20)</f>
        <v>21400</v>
      </c>
      <c r="D21" s="3">
        <f>SUM(D5:D20)</f>
        <v>21300</v>
      </c>
      <c r="E21" s="3">
        <f>SUM(E5:E20)</f>
        <v>42700</v>
      </c>
      <c r="F21" s="3">
        <f>SUM(F5:F20)</f>
        <v>15100</v>
      </c>
      <c r="G21" s="3">
        <f>SUM(G5:G20)</f>
        <v>27600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116</v>
      </c>
      <c r="C26" s="29">
        <f>D21</f>
        <v>21300</v>
      </c>
      <c r="D26" s="28"/>
      <c r="E26" s="28"/>
      <c r="F26" s="28" t="s">
        <v>116</v>
      </c>
      <c r="G26" s="29">
        <f>F21</f>
        <v>15100</v>
      </c>
      <c r="H26" s="28"/>
      <c r="I26" s="28"/>
    </row>
    <row r="27" spans="1:10" ht="15.75" x14ac:dyDescent="0.25">
      <c r="A27" s="1"/>
      <c r="B27" s="28" t="s">
        <v>5</v>
      </c>
      <c r="C27" s="29">
        <f>'NOVEMBER 19'!E34</f>
        <v>14457</v>
      </c>
      <c r="D27" s="28"/>
      <c r="E27" s="28"/>
      <c r="F27" s="28" t="s">
        <v>5</v>
      </c>
      <c r="G27" s="29">
        <f>'NOVEMBER 19'!I34</f>
        <v>-6943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2130</v>
      </c>
      <c r="E28" s="28"/>
      <c r="F28" s="28" t="s">
        <v>28</v>
      </c>
      <c r="G28" s="30">
        <v>0.1</v>
      </c>
      <c r="H28" s="29">
        <f>D28</f>
        <v>2130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117</v>
      </c>
      <c r="C31" s="4"/>
      <c r="D31" s="4">
        <v>10087</v>
      </c>
      <c r="E31" s="4"/>
      <c r="F31" s="4" t="s">
        <v>117</v>
      </c>
      <c r="G31" s="4"/>
      <c r="H31" s="4">
        <v>10087</v>
      </c>
      <c r="I31" s="28"/>
    </row>
    <row r="32" spans="1:10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33627</v>
      </c>
      <c r="D34" s="29">
        <f>SUM(D30:D33)</f>
        <v>18087</v>
      </c>
      <c r="E34" s="29">
        <f>C34-D34</f>
        <v>15540</v>
      </c>
      <c r="F34" s="28" t="s">
        <v>19</v>
      </c>
      <c r="G34" s="29">
        <f>G26+G27-H28</f>
        <v>6027</v>
      </c>
      <c r="H34" s="29">
        <f>SUM(H30:H33)</f>
        <v>18087</v>
      </c>
      <c r="I34" s="29">
        <f>G34-H34</f>
        <v>-12060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D10" sqref="D10"/>
    </sheetView>
  </sheetViews>
  <sheetFormatPr defaultRowHeight="15" x14ac:dyDescent="0.25"/>
  <cols>
    <col min="1" max="1" width="4.42578125" customWidth="1"/>
    <col min="2" max="2" width="21.5703125" customWidth="1"/>
    <col min="3" max="4" width="9.28515625" bestFit="1" customWidth="1"/>
    <col min="5" max="5" width="13.42578125" customWidth="1"/>
    <col min="6" max="6" width="13" customWidth="1"/>
    <col min="7" max="7" width="13.42578125" customWidth="1"/>
    <col min="8" max="9" width="9.28515625" bestFit="1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38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1200</v>
      </c>
      <c r="E8" s="4">
        <f t="shared" si="0"/>
        <v>1200</v>
      </c>
      <c r="F8" s="4"/>
      <c r="G8" s="4">
        <f t="shared" si="1"/>
        <v>1200</v>
      </c>
      <c r="H8" s="1"/>
      <c r="I8" s="1"/>
    </row>
    <row r="9" spans="1:9" ht="15.75" x14ac:dyDescent="0.25">
      <c r="A9" s="4">
        <v>5</v>
      </c>
      <c r="B9" s="4" t="s">
        <v>40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40</v>
      </c>
      <c r="C10" s="4"/>
      <c r="D10" s="4">
        <v>3000</v>
      </c>
      <c r="E10" s="4">
        <f t="shared" si="0"/>
        <v>3000</v>
      </c>
      <c r="F10" s="4">
        <v>3000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/>
      <c r="D16" s="4">
        <v>1200</v>
      </c>
      <c r="E16" s="4">
        <f t="shared" si="0"/>
        <v>1200</v>
      </c>
      <c r="F16" s="4"/>
      <c r="G16" s="4">
        <f t="shared" si="1"/>
        <v>1200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>
        <v>3000</v>
      </c>
      <c r="D19" s="4">
        <v>3000</v>
      </c>
      <c r="E19" s="4">
        <f t="shared" si="0"/>
        <v>6000</v>
      </c>
      <c r="F19" s="4">
        <v>3000</v>
      </c>
      <c r="G19" s="4">
        <f t="shared" si="1"/>
        <v>3000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24900</v>
      </c>
      <c r="E22" s="3">
        <f>SUM(E5:E21)</f>
        <v>27900</v>
      </c>
      <c r="F22" s="3">
        <f>SUM(F5:F21)</f>
        <v>22500</v>
      </c>
      <c r="G22" s="3">
        <f>SUM(G5:G21)</f>
        <v>5400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37</v>
      </c>
      <c r="C27" s="12">
        <f>D22</f>
        <v>24900</v>
      </c>
      <c r="D27" s="4"/>
      <c r="E27" s="4"/>
      <c r="F27" s="4" t="s">
        <v>37</v>
      </c>
      <c r="G27" s="12">
        <f>F22</f>
        <v>22500</v>
      </c>
      <c r="H27" s="4"/>
      <c r="I27" s="4"/>
    </row>
    <row r="28" spans="1:9" ht="15.75" x14ac:dyDescent="0.25">
      <c r="A28" s="1"/>
      <c r="B28" s="4" t="s">
        <v>5</v>
      </c>
      <c r="C28" s="12">
        <f>'JUNE '!E35</f>
        <v>3055</v>
      </c>
      <c r="D28" s="4"/>
      <c r="E28" s="4"/>
      <c r="F28" s="4" t="s">
        <v>5</v>
      </c>
      <c r="G28" s="12">
        <f>'JUNE '!I35</f>
        <v>55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2490</v>
      </c>
      <c r="E29" s="4"/>
      <c r="F29" s="4" t="s">
        <v>28</v>
      </c>
      <c r="G29" s="14">
        <v>0.1</v>
      </c>
      <c r="H29" s="12">
        <f>D29</f>
        <v>2490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43290</v>
      </c>
      <c r="C31" s="4"/>
      <c r="D31" s="4">
        <v>11097</v>
      </c>
      <c r="E31" s="4"/>
      <c r="F31" s="17">
        <v>43290</v>
      </c>
      <c r="G31" s="4"/>
      <c r="H31" s="4">
        <v>11097</v>
      </c>
      <c r="I31" s="4"/>
    </row>
    <row r="32" spans="1:9" ht="15.75" x14ac:dyDescent="0.25">
      <c r="A32" s="1"/>
      <c r="B32" s="17">
        <v>43299</v>
      </c>
      <c r="C32" s="4"/>
      <c r="D32" s="4">
        <v>4061</v>
      </c>
      <c r="E32" s="4"/>
      <c r="F32" s="17">
        <v>43299</v>
      </c>
      <c r="G32" s="4"/>
      <c r="H32" s="4">
        <v>4061</v>
      </c>
      <c r="I32" s="4"/>
    </row>
    <row r="33" spans="1:9" ht="15.75" x14ac:dyDescent="0.25">
      <c r="A33" s="1"/>
      <c r="B33" s="17">
        <v>43305</v>
      </c>
      <c r="C33" s="4"/>
      <c r="D33" s="4">
        <v>2141</v>
      </c>
      <c r="E33" s="4"/>
      <c r="F33" s="17">
        <v>43305</v>
      </c>
      <c r="G33" s="4"/>
      <c r="H33" s="4">
        <v>2141</v>
      </c>
      <c r="I33" s="4"/>
    </row>
    <row r="34" spans="1:9" ht="15.75" x14ac:dyDescent="0.25">
      <c r="A34" s="1"/>
      <c r="B34" s="19">
        <v>43312</v>
      </c>
      <c r="C34" s="4"/>
      <c r="D34" s="4">
        <v>2760</v>
      </c>
      <c r="E34" s="4"/>
      <c r="F34" s="17">
        <v>43312</v>
      </c>
      <c r="G34" s="4"/>
      <c r="H34" s="4">
        <v>2760</v>
      </c>
      <c r="I34" s="4"/>
    </row>
    <row r="35" spans="1:9" ht="15.75" x14ac:dyDescent="0.25">
      <c r="A35" s="1"/>
      <c r="B35" s="16" t="s">
        <v>19</v>
      </c>
      <c r="C35" s="18">
        <f>C27+C28</f>
        <v>27955</v>
      </c>
      <c r="D35" s="18">
        <f>SUM(D29:D34)</f>
        <v>22549</v>
      </c>
      <c r="E35" s="18">
        <f>C35-D35</f>
        <v>5406</v>
      </c>
      <c r="F35" s="16" t="s">
        <v>19</v>
      </c>
      <c r="G35" s="18">
        <f>G27+G28</f>
        <v>22555</v>
      </c>
      <c r="H35" s="18">
        <f>SUM(H29:H34)</f>
        <v>22549</v>
      </c>
      <c r="I35" s="12">
        <f>G35-H35</f>
        <v>6</v>
      </c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ht="15.75" x14ac:dyDescent="0.25">
      <c r="A42" s="1"/>
      <c r="B42" s="1"/>
      <c r="C42" s="1"/>
      <c r="D42" s="1"/>
      <c r="E42" s="1"/>
      <c r="F42" s="1"/>
      <c r="G42" s="1"/>
      <c r="H42" s="1"/>
      <c r="I42" s="1"/>
    </row>
  </sheetData>
  <pageMargins left="0" right="0" top="0" bottom="0" header="0" footer="0.3"/>
  <pageSetup paperSize="286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0" workbookViewId="0">
      <selection activeCell="E13" sqref="E13"/>
    </sheetView>
  </sheetViews>
  <sheetFormatPr defaultRowHeight="15" x14ac:dyDescent="0.25"/>
  <cols>
    <col min="2" max="2" width="15.570312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118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'DECEMBER 19'!G5:G20</f>
        <v>3000</v>
      </c>
      <c r="D5" s="4">
        <v>1500</v>
      </c>
      <c r="E5" s="4">
        <f>C5+D5</f>
        <v>4500</v>
      </c>
      <c r="F5" s="4"/>
      <c r="G5" s="4">
        <f>E5-F5</f>
        <v>4500</v>
      </c>
      <c r="H5" s="1"/>
      <c r="I5" s="1"/>
    </row>
    <row r="6" spans="1:9" ht="15.75" x14ac:dyDescent="0.25">
      <c r="A6" s="4">
        <v>2</v>
      </c>
      <c r="B6" s="4"/>
      <c r="C6" s="4">
        <f>'DECEMBER 19'!G6:G21</f>
        <v>0</v>
      </c>
      <c r="D6" s="4"/>
      <c r="E6" s="4">
        <f>C6+D6</f>
        <v>0</v>
      </c>
      <c r="F6" s="4"/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'DECEMBER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'DECEMBER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'DECEMBER 19'!G9:G24</f>
        <v>200</v>
      </c>
      <c r="D9" s="4">
        <v>1200</v>
      </c>
      <c r="E9" s="4">
        <f>C9+D9</f>
        <v>1400</v>
      </c>
      <c r="F9" s="4"/>
      <c r="G9" s="4">
        <f>E9-F9</f>
        <v>1400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'DECEMBER 19'!G10:G25</f>
        <v>2000</v>
      </c>
      <c r="D10" s="4">
        <v>3000</v>
      </c>
      <c r="E10" s="4">
        <f t="shared" ref="E10:E20" si="1">C10+D10</f>
        <v>5000</v>
      </c>
      <c r="F10" s="4">
        <f>2000+1500+1500</f>
        <v>5000</v>
      </c>
      <c r="G10" s="4">
        <f>E10-F10</f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'DECEMBER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'DECEMBER 19'!G12:G27</f>
        <v>1500</v>
      </c>
      <c r="D12" s="4">
        <v>1200</v>
      </c>
      <c r="E12" s="4">
        <f t="shared" si="1"/>
        <v>2700</v>
      </c>
      <c r="F12" s="4"/>
      <c r="G12" s="4">
        <f t="shared" si="0"/>
        <v>2700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'DECEMBER 19'!G13:G28</f>
        <v>2900</v>
      </c>
      <c r="D13" s="4">
        <v>2400</v>
      </c>
      <c r="E13" s="4">
        <f t="shared" si="1"/>
        <v>5300</v>
      </c>
      <c r="F13" s="4"/>
      <c r="G13" s="4">
        <f t="shared" si="0"/>
        <v>5300</v>
      </c>
      <c r="H13" s="1"/>
      <c r="I13" s="1"/>
    </row>
    <row r="14" spans="1:9" ht="15.75" x14ac:dyDescent="0.25">
      <c r="A14" s="4">
        <v>10</v>
      </c>
      <c r="B14" s="4"/>
      <c r="C14" s="4">
        <f>'DECEMBER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'DECEMBER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'DECEMBER 19'!G16:G31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1" ht="15.75" x14ac:dyDescent="0.25">
      <c r="A17" s="4">
        <v>13</v>
      </c>
      <c r="B17" s="4" t="s">
        <v>93</v>
      </c>
      <c r="C17" s="4">
        <f>'DECEMBER 19'!G17:G32</f>
        <v>3000</v>
      </c>
      <c r="D17" s="4"/>
      <c r="E17" s="4">
        <f>C17+D17</f>
        <v>3000</v>
      </c>
      <c r="F17" s="4">
        <v>3000</v>
      </c>
      <c r="G17" s="4">
        <f>E17-F17</f>
        <v>0</v>
      </c>
      <c r="H17" s="1" t="s">
        <v>122</v>
      </c>
      <c r="I17" s="1"/>
    </row>
    <row r="18" spans="1:11" ht="15.75" x14ac:dyDescent="0.25">
      <c r="A18" s="4">
        <v>14</v>
      </c>
      <c r="B18" s="4"/>
      <c r="C18" s="4">
        <f>'DECEMBER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1" ht="15.75" x14ac:dyDescent="0.25">
      <c r="A19" s="4">
        <v>15</v>
      </c>
      <c r="B19" s="4" t="s">
        <v>93</v>
      </c>
      <c r="C19" s="4">
        <f>'DECEMBER 19'!G19:G34</f>
        <v>15000</v>
      </c>
      <c r="D19" s="4"/>
      <c r="E19" s="4">
        <f t="shared" si="1"/>
        <v>15000</v>
      </c>
      <c r="F19" s="4">
        <v>15000</v>
      </c>
      <c r="G19" s="4">
        <f t="shared" si="0"/>
        <v>0</v>
      </c>
      <c r="H19" s="1" t="s">
        <v>122</v>
      </c>
      <c r="I19" s="1"/>
    </row>
    <row r="20" spans="1:11" ht="15.75" x14ac:dyDescent="0.25">
      <c r="A20" s="4">
        <v>16</v>
      </c>
      <c r="B20" s="4" t="s">
        <v>18</v>
      </c>
      <c r="C20" s="4">
        <f>'DECEMBER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1" ht="15.75" x14ac:dyDescent="0.25">
      <c r="A21" s="4"/>
      <c r="B21" s="3" t="s">
        <v>19</v>
      </c>
      <c r="C21" s="4">
        <f>SUM(C5:C20)</f>
        <v>27600</v>
      </c>
      <c r="D21" s="3">
        <f>SUM(D5:D20)</f>
        <v>18300</v>
      </c>
      <c r="E21" s="3">
        <f>SUM(E5:E20)</f>
        <v>45900</v>
      </c>
      <c r="F21" s="3">
        <f>SUM(F5:F20)</f>
        <v>32000</v>
      </c>
      <c r="G21" s="3">
        <f>SUM(G5:G20)</f>
        <v>13900</v>
      </c>
      <c r="H21" s="1"/>
      <c r="I21" s="1"/>
    </row>
    <row r="22" spans="1:11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1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1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1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1" ht="15.75" x14ac:dyDescent="0.25">
      <c r="A26" s="1"/>
      <c r="B26" s="28" t="s">
        <v>119</v>
      </c>
      <c r="C26" s="29">
        <f>D21</f>
        <v>18300</v>
      </c>
      <c r="D26" s="28"/>
      <c r="E26" s="28"/>
      <c r="F26" s="28" t="s">
        <v>119</v>
      </c>
      <c r="G26" s="29">
        <f>F21</f>
        <v>32000</v>
      </c>
      <c r="H26" s="28"/>
      <c r="I26" s="28"/>
      <c r="K26" s="20"/>
    </row>
    <row r="27" spans="1:11" ht="15.75" x14ac:dyDescent="0.25">
      <c r="A27" s="1"/>
      <c r="B27" s="28" t="s">
        <v>5</v>
      </c>
      <c r="C27" s="29">
        <f>'DECEMBER 19'!E34</f>
        <v>15540</v>
      </c>
      <c r="D27" s="28"/>
      <c r="E27" s="28"/>
      <c r="F27" s="28" t="s">
        <v>5</v>
      </c>
      <c r="G27" s="29">
        <f>'DECEMBER 19'!I34</f>
        <v>-12060</v>
      </c>
      <c r="H27" s="28"/>
      <c r="I27" s="28"/>
      <c r="K27" s="20"/>
    </row>
    <row r="28" spans="1:11" ht="15.75" x14ac:dyDescent="0.25">
      <c r="A28" s="1"/>
      <c r="B28" s="28" t="s">
        <v>28</v>
      </c>
      <c r="C28" s="30">
        <v>0.1</v>
      </c>
      <c r="D28" s="29">
        <f>C26*C28</f>
        <v>1830</v>
      </c>
      <c r="E28" s="28"/>
      <c r="F28" s="28" t="s">
        <v>28</v>
      </c>
      <c r="G28" s="30">
        <v>0.1</v>
      </c>
      <c r="H28" s="29">
        <f>D28</f>
        <v>1830</v>
      </c>
      <c r="I28" s="28"/>
    </row>
    <row r="29" spans="1:11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1" ht="15.75" x14ac:dyDescent="0.25">
      <c r="A30" s="1"/>
      <c r="B30" s="31" t="s">
        <v>75</v>
      </c>
      <c r="C30" s="28"/>
      <c r="D30" s="28"/>
      <c r="E30" s="28"/>
      <c r="F30" s="31" t="s">
        <v>75</v>
      </c>
      <c r="G30" s="28"/>
      <c r="H30" s="28"/>
      <c r="I30" s="28"/>
    </row>
    <row r="31" spans="1:11" ht="15.75" x14ac:dyDescent="0.25">
      <c r="A31" s="1"/>
      <c r="B31" s="4" t="s">
        <v>106</v>
      </c>
      <c r="C31" s="4"/>
      <c r="D31" s="4">
        <f>C19+C17</f>
        <v>18000</v>
      </c>
      <c r="E31" s="4"/>
      <c r="F31" s="4" t="s">
        <v>106</v>
      </c>
      <c r="G31" s="4"/>
      <c r="H31" s="4">
        <v>18000</v>
      </c>
      <c r="I31" s="28"/>
    </row>
    <row r="32" spans="1:11" ht="15.75" x14ac:dyDescent="0.25">
      <c r="A32" s="1"/>
      <c r="B32" s="31" t="s">
        <v>121</v>
      </c>
      <c r="C32" s="28"/>
      <c r="D32" s="28">
        <v>8087</v>
      </c>
      <c r="E32" s="28"/>
      <c r="F32" s="31" t="s">
        <v>121</v>
      </c>
      <c r="G32" s="28"/>
      <c r="H32" s="28">
        <v>8087</v>
      </c>
      <c r="I32" s="28"/>
    </row>
    <row r="33" spans="1:9" ht="15.75" x14ac:dyDescent="0.25">
      <c r="A33" s="1"/>
      <c r="B33" s="32" t="s">
        <v>123</v>
      </c>
      <c r="C33" s="28"/>
      <c r="D33" s="28">
        <v>10087</v>
      </c>
      <c r="E33" s="28"/>
      <c r="F33" s="32" t="s">
        <v>123</v>
      </c>
      <c r="G33" s="28"/>
      <c r="H33" s="28">
        <v>10087</v>
      </c>
      <c r="I33" s="28"/>
    </row>
    <row r="34" spans="1:9" ht="15.75" x14ac:dyDescent="0.25">
      <c r="A34" s="1"/>
      <c r="B34" s="28" t="s">
        <v>19</v>
      </c>
      <c r="C34" s="29">
        <f>C26+C27-D28</f>
        <v>32010</v>
      </c>
      <c r="D34" s="29">
        <f>SUM(D30:D33)</f>
        <v>36174</v>
      </c>
      <c r="E34" s="29">
        <f>C34-D34</f>
        <v>-4164</v>
      </c>
      <c r="F34" s="28" t="s">
        <v>19</v>
      </c>
      <c r="G34" s="29">
        <f>G26+G27-H28</f>
        <v>18110</v>
      </c>
      <c r="H34" s="29">
        <f>SUM(H30:H33)</f>
        <v>36174</v>
      </c>
      <c r="I34" s="29">
        <f>G34-H34</f>
        <v>-18064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13" sqref="C13"/>
    </sheetView>
  </sheetViews>
  <sheetFormatPr defaultRowHeight="15" x14ac:dyDescent="0.25"/>
  <cols>
    <col min="2" max="2" width="16.7109375" bestFit="1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125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'JANUARY 20'!G5:G20</f>
        <v>4500</v>
      </c>
      <c r="D5" s="4"/>
      <c r="E5" s="4">
        <f>C5+D5</f>
        <v>4500</v>
      </c>
      <c r="F5" s="4"/>
      <c r="G5" s="4">
        <f>E5-F5</f>
        <v>4500</v>
      </c>
      <c r="H5" s="1"/>
      <c r="I5" s="1"/>
    </row>
    <row r="6" spans="1:9" ht="15.75" x14ac:dyDescent="0.25">
      <c r="A6" s="4">
        <v>2</v>
      </c>
      <c r="B6" s="4" t="s">
        <v>40</v>
      </c>
      <c r="C6" s="4">
        <f>'JANUARY 20'!G6:G21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'JANUARY 20'!G7:G22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'JANUARY 20'!G8:G23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'JANUARY 20'!G9:G24</f>
        <v>1400</v>
      </c>
      <c r="D9" s="4">
        <v>1200</v>
      </c>
      <c r="E9" s="4">
        <f>C9+D9</f>
        <v>2600</v>
      </c>
      <c r="F9" s="4">
        <v>2000</v>
      </c>
      <c r="G9" s="4">
        <f>E9-F9</f>
        <v>600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'JANUARY 20'!G10:G25</f>
        <v>0</v>
      </c>
      <c r="D10" s="4">
        <v>3000</v>
      </c>
      <c r="E10" s="4">
        <f t="shared" ref="E10:E20" si="1">C10+D10</f>
        <v>3000</v>
      </c>
      <c r="F10" s="4">
        <f>1000+1000</f>
        <v>2000</v>
      </c>
      <c r="G10" s="4">
        <f>E10-F10</f>
        <v>1000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'JANUARY 20'!G11:G26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'JANUARY 20'!G12:G27</f>
        <v>2700</v>
      </c>
      <c r="D12" s="4">
        <v>1200</v>
      </c>
      <c r="E12" s="4">
        <f t="shared" si="1"/>
        <v>3900</v>
      </c>
      <c r="F12" s="4">
        <f>1200+1200</f>
        <v>2400</v>
      </c>
      <c r="G12" s="4">
        <f t="shared" si="0"/>
        <v>1500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'JANUARY 20'!G13:G28</f>
        <v>5300</v>
      </c>
      <c r="D13" s="4">
        <v>2400</v>
      </c>
      <c r="E13" s="4">
        <f t="shared" si="1"/>
        <v>7700</v>
      </c>
      <c r="F13" s="4">
        <f>2400+2400</f>
        <v>4800</v>
      </c>
      <c r="G13" s="4">
        <f t="shared" si="0"/>
        <v>2900</v>
      </c>
      <c r="H13" s="1"/>
      <c r="I13" s="1"/>
    </row>
    <row r="14" spans="1:9" ht="15.75" x14ac:dyDescent="0.25">
      <c r="A14" s="4">
        <v>10</v>
      </c>
      <c r="B14" s="4"/>
      <c r="C14" s="4">
        <f>'JANUARY 20'!G14:G29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'JANUARY 20'!G15:G30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'JANUARY 20'!G16:G31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1" ht="15.75" x14ac:dyDescent="0.25">
      <c r="A17" s="4">
        <v>13</v>
      </c>
      <c r="B17" s="4" t="s">
        <v>15</v>
      </c>
      <c r="C17" s="4">
        <f>'JANUARY 20'!G17:G32</f>
        <v>0</v>
      </c>
      <c r="D17" s="4"/>
      <c r="E17" s="4">
        <f>C17+D17</f>
        <v>0</v>
      </c>
      <c r="F17" s="4"/>
      <c r="G17" s="4">
        <f>E17-F17</f>
        <v>0</v>
      </c>
      <c r="H17" s="1"/>
      <c r="I17" s="1"/>
    </row>
    <row r="18" spans="1:11" ht="15.75" x14ac:dyDescent="0.25">
      <c r="A18" s="4">
        <v>14</v>
      </c>
      <c r="B18" s="4" t="s">
        <v>15</v>
      </c>
      <c r="C18" s="4">
        <f>'JANUARY 20'!G18:G33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1" ht="15.75" x14ac:dyDescent="0.25">
      <c r="A19" s="4">
        <v>15</v>
      </c>
      <c r="B19" s="4" t="s">
        <v>15</v>
      </c>
      <c r="C19" s="4">
        <f>'JANUARY 20'!G19:G34</f>
        <v>0</v>
      </c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1" ht="15.75" x14ac:dyDescent="0.25">
      <c r="A20" s="4">
        <v>16</v>
      </c>
      <c r="B20" s="4" t="s">
        <v>18</v>
      </c>
      <c r="C20" s="4">
        <f>'JANUARY 20'!G20:G35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1" ht="15.75" x14ac:dyDescent="0.25">
      <c r="A21" s="4"/>
      <c r="B21" s="3" t="s">
        <v>19</v>
      </c>
      <c r="C21" s="4">
        <f>SUM(C5:C20)</f>
        <v>13900</v>
      </c>
      <c r="D21" s="3">
        <f>SUM(D5:D20)</f>
        <v>18300</v>
      </c>
      <c r="E21" s="3">
        <f>SUM(E5:E20)</f>
        <v>32200</v>
      </c>
      <c r="F21" s="3">
        <f>SUM(F5:F20)</f>
        <v>21700</v>
      </c>
      <c r="G21" s="3">
        <f>SUM(G5:G20)</f>
        <v>10500</v>
      </c>
      <c r="H21" s="1"/>
      <c r="I21" s="1"/>
    </row>
    <row r="22" spans="1:11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1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1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1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1" ht="15.75" x14ac:dyDescent="0.25">
      <c r="A26" s="1"/>
      <c r="B26" s="28" t="s">
        <v>124</v>
      </c>
      <c r="C26" s="29">
        <f>D21</f>
        <v>18300</v>
      </c>
      <c r="D26" s="28"/>
      <c r="E26" s="28"/>
      <c r="F26" s="28" t="s">
        <v>124</v>
      </c>
      <c r="G26" s="29">
        <f>F21</f>
        <v>21700</v>
      </c>
      <c r="H26" s="28"/>
      <c r="I26" s="28"/>
      <c r="K26" s="20"/>
    </row>
    <row r="27" spans="1:11" ht="15.75" x14ac:dyDescent="0.25">
      <c r="A27" s="1"/>
      <c r="B27" s="28" t="s">
        <v>5</v>
      </c>
      <c r="C27" s="29">
        <f>'JANUARY 20'!E34</f>
        <v>-4164</v>
      </c>
      <c r="D27" s="28"/>
      <c r="E27" s="28"/>
      <c r="F27" s="28" t="s">
        <v>5</v>
      </c>
      <c r="G27" s="29">
        <f>'JANUARY 20'!I34</f>
        <v>-18064</v>
      </c>
      <c r="H27" s="28"/>
      <c r="I27" s="28"/>
      <c r="K27" s="20"/>
    </row>
    <row r="28" spans="1:11" ht="15.75" x14ac:dyDescent="0.25">
      <c r="A28" s="1"/>
      <c r="B28" s="28" t="s">
        <v>28</v>
      </c>
      <c r="C28" s="30">
        <v>0.1</v>
      </c>
      <c r="D28" s="29">
        <f>C26*C28</f>
        <v>1830</v>
      </c>
      <c r="E28" s="28"/>
      <c r="F28" s="28" t="s">
        <v>28</v>
      </c>
      <c r="G28" s="30">
        <v>0.1</v>
      </c>
      <c r="H28" s="29">
        <f>D28</f>
        <v>1830</v>
      </c>
      <c r="I28" s="28"/>
    </row>
    <row r="29" spans="1:11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1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1" ht="15.75" x14ac:dyDescent="0.25">
      <c r="A31" s="1"/>
      <c r="B31" s="4" t="s">
        <v>126</v>
      </c>
      <c r="C31" s="4"/>
      <c r="D31" s="4">
        <v>10087</v>
      </c>
      <c r="E31" s="4"/>
      <c r="F31" s="4" t="s">
        <v>126</v>
      </c>
      <c r="G31" s="4"/>
      <c r="H31" s="4">
        <v>10087</v>
      </c>
      <c r="I31" s="28"/>
    </row>
    <row r="32" spans="1:11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2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12306</v>
      </c>
      <c r="D34" s="29">
        <f>SUM(D30:D33)</f>
        <v>18087</v>
      </c>
      <c r="E34" s="29">
        <f>C34-D34</f>
        <v>-5781</v>
      </c>
      <c r="F34" s="28" t="s">
        <v>19</v>
      </c>
      <c r="G34" s="29">
        <f>G26+G27-H28</f>
        <v>1806</v>
      </c>
      <c r="H34" s="29">
        <f>SUM(H30:H33)</f>
        <v>18087</v>
      </c>
      <c r="I34" s="29">
        <f>G34-H34</f>
        <v>-16281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0" workbookViewId="0">
      <selection activeCell="K22" sqref="K22"/>
    </sheetView>
  </sheetViews>
  <sheetFormatPr defaultRowHeight="15" x14ac:dyDescent="0.25"/>
  <cols>
    <col min="2" max="2" width="19.8554687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127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'FEBRUARY 20'!G5:G20</f>
        <v>4500</v>
      </c>
      <c r="D5" s="4"/>
      <c r="E5" s="4">
        <f>C5+D5</f>
        <v>4500</v>
      </c>
      <c r="F5" s="4">
        <v>4500</v>
      </c>
      <c r="G5" s="4">
        <f>E5-F5</f>
        <v>0</v>
      </c>
      <c r="H5" s="1" t="s">
        <v>130</v>
      </c>
      <c r="I5" s="1"/>
    </row>
    <row r="6" spans="1:9" ht="15.75" x14ac:dyDescent="0.25">
      <c r="A6" s="4">
        <v>2</v>
      </c>
      <c r="B6" s="4" t="s">
        <v>40</v>
      </c>
      <c r="C6" s="4">
        <f>'FEBRUARY 20'!G6:G21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'FEBRUARY 20'!G7:G22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'FEBRUARY 20'!G8:G23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'FEBRUARY 20'!G9:G24</f>
        <v>600</v>
      </c>
      <c r="D9" s="4">
        <v>1200</v>
      </c>
      <c r="E9" s="4">
        <f>C9+D9</f>
        <v>1800</v>
      </c>
      <c r="F9" s="4"/>
      <c r="G9" s="4">
        <f>E9-F9</f>
        <v>1800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'FEBRUARY 20'!G10:G25</f>
        <v>1000</v>
      </c>
      <c r="D10" s="4">
        <v>3000</v>
      </c>
      <c r="E10" s="4">
        <f t="shared" ref="E10:E20" si="1">C10+D10</f>
        <v>4000</v>
      </c>
      <c r="F10" s="4">
        <f>1500</f>
        <v>1500</v>
      </c>
      <c r="G10" s="4">
        <f>E10-F10</f>
        <v>2500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'FEBRUARY 20'!G11:G26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'FEBRUARY 20'!G12:G27</f>
        <v>1500</v>
      </c>
      <c r="D12" s="4">
        <v>1200</v>
      </c>
      <c r="E12" s="4">
        <f t="shared" si="1"/>
        <v>2700</v>
      </c>
      <c r="F12" s="4"/>
      <c r="G12" s="4">
        <f>E12-F12</f>
        <v>2700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'FEBRUARY 20'!G13:G28</f>
        <v>2900</v>
      </c>
      <c r="D13" s="4">
        <v>2400</v>
      </c>
      <c r="E13" s="4">
        <f t="shared" si="1"/>
        <v>5300</v>
      </c>
      <c r="F13" s="4"/>
      <c r="G13" s="4">
        <f t="shared" si="0"/>
        <v>5300</v>
      </c>
      <c r="H13" s="1"/>
      <c r="I13" s="1"/>
    </row>
    <row r="14" spans="1:9" ht="15.75" x14ac:dyDescent="0.25">
      <c r="A14" s="4">
        <v>10</v>
      </c>
      <c r="B14" s="4"/>
      <c r="C14" s="4">
        <f>'FEBRUARY 20'!G14:G29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'FEBRUARY 20'!G15:G30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'FEBRUARY 20'!G16:G31</f>
        <v>0</v>
      </c>
      <c r="D16" s="4">
        <v>1500</v>
      </c>
      <c r="E16" s="4">
        <f>C16+D16</f>
        <v>1500</v>
      </c>
      <c r="F16" s="4"/>
      <c r="G16" s="4">
        <f>E16-F16</f>
        <v>1500</v>
      </c>
      <c r="H16" s="1"/>
      <c r="I16" s="1"/>
    </row>
    <row r="17" spans="1:10" ht="15.75" x14ac:dyDescent="0.25">
      <c r="A17" s="4">
        <v>13</v>
      </c>
      <c r="B17" s="4" t="s">
        <v>15</v>
      </c>
      <c r="C17" s="4">
        <f>'FEBRUARY 20'!G17:G32</f>
        <v>0</v>
      </c>
      <c r="D17" s="4"/>
      <c r="E17" s="4">
        <f>C17+D17</f>
        <v>0</v>
      </c>
      <c r="F17" s="4"/>
      <c r="G17" s="4">
        <f>E17-F17</f>
        <v>0</v>
      </c>
      <c r="H17" s="1"/>
      <c r="I17" s="1"/>
    </row>
    <row r="18" spans="1:10" ht="15.75" x14ac:dyDescent="0.25">
      <c r="A18" s="4">
        <v>14</v>
      </c>
      <c r="B18" s="4" t="s">
        <v>15</v>
      </c>
      <c r="C18" s="4">
        <f>'FEBRUARY 20'!G18:G33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>
        <f>'FEBRUARY 20'!G19:G34</f>
        <v>0</v>
      </c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'FEBRUARY 20'!G20:G35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SUM(C5:C20)</f>
        <v>10500</v>
      </c>
      <c r="D21" s="3">
        <f>SUM(D5:D20)</f>
        <v>18300</v>
      </c>
      <c r="E21" s="3">
        <f>SUM(E5:E20)</f>
        <v>28800</v>
      </c>
      <c r="F21" s="3">
        <f>SUM(F5:F20)</f>
        <v>15000</v>
      </c>
      <c r="G21" s="3">
        <f>SUM(G5:G20)</f>
        <v>13800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77</v>
      </c>
      <c r="C26" s="29">
        <f>D21</f>
        <v>18300</v>
      </c>
      <c r="D26" s="28"/>
      <c r="E26" s="28"/>
      <c r="F26" s="28" t="s">
        <v>77</v>
      </c>
      <c r="G26" s="29">
        <f>F21</f>
        <v>15000</v>
      </c>
      <c r="H26" s="28"/>
      <c r="I26" s="28"/>
    </row>
    <row r="27" spans="1:10" ht="15.75" x14ac:dyDescent="0.25">
      <c r="A27" s="1"/>
      <c r="B27" s="28" t="s">
        <v>5</v>
      </c>
      <c r="C27" s="29">
        <f>'FEBRUARY 20'!E34</f>
        <v>-5781</v>
      </c>
      <c r="D27" s="28"/>
      <c r="E27" s="28"/>
      <c r="F27" s="28" t="s">
        <v>5</v>
      </c>
      <c r="G27" s="29">
        <f>'FEBRUARY 20'!I34</f>
        <v>-16281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C28*C26</f>
        <v>1830</v>
      </c>
      <c r="E28" s="28"/>
      <c r="F28" s="28" t="s">
        <v>28</v>
      </c>
      <c r="G28" s="30">
        <v>0.1</v>
      </c>
      <c r="H28" s="29">
        <f>D28</f>
        <v>1830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128</v>
      </c>
      <c r="C31" s="4"/>
      <c r="D31" s="4">
        <v>8000</v>
      </c>
      <c r="E31" s="4"/>
      <c r="F31" s="4" t="s">
        <v>128</v>
      </c>
      <c r="G31" s="4"/>
      <c r="H31" s="4">
        <v>8000</v>
      </c>
      <c r="I31" s="28"/>
    </row>
    <row r="32" spans="1:10" ht="15.75" x14ac:dyDescent="0.25">
      <c r="A32" s="1"/>
      <c r="B32" s="31" t="s">
        <v>34</v>
      </c>
      <c r="C32" s="28"/>
      <c r="D32" s="28">
        <v>4500</v>
      </c>
      <c r="E32" s="28"/>
      <c r="F32" s="31" t="s">
        <v>34</v>
      </c>
      <c r="G32" s="28"/>
      <c r="H32" s="28">
        <v>4500</v>
      </c>
      <c r="I32" s="28"/>
    </row>
    <row r="33" spans="1:9" ht="15.75" x14ac:dyDescent="0.25">
      <c r="A33" s="1"/>
      <c r="B33" s="32"/>
      <c r="C33" s="28"/>
      <c r="D33" s="28"/>
      <c r="E33" s="28"/>
      <c r="F33" s="32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10689</v>
      </c>
      <c r="D34" s="29">
        <f>SUM(D30:D33)</f>
        <v>20500</v>
      </c>
      <c r="E34" s="29">
        <f>C34-D34</f>
        <v>-9811</v>
      </c>
      <c r="F34" s="28" t="s">
        <v>19</v>
      </c>
      <c r="G34" s="29">
        <f>G26+G27-H28</f>
        <v>-3111</v>
      </c>
      <c r="H34" s="29">
        <f>SUM(H30:H33)</f>
        <v>20500</v>
      </c>
      <c r="I34" s="29">
        <f>G34-H34</f>
        <v>-23611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8" workbookViewId="0">
      <selection activeCell="C33" sqref="C33"/>
    </sheetView>
  </sheetViews>
  <sheetFormatPr defaultRowHeight="15" x14ac:dyDescent="0.25"/>
  <cols>
    <col min="2" max="2" width="18.4257812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129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15</v>
      </c>
      <c r="C5" s="4">
        <f>'MARCH 20'!G5:G20</f>
        <v>0</v>
      </c>
      <c r="D5" s="4"/>
      <c r="E5" s="4">
        <f>C5+D5</f>
        <v>0</v>
      </c>
      <c r="F5" s="4"/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134</v>
      </c>
      <c r="C6" s="4">
        <f>'MARCH 20'!G6:G21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'MARCH 20'!G7:G22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'MARCH 20'!G8:G23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'MARCH 20'!G9:G24</f>
        <v>1800</v>
      </c>
      <c r="D9" s="4">
        <v>1200</v>
      </c>
      <c r="E9" s="4">
        <f>C9+D9</f>
        <v>3000</v>
      </c>
      <c r="F9" s="4"/>
      <c r="G9" s="4">
        <f>E9-F9</f>
        <v>3000</v>
      </c>
      <c r="H9" s="1" t="s">
        <v>139</v>
      </c>
      <c r="I9" s="1"/>
    </row>
    <row r="10" spans="1:9" ht="15.75" x14ac:dyDescent="0.25">
      <c r="A10" s="4">
        <v>6</v>
      </c>
      <c r="B10" s="4" t="s">
        <v>113</v>
      </c>
      <c r="C10" s="4">
        <f>'MARCH 20'!G10:G25</f>
        <v>2500</v>
      </c>
      <c r="D10" s="4">
        <v>3000</v>
      </c>
      <c r="E10" s="4">
        <f t="shared" ref="E10:E20" si="1">C10+D10</f>
        <v>5500</v>
      </c>
      <c r="F10" s="4"/>
      <c r="G10" s="4">
        <f>E10-F10</f>
        <v>5500</v>
      </c>
      <c r="H10" s="1" t="s">
        <v>138</v>
      </c>
      <c r="I10" s="1"/>
    </row>
    <row r="11" spans="1:9" ht="15.75" x14ac:dyDescent="0.25">
      <c r="A11" s="4">
        <v>7</v>
      </c>
      <c r="B11" s="4" t="s">
        <v>59</v>
      </c>
      <c r="C11" s="4">
        <f>'MARCH 20'!G11:G26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'MARCH 20'!G12:G27</f>
        <v>2700</v>
      </c>
      <c r="D12" s="4">
        <v>1200</v>
      </c>
      <c r="E12" s="4">
        <f t="shared" si="1"/>
        <v>3900</v>
      </c>
      <c r="F12" s="4">
        <v>1200</v>
      </c>
      <c r="G12" s="4">
        <f t="shared" si="0"/>
        <v>2700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'MARCH 20'!G13:G28</f>
        <v>5300</v>
      </c>
      <c r="D13" s="4">
        <v>2400</v>
      </c>
      <c r="E13" s="4">
        <f t="shared" si="1"/>
        <v>7700</v>
      </c>
      <c r="F13" s="4">
        <v>2400</v>
      </c>
      <c r="G13" s="4">
        <f t="shared" si="0"/>
        <v>5300</v>
      </c>
      <c r="H13" s="1"/>
      <c r="I13" s="1"/>
    </row>
    <row r="14" spans="1:9" ht="15.75" x14ac:dyDescent="0.25">
      <c r="A14" s="4">
        <v>10</v>
      </c>
      <c r="B14" s="4" t="s">
        <v>136</v>
      </c>
      <c r="C14" s="4">
        <f>'MARCH 20'!G14:G29</f>
        <v>0</v>
      </c>
      <c r="D14" s="4">
        <v>1500</v>
      </c>
      <c r="E14" s="4">
        <f t="shared" si="1"/>
        <v>1500</v>
      </c>
      <c r="F14" s="4">
        <v>1500</v>
      </c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'MARCH 20'!G15:G30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'MARCH 20'!G16:G31</f>
        <v>1500</v>
      </c>
      <c r="D16" s="4">
        <v>1500</v>
      </c>
      <c r="E16" s="4">
        <f>C16+D16</f>
        <v>3000</v>
      </c>
      <c r="F16" s="4"/>
      <c r="G16" s="4">
        <f>E16-F16</f>
        <v>3000</v>
      </c>
      <c r="H16" s="1" t="s">
        <v>139</v>
      </c>
      <c r="I16" s="1"/>
    </row>
    <row r="17" spans="1:12" ht="15.75" x14ac:dyDescent="0.25">
      <c r="A17" s="4">
        <v>13</v>
      </c>
      <c r="B17" s="4" t="s">
        <v>135</v>
      </c>
      <c r="C17" s="4">
        <f>'MARCH 20'!G17:G32</f>
        <v>0</v>
      </c>
      <c r="D17" s="4">
        <v>1500</v>
      </c>
      <c r="E17" s="4">
        <f>C17+D17</f>
        <v>1500</v>
      </c>
      <c r="F17" s="4">
        <v>1500</v>
      </c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15</v>
      </c>
      <c r="C18" s="4">
        <f>'MARCH 20'!G18:G33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15</v>
      </c>
      <c r="C19" s="4">
        <f>'MARCH 20'!G19:G34</f>
        <v>0</v>
      </c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f>'MARCH 20'!G20:G35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4">
        <f>SUM(C5:C20)</f>
        <v>13800</v>
      </c>
      <c r="D21" s="3">
        <f>SUM(D5:D20)</f>
        <v>21300</v>
      </c>
      <c r="E21" s="3">
        <f>SUM(E5:E20)</f>
        <v>35100</v>
      </c>
      <c r="F21" s="3">
        <f>SUM(F5:F20)</f>
        <v>15600</v>
      </c>
      <c r="G21" s="3">
        <f>SUM(G5:G20)</f>
        <v>19500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36" t="s">
        <v>132</v>
      </c>
    </row>
    <row r="26" spans="1:12" ht="15.75" x14ac:dyDescent="0.25">
      <c r="A26" s="1"/>
      <c r="B26" s="28" t="s">
        <v>82</v>
      </c>
      <c r="C26" s="29">
        <f>D21</f>
        <v>21300</v>
      </c>
      <c r="D26" s="28"/>
      <c r="E26" s="28"/>
      <c r="F26" s="28" t="s">
        <v>82</v>
      </c>
      <c r="G26" s="29">
        <f>F21</f>
        <v>15600</v>
      </c>
      <c r="H26" s="28"/>
      <c r="I26" s="28"/>
    </row>
    <row r="27" spans="1:12" ht="15.75" x14ac:dyDescent="0.25">
      <c r="A27" s="1"/>
      <c r="B27" s="28" t="s">
        <v>5</v>
      </c>
      <c r="C27" s="29">
        <f>'MARCH 20'!E34</f>
        <v>-9811</v>
      </c>
      <c r="D27" s="28"/>
      <c r="E27" s="28"/>
      <c r="F27" s="28" t="s">
        <v>5</v>
      </c>
      <c r="G27" s="29">
        <f>'MARCH 20'!I34</f>
        <v>-23611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C28*C26</f>
        <v>2130</v>
      </c>
      <c r="E28" s="28"/>
      <c r="F28" s="28" t="s">
        <v>28</v>
      </c>
      <c r="G28" s="30">
        <v>0.1</v>
      </c>
      <c r="H28" s="29">
        <f>D28</f>
        <v>2130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131</v>
      </c>
      <c r="C30" s="28"/>
      <c r="D30" s="28"/>
      <c r="E30" s="28"/>
      <c r="F30" s="31" t="s">
        <v>131</v>
      </c>
      <c r="G30" s="28"/>
      <c r="H30" s="28"/>
      <c r="I30" s="28"/>
      <c r="K30" s="20">
        <f>G26-H28</f>
        <v>13470</v>
      </c>
    </row>
    <row r="31" spans="1:12" ht="15.75" x14ac:dyDescent="0.25">
      <c r="A31" s="1"/>
      <c r="B31" s="4" t="s">
        <v>133</v>
      </c>
      <c r="C31" s="4"/>
      <c r="D31" s="4">
        <v>8087</v>
      </c>
      <c r="E31" s="4"/>
      <c r="F31" s="4" t="s">
        <v>133</v>
      </c>
      <c r="G31" s="4"/>
      <c r="H31" s="4">
        <v>8087</v>
      </c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2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9359</v>
      </c>
      <c r="D34" s="29">
        <f>SUM(D30:D33)</f>
        <v>8087</v>
      </c>
      <c r="E34" s="29">
        <f>C34-D34</f>
        <v>1272</v>
      </c>
      <c r="F34" s="28" t="s">
        <v>19</v>
      </c>
      <c r="G34" s="29">
        <f>G26+G27-H28</f>
        <v>-10141</v>
      </c>
      <c r="H34" s="29">
        <f>SUM(H30:H33)</f>
        <v>8087</v>
      </c>
      <c r="I34" s="29">
        <f>G34-H34</f>
        <v>-18228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3" workbookViewId="0">
      <selection activeCell="L23" sqref="K23:L23"/>
    </sheetView>
  </sheetViews>
  <sheetFormatPr defaultRowHeight="15" x14ac:dyDescent="0.25"/>
  <cols>
    <col min="1" max="1" width="5.28515625" customWidth="1"/>
    <col min="2" max="2" width="18" customWidth="1"/>
    <col min="3" max="3" width="9.140625" customWidth="1"/>
  </cols>
  <sheetData>
    <row r="1" spans="1:10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0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137</v>
      </c>
      <c r="E3" s="1"/>
      <c r="F3" s="1"/>
      <c r="G3" s="1"/>
      <c r="H3" s="1"/>
      <c r="I3" s="1"/>
      <c r="J3" s="1"/>
    </row>
    <row r="4" spans="1:10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0" ht="15.75" x14ac:dyDescent="0.25">
      <c r="A5" s="4">
        <v>1</v>
      </c>
      <c r="B5" s="4" t="s">
        <v>120</v>
      </c>
      <c r="C5" s="4"/>
      <c r="D5" s="4">
        <f>'APRIL 20'!G5:G20</f>
        <v>0</v>
      </c>
      <c r="E5" s="4">
        <v>1500</v>
      </c>
      <c r="F5" s="4">
        <f>D5+E5+C5</f>
        <v>1500</v>
      </c>
      <c r="G5" s="4">
        <v>1500</v>
      </c>
      <c r="H5" s="4">
        <f>F5-G5</f>
        <v>0</v>
      </c>
      <c r="I5" s="1"/>
      <c r="J5" s="1"/>
    </row>
    <row r="6" spans="1:10" ht="15.75" x14ac:dyDescent="0.25">
      <c r="A6" s="4">
        <v>2</v>
      </c>
      <c r="B6" s="4" t="s">
        <v>134</v>
      </c>
      <c r="C6" s="4"/>
      <c r="D6" s="4">
        <f>'APRIL 20'!G6:G21</f>
        <v>0</v>
      </c>
      <c r="E6" s="4">
        <v>1500</v>
      </c>
      <c r="F6" s="4">
        <f t="shared" ref="F6:F20" si="0">D6+E6+C6</f>
        <v>1500</v>
      </c>
      <c r="G6" s="4">
        <v>1500</v>
      </c>
      <c r="H6" s="4">
        <f t="shared" ref="H6:H19" si="1">F6-G6</f>
        <v>0</v>
      </c>
      <c r="I6" s="1"/>
      <c r="J6" s="1"/>
    </row>
    <row r="7" spans="1:10" ht="15.75" x14ac:dyDescent="0.25">
      <c r="A7" s="4">
        <v>3</v>
      </c>
      <c r="B7" s="4" t="s">
        <v>39</v>
      </c>
      <c r="C7" s="4"/>
      <c r="D7" s="4">
        <f>'APRIL 20'!G7:G22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0" ht="15.75" x14ac:dyDescent="0.25">
      <c r="A8" s="4">
        <v>4</v>
      </c>
      <c r="B8" s="4" t="s">
        <v>58</v>
      </c>
      <c r="C8" s="4"/>
      <c r="D8" s="4">
        <f>'APRIL 20'!G8:G23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0" ht="15.75" x14ac:dyDescent="0.25">
      <c r="A9" s="4">
        <v>5</v>
      </c>
      <c r="B9" s="4" t="s">
        <v>84</v>
      </c>
      <c r="C9" s="4"/>
      <c r="D9" s="4">
        <f>'APRIL 20'!G9:G24</f>
        <v>3000</v>
      </c>
      <c r="E9" s="4">
        <v>1200</v>
      </c>
      <c r="F9" s="4">
        <f t="shared" si="0"/>
        <v>4200</v>
      </c>
      <c r="G9" s="4">
        <v>1000</v>
      </c>
      <c r="H9" s="4">
        <f>F9-G9</f>
        <v>3200</v>
      </c>
      <c r="I9" s="1"/>
      <c r="J9" s="1"/>
    </row>
    <row r="10" spans="1:10" ht="15.75" x14ac:dyDescent="0.25">
      <c r="A10" s="4">
        <v>6</v>
      </c>
      <c r="B10" s="4" t="s">
        <v>113</v>
      </c>
      <c r="C10" s="4"/>
      <c r="D10" s="4">
        <f>'APRIL 20'!G10:G25</f>
        <v>5500</v>
      </c>
      <c r="E10" s="4">
        <v>3000</v>
      </c>
      <c r="F10" s="4">
        <f t="shared" si="0"/>
        <v>8500</v>
      </c>
      <c r="G10" s="4">
        <f>3000+2000</f>
        <v>5000</v>
      </c>
      <c r="H10" s="4">
        <f>F10-G10</f>
        <v>3500</v>
      </c>
      <c r="I10" s="1"/>
      <c r="J10" s="1"/>
    </row>
    <row r="11" spans="1:10" ht="15.75" x14ac:dyDescent="0.25">
      <c r="A11" s="4">
        <v>7</v>
      </c>
      <c r="B11" s="4" t="s">
        <v>59</v>
      </c>
      <c r="C11" s="4"/>
      <c r="D11" s="4">
        <f>'APRIL 20'!G11:G26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0" ht="15.75" x14ac:dyDescent="0.25">
      <c r="A12" s="4">
        <v>8</v>
      </c>
      <c r="B12" s="4" t="s">
        <v>10</v>
      </c>
      <c r="C12" s="4"/>
      <c r="D12" s="4">
        <f>'APRIL 20'!G12:G27</f>
        <v>2700</v>
      </c>
      <c r="E12" s="4">
        <v>1200</v>
      </c>
      <c r="F12" s="4">
        <f t="shared" si="0"/>
        <v>3900</v>
      </c>
      <c r="G12" s="4">
        <v>1200</v>
      </c>
      <c r="H12" s="4">
        <f t="shared" si="1"/>
        <v>2700</v>
      </c>
      <c r="I12" s="1"/>
      <c r="J12" s="1"/>
    </row>
    <row r="13" spans="1:10" ht="15.75" x14ac:dyDescent="0.25">
      <c r="A13" s="4">
        <v>9</v>
      </c>
      <c r="B13" s="4" t="s">
        <v>10</v>
      </c>
      <c r="C13" s="4"/>
      <c r="D13" s="4">
        <f>'APRIL 20'!G13:G28</f>
        <v>5300</v>
      </c>
      <c r="E13" s="4">
        <v>2400</v>
      </c>
      <c r="F13" s="4">
        <f t="shared" si="0"/>
        <v>7700</v>
      </c>
      <c r="G13" s="4">
        <v>1800</v>
      </c>
      <c r="H13" s="4">
        <f t="shared" si="1"/>
        <v>5900</v>
      </c>
      <c r="I13" s="1"/>
      <c r="J13" s="1"/>
    </row>
    <row r="14" spans="1:10" ht="15.75" x14ac:dyDescent="0.25">
      <c r="A14" s="4">
        <v>10</v>
      </c>
      <c r="B14" s="4" t="s">
        <v>136</v>
      </c>
      <c r="C14" s="4"/>
      <c r="D14" s="4">
        <f>'APRIL 20'!G14:G29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>
        <f>G12+G13</f>
        <v>3000</v>
      </c>
    </row>
    <row r="15" spans="1:10" ht="15.75" x14ac:dyDescent="0.25">
      <c r="A15" s="4">
        <v>11</v>
      </c>
      <c r="B15" s="4"/>
      <c r="C15" s="4"/>
      <c r="D15" s="4">
        <f>'APRIL 20'!G15:G30</f>
        <v>0</v>
      </c>
      <c r="E15" s="4"/>
      <c r="F15" s="4">
        <f t="shared" si="0"/>
        <v>0</v>
      </c>
      <c r="G15" s="4"/>
      <c r="H15" s="4">
        <f t="shared" si="1"/>
        <v>0</v>
      </c>
      <c r="I15" s="1"/>
      <c r="J15" s="1"/>
    </row>
    <row r="16" spans="1:10" ht="15.75" x14ac:dyDescent="0.25">
      <c r="A16" s="4">
        <v>12</v>
      </c>
      <c r="B16" s="4" t="s">
        <v>98</v>
      </c>
      <c r="C16" s="4"/>
      <c r="D16" s="4">
        <f>'APRIL 20'!G16:G31</f>
        <v>3000</v>
      </c>
      <c r="E16" s="4">
        <v>1500</v>
      </c>
      <c r="F16" s="4">
        <f t="shared" si="0"/>
        <v>4500</v>
      </c>
      <c r="G16" s="4">
        <f>1500</f>
        <v>1500</v>
      </c>
      <c r="H16" s="4">
        <f>F16-G16</f>
        <v>3000</v>
      </c>
      <c r="I16" s="1"/>
      <c r="J16" s="1"/>
    </row>
    <row r="17" spans="1:11" ht="15.75" x14ac:dyDescent="0.25">
      <c r="A17" s="4">
        <v>13</v>
      </c>
      <c r="B17" s="4" t="s">
        <v>135</v>
      </c>
      <c r="C17" s="4"/>
      <c r="D17" s="4">
        <f>'APRIL 20'!G17:G32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1" ht="15.75" x14ac:dyDescent="0.25">
      <c r="A18" s="4">
        <v>14</v>
      </c>
      <c r="B18" s="4" t="s">
        <v>140</v>
      </c>
      <c r="C18" s="4">
        <v>3000</v>
      </c>
      <c r="D18" s="4">
        <f>'APRIL 20'!G18:G33</f>
        <v>0</v>
      </c>
      <c r="E18" s="4">
        <v>3000</v>
      </c>
      <c r="F18" s="4">
        <f t="shared" si="0"/>
        <v>6000</v>
      </c>
      <c r="G18" s="4">
        <v>6000</v>
      </c>
      <c r="H18" s="4">
        <f>F18-G18</f>
        <v>0</v>
      </c>
      <c r="I18" s="1"/>
      <c r="J18" s="1"/>
    </row>
    <row r="19" spans="1:11" ht="15.75" x14ac:dyDescent="0.25">
      <c r="A19" s="4">
        <v>15</v>
      </c>
      <c r="B19" s="4" t="s">
        <v>15</v>
      </c>
      <c r="C19" s="4"/>
      <c r="D19" s="4">
        <f>'APRIL 20'!G19:G34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1" ht="15.75" x14ac:dyDescent="0.25">
      <c r="A20" s="4">
        <v>16</v>
      </c>
      <c r="B20" s="4" t="s">
        <v>18</v>
      </c>
      <c r="C20" s="4"/>
      <c r="D20" s="4">
        <f>'APRIL 20'!G20:G35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1" ht="15.75" x14ac:dyDescent="0.25">
      <c r="A21" s="4"/>
      <c r="B21" s="3" t="s">
        <v>19</v>
      </c>
      <c r="C21" s="3">
        <f t="shared" ref="C21:H21" si="2">SUM(C5:C20)</f>
        <v>3000</v>
      </c>
      <c r="D21" s="4">
        <f t="shared" si="2"/>
        <v>19500</v>
      </c>
      <c r="E21" s="3">
        <f t="shared" si="2"/>
        <v>24300</v>
      </c>
      <c r="F21" s="3">
        <f t="shared" si="2"/>
        <v>46800</v>
      </c>
      <c r="G21" s="3">
        <f t="shared" si="2"/>
        <v>28500</v>
      </c>
      <c r="H21" s="3">
        <f t="shared" si="2"/>
        <v>18300</v>
      </c>
      <c r="I21" s="1"/>
      <c r="J21" s="1"/>
    </row>
    <row r="22" spans="1:11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1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1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</row>
    <row r="25" spans="1:11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</row>
    <row r="26" spans="1:11" ht="15.75" x14ac:dyDescent="0.25">
      <c r="A26" s="1"/>
      <c r="B26" s="28" t="s">
        <v>87</v>
      </c>
      <c r="C26" s="28"/>
      <c r="D26" s="29">
        <f>E21</f>
        <v>24300</v>
      </c>
      <c r="E26" s="28"/>
      <c r="F26" s="28"/>
      <c r="G26" s="28" t="s">
        <v>87</v>
      </c>
      <c r="H26" s="29">
        <f>G21</f>
        <v>28500</v>
      </c>
      <c r="I26" s="28"/>
      <c r="J26" s="28"/>
    </row>
    <row r="27" spans="1:11" ht="15.75" x14ac:dyDescent="0.25">
      <c r="A27" s="1"/>
      <c r="B27" s="28" t="s">
        <v>5</v>
      </c>
      <c r="C27" s="28"/>
      <c r="D27" s="29">
        <f>'APRIL 20'!E34</f>
        <v>1272</v>
      </c>
      <c r="E27" s="28"/>
      <c r="F27" s="28"/>
      <c r="G27" s="28" t="s">
        <v>5</v>
      </c>
      <c r="H27" s="29">
        <f>'APRIL 20'!I34</f>
        <v>-18228</v>
      </c>
      <c r="I27" s="28"/>
      <c r="J27" s="28"/>
    </row>
    <row r="28" spans="1:11" ht="15.75" x14ac:dyDescent="0.25">
      <c r="A28" s="1"/>
      <c r="B28" s="28" t="s">
        <v>141</v>
      </c>
      <c r="C28" s="28"/>
      <c r="D28" s="29">
        <f>C21</f>
        <v>3000</v>
      </c>
      <c r="E28" s="28"/>
      <c r="F28" s="28"/>
      <c r="G28" s="28"/>
      <c r="H28" s="29"/>
      <c r="I28" s="28"/>
      <c r="J28" s="28"/>
    </row>
    <row r="29" spans="1:11" ht="15.75" x14ac:dyDescent="0.25">
      <c r="A29" s="1"/>
      <c r="B29" s="28" t="s">
        <v>28</v>
      </c>
      <c r="C29" s="28"/>
      <c r="D29" s="30">
        <v>0.1</v>
      </c>
      <c r="E29" s="29">
        <f>D29*D26</f>
        <v>2430</v>
      </c>
      <c r="F29" s="28"/>
      <c r="G29" s="28" t="s">
        <v>28</v>
      </c>
      <c r="H29" s="30">
        <v>0.1</v>
      </c>
      <c r="I29" s="29">
        <f>E29</f>
        <v>2430</v>
      </c>
      <c r="J29" s="28"/>
    </row>
    <row r="30" spans="1:11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</row>
    <row r="31" spans="1:11" ht="15.75" x14ac:dyDescent="0.25">
      <c r="A31" s="1"/>
      <c r="B31" s="31" t="s">
        <v>131</v>
      </c>
      <c r="C31" s="31"/>
      <c r="D31" s="28"/>
      <c r="E31" s="28"/>
      <c r="F31" s="28"/>
      <c r="G31" s="31" t="s">
        <v>131</v>
      </c>
      <c r="H31" s="28"/>
      <c r="I31" s="28"/>
      <c r="J31" s="28"/>
    </row>
    <row r="32" spans="1:11" ht="15.75" x14ac:dyDescent="0.25">
      <c r="A32" s="1"/>
      <c r="B32" s="4" t="s">
        <v>142</v>
      </c>
      <c r="C32" s="4"/>
      <c r="D32" s="4"/>
      <c r="E32" s="4">
        <v>8000</v>
      </c>
      <c r="F32" s="4"/>
      <c r="G32" s="4" t="s">
        <v>142</v>
      </c>
      <c r="H32" s="4"/>
      <c r="I32" s="4">
        <v>8000</v>
      </c>
      <c r="J32" s="4"/>
    </row>
    <row r="33" spans="1:10" ht="15.75" x14ac:dyDescent="0.25">
      <c r="A33" s="1"/>
      <c r="B33" s="31" t="s">
        <v>144</v>
      </c>
      <c r="C33" s="31"/>
      <c r="D33" s="28"/>
      <c r="E33" s="28">
        <v>2030</v>
      </c>
      <c r="F33" s="28"/>
      <c r="G33" s="31" t="s">
        <v>144</v>
      </c>
      <c r="H33" s="31"/>
      <c r="I33" s="28">
        <v>2030</v>
      </c>
      <c r="J33" s="28"/>
    </row>
    <row r="34" spans="1:10" ht="15.75" x14ac:dyDescent="0.25">
      <c r="A34" s="1"/>
      <c r="B34" s="32"/>
      <c r="C34" s="32"/>
      <c r="D34" s="28"/>
      <c r="E34" s="28"/>
      <c r="F34" s="28"/>
      <c r="G34" s="32"/>
      <c r="H34" s="28"/>
      <c r="I34" s="28"/>
      <c r="J34" s="28"/>
    </row>
    <row r="35" spans="1:10" ht="15.75" x14ac:dyDescent="0.25">
      <c r="A35" s="1"/>
      <c r="B35" s="28" t="s">
        <v>19</v>
      </c>
      <c r="C35" s="28"/>
      <c r="D35" s="29">
        <f>D26+D27+D28-E29</f>
        <v>26142</v>
      </c>
      <c r="E35" s="29">
        <f>SUM(E31:E34)</f>
        <v>10030</v>
      </c>
      <c r="F35" s="29">
        <f>D35-E35</f>
        <v>16112</v>
      </c>
      <c r="G35" s="28" t="s">
        <v>19</v>
      </c>
      <c r="H35" s="29">
        <f>H26+H27+H28-I29</f>
        <v>7842</v>
      </c>
      <c r="I35" s="29">
        <f>SUM(I31:I34)</f>
        <v>10030</v>
      </c>
      <c r="J35" s="29">
        <f>H35-I35</f>
        <v>-2188</v>
      </c>
    </row>
    <row r="36" spans="1:10" ht="15.75" x14ac:dyDescent="0.25">
      <c r="A36" s="1"/>
      <c r="B36" s="21"/>
      <c r="C36" s="21"/>
      <c r="D36" s="21"/>
      <c r="E36" s="21" t="s">
        <v>53</v>
      </c>
      <c r="F36" s="21"/>
      <c r="G36" s="21"/>
      <c r="H36" s="21"/>
      <c r="I36" s="21"/>
      <c r="J36" s="21"/>
    </row>
    <row r="37" spans="1:10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 x14ac:dyDescent="0.25">
      <c r="A38" s="1"/>
      <c r="B38" s="1" t="s">
        <v>42</v>
      </c>
      <c r="C38" s="1"/>
      <c r="D38" s="1"/>
      <c r="E38" s="1"/>
      <c r="F38" s="1" t="s">
        <v>44</v>
      </c>
      <c r="G38" s="1"/>
      <c r="H38" s="1"/>
      <c r="I38" s="1" t="s">
        <v>46</v>
      </c>
      <c r="J38" s="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100</v>
      </c>
      <c r="C40" s="1"/>
      <c r="D40" s="1"/>
      <c r="E40" s="1"/>
      <c r="F40" s="1" t="s">
        <v>45</v>
      </c>
      <c r="G40" s="1"/>
      <c r="H40" s="1"/>
      <c r="I40" s="1" t="s">
        <v>47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K25" sqref="K25"/>
    </sheetView>
  </sheetViews>
  <sheetFormatPr defaultRowHeight="15" x14ac:dyDescent="0.25"/>
  <cols>
    <col min="2" max="2" width="18.7109375" customWidth="1"/>
  </cols>
  <sheetData>
    <row r="1" spans="1:10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0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143</v>
      </c>
      <c r="E3" s="1"/>
      <c r="F3" s="1"/>
      <c r="G3" s="1"/>
      <c r="H3" s="1"/>
      <c r="I3" s="1"/>
      <c r="J3" s="1"/>
    </row>
    <row r="4" spans="1:10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0" ht="15.75" x14ac:dyDescent="0.25">
      <c r="A5" s="4">
        <v>1</v>
      </c>
      <c r="B5" s="4" t="s">
        <v>120</v>
      </c>
      <c r="C5" s="4"/>
      <c r="D5" s="4">
        <f>'MAY 20'!H5:H20</f>
        <v>0</v>
      </c>
      <c r="E5" s="4">
        <v>1500</v>
      </c>
      <c r="F5" s="4">
        <f>D5+E5+C5</f>
        <v>1500</v>
      </c>
      <c r="G5" s="4">
        <v>1500</v>
      </c>
      <c r="H5" s="4">
        <f>F5-G5</f>
        <v>0</v>
      </c>
      <c r="I5" s="1"/>
      <c r="J5" s="1"/>
    </row>
    <row r="6" spans="1:10" ht="15.75" x14ac:dyDescent="0.25">
      <c r="A6" s="4">
        <v>2</v>
      </c>
      <c r="B6" s="4" t="s">
        <v>134</v>
      </c>
      <c r="C6" s="4"/>
      <c r="D6" s="4">
        <f>'MAY 20'!H6:H21</f>
        <v>0</v>
      </c>
      <c r="E6" s="4">
        <v>1500</v>
      </c>
      <c r="F6" s="4">
        <f t="shared" ref="F6:F20" si="0">D6+E6+C6</f>
        <v>1500</v>
      </c>
      <c r="G6" s="4">
        <v>1500</v>
      </c>
      <c r="H6" s="4">
        <f t="shared" ref="H6:H19" si="1">F6-G6</f>
        <v>0</v>
      </c>
      <c r="I6" s="1"/>
      <c r="J6" s="1"/>
    </row>
    <row r="7" spans="1:10" ht="15.75" x14ac:dyDescent="0.25">
      <c r="A7" s="4">
        <v>3</v>
      </c>
      <c r="B7" s="4" t="s">
        <v>39</v>
      </c>
      <c r="C7" s="4"/>
      <c r="D7" s="4">
        <f>'MAY 20'!H7:H22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0" ht="15.75" x14ac:dyDescent="0.25">
      <c r="A8" s="4">
        <v>4</v>
      </c>
      <c r="B8" s="4" t="s">
        <v>58</v>
      </c>
      <c r="C8" s="4"/>
      <c r="D8" s="4">
        <f>'MAY 20'!H8:H23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0" ht="15.75" x14ac:dyDescent="0.25">
      <c r="A9" s="4">
        <v>5</v>
      </c>
      <c r="B9" s="4" t="s">
        <v>84</v>
      </c>
      <c r="C9" s="4"/>
      <c r="D9" s="4">
        <f>'MAY 20'!H9:H24</f>
        <v>3200</v>
      </c>
      <c r="E9" s="4">
        <v>1200</v>
      </c>
      <c r="F9" s="4">
        <f t="shared" si="0"/>
        <v>4400</v>
      </c>
      <c r="G9" s="4">
        <f>1000</f>
        <v>1000</v>
      </c>
      <c r="H9" s="4">
        <f>F9-G9</f>
        <v>3400</v>
      </c>
      <c r="I9" s="1"/>
      <c r="J9" s="1"/>
    </row>
    <row r="10" spans="1:10" ht="15.75" x14ac:dyDescent="0.25">
      <c r="A10" s="4">
        <v>6</v>
      </c>
      <c r="B10" s="4" t="s">
        <v>113</v>
      </c>
      <c r="C10" s="4"/>
      <c r="D10" s="4">
        <f>'MAY 20'!H10:H25</f>
        <v>3500</v>
      </c>
      <c r="E10" s="4">
        <v>3000</v>
      </c>
      <c r="F10" s="4">
        <f t="shared" si="0"/>
        <v>6500</v>
      </c>
      <c r="G10" s="4">
        <f>2000+1000</f>
        <v>3000</v>
      </c>
      <c r="H10" s="4">
        <f>F10-G10</f>
        <v>3500</v>
      </c>
      <c r="I10" s="1"/>
      <c r="J10" s="1"/>
    </row>
    <row r="11" spans="1:10" ht="15.75" x14ac:dyDescent="0.25">
      <c r="A11" s="4">
        <v>7</v>
      </c>
      <c r="B11" s="4" t="s">
        <v>59</v>
      </c>
      <c r="C11" s="4"/>
      <c r="D11" s="4">
        <f>'MAY 20'!H11:H26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0" ht="15.75" x14ac:dyDescent="0.25">
      <c r="A12" s="4">
        <v>8</v>
      </c>
      <c r="B12" s="4" t="s">
        <v>10</v>
      </c>
      <c r="C12" s="4"/>
      <c r="D12" s="4">
        <f>'MAY 20'!H12:H27</f>
        <v>2700</v>
      </c>
      <c r="E12" s="4">
        <v>1200</v>
      </c>
      <c r="F12" s="4">
        <f t="shared" si="0"/>
        <v>3900</v>
      </c>
      <c r="G12" s="4">
        <f>500</f>
        <v>500</v>
      </c>
      <c r="H12" s="4">
        <f t="shared" si="1"/>
        <v>3400</v>
      </c>
      <c r="I12" s="1"/>
      <c r="J12" s="1"/>
    </row>
    <row r="13" spans="1:10" ht="15.75" x14ac:dyDescent="0.25">
      <c r="A13" s="4">
        <v>9</v>
      </c>
      <c r="B13" s="4" t="s">
        <v>10</v>
      </c>
      <c r="C13" s="4"/>
      <c r="D13" s="4">
        <f>'MAY 20'!H13:H28</f>
        <v>5900</v>
      </c>
      <c r="E13" s="4">
        <v>2400</v>
      </c>
      <c r="F13" s="4">
        <f t="shared" si="0"/>
        <v>8300</v>
      </c>
      <c r="G13" s="4">
        <f>3000</f>
        <v>3000</v>
      </c>
      <c r="H13" s="4">
        <f t="shared" si="1"/>
        <v>5300</v>
      </c>
      <c r="I13" s="1"/>
      <c r="J13" s="1">
        <f>H13+H12</f>
        <v>8700</v>
      </c>
    </row>
    <row r="14" spans="1:10" ht="15.75" x14ac:dyDescent="0.25">
      <c r="A14" s="4">
        <v>10</v>
      </c>
      <c r="B14" s="4" t="s">
        <v>136</v>
      </c>
      <c r="C14" s="4"/>
      <c r="D14" s="4">
        <f>'MAY 20'!H14:H29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/>
    </row>
    <row r="15" spans="1:10" ht="15.75" x14ac:dyDescent="0.25">
      <c r="A15" s="4">
        <v>11</v>
      </c>
      <c r="B15" s="4" t="s">
        <v>146</v>
      </c>
      <c r="C15" s="4"/>
      <c r="D15" s="4">
        <f>'MAY 20'!H15:H30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12</v>
      </c>
      <c r="B16" s="4" t="s">
        <v>98</v>
      </c>
      <c r="C16" s="4"/>
      <c r="D16" s="4">
        <f>'MAY 20'!H16:H31</f>
        <v>3000</v>
      </c>
      <c r="E16" s="4">
        <v>1500</v>
      </c>
      <c r="F16" s="4">
        <f t="shared" si="0"/>
        <v>4500</v>
      </c>
      <c r="G16" s="4"/>
      <c r="H16" s="4">
        <f>F16-G16</f>
        <v>4500</v>
      </c>
      <c r="I16" s="1"/>
      <c r="J16" s="1"/>
    </row>
    <row r="17" spans="1:12" ht="15.75" x14ac:dyDescent="0.25">
      <c r="A17" s="4">
        <v>13</v>
      </c>
      <c r="B17" s="4" t="s">
        <v>135</v>
      </c>
      <c r="C17" s="4"/>
      <c r="D17" s="4">
        <f>'MAY 20'!H17:H32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2" ht="15.75" x14ac:dyDescent="0.25">
      <c r="A18" s="4">
        <v>14</v>
      </c>
      <c r="B18" s="4" t="s">
        <v>140</v>
      </c>
      <c r="C18" s="4"/>
      <c r="D18" s="4">
        <f>'MAY 20'!H18:H33</f>
        <v>0</v>
      </c>
      <c r="E18" s="4">
        <v>3000</v>
      </c>
      <c r="F18" s="4">
        <f t="shared" si="0"/>
        <v>3000</v>
      </c>
      <c r="G18" s="4">
        <v>3000</v>
      </c>
      <c r="H18" s="4">
        <f>F18-G18</f>
        <v>0</v>
      </c>
      <c r="I18" s="1"/>
      <c r="J18" s="1"/>
    </row>
    <row r="19" spans="1:12" ht="15.75" x14ac:dyDescent="0.25">
      <c r="A19" s="4">
        <v>15</v>
      </c>
      <c r="B19" s="4" t="s">
        <v>15</v>
      </c>
      <c r="C19" s="4"/>
      <c r="D19" s="4">
        <f>'MAY 20'!H19:H34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2" ht="15.75" x14ac:dyDescent="0.25">
      <c r="A20" s="4">
        <v>16</v>
      </c>
      <c r="B20" s="4" t="s">
        <v>18</v>
      </c>
      <c r="C20" s="4"/>
      <c r="D20" s="4">
        <f>'MAY 20'!H20:H35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2" ht="15.75" x14ac:dyDescent="0.25">
      <c r="A21" s="4"/>
      <c r="B21" s="3" t="s">
        <v>19</v>
      </c>
      <c r="C21" s="3">
        <f t="shared" ref="C21:H21" si="2">SUM(C5:C20)</f>
        <v>0</v>
      </c>
      <c r="D21" s="4">
        <f>SUM(D5:D20)</f>
        <v>18300</v>
      </c>
      <c r="E21" s="3">
        <f t="shared" si="2"/>
        <v>25800</v>
      </c>
      <c r="F21" s="3">
        <f t="shared" si="2"/>
        <v>44100</v>
      </c>
      <c r="G21" s="3">
        <f t="shared" si="2"/>
        <v>24000</v>
      </c>
      <c r="H21" s="3">
        <f t="shared" si="2"/>
        <v>20100</v>
      </c>
      <c r="I21" s="1"/>
      <c r="J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2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</row>
    <row r="25" spans="1:12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</row>
    <row r="26" spans="1:12" ht="15.75" x14ac:dyDescent="0.25">
      <c r="A26" s="1"/>
      <c r="B26" s="28" t="s">
        <v>27</v>
      </c>
      <c r="C26" s="28"/>
      <c r="D26" s="29">
        <f>E21</f>
        <v>25800</v>
      </c>
      <c r="E26" s="28"/>
      <c r="F26" s="28"/>
      <c r="G26" s="28" t="s">
        <v>27</v>
      </c>
      <c r="H26" s="29">
        <f>G21</f>
        <v>24000</v>
      </c>
      <c r="I26" s="28"/>
      <c r="J26" s="28"/>
    </row>
    <row r="27" spans="1:12" ht="15.75" x14ac:dyDescent="0.25">
      <c r="A27" s="1"/>
      <c r="B27" s="28" t="s">
        <v>5</v>
      </c>
      <c r="C27" s="28"/>
      <c r="D27" s="29">
        <f>'MAY 20'!F35</f>
        <v>16112</v>
      </c>
      <c r="E27" s="28"/>
      <c r="F27" s="28"/>
      <c r="G27" s="28" t="s">
        <v>5</v>
      </c>
      <c r="H27" s="29">
        <f>'MAY 20'!J35</f>
        <v>-2188</v>
      </c>
      <c r="I27" s="28"/>
      <c r="J27" s="28"/>
    </row>
    <row r="28" spans="1:12" ht="15.75" x14ac:dyDescent="0.25">
      <c r="A28" s="1"/>
      <c r="B28" s="28" t="s">
        <v>141</v>
      </c>
      <c r="C28" s="28"/>
      <c r="D28" s="29"/>
      <c r="E28" s="28"/>
      <c r="F28" s="28"/>
      <c r="G28" s="28"/>
      <c r="H28" s="29"/>
      <c r="I28" s="28"/>
      <c r="J28" s="28"/>
    </row>
    <row r="29" spans="1:12" ht="15.75" x14ac:dyDescent="0.25">
      <c r="A29" s="1"/>
      <c r="B29" s="28" t="s">
        <v>28</v>
      </c>
      <c r="C29" s="28"/>
      <c r="D29" s="30">
        <v>0.1</v>
      </c>
      <c r="E29" s="29">
        <f>D29*D26</f>
        <v>2580</v>
      </c>
      <c r="F29" s="28"/>
      <c r="G29" s="28" t="s">
        <v>28</v>
      </c>
      <c r="H29" s="30">
        <v>0.1</v>
      </c>
      <c r="I29" s="29">
        <f>E29</f>
        <v>2580</v>
      </c>
      <c r="J29" s="28"/>
    </row>
    <row r="30" spans="1:12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</row>
    <row r="31" spans="1:12" ht="15.75" x14ac:dyDescent="0.25">
      <c r="A31" s="1"/>
      <c r="B31" s="31" t="s">
        <v>131</v>
      </c>
      <c r="C31" s="31"/>
      <c r="D31" s="28"/>
      <c r="E31" s="28">
        <v>8000</v>
      </c>
      <c r="F31" s="28"/>
      <c r="G31" s="31" t="s">
        <v>131</v>
      </c>
      <c r="H31" s="28"/>
      <c r="I31" s="28">
        <v>8000</v>
      </c>
      <c r="J31" s="28"/>
      <c r="L31" s="20"/>
    </row>
    <row r="32" spans="1:12" ht="15.75" x14ac:dyDescent="0.25">
      <c r="A32" s="1"/>
      <c r="B32" s="4" t="s">
        <v>145</v>
      </c>
      <c r="C32" s="4"/>
      <c r="D32" s="4"/>
      <c r="E32" s="4">
        <v>8000</v>
      </c>
      <c r="F32" s="4"/>
      <c r="G32" s="4" t="s">
        <v>145</v>
      </c>
      <c r="H32" s="4"/>
      <c r="I32" s="4">
        <v>8000</v>
      </c>
      <c r="J32" s="4"/>
    </row>
    <row r="33" spans="1:12" ht="15.75" x14ac:dyDescent="0.25">
      <c r="A33" s="1"/>
      <c r="B33" s="31" t="s">
        <v>149</v>
      </c>
      <c r="C33" s="31"/>
      <c r="D33" s="28"/>
      <c r="E33" s="28">
        <f>D10</f>
        <v>3500</v>
      </c>
      <c r="F33" s="28"/>
      <c r="G33" s="31" t="s">
        <v>149</v>
      </c>
      <c r="H33" s="31"/>
      <c r="I33" s="28"/>
      <c r="J33" s="28"/>
      <c r="L33" s="20"/>
    </row>
    <row r="34" spans="1:12" ht="15.75" x14ac:dyDescent="0.25">
      <c r="A34" s="1"/>
      <c r="B34" s="32"/>
      <c r="C34" s="32"/>
      <c r="D34" s="28"/>
      <c r="E34" s="28"/>
      <c r="F34" s="28"/>
      <c r="G34" s="32"/>
      <c r="H34" s="28"/>
      <c r="I34" s="28"/>
      <c r="J34" s="28"/>
    </row>
    <row r="35" spans="1:12" ht="15.75" x14ac:dyDescent="0.25">
      <c r="A35" s="1"/>
      <c r="B35" s="28" t="s">
        <v>19</v>
      </c>
      <c r="C35" s="28"/>
      <c r="D35" s="29">
        <f>D26+D27+D28-E29</f>
        <v>39332</v>
      </c>
      <c r="E35" s="29">
        <f>SUM(E31:E34)</f>
        <v>19500</v>
      </c>
      <c r="F35" s="29">
        <f>D35-E35</f>
        <v>19832</v>
      </c>
      <c r="G35" s="28" t="s">
        <v>19</v>
      </c>
      <c r="H35" s="29">
        <f>H26+H27+H28-I29</f>
        <v>19232</v>
      </c>
      <c r="I35" s="29">
        <f>SUM(I31:I34)</f>
        <v>16000</v>
      </c>
      <c r="J35" s="29">
        <f>H35-I35</f>
        <v>3232</v>
      </c>
    </row>
    <row r="36" spans="1:12" ht="15.75" x14ac:dyDescent="0.25">
      <c r="A36" s="1"/>
      <c r="B36" s="21"/>
      <c r="C36" s="21"/>
      <c r="D36" s="21"/>
      <c r="E36" s="21" t="s">
        <v>53</v>
      </c>
      <c r="F36" s="21"/>
      <c r="G36" s="21"/>
      <c r="H36" s="21"/>
      <c r="I36" s="21"/>
      <c r="J36" s="21"/>
    </row>
    <row r="37" spans="1:12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2" ht="15.75" x14ac:dyDescent="0.25">
      <c r="A38" s="1"/>
      <c r="B38" s="1" t="s">
        <v>42</v>
      </c>
      <c r="C38" s="1"/>
      <c r="D38" s="1"/>
      <c r="E38" s="1"/>
      <c r="F38" s="1" t="s">
        <v>44</v>
      </c>
      <c r="G38" s="1"/>
      <c r="H38" s="1"/>
      <c r="I38" s="1" t="s">
        <v>46</v>
      </c>
      <c r="J38" s="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100</v>
      </c>
      <c r="C40" s="1"/>
      <c r="D40" s="1"/>
      <c r="E40" s="1"/>
      <c r="F40" s="1" t="s">
        <v>45</v>
      </c>
      <c r="G40" s="1"/>
      <c r="H40" s="1"/>
      <c r="I40" s="1" t="s">
        <v>47</v>
      </c>
      <c r="J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M38" sqref="M38"/>
    </sheetView>
  </sheetViews>
  <sheetFormatPr defaultRowHeight="15" x14ac:dyDescent="0.25"/>
  <cols>
    <col min="1" max="1" width="4.42578125" customWidth="1"/>
    <col min="6" max="6" width="12.28515625" customWidth="1"/>
  </cols>
  <sheetData>
    <row r="1" spans="1:11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1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147</v>
      </c>
      <c r="E3" s="1"/>
      <c r="F3" s="1"/>
      <c r="G3" s="1"/>
      <c r="H3" s="1"/>
      <c r="I3" s="1"/>
      <c r="J3" s="1"/>
    </row>
    <row r="4" spans="1:11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1" ht="15.75" x14ac:dyDescent="0.25">
      <c r="A5" s="4">
        <v>1</v>
      </c>
      <c r="B5" s="4" t="s">
        <v>120</v>
      </c>
      <c r="C5" s="4"/>
      <c r="D5" s="4">
        <f>'JUNE 20'!H5:H20</f>
        <v>0</v>
      </c>
      <c r="E5" s="4">
        <v>1500</v>
      </c>
      <c r="F5" s="4">
        <f>D5+E5+C5</f>
        <v>1500</v>
      </c>
      <c r="G5" s="4">
        <v>1000</v>
      </c>
      <c r="H5" s="4">
        <f>F5-G5</f>
        <v>500</v>
      </c>
      <c r="I5" s="1"/>
      <c r="J5" s="1"/>
    </row>
    <row r="6" spans="1:11" ht="15.75" x14ac:dyDescent="0.25">
      <c r="A6" s="4">
        <v>2</v>
      </c>
      <c r="B6" s="4" t="s">
        <v>134</v>
      </c>
      <c r="C6" s="4"/>
      <c r="D6" s="4">
        <f>'JUNE 20'!H6:H21</f>
        <v>0</v>
      </c>
      <c r="E6" s="4">
        <v>1500</v>
      </c>
      <c r="F6" s="4">
        <f t="shared" ref="F6:F20" si="0">D6+E6+C6</f>
        <v>1500</v>
      </c>
      <c r="G6" s="4">
        <v>1500</v>
      </c>
      <c r="H6" s="4">
        <f t="shared" ref="H6:H19" si="1">F6-G6</f>
        <v>0</v>
      </c>
      <c r="I6" s="1"/>
      <c r="J6" s="1"/>
    </row>
    <row r="7" spans="1:11" ht="15.75" x14ac:dyDescent="0.25">
      <c r="A7" s="4">
        <v>3</v>
      </c>
      <c r="B7" s="4" t="s">
        <v>39</v>
      </c>
      <c r="C7" s="4"/>
      <c r="D7" s="4">
        <f>'JUNE 20'!H7:H22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1" ht="15.75" x14ac:dyDescent="0.25">
      <c r="A8" s="4">
        <v>4</v>
      </c>
      <c r="B8" s="4" t="s">
        <v>58</v>
      </c>
      <c r="C8" s="4"/>
      <c r="D8" s="4">
        <f>'JUNE 20'!H8:H23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1" ht="15.75" x14ac:dyDescent="0.25">
      <c r="A9" s="4">
        <v>5</v>
      </c>
      <c r="B9" s="4" t="s">
        <v>84</v>
      </c>
      <c r="C9" s="4"/>
      <c r="D9" s="4">
        <f>'JUNE 20'!H9:H24</f>
        <v>3400</v>
      </c>
      <c r="E9" s="4">
        <v>1200</v>
      </c>
      <c r="F9" s="4">
        <f t="shared" si="0"/>
        <v>4600</v>
      </c>
      <c r="G9" s="4"/>
      <c r="H9" s="4">
        <f>F9-G9</f>
        <v>4600</v>
      </c>
      <c r="I9" s="1" t="s">
        <v>122</v>
      </c>
      <c r="J9" s="1"/>
    </row>
    <row r="10" spans="1:11" ht="15.75" x14ac:dyDescent="0.25">
      <c r="A10" s="4">
        <v>6</v>
      </c>
      <c r="B10" s="4" t="s">
        <v>15</v>
      </c>
      <c r="C10" s="4"/>
      <c r="D10" s="4"/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7</v>
      </c>
      <c r="B11" s="4" t="s">
        <v>59</v>
      </c>
      <c r="C11" s="4"/>
      <c r="D11" s="4">
        <f>'JUNE 20'!H11:H26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1" ht="15.75" x14ac:dyDescent="0.25">
      <c r="A12" s="4">
        <v>8</v>
      </c>
      <c r="B12" s="4" t="s">
        <v>10</v>
      </c>
      <c r="C12" s="4"/>
      <c r="D12" s="4">
        <f>'JUNE 20'!H12:H27</f>
        <v>3400</v>
      </c>
      <c r="E12" s="4">
        <v>1200</v>
      </c>
      <c r="F12" s="4">
        <f t="shared" si="0"/>
        <v>4600</v>
      </c>
      <c r="G12" s="4">
        <v>2400</v>
      </c>
      <c r="H12" s="4">
        <f t="shared" si="1"/>
        <v>2200</v>
      </c>
      <c r="I12" s="1"/>
      <c r="J12" s="1"/>
    </row>
    <row r="13" spans="1:11" ht="15.75" x14ac:dyDescent="0.25">
      <c r="A13" s="4">
        <v>9</v>
      </c>
      <c r="B13" s="4" t="s">
        <v>10</v>
      </c>
      <c r="C13" s="4"/>
      <c r="D13" s="4">
        <f>'JUNE 20'!H13:H28</f>
        <v>5300</v>
      </c>
      <c r="E13" s="4">
        <v>2400</v>
      </c>
      <c r="F13" s="4">
        <f t="shared" si="0"/>
        <v>7700</v>
      </c>
      <c r="G13" s="4">
        <v>100</v>
      </c>
      <c r="H13" s="4">
        <f t="shared" si="1"/>
        <v>7600</v>
      </c>
      <c r="I13" s="1"/>
      <c r="J13" s="1"/>
    </row>
    <row r="14" spans="1:11" ht="15.75" x14ac:dyDescent="0.25">
      <c r="A14" s="4">
        <v>10</v>
      </c>
      <c r="B14" s="4" t="s">
        <v>136</v>
      </c>
      <c r="C14" s="4"/>
      <c r="D14" s="4">
        <f>'JUNE 20'!H14:H29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/>
      <c r="K14">
        <f>8700+E12+E13</f>
        <v>12300</v>
      </c>
    </row>
    <row r="15" spans="1:11" ht="15.75" x14ac:dyDescent="0.25">
      <c r="A15" s="4">
        <v>11</v>
      </c>
      <c r="B15" s="4" t="s">
        <v>146</v>
      </c>
      <c r="C15" s="4"/>
      <c r="D15" s="4">
        <f>'JUNE 20'!H15:H30</f>
        <v>0</v>
      </c>
      <c r="E15" s="4">
        <v>1500</v>
      </c>
      <c r="F15" s="4">
        <f t="shared" si="0"/>
        <v>1500</v>
      </c>
      <c r="G15" s="4"/>
      <c r="H15" s="4">
        <f>F15-G15</f>
        <v>1500</v>
      </c>
      <c r="I15" s="1"/>
      <c r="J15" s="1"/>
      <c r="K15">
        <f>K14-2500</f>
        <v>9800</v>
      </c>
    </row>
    <row r="16" spans="1:11" ht="15.75" x14ac:dyDescent="0.25">
      <c r="A16" s="4">
        <v>12</v>
      </c>
      <c r="B16" s="4" t="s">
        <v>98</v>
      </c>
      <c r="C16" s="4"/>
      <c r="D16" s="4">
        <f>'JUNE 20'!H16:H31</f>
        <v>4500</v>
      </c>
      <c r="E16" s="4">
        <v>1500</v>
      </c>
      <c r="F16" s="4">
        <f t="shared" si="0"/>
        <v>6000</v>
      </c>
      <c r="G16" s="4">
        <v>3000</v>
      </c>
      <c r="H16" s="4">
        <f>F16-G16</f>
        <v>3000</v>
      </c>
      <c r="I16" s="1"/>
      <c r="J16" s="1"/>
    </row>
    <row r="17" spans="1:14" ht="15.75" x14ac:dyDescent="0.25">
      <c r="A17" s="4">
        <v>13</v>
      </c>
      <c r="B17" s="4" t="s">
        <v>135</v>
      </c>
      <c r="C17" s="4"/>
      <c r="D17" s="4">
        <f>'JUNE 20'!H17:H32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4" ht="15.75" x14ac:dyDescent="0.25">
      <c r="A18" s="4">
        <v>14</v>
      </c>
      <c r="B18" s="4" t="s">
        <v>140</v>
      </c>
      <c r="C18" s="4"/>
      <c r="D18" s="4">
        <f>'JUNE 20'!H18:H33</f>
        <v>0</v>
      </c>
      <c r="E18" s="4">
        <v>3000</v>
      </c>
      <c r="F18" s="4">
        <f t="shared" si="0"/>
        <v>3000</v>
      </c>
      <c r="G18" s="4">
        <v>3000</v>
      </c>
      <c r="H18" s="4">
        <f>F18-G18</f>
        <v>0</v>
      </c>
      <c r="I18" s="1"/>
      <c r="J18" s="1"/>
    </row>
    <row r="19" spans="1:14" ht="15.75" x14ac:dyDescent="0.25">
      <c r="A19" s="4">
        <v>15</v>
      </c>
      <c r="B19" s="4" t="s">
        <v>15</v>
      </c>
      <c r="C19" s="4"/>
      <c r="D19" s="4">
        <f>'JUNE 20'!H19:H34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4" ht="15.75" x14ac:dyDescent="0.25">
      <c r="A20" s="4">
        <v>16</v>
      </c>
      <c r="B20" s="4" t="s">
        <v>18</v>
      </c>
      <c r="C20" s="4"/>
      <c r="D20" s="4">
        <f>'JUNE 20'!H20:H35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4" ht="15.75" x14ac:dyDescent="0.25">
      <c r="A21" s="4"/>
      <c r="B21" s="3" t="s">
        <v>19</v>
      </c>
      <c r="C21" s="3">
        <f t="shared" ref="C21:H21" si="2">SUM(C5:C20)</f>
        <v>0</v>
      </c>
      <c r="D21" s="4">
        <f>SUM(D5:D20)</f>
        <v>16600</v>
      </c>
      <c r="E21" s="3">
        <f t="shared" si="2"/>
        <v>22800</v>
      </c>
      <c r="F21" s="3">
        <f t="shared" si="2"/>
        <v>39400</v>
      </c>
      <c r="G21" s="3">
        <f t="shared" si="2"/>
        <v>20000</v>
      </c>
      <c r="H21" s="3">
        <f t="shared" si="2"/>
        <v>19400</v>
      </c>
      <c r="I21" s="1"/>
      <c r="J21" s="1"/>
    </row>
    <row r="22" spans="1:14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4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  <c r="N24">
        <f>10000+2432</f>
        <v>12432</v>
      </c>
    </row>
    <row r="25" spans="1:14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  <c r="N25">
        <v>45000</v>
      </c>
    </row>
    <row r="26" spans="1:14" ht="15.75" x14ac:dyDescent="0.25">
      <c r="A26" s="1"/>
      <c r="B26" s="28" t="s">
        <v>37</v>
      </c>
      <c r="C26" s="28"/>
      <c r="D26" s="29">
        <f>E21</f>
        <v>22800</v>
      </c>
      <c r="E26" s="28"/>
      <c r="F26" s="28"/>
      <c r="G26" s="28" t="s">
        <v>37</v>
      </c>
      <c r="H26" s="29">
        <f>G21</f>
        <v>20000</v>
      </c>
      <c r="I26" s="28"/>
      <c r="J26" s="28"/>
      <c r="N26">
        <f>N24+N25</f>
        <v>57432</v>
      </c>
    </row>
    <row r="27" spans="1:14" ht="15.75" x14ac:dyDescent="0.25">
      <c r="A27" s="1"/>
      <c r="B27" s="28" t="s">
        <v>5</v>
      </c>
      <c r="C27" s="28"/>
      <c r="D27" s="29">
        <f>'JUNE 20'!F35</f>
        <v>19832</v>
      </c>
      <c r="E27" s="28"/>
      <c r="F27" s="28"/>
      <c r="G27" s="28" t="s">
        <v>5</v>
      </c>
      <c r="H27" s="29">
        <f>'JUNE 20'!J35</f>
        <v>3232</v>
      </c>
      <c r="I27" s="28"/>
      <c r="J27" s="28"/>
      <c r="N27">
        <v>10000</v>
      </c>
    </row>
    <row r="28" spans="1:14" ht="15.75" x14ac:dyDescent="0.25">
      <c r="A28" s="1"/>
      <c r="B28" s="28" t="s">
        <v>141</v>
      </c>
      <c r="C28" s="28"/>
      <c r="D28" s="29"/>
      <c r="E28" s="28"/>
      <c r="F28" s="28"/>
      <c r="G28" s="28"/>
      <c r="H28" s="29"/>
      <c r="I28" s="28"/>
      <c r="J28" s="28"/>
      <c r="N28">
        <f>N26+N27</f>
        <v>67432</v>
      </c>
    </row>
    <row r="29" spans="1:14" ht="15.75" x14ac:dyDescent="0.25">
      <c r="A29" s="1"/>
      <c r="B29" s="28" t="s">
        <v>28</v>
      </c>
      <c r="C29" s="28"/>
      <c r="D29" s="30">
        <v>0.1</v>
      </c>
      <c r="E29" s="29">
        <f>D29*D26</f>
        <v>2280</v>
      </c>
      <c r="F29" s="28"/>
      <c r="G29" s="28" t="s">
        <v>28</v>
      </c>
      <c r="H29" s="30">
        <v>0.1</v>
      </c>
      <c r="I29" s="29">
        <f>E29</f>
        <v>2280</v>
      </c>
      <c r="J29" s="28"/>
      <c r="N29">
        <v>15000</v>
      </c>
    </row>
    <row r="30" spans="1:14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  <c r="N30">
        <f>N28+N29</f>
        <v>82432</v>
      </c>
    </row>
    <row r="31" spans="1:14" ht="15.75" x14ac:dyDescent="0.25">
      <c r="A31" s="1"/>
      <c r="B31" s="31" t="s">
        <v>131</v>
      </c>
      <c r="C31" s="31"/>
      <c r="D31" s="28"/>
      <c r="E31" s="28">
        <v>2431.9180000000001</v>
      </c>
      <c r="F31" s="28"/>
      <c r="G31" s="31" t="s">
        <v>131</v>
      </c>
      <c r="H31" s="28"/>
      <c r="I31" s="28">
        <v>2431.9180000000001</v>
      </c>
      <c r="J31" s="28"/>
    </row>
    <row r="32" spans="1:14" ht="15.75" x14ac:dyDescent="0.25">
      <c r="A32" s="1"/>
      <c r="B32" s="4" t="s">
        <v>148</v>
      </c>
      <c r="C32" s="4"/>
      <c r="D32" s="4"/>
      <c r="E32" s="4">
        <v>8000</v>
      </c>
      <c r="F32" s="4"/>
      <c r="G32" s="4" t="s">
        <v>148</v>
      </c>
      <c r="H32" s="4"/>
      <c r="I32" s="4">
        <v>8000</v>
      </c>
      <c r="J32" s="4"/>
    </row>
    <row r="33" spans="1:10" ht="15.75" x14ac:dyDescent="0.25">
      <c r="A33" s="1"/>
      <c r="B33" s="31" t="s">
        <v>150</v>
      </c>
      <c r="C33" s="31"/>
      <c r="D33" s="28"/>
      <c r="E33" s="28">
        <f>4600</f>
        <v>4600</v>
      </c>
      <c r="F33" s="28"/>
      <c r="G33" s="31"/>
      <c r="H33" s="28"/>
      <c r="I33" s="28"/>
      <c r="J33" s="28"/>
    </row>
    <row r="34" spans="1:10" ht="15.75" x14ac:dyDescent="0.25">
      <c r="A34" s="1"/>
      <c r="B34" s="32"/>
      <c r="C34" s="32"/>
      <c r="D34" s="28"/>
      <c r="E34" s="28"/>
      <c r="F34" s="28"/>
      <c r="G34" s="32"/>
      <c r="H34" s="28"/>
      <c r="I34" s="28"/>
      <c r="J34" s="28"/>
    </row>
    <row r="35" spans="1:10" ht="15.75" x14ac:dyDescent="0.25">
      <c r="A35" s="1"/>
      <c r="B35" s="28" t="s">
        <v>19</v>
      </c>
      <c r="C35" s="28"/>
      <c r="D35" s="29">
        <f>D26+D27+D28-E29</f>
        <v>40352</v>
      </c>
      <c r="E35" s="29">
        <f>SUM(E31:E34)</f>
        <v>15031.918</v>
      </c>
      <c r="F35" s="29">
        <f>D35-E35</f>
        <v>25320.082000000002</v>
      </c>
      <c r="G35" s="28" t="s">
        <v>19</v>
      </c>
      <c r="H35" s="29">
        <f>H26+H27+H28-I29</f>
        <v>20952</v>
      </c>
      <c r="I35" s="29">
        <f>SUM(I31:I34)</f>
        <v>10431.918</v>
      </c>
      <c r="J35" s="29">
        <f>H35-I35</f>
        <v>10520.082</v>
      </c>
    </row>
    <row r="36" spans="1:10" ht="15.75" x14ac:dyDescent="0.25">
      <c r="A36" s="1"/>
      <c r="B36" s="21"/>
      <c r="C36" s="21"/>
      <c r="D36" s="21"/>
      <c r="E36" s="21" t="s">
        <v>53</v>
      </c>
      <c r="F36" s="21"/>
      <c r="G36" s="21"/>
      <c r="H36" s="21"/>
      <c r="I36" s="21"/>
      <c r="J36" s="21"/>
    </row>
    <row r="37" spans="1:10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 x14ac:dyDescent="0.25">
      <c r="A38" s="1"/>
      <c r="B38" s="1" t="s">
        <v>42</v>
      </c>
      <c r="C38" s="1"/>
      <c r="D38" s="1"/>
      <c r="E38" s="1"/>
      <c r="F38" s="1" t="s">
        <v>44</v>
      </c>
      <c r="G38" s="1"/>
      <c r="H38" s="1"/>
      <c r="I38" s="1" t="s">
        <v>46</v>
      </c>
      <c r="J38" s="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100</v>
      </c>
      <c r="C40" s="1"/>
      <c r="D40" s="1"/>
      <c r="E40" s="1"/>
      <c r="F40" s="1" t="s">
        <v>45</v>
      </c>
      <c r="G40" s="1"/>
      <c r="H40" s="1"/>
      <c r="I40" s="1" t="s">
        <v>47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K43" sqref="K43"/>
    </sheetView>
  </sheetViews>
  <sheetFormatPr defaultRowHeight="15" x14ac:dyDescent="0.25"/>
  <cols>
    <col min="1" max="1" width="4.5703125" customWidth="1"/>
    <col min="6" max="6" width="10.140625" customWidth="1"/>
  </cols>
  <sheetData>
    <row r="1" spans="1:11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1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152</v>
      </c>
      <c r="E3" s="1"/>
      <c r="F3" s="1"/>
      <c r="G3" s="1"/>
      <c r="H3" s="1"/>
      <c r="I3" s="1"/>
      <c r="J3" s="1"/>
    </row>
    <row r="4" spans="1:11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1" ht="15.75" x14ac:dyDescent="0.25">
      <c r="A5" s="4">
        <v>1</v>
      </c>
      <c r="B5" s="4" t="s">
        <v>120</v>
      </c>
      <c r="C5" s="4"/>
      <c r="D5" s="4">
        <f>'JULY 20'!H5:H20</f>
        <v>500</v>
      </c>
      <c r="E5" s="4">
        <v>1500</v>
      </c>
      <c r="F5" s="4">
        <f>D5+E5+C5</f>
        <v>2000</v>
      </c>
      <c r="G5" s="4">
        <v>2000</v>
      </c>
      <c r="H5" s="4">
        <f>F5-G5</f>
        <v>0</v>
      </c>
      <c r="I5" s="1"/>
      <c r="J5" s="1"/>
    </row>
    <row r="6" spans="1:11" ht="15.75" x14ac:dyDescent="0.25">
      <c r="A6" s="4">
        <v>2</v>
      </c>
      <c r="B6" s="4" t="s">
        <v>134</v>
      </c>
      <c r="C6" s="4"/>
      <c r="D6" s="4">
        <f>'JULY 20'!H6:H21</f>
        <v>0</v>
      </c>
      <c r="E6" s="4">
        <v>1500</v>
      </c>
      <c r="F6" s="4">
        <f t="shared" ref="F6:F20" si="0">D6+E6+C6</f>
        <v>1500</v>
      </c>
      <c r="G6" s="4">
        <f>1500</f>
        <v>1500</v>
      </c>
      <c r="H6" s="4">
        <f t="shared" ref="H6:H19" si="1">F6-G6</f>
        <v>0</v>
      </c>
      <c r="I6" s="1"/>
      <c r="J6" s="1"/>
    </row>
    <row r="7" spans="1:11" ht="15.75" x14ac:dyDescent="0.25">
      <c r="A7" s="4">
        <v>3</v>
      </c>
      <c r="B7" s="4" t="s">
        <v>39</v>
      </c>
      <c r="C7" s="4"/>
      <c r="D7" s="4">
        <f>'JULY 20'!H7:H22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1" ht="15.75" x14ac:dyDescent="0.25">
      <c r="A8" s="4">
        <v>4</v>
      </c>
      <c r="B8" s="4" t="s">
        <v>58</v>
      </c>
      <c r="C8" s="4"/>
      <c r="D8" s="4">
        <f>'JULY 20'!H8:H23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1" ht="15.75" x14ac:dyDescent="0.25">
      <c r="A9" s="4">
        <v>5</v>
      </c>
      <c r="B9" s="4" t="s">
        <v>15</v>
      </c>
      <c r="C9" s="4"/>
      <c r="D9" s="4"/>
      <c r="E9" s="4"/>
      <c r="F9" s="4">
        <f t="shared" si="0"/>
        <v>0</v>
      </c>
      <c r="G9" s="4"/>
      <c r="H9" s="4">
        <f>F9-G9</f>
        <v>0</v>
      </c>
      <c r="I9" s="1"/>
      <c r="J9" s="1"/>
    </row>
    <row r="10" spans="1:11" ht="15.75" x14ac:dyDescent="0.25">
      <c r="A10" s="4">
        <v>6</v>
      </c>
      <c r="B10" s="4" t="s">
        <v>15</v>
      </c>
      <c r="C10" s="4"/>
      <c r="D10" s="4">
        <f>'JULY 20'!H10:H25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7</v>
      </c>
      <c r="B11" s="4" t="s">
        <v>59</v>
      </c>
      <c r="C11" s="4"/>
      <c r="D11" s="4">
        <f>'JULY 20'!H11:H26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1" ht="15.75" x14ac:dyDescent="0.25">
      <c r="A12" s="4">
        <v>8</v>
      </c>
      <c r="B12" s="4" t="s">
        <v>10</v>
      </c>
      <c r="C12" s="4"/>
      <c r="D12" s="4">
        <f>'JULY 20'!H12:H27</f>
        <v>2200</v>
      </c>
      <c r="E12" s="4">
        <v>1200</v>
      </c>
      <c r="F12" s="4">
        <f t="shared" si="0"/>
        <v>3400</v>
      </c>
      <c r="G12" s="4">
        <v>1000</v>
      </c>
      <c r="H12" s="4">
        <f t="shared" si="1"/>
        <v>2400</v>
      </c>
      <c r="I12" s="1"/>
      <c r="J12" s="1"/>
    </row>
    <row r="13" spans="1:11" ht="15.75" x14ac:dyDescent="0.25">
      <c r="A13" s="4">
        <v>9</v>
      </c>
      <c r="B13" s="4" t="s">
        <v>10</v>
      </c>
      <c r="C13" s="4"/>
      <c r="D13" s="4">
        <f>'JULY 20'!H13:H28</f>
        <v>7600</v>
      </c>
      <c r="E13" s="4">
        <v>2400</v>
      </c>
      <c r="F13" s="4">
        <f t="shared" si="0"/>
        <v>10000</v>
      </c>
      <c r="G13" s="4">
        <f>2000</f>
        <v>2000</v>
      </c>
      <c r="H13" s="4">
        <f t="shared" si="1"/>
        <v>8000</v>
      </c>
      <c r="I13" s="1"/>
      <c r="J13" s="1"/>
    </row>
    <row r="14" spans="1:11" ht="15.75" x14ac:dyDescent="0.25">
      <c r="A14" s="4">
        <v>10</v>
      </c>
      <c r="B14" s="4" t="s">
        <v>136</v>
      </c>
      <c r="C14" s="4"/>
      <c r="D14" s="4">
        <f>'JULY 20'!H14:H29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/>
      <c r="K14">
        <f>8700+E12+E13</f>
        <v>12300</v>
      </c>
    </row>
    <row r="15" spans="1:11" ht="15.75" x14ac:dyDescent="0.25">
      <c r="A15" s="4">
        <v>11</v>
      </c>
      <c r="B15" s="4" t="s">
        <v>146</v>
      </c>
      <c r="C15" s="4"/>
      <c r="D15" s="4">
        <f>'JULY 20'!H15:H30</f>
        <v>1500</v>
      </c>
      <c r="E15" s="4">
        <v>1500</v>
      </c>
      <c r="F15" s="4">
        <f t="shared" si="0"/>
        <v>3000</v>
      </c>
      <c r="G15" s="4">
        <f>1000+1500</f>
        <v>2500</v>
      </c>
      <c r="H15" s="4">
        <f t="shared" si="1"/>
        <v>500</v>
      </c>
      <c r="I15" s="1"/>
      <c r="J15" s="1"/>
      <c r="K15">
        <f>K14-2500</f>
        <v>9800</v>
      </c>
    </row>
    <row r="16" spans="1:11" ht="15.75" x14ac:dyDescent="0.25">
      <c r="A16" s="4">
        <v>12</v>
      </c>
      <c r="B16" s="4" t="s">
        <v>98</v>
      </c>
      <c r="C16" s="4"/>
      <c r="D16" s="4">
        <f>'JULY 20'!H16:H31</f>
        <v>3000</v>
      </c>
      <c r="E16" s="4">
        <v>1500</v>
      </c>
      <c r="F16" s="4">
        <f t="shared" si="0"/>
        <v>4500</v>
      </c>
      <c r="G16" s="4"/>
      <c r="H16" s="4">
        <f>F16-G16</f>
        <v>4500</v>
      </c>
      <c r="I16" s="1"/>
      <c r="J16" s="1"/>
    </row>
    <row r="17" spans="1:12" ht="15.75" x14ac:dyDescent="0.25">
      <c r="A17" s="4">
        <v>13</v>
      </c>
      <c r="B17" s="4" t="s">
        <v>135</v>
      </c>
      <c r="C17" s="4"/>
      <c r="D17" s="4">
        <f>'JULY 20'!H17:H32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2" ht="15.75" x14ac:dyDescent="0.25">
      <c r="A18" s="4">
        <v>14</v>
      </c>
      <c r="B18" s="4" t="s">
        <v>140</v>
      </c>
      <c r="C18" s="4"/>
      <c r="D18" s="4">
        <f>'JULY 20'!H18:H33</f>
        <v>0</v>
      </c>
      <c r="E18" s="4">
        <v>3000</v>
      </c>
      <c r="F18" s="4">
        <f t="shared" si="0"/>
        <v>3000</v>
      </c>
      <c r="G18" s="4">
        <v>3000</v>
      </c>
      <c r="H18" s="4">
        <f>F18-G18</f>
        <v>0</v>
      </c>
      <c r="I18" s="1"/>
      <c r="J18" s="1"/>
    </row>
    <row r="19" spans="1:12" ht="15.75" x14ac:dyDescent="0.25">
      <c r="A19" s="4">
        <v>15</v>
      </c>
      <c r="B19" s="4" t="s">
        <v>15</v>
      </c>
      <c r="C19" s="4"/>
      <c r="D19" s="4">
        <f>'JULY 20'!H19:H34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2" ht="15.75" x14ac:dyDescent="0.25">
      <c r="A20" s="4">
        <v>16</v>
      </c>
      <c r="B20" s="4" t="s">
        <v>18</v>
      </c>
      <c r="C20" s="4"/>
      <c r="D20" s="4">
        <f>'JULY 20'!H20:H35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2" ht="15.75" x14ac:dyDescent="0.25">
      <c r="A21" s="4"/>
      <c r="B21" s="3" t="s">
        <v>19</v>
      </c>
      <c r="C21" s="3">
        <f t="shared" ref="C21:H21" si="2">SUM(C5:C20)</f>
        <v>0</v>
      </c>
      <c r="D21" s="4">
        <f t="shared" si="2"/>
        <v>14800</v>
      </c>
      <c r="E21" s="3">
        <f t="shared" si="2"/>
        <v>21600</v>
      </c>
      <c r="F21" s="3">
        <f t="shared" si="2"/>
        <v>36400</v>
      </c>
      <c r="G21" s="3">
        <f t="shared" si="2"/>
        <v>21000</v>
      </c>
      <c r="H21" s="3">
        <f t="shared" si="2"/>
        <v>15400</v>
      </c>
      <c r="I21" s="1"/>
      <c r="J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2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</row>
    <row r="25" spans="1:12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</row>
    <row r="26" spans="1:12" ht="15.75" x14ac:dyDescent="0.25">
      <c r="A26" s="1"/>
      <c r="B26" s="28" t="s">
        <v>151</v>
      </c>
      <c r="C26" s="28"/>
      <c r="D26" s="29">
        <f>E21</f>
        <v>21600</v>
      </c>
      <c r="E26" s="28"/>
      <c r="F26" s="28"/>
      <c r="G26" s="28" t="s">
        <v>151</v>
      </c>
      <c r="H26" s="29">
        <f>G21</f>
        <v>21000</v>
      </c>
      <c r="I26" s="28"/>
      <c r="J26" s="28"/>
    </row>
    <row r="27" spans="1:12" ht="15.75" x14ac:dyDescent="0.25">
      <c r="A27" s="1"/>
      <c r="B27" s="28" t="s">
        <v>5</v>
      </c>
      <c r="C27" s="28"/>
      <c r="D27" s="29">
        <f>'JULY 20'!F35</f>
        <v>25320.082000000002</v>
      </c>
      <c r="E27" s="28"/>
      <c r="F27" s="28"/>
      <c r="G27" s="28" t="s">
        <v>5</v>
      </c>
      <c r="H27" s="29">
        <f>'JULY 20'!J35</f>
        <v>10520.082</v>
      </c>
      <c r="I27" s="28"/>
      <c r="J27" s="28"/>
    </row>
    <row r="28" spans="1:12" ht="15.75" x14ac:dyDescent="0.25">
      <c r="A28" s="1"/>
      <c r="B28" s="28" t="s">
        <v>141</v>
      </c>
      <c r="C28" s="28"/>
      <c r="D28" s="29"/>
      <c r="E28" s="28"/>
      <c r="F28" s="28"/>
      <c r="G28" s="28"/>
      <c r="H28" s="29"/>
      <c r="I28" s="28"/>
      <c r="J28" s="28"/>
    </row>
    <row r="29" spans="1:12" ht="15.75" x14ac:dyDescent="0.25">
      <c r="A29" s="1"/>
      <c r="B29" s="28" t="s">
        <v>28</v>
      </c>
      <c r="C29" s="28"/>
      <c r="D29" s="30">
        <v>0.1</v>
      </c>
      <c r="E29" s="29">
        <f>D29*D26</f>
        <v>2160</v>
      </c>
      <c r="F29" s="28"/>
      <c r="G29" s="28" t="s">
        <v>28</v>
      </c>
      <c r="H29" s="30">
        <v>0.1</v>
      </c>
      <c r="I29" s="29">
        <f>E29</f>
        <v>2160</v>
      </c>
      <c r="J29" s="28"/>
    </row>
    <row r="30" spans="1:12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</row>
    <row r="31" spans="1:12" ht="15.75" x14ac:dyDescent="0.25">
      <c r="A31" s="1"/>
      <c r="B31" s="31" t="s">
        <v>131</v>
      </c>
      <c r="C31" s="31"/>
      <c r="D31" s="28"/>
      <c r="E31" s="28"/>
      <c r="F31" s="28"/>
      <c r="G31" s="31" t="s">
        <v>131</v>
      </c>
      <c r="H31" s="28"/>
      <c r="I31" s="28"/>
      <c r="J31" s="28"/>
      <c r="L31" s="20"/>
    </row>
    <row r="32" spans="1:12" ht="15.75" x14ac:dyDescent="0.25">
      <c r="A32" s="1"/>
      <c r="B32" s="4" t="s">
        <v>153</v>
      </c>
      <c r="C32" s="4"/>
      <c r="D32" s="4"/>
      <c r="E32" s="4">
        <v>1226</v>
      </c>
      <c r="F32" s="4"/>
      <c r="G32" s="4" t="s">
        <v>153</v>
      </c>
      <c r="H32" s="4"/>
      <c r="I32" s="4">
        <v>1226</v>
      </c>
      <c r="J32" s="4"/>
    </row>
    <row r="33" spans="1:10" ht="15.75" x14ac:dyDescent="0.25">
      <c r="A33" s="1"/>
      <c r="B33" s="31" t="s">
        <v>154</v>
      </c>
      <c r="C33" s="31"/>
      <c r="D33" s="28"/>
      <c r="E33" s="28">
        <v>7100</v>
      </c>
      <c r="F33" s="28"/>
      <c r="G33" s="31" t="s">
        <v>154</v>
      </c>
      <c r="H33" s="31"/>
      <c r="I33" s="28">
        <v>7100</v>
      </c>
      <c r="J33" s="28"/>
    </row>
    <row r="34" spans="1:10" ht="15.75" x14ac:dyDescent="0.25">
      <c r="A34" s="1"/>
      <c r="B34" s="32" t="s">
        <v>155</v>
      </c>
      <c r="C34" s="32"/>
      <c r="D34" s="28"/>
      <c r="E34" s="28">
        <v>12000</v>
      </c>
      <c r="F34" s="28"/>
      <c r="G34" s="32" t="s">
        <v>155</v>
      </c>
      <c r="H34" s="32"/>
      <c r="I34" s="28">
        <v>12000</v>
      </c>
      <c r="J34" s="28"/>
    </row>
    <row r="35" spans="1:10" ht="15.75" x14ac:dyDescent="0.25">
      <c r="A35" s="1"/>
      <c r="B35" s="32" t="s">
        <v>156</v>
      </c>
      <c r="C35" s="32"/>
      <c r="D35" s="28"/>
      <c r="E35" s="28">
        <v>10087</v>
      </c>
      <c r="F35" s="28"/>
      <c r="G35" s="32" t="s">
        <v>156</v>
      </c>
      <c r="H35" s="32"/>
      <c r="I35" s="28">
        <v>10087</v>
      </c>
      <c r="J35" s="28"/>
    </row>
    <row r="36" spans="1:10" ht="15.75" x14ac:dyDescent="0.25">
      <c r="A36" s="1"/>
      <c r="B36" s="28" t="s">
        <v>19</v>
      </c>
      <c r="C36" s="28"/>
      <c r="D36" s="29">
        <f>D26+D27+D28-E29</f>
        <v>44760.082000000002</v>
      </c>
      <c r="E36" s="29">
        <f>SUM(E31:E35)</f>
        <v>30413</v>
      </c>
      <c r="F36" s="29">
        <f>D36-E36</f>
        <v>14347.082000000002</v>
      </c>
      <c r="G36" s="28" t="s">
        <v>19</v>
      </c>
      <c r="H36" s="29">
        <f>H26+H27+H28-I29</f>
        <v>29360.082000000002</v>
      </c>
      <c r="I36" s="29">
        <f>SUM(I31:I35)</f>
        <v>30413</v>
      </c>
      <c r="J36" s="29">
        <f>H36-I36</f>
        <v>-1052.9179999999978</v>
      </c>
    </row>
    <row r="37" spans="1:10" ht="15.75" x14ac:dyDescent="0.25">
      <c r="A37" s="1"/>
      <c r="B37" s="21"/>
      <c r="C37" s="21"/>
      <c r="D37" s="21"/>
      <c r="E37" s="21" t="s">
        <v>53</v>
      </c>
      <c r="F37" s="21"/>
      <c r="G37" s="21"/>
      <c r="H37" s="21"/>
      <c r="I37" s="21"/>
      <c r="J37" s="21"/>
    </row>
    <row r="38" spans="1:10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75" x14ac:dyDescent="0.25">
      <c r="A39" s="1"/>
      <c r="B39" s="1" t="s">
        <v>42</v>
      </c>
      <c r="C39" s="1"/>
      <c r="D39" s="1"/>
      <c r="E39" s="1"/>
      <c r="F39" s="1" t="s">
        <v>44</v>
      </c>
      <c r="G39" s="1"/>
      <c r="H39" s="1"/>
      <c r="I39" s="1" t="s">
        <v>46</v>
      </c>
      <c r="J39" s="1"/>
    </row>
    <row r="40" spans="1:10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x14ac:dyDescent="0.25">
      <c r="A41" s="1"/>
      <c r="B41" s="1" t="s">
        <v>100</v>
      </c>
      <c r="C41" s="1"/>
      <c r="D41" s="1"/>
      <c r="E41" s="1"/>
      <c r="F41" s="1" t="s">
        <v>45</v>
      </c>
      <c r="G41" s="1"/>
      <c r="H41" s="1"/>
      <c r="I41" s="1" t="s">
        <v>47</v>
      </c>
      <c r="J41" s="1"/>
    </row>
    <row r="42" spans="1:10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7" workbookViewId="0">
      <selection activeCell="K40" sqref="K40"/>
    </sheetView>
  </sheetViews>
  <sheetFormatPr defaultRowHeight="15" x14ac:dyDescent="0.25"/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157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'AUGUST 20'!H5:H20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'AUGUST 20'!H6:H21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 t="shared" ref="H7:H20" si="1"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'AUGUST 20'!H7:H22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'AUGUST 20'!H8:H23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'AUGUST 20'!H9:H24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'AUGUST 20'!H10:H25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'AUGUST 20'!H12</f>
        <v>2400</v>
      </c>
      <c r="E13" s="4">
        <v>1200</v>
      </c>
      <c r="F13" s="4">
        <f t="shared" si="0"/>
        <v>3600</v>
      </c>
      <c r="G13" s="4">
        <v>1200</v>
      </c>
      <c r="H13" s="4">
        <f t="shared" si="1"/>
        <v>2400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'AUGUST 20'!H13</f>
        <v>8000</v>
      </c>
      <c r="E14" s="4">
        <v>2400</v>
      </c>
      <c r="F14" s="4">
        <f t="shared" si="0"/>
        <v>10400</v>
      </c>
      <c r="G14" s="4">
        <f>2300+5000</f>
        <v>7300</v>
      </c>
      <c r="H14" s="4">
        <f t="shared" si="1"/>
        <v>3100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'AUGUST 20'!H14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'AUGUST 20'!H15</f>
        <v>500</v>
      </c>
      <c r="E16" s="4">
        <v>1500</v>
      </c>
      <c r="F16" s="4">
        <f t="shared" si="0"/>
        <v>2000</v>
      </c>
      <c r="G16" s="4">
        <v>1000</v>
      </c>
      <c r="H16" s="4">
        <f t="shared" si="1"/>
        <v>1000</v>
      </c>
      <c r="I16" s="1"/>
      <c r="J16" s="1"/>
    </row>
    <row r="17" spans="1:12" ht="15.75" x14ac:dyDescent="0.25">
      <c r="A17" s="4">
        <v>12</v>
      </c>
      <c r="B17" s="4" t="s">
        <v>98</v>
      </c>
      <c r="C17" s="4"/>
      <c r="D17" s="4">
        <f>'AUGUST 20'!H16</f>
        <v>4500</v>
      </c>
      <c r="E17" s="4">
        <v>1500</v>
      </c>
      <c r="F17" s="4">
        <f t="shared" si="0"/>
        <v>6000</v>
      </c>
      <c r="G17" s="4">
        <f>3000</f>
        <v>3000</v>
      </c>
      <c r="H17" s="4">
        <f>F17-G17</f>
        <v>3000</v>
      </c>
      <c r="I17" s="1"/>
      <c r="J17" s="1"/>
    </row>
    <row r="18" spans="1:12" ht="15.75" x14ac:dyDescent="0.25">
      <c r="A18" s="4">
        <v>13</v>
      </c>
      <c r="B18" s="4" t="s">
        <v>135</v>
      </c>
      <c r="C18" s="4"/>
      <c r="D18" s="4">
        <f>'AUGUST 20'!H17:H32</f>
        <v>0</v>
      </c>
      <c r="E18" s="4">
        <v>1500</v>
      </c>
      <c r="F18" s="4">
        <f>D18+E18+C18</f>
        <v>1500</v>
      </c>
      <c r="G18" s="4">
        <f>1500</f>
        <v>1500</v>
      </c>
      <c r="H18" s="4">
        <f>F18-G18</f>
        <v>0</v>
      </c>
      <c r="I18" s="1"/>
      <c r="J18" s="1"/>
    </row>
    <row r="19" spans="1:12" ht="15.75" x14ac:dyDescent="0.25">
      <c r="A19" s="4">
        <v>14</v>
      </c>
      <c r="B19" s="4" t="s">
        <v>140</v>
      </c>
      <c r="C19" s="4"/>
      <c r="D19" s="4">
        <f>'AUGUST 20'!H18:H33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1"/>
      <c r="J19" s="1"/>
    </row>
    <row r="20" spans="1:12" ht="15.75" x14ac:dyDescent="0.25">
      <c r="A20" s="4">
        <v>15</v>
      </c>
      <c r="B20" s="4" t="s">
        <v>15</v>
      </c>
      <c r="C20" s="4"/>
      <c r="D20" s="4">
        <f>'AUGUST 20'!H19:H34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2" ht="15.75" x14ac:dyDescent="0.25">
      <c r="A21" s="4">
        <v>16</v>
      </c>
      <c r="B21" s="4" t="s">
        <v>18</v>
      </c>
      <c r="C21" s="4"/>
      <c r="D21" s="4">
        <f>'AUGUST 20'!H20</f>
        <v>0</v>
      </c>
      <c r="E21" s="4">
        <v>1500</v>
      </c>
      <c r="F21" s="4">
        <f t="shared" si="0"/>
        <v>1500</v>
      </c>
      <c r="G21" s="4"/>
      <c r="H21" s="4">
        <f>F21-G21</f>
        <v>1500</v>
      </c>
      <c r="I21" s="1"/>
      <c r="J21" s="1"/>
      <c r="K21" s="20"/>
    </row>
    <row r="22" spans="1:12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15400</v>
      </c>
      <c r="E22" s="3">
        <f t="shared" si="2"/>
        <v>21600</v>
      </c>
      <c r="F22" s="3">
        <f t="shared" si="2"/>
        <v>37000</v>
      </c>
      <c r="G22" s="3">
        <f t="shared" si="2"/>
        <v>26000</v>
      </c>
      <c r="H22" s="3">
        <f t="shared" si="2"/>
        <v>11000</v>
      </c>
      <c r="I22" s="1"/>
      <c r="J22" s="1"/>
    </row>
    <row r="23" spans="1:12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2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2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2" ht="15.75" x14ac:dyDescent="0.25">
      <c r="A27" s="1"/>
      <c r="B27" s="28" t="s">
        <v>158</v>
      </c>
      <c r="C27" s="28"/>
      <c r="D27" s="29">
        <f>E22</f>
        <v>21600</v>
      </c>
      <c r="E27" s="28"/>
      <c r="F27" s="28"/>
      <c r="G27" s="28" t="s">
        <v>158</v>
      </c>
      <c r="H27" s="29">
        <f>G22</f>
        <v>26000</v>
      </c>
      <c r="I27" s="28"/>
      <c r="J27" s="28"/>
    </row>
    <row r="28" spans="1:12" ht="15.75" x14ac:dyDescent="0.25">
      <c r="A28" s="1"/>
      <c r="B28" s="28" t="s">
        <v>5</v>
      </c>
      <c r="C28" s="29"/>
      <c r="D28" s="29">
        <f>'AUGUST 20'!F36</f>
        <v>14347.082000000002</v>
      </c>
      <c r="E28" s="28"/>
      <c r="F28" s="28"/>
      <c r="G28" s="28"/>
      <c r="H28" s="29">
        <f>'AUGUST 20'!J36</f>
        <v>-1052.9179999999978</v>
      </c>
      <c r="I28" s="28"/>
      <c r="J28" s="28"/>
    </row>
    <row r="29" spans="1:12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2" ht="15.75" x14ac:dyDescent="0.25">
      <c r="A30" s="1"/>
      <c r="B30" s="28" t="s">
        <v>28</v>
      </c>
      <c r="C30" s="28"/>
      <c r="D30" s="30">
        <v>0.1</v>
      </c>
      <c r="E30" s="29">
        <f>D30*D27</f>
        <v>2160</v>
      </c>
      <c r="F30" s="28"/>
      <c r="G30" s="28" t="s">
        <v>28</v>
      </c>
      <c r="H30" s="30">
        <v>0.1</v>
      </c>
      <c r="I30" s="29">
        <f>E30</f>
        <v>2160</v>
      </c>
      <c r="J30" s="28"/>
    </row>
    <row r="31" spans="1:12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2" ht="15.75" x14ac:dyDescent="0.25">
      <c r="A32" s="1"/>
      <c r="B32" s="31" t="s">
        <v>131</v>
      </c>
      <c r="C32" s="31"/>
      <c r="D32" s="28"/>
      <c r="E32" s="28">
        <v>5000</v>
      </c>
      <c r="F32" s="28"/>
      <c r="G32" s="31" t="s">
        <v>131</v>
      </c>
      <c r="H32" s="28"/>
      <c r="I32" s="28">
        <v>5000</v>
      </c>
      <c r="J32" s="28"/>
      <c r="L32" s="20"/>
    </row>
    <row r="33" spans="1:11" ht="15.75" x14ac:dyDescent="0.25">
      <c r="A33" s="1"/>
      <c r="B33" s="4" t="s">
        <v>159</v>
      </c>
      <c r="C33" s="4"/>
      <c r="D33" s="4"/>
      <c r="E33" s="4">
        <v>10087</v>
      </c>
      <c r="F33" s="4"/>
      <c r="G33" s="4" t="s">
        <v>159</v>
      </c>
      <c r="H33" s="4"/>
      <c r="I33" s="4">
        <v>10087</v>
      </c>
      <c r="J33" s="4"/>
    </row>
    <row r="34" spans="1:11" ht="15.75" x14ac:dyDescent="0.25">
      <c r="A34" s="1"/>
      <c r="B34" s="31" t="s">
        <v>160</v>
      </c>
      <c r="C34" s="31"/>
      <c r="D34" s="28"/>
      <c r="E34" s="28">
        <v>6077</v>
      </c>
      <c r="F34" s="28"/>
      <c r="G34" s="31" t="s">
        <v>160</v>
      </c>
      <c r="H34" s="31"/>
      <c r="I34" s="28">
        <v>6077</v>
      </c>
      <c r="J34" s="28"/>
    </row>
    <row r="35" spans="1:11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1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1" ht="15.75" x14ac:dyDescent="0.25">
      <c r="A37" s="1"/>
      <c r="B37" s="28" t="s">
        <v>19</v>
      </c>
      <c r="C37" s="28"/>
      <c r="D37" s="29">
        <f>D27+D28+D29-E30</f>
        <v>33787.082000000002</v>
      </c>
      <c r="E37" s="29">
        <f>SUM(E32:E36)</f>
        <v>21164</v>
      </c>
      <c r="F37" s="29">
        <f>D37-E37</f>
        <v>12623.082000000002</v>
      </c>
      <c r="G37" s="28" t="s">
        <v>19</v>
      </c>
      <c r="H37" s="29">
        <f>H27+H28+H29-I30</f>
        <v>22787.082000000002</v>
      </c>
      <c r="I37" s="29">
        <f>SUM(I32:I36)</f>
        <v>21164</v>
      </c>
      <c r="J37" s="29">
        <f>H37-I37</f>
        <v>1623.0820000000022</v>
      </c>
    </row>
    <row r="38" spans="1:11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20">
        <f>H22+J37</f>
        <v>12623.082000000002</v>
      </c>
    </row>
    <row r="40" spans="1:11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  <row r="43" spans="1:11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10" workbookViewId="0">
      <selection activeCell="K41" sqref="K41"/>
    </sheetView>
  </sheetViews>
  <sheetFormatPr defaultRowHeight="15" x14ac:dyDescent="0.25"/>
  <cols>
    <col min="2" max="2" width="17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161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SEPTEMBER20!H6:H22</f>
        <v>0</v>
      </c>
      <c r="E6" s="4">
        <v>1500</v>
      </c>
      <c r="F6" s="4">
        <f>D6+E6+C6</f>
        <v>1500</v>
      </c>
      <c r="G6" s="4">
        <f>1200+300</f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SEPTEMBER20!H7:H23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 t="shared" ref="H7:H20" si="1"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SEPTEMBER20!H8:H24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SEPTEMBER20!H9:H25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SEPTEMBER20!H10:H26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SEPTEMBER20!H11:H27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SEPTEMBER20!H12:H28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SEPTEMBER20!H13:H29</f>
        <v>2400</v>
      </c>
      <c r="E13" s="4">
        <v>1200</v>
      </c>
      <c r="F13" s="4">
        <f t="shared" si="0"/>
        <v>3600</v>
      </c>
      <c r="G13" s="4"/>
      <c r="H13" s="4">
        <f t="shared" si="1"/>
        <v>3600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SEPTEMBER20!H14:H30</f>
        <v>3100</v>
      </c>
      <c r="E14" s="4">
        <v>2400</v>
      </c>
      <c r="F14" s="4">
        <f t="shared" si="0"/>
        <v>5500</v>
      </c>
      <c r="G14" s="4"/>
      <c r="H14" s="4">
        <f t="shared" si="1"/>
        <v>5500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SEPTEMBER20!H15:H31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SEPTEMBER20!H16:H32</f>
        <v>1000</v>
      </c>
      <c r="E16" s="4">
        <v>1500</v>
      </c>
      <c r="F16" s="4">
        <f t="shared" si="0"/>
        <v>2500</v>
      </c>
      <c r="G16" s="4">
        <f>1000</f>
        <v>1000</v>
      </c>
      <c r="H16" s="4">
        <f t="shared" si="1"/>
        <v>1500</v>
      </c>
      <c r="I16" s="1"/>
      <c r="J16" s="1"/>
    </row>
    <row r="17" spans="1:11" ht="15.75" x14ac:dyDescent="0.25">
      <c r="A17" s="4">
        <v>12</v>
      </c>
      <c r="B17" s="4" t="s">
        <v>98</v>
      </c>
      <c r="C17" s="4"/>
      <c r="D17" s="4">
        <f>SEPTEMBER20!H17:H33</f>
        <v>3000</v>
      </c>
      <c r="E17" s="4">
        <v>1500</v>
      </c>
      <c r="F17" s="4">
        <f t="shared" si="0"/>
        <v>4500</v>
      </c>
      <c r="G17" s="4"/>
      <c r="H17" s="4">
        <f>F17-G17</f>
        <v>4500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SEPTEMBER20!H18:H34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SEPTEMBER20!H19:H35</f>
        <v>0</v>
      </c>
      <c r="E19" s="4">
        <v>3000</v>
      </c>
      <c r="F19" s="4">
        <f t="shared" si="0"/>
        <v>3000</v>
      </c>
      <c r="G19" s="4">
        <v>2000</v>
      </c>
      <c r="H19" s="4">
        <f>F19-G19</f>
        <v>1000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SEPTEMBER20!H20:H36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SEPTEMBER20!H21:H37</f>
        <v>1500</v>
      </c>
      <c r="E21" s="4">
        <v>1500</v>
      </c>
      <c r="F21" s="4">
        <f t="shared" si="0"/>
        <v>3000</v>
      </c>
      <c r="G21" s="4">
        <v>3000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SEPTEMBER20!H22:H38</f>
        <v>11000</v>
      </c>
      <c r="E22" s="3">
        <f t="shared" si="2"/>
        <v>21600</v>
      </c>
      <c r="F22" s="3">
        <f t="shared" si="2"/>
        <v>32600</v>
      </c>
      <c r="G22" s="3">
        <f t="shared" si="2"/>
        <v>16500</v>
      </c>
      <c r="H22" s="3">
        <f t="shared" si="2"/>
        <v>16100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105</v>
      </c>
      <c r="C27" s="28"/>
      <c r="D27" s="29">
        <f>E22</f>
        <v>21600</v>
      </c>
      <c r="E27" s="28"/>
      <c r="F27" s="28"/>
      <c r="G27" s="28" t="s">
        <v>105</v>
      </c>
      <c r="H27" s="29">
        <f>G22</f>
        <v>16500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SEPTEMBER20!F37</f>
        <v>12623.082000000002</v>
      </c>
      <c r="E28" s="28"/>
      <c r="F28" s="28"/>
      <c r="G28" s="28" t="s">
        <v>5</v>
      </c>
      <c r="H28" s="29">
        <f>SEPTEMBER20!J37</f>
        <v>1623.0820000000022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2160</v>
      </c>
      <c r="F30" s="28"/>
      <c r="G30" s="28" t="s">
        <v>28</v>
      </c>
      <c r="H30" s="30">
        <v>0.1</v>
      </c>
      <c r="I30" s="29">
        <f>E30</f>
        <v>2160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>
        <v>5000</v>
      </c>
      <c r="F32" s="28"/>
      <c r="G32" s="31" t="s">
        <v>131</v>
      </c>
      <c r="H32" s="28"/>
      <c r="I32" s="28">
        <v>5000</v>
      </c>
      <c r="J32" s="28"/>
    </row>
    <row r="33" spans="1:12" ht="15.75" x14ac:dyDescent="0.25">
      <c r="A33" s="1"/>
      <c r="B33" s="4" t="s">
        <v>162</v>
      </c>
      <c r="C33" s="4"/>
      <c r="D33" s="4"/>
      <c r="E33" s="4">
        <v>1526</v>
      </c>
      <c r="F33" s="4"/>
      <c r="G33" s="4" t="s">
        <v>162</v>
      </c>
      <c r="H33" s="4"/>
      <c r="I33" s="4">
        <v>1526</v>
      </c>
      <c r="J33" s="4"/>
    </row>
    <row r="34" spans="1:12" ht="15.75" x14ac:dyDescent="0.25">
      <c r="A34" s="1"/>
      <c r="B34" s="31" t="s">
        <v>108</v>
      </c>
      <c r="C34" s="31"/>
      <c r="D34" s="28"/>
      <c r="E34" s="28">
        <v>10087</v>
      </c>
      <c r="F34" s="28"/>
      <c r="G34" s="31" t="s">
        <v>108</v>
      </c>
      <c r="H34" s="31"/>
      <c r="I34" s="28">
        <v>10087</v>
      </c>
      <c r="J34" s="28"/>
    </row>
    <row r="35" spans="1:12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  <c r="L35" s="20"/>
    </row>
    <row r="36" spans="1:12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2" ht="15.75" x14ac:dyDescent="0.25">
      <c r="A37" s="1"/>
      <c r="B37" s="28" t="s">
        <v>19</v>
      </c>
      <c r="C37" s="28"/>
      <c r="D37" s="29">
        <f>D27+D28+D29-E30</f>
        <v>32063.082000000002</v>
      </c>
      <c r="E37" s="29">
        <f>SUM(E32:E36)</f>
        <v>16613</v>
      </c>
      <c r="F37" s="29">
        <f>D37-E37</f>
        <v>15450.082000000002</v>
      </c>
      <c r="G37" s="28" t="s">
        <v>19</v>
      </c>
      <c r="H37" s="29">
        <f>H27+H28+H29-I30</f>
        <v>15963.082000000002</v>
      </c>
      <c r="I37" s="29">
        <f>SUM(I32:I36)</f>
        <v>16613</v>
      </c>
      <c r="J37" s="29">
        <f>H37-I37</f>
        <v>-649.91799999999785</v>
      </c>
    </row>
    <row r="38" spans="1:12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  <c r="K40" s="20">
        <f>H22+J37</f>
        <v>15450.082000000002</v>
      </c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2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  <row r="43" spans="1:12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17" sqref="I17"/>
    </sheetView>
  </sheetViews>
  <sheetFormatPr defaultRowHeight="15" x14ac:dyDescent="0.25"/>
  <cols>
    <col min="1" max="1" width="4.85546875" customWidth="1"/>
    <col min="2" max="2" width="17.28515625" customWidth="1"/>
    <col min="5" max="5" width="11.42578125" customWidth="1"/>
    <col min="7" max="7" width="10.285156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48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>
        <v>1200</v>
      </c>
      <c r="D8" s="4">
        <v>1200</v>
      </c>
      <c r="E8" s="4">
        <f t="shared" si="0"/>
        <v>2400</v>
      </c>
      <c r="F8" s="4">
        <v>2400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40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40</v>
      </c>
      <c r="C10" s="4"/>
      <c r="D10" s="4">
        <v>2400</v>
      </c>
      <c r="E10" s="4">
        <f t="shared" si="0"/>
        <v>2400</v>
      </c>
      <c r="F10" s="4">
        <v>2400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>
        <v>1200</v>
      </c>
      <c r="D16" s="4">
        <v>1200</v>
      </c>
      <c r="E16" s="4">
        <f t="shared" si="0"/>
        <v>2400</v>
      </c>
      <c r="F16" s="4">
        <v>2400</v>
      </c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50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>
        <v>3000</v>
      </c>
      <c r="D19" s="4">
        <v>3000</v>
      </c>
      <c r="E19" s="4">
        <f t="shared" si="0"/>
        <v>6000</v>
      </c>
      <c r="F19" s="4">
        <v>6000</v>
      </c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27300</v>
      </c>
      <c r="E22" s="3">
        <f>SUM(E5:E21)</f>
        <v>32700</v>
      </c>
      <c r="F22" s="3">
        <f>SUM(F5:F21)</f>
        <v>32700</v>
      </c>
      <c r="G22" s="3">
        <f>SUM(G5:G21)</f>
        <v>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49</v>
      </c>
      <c r="C27" s="12">
        <f>D22</f>
        <v>27300</v>
      </c>
      <c r="D27" s="4"/>
      <c r="E27" s="4"/>
      <c r="F27" s="4" t="s">
        <v>49</v>
      </c>
      <c r="G27" s="12">
        <f>F22</f>
        <v>32700</v>
      </c>
      <c r="H27" s="4"/>
      <c r="I27" s="4"/>
    </row>
    <row r="28" spans="1:9" ht="15.75" x14ac:dyDescent="0.25">
      <c r="A28" s="1"/>
      <c r="B28" s="4" t="s">
        <v>5</v>
      </c>
      <c r="C28" s="12">
        <f>JULY!E35</f>
        <v>5406</v>
      </c>
      <c r="D28" s="4"/>
      <c r="E28" s="4"/>
      <c r="F28" s="4" t="s">
        <v>5</v>
      </c>
      <c r="G28" s="12">
        <f>JULY!I35</f>
        <v>6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2730</v>
      </c>
      <c r="E29" s="4"/>
      <c r="F29" s="4" t="s">
        <v>28</v>
      </c>
      <c r="G29" s="14">
        <v>0.1</v>
      </c>
      <c r="H29" s="12">
        <f>D29</f>
        <v>2730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43327</v>
      </c>
      <c r="C31" s="4"/>
      <c r="D31" s="4">
        <v>24705</v>
      </c>
      <c r="E31" s="4"/>
      <c r="F31" s="17">
        <v>43327</v>
      </c>
      <c r="G31" s="4"/>
      <c r="H31" s="4">
        <v>24705</v>
      </c>
      <c r="I31" s="4"/>
    </row>
    <row r="32" spans="1:9" ht="15.75" x14ac:dyDescent="0.25">
      <c r="A32" s="1"/>
      <c r="B32" s="17">
        <v>43333</v>
      </c>
      <c r="C32" s="4"/>
      <c r="D32" s="4">
        <v>4311</v>
      </c>
      <c r="E32" s="4"/>
      <c r="F32" s="17">
        <v>43333</v>
      </c>
      <c r="G32" s="4"/>
      <c r="H32" s="4">
        <v>4311</v>
      </c>
      <c r="I32" s="4"/>
    </row>
    <row r="33" spans="1:9" ht="15.75" x14ac:dyDescent="0.25">
      <c r="A33" s="1"/>
      <c r="B33" s="17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9"/>
      <c r="C34" s="4"/>
      <c r="D34" s="4"/>
      <c r="E34" s="4"/>
      <c r="F34" s="17"/>
      <c r="G34" s="4"/>
      <c r="H34" s="4"/>
      <c r="I34" s="4"/>
    </row>
    <row r="35" spans="1:9" ht="15.75" x14ac:dyDescent="0.25">
      <c r="A35" s="1"/>
      <c r="B35" s="16" t="s">
        <v>19</v>
      </c>
      <c r="C35" s="18">
        <f>C27+C28</f>
        <v>32706</v>
      </c>
      <c r="D35" s="18">
        <f>SUM(D29:D34)</f>
        <v>31746</v>
      </c>
      <c r="E35" s="18">
        <f>C35-D35</f>
        <v>960</v>
      </c>
      <c r="F35" s="16" t="s">
        <v>19</v>
      </c>
      <c r="G35" s="18">
        <f>G27+G28</f>
        <v>32706</v>
      </c>
      <c r="H35" s="18">
        <f>SUM(H29:H34)</f>
        <v>31746</v>
      </c>
      <c r="I35" s="12">
        <f>G35-H35</f>
        <v>960</v>
      </c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H17" sqref="H17"/>
    </sheetView>
  </sheetViews>
  <sheetFormatPr defaultRowHeight="15" x14ac:dyDescent="0.25"/>
  <cols>
    <col min="7" max="7" width="10.8554687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163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'OCTOBER 20'!H6:H22</f>
        <v>0</v>
      </c>
      <c r="E6" s="4">
        <v>1500</v>
      </c>
      <c r="F6" s="4">
        <f>D6+E6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'OCTOBER 20'!H7:H23</f>
        <v>0</v>
      </c>
      <c r="E7" s="4">
        <v>1500</v>
      </c>
      <c r="F7" s="4">
        <f t="shared" ref="F7:F21" si="0">D7+E7+C7</f>
        <v>1500</v>
      </c>
      <c r="G7" s="4"/>
      <c r="H7" s="4">
        <f t="shared" ref="H7:H20" si="1">F7-G7</f>
        <v>1500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'OCTOBER 20'!H8:H24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'OCTOBER 20'!H9:H25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'OCTOBER 20'!H10:H26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'OCTOBER 20'!H11:H27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'OCTOBER 20'!H12:H28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'OCTOBER 20'!H13:H29</f>
        <v>3600</v>
      </c>
      <c r="E13" s="4">
        <v>1200</v>
      </c>
      <c r="F13" s="4">
        <f t="shared" si="0"/>
        <v>4800</v>
      </c>
      <c r="G13" s="4"/>
      <c r="H13" s="4">
        <f t="shared" si="1"/>
        <v>4800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'OCTOBER 20'!H14:H30</f>
        <v>5500</v>
      </c>
      <c r="E14" s="4">
        <v>2400</v>
      </c>
      <c r="F14" s="4">
        <f t="shared" si="0"/>
        <v>7900</v>
      </c>
      <c r="G14" s="4"/>
      <c r="H14" s="4">
        <f t="shared" si="1"/>
        <v>7900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'OCTOBER 20'!H15:H31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'OCTOBER 20'!H16:H32</f>
        <v>1500</v>
      </c>
      <c r="E16" s="4">
        <v>1500</v>
      </c>
      <c r="F16" s="4">
        <f t="shared" si="0"/>
        <v>3000</v>
      </c>
      <c r="G16" s="4"/>
      <c r="H16" s="4">
        <f t="shared" si="1"/>
        <v>3000</v>
      </c>
      <c r="I16" s="1"/>
      <c r="J16" s="1"/>
    </row>
    <row r="17" spans="1:11" ht="15.75" x14ac:dyDescent="0.25">
      <c r="A17" s="4">
        <v>12</v>
      </c>
      <c r="B17" s="4" t="s">
        <v>98</v>
      </c>
      <c r="C17" s="4"/>
      <c r="D17" s="4">
        <f>'OCTOBER 20'!H17:H33</f>
        <v>4500</v>
      </c>
      <c r="E17" s="4">
        <v>1500</v>
      </c>
      <c r="F17" s="4">
        <f t="shared" si="0"/>
        <v>6000</v>
      </c>
      <c r="G17" s="4"/>
      <c r="H17" s="4"/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'OCTOBER 20'!H18:H34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'OCTOBER 20'!H19:H35</f>
        <v>1000</v>
      </c>
      <c r="E19" s="4">
        <v>3000</v>
      </c>
      <c r="F19" s="4">
        <f t="shared" si="0"/>
        <v>4000</v>
      </c>
      <c r="G19" s="4">
        <v>3000</v>
      </c>
      <c r="H19" s="4">
        <f>F19-G19</f>
        <v>1000</v>
      </c>
      <c r="I19" s="1" t="s">
        <v>168</v>
      </c>
      <c r="J19" s="1"/>
    </row>
    <row r="20" spans="1:11" ht="15.75" x14ac:dyDescent="0.25">
      <c r="A20" s="4">
        <v>15</v>
      </c>
      <c r="B20" s="4" t="s">
        <v>15</v>
      </c>
      <c r="C20" s="4"/>
      <c r="D20" s="4">
        <f>'OCTOBER 20'!H20:H36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'OCTOBER 20'!H21:H37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'OCTOBER 20'!H22:H38</f>
        <v>16100</v>
      </c>
      <c r="E22" s="3">
        <f t="shared" si="2"/>
        <v>21600</v>
      </c>
      <c r="F22" s="3">
        <f t="shared" si="2"/>
        <v>37700</v>
      </c>
      <c r="G22" s="3">
        <f t="shared" si="2"/>
        <v>13500</v>
      </c>
      <c r="H22" s="3">
        <f t="shared" si="2"/>
        <v>18200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109</v>
      </c>
      <c r="C27" s="28"/>
      <c r="D27" s="29">
        <f>E22</f>
        <v>21600</v>
      </c>
      <c r="E27" s="28"/>
      <c r="F27" s="28"/>
      <c r="G27" s="28" t="s">
        <v>109</v>
      </c>
      <c r="H27" s="29">
        <f>G22</f>
        <v>13500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'OCTOBER 20'!F37</f>
        <v>15450.082000000002</v>
      </c>
      <c r="E28" s="28"/>
      <c r="F28" s="28"/>
      <c r="G28" s="28" t="s">
        <v>5</v>
      </c>
      <c r="H28" s="29">
        <f>'OCTOBER 20'!J37</f>
        <v>-649.91799999999785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2160</v>
      </c>
      <c r="F30" s="28"/>
      <c r="G30" s="28" t="s">
        <v>28</v>
      </c>
      <c r="H30" s="30">
        <v>0.1</v>
      </c>
      <c r="I30" s="29">
        <f>E30</f>
        <v>2160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/>
      <c r="F32" s="28"/>
      <c r="G32" s="31" t="s">
        <v>131</v>
      </c>
      <c r="H32" s="28"/>
      <c r="I32" s="28"/>
      <c r="J32" s="28"/>
    </row>
    <row r="33" spans="1:10" ht="15.75" x14ac:dyDescent="0.25">
      <c r="A33" s="1"/>
      <c r="B33" s="4" t="s">
        <v>164</v>
      </c>
      <c r="C33" s="4"/>
      <c r="D33" s="4"/>
      <c r="E33" s="4">
        <v>9087</v>
      </c>
      <c r="F33" s="4"/>
      <c r="G33" s="4" t="s">
        <v>164</v>
      </c>
      <c r="H33" s="4"/>
      <c r="I33" s="4">
        <v>9087</v>
      </c>
      <c r="J33" s="4"/>
    </row>
    <row r="34" spans="1:10" ht="15.75" x14ac:dyDescent="0.25">
      <c r="A34" s="1"/>
      <c r="B34" s="31" t="s">
        <v>166</v>
      </c>
      <c r="C34" s="31"/>
      <c r="D34" s="28"/>
      <c r="E34" s="28">
        <v>6000</v>
      </c>
      <c r="F34" s="28"/>
      <c r="G34" s="31"/>
      <c r="H34" s="31"/>
      <c r="I34" s="28"/>
      <c r="J34" s="28"/>
    </row>
    <row r="35" spans="1:10" ht="15.75" x14ac:dyDescent="0.25">
      <c r="A35" s="1"/>
      <c r="B35" s="32" t="s">
        <v>167</v>
      </c>
      <c r="C35" s="32"/>
      <c r="D35" s="28"/>
      <c r="E35" s="28">
        <v>3000</v>
      </c>
      <c r="F35" s="28"/>
      <c r="G35" s="32" t="s">
        <v>167</v>
      </c>
      <c r="H35" s="32"/>
      <c r="I35" s="28">
        <v>3000</v>
      </c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34890.082000000002</v>
      </c>
      <c r="E37" s="29">
        <f>SUM(E32:E36)</f>
        <v>18087</v>
      </c>
      <c r="F37" s="29">
        <f>D37-E37</f>
        <v>16803.082000000002</v>
      </c>
      <c r="G37" s="28" t="s">
        <v>19</v>
      </c>
      <c r="H37" s="29">
        <f>H27+H28+H29-I30</f>
        <v>10690.082000000002</v>
      </c>
      <c r="I37" s="29">
        <f>SUM(I32:I36)</f>
        <v>12087</v>
      </c>
      <c r="J37" s="29">
        <f>H37-I37</f>
        <v>-1396.9179999999978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37">
        <f>H22+J37</f>
        <v>16803.082000000002</v>
      </c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  <row r="43" spans="1:10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workbookViewId="0">
      <selection activeCell="H19" sqref="H19"/>
    </sheetView>
  </sheetViews>
  <sheetFormatPr defaultRowHeight="15" x14ac:dyDescent="0.25"/>
  <cols>
    <col min="2" max="2" width="11.1406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165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NOVEMBER20!H6:H21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NOVEMBER20!H7:H22</f>
        <v>1500</v>
      </c>
      <c r="E7" s="4">
        <v>1500</v>
      </c>
      <c r="F7" s="4">
        <f t="shared" ref="F7:F21" si="0">D7+E7+C7</f>
        <v>3000</v>
      </c>
      <c r="G7" s="4">
        <v>3000</v>
      </c>
      <c r="H7" s="4">
        <f t="shared" ref="H7:H20" si="1"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NOVEMBER20!H8:H23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NOVEMBER20!H9:H24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NOVEMBER20!H10:H25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NOVEMBER20!H11:H26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NOVEMBER20!H12:H27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NOVEMBER20!H13:H28</f>
        <v>4800</v>
      </c>
      <c r="E13" s="4">
        <v>1200</v>
      </c>
      <c r="F13" s="4">
        <f t="shared" si="0"/>
        <v>6000</v>
      </c>
      <c r="G13" s="4">
        <f>5700</f>
        <v>5700</v>
      </c>
      <c r="H13" s="4">
        <f t="shared" si="1"/>
        <v>300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NOVEMBER20!H14:H29</f>
        <v>7900</v>
      </c>
      <c r="E14" s="4">
        <v>2400</v>
      </c>
      <c r="F14" s="4">
        <f t="shared" si="0"/>
        <v>10300</v>
      </c>
      <c r="G14" s="4">
        <v>8500</v>
      </c>
      <c r="H14" s="4">
        <f t="shared" si="1"/>
        <v>1800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NOVEMBER20!H15:H30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NOVEMBER20!H16:H31</f>
        <v>3000</v>
      </c>
      <c r="E16" s="4">
        <v>1500</v>
      </c>
      <c r="F16" s="4">
        <f t="shared" si="0"/>
        <v>4500</v>
      </c>
      <c r="G16" s="4">
        <f>1500+1500</f>
        <v>3000</v>
      </c>
      <c r="H16" s="4">
        <f t="shared" si="1"/>
        <v>1500</v>
      </c>
      <c r="I16" s="1"/>
      <c r="J16" s="1"/>
    </row>
    <row r="17" spans="1:11" ht="15.75" x14ac:dyDescent="0.25">
      <c r="A17" s="4">
        <v>12</v>
      </c>
      <c r="B17" s="4" t="s">
        <v>15</v>
      </c>
      <c r="C17" s="4"/>
      <c r="D17" s="4">
        <f>NOVEMBER20!H17:H32</f>
        <v>0</v>
      </c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NOVEMBER20!H18:H33</f>
        <v>0</v>
      </c>
      <c r="E18" s="4">
        <v>1500</v>
      </c>
      <c r="F18" s="4">
        <f>D18+E18+C18</f>
        <v>1500</v>
      </c>
      <c r="G18" s="4"/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NOVEMBER20!H19:H34</f>
        <v>1000</v>
      </c>
      <c r="E19" s="4">
        <v>3000</v>
      </c>
      <c r="F19" s="4">
        <f t="shared" si="0"/>
        <v>4000</v>
      </c>
      <c r="G19" s="4">
        <v>3000</v>
      </c>
      <c r="H19" s="4">
        <f>F19-G19</f>
        <v>1000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NOVEMBER20!H20:H35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NOVEMBER20!H21:H36</f>
        <v>0</v>
      </c>
      <c r="E21" s="4">
        <v>1500</v>
      </c>
      <c r="F21" s="4">
        <f t="shared" si="0"/>
        <v>1500</v>
      </c>
      <c r="G21" s="4"/>
      <c r="H21" s="4">
        <f>F21-G21</f>
        <v>1500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18200</v>
      </c>
      <c r="E22" s="3">
        <f>SUM(E6:E21)</f>
        <v>20100</v>
      </c>
      <c r="F22" s="3">
        <f t="shared" si="2"/>
        <v>38300</v>
      </c>
      <c r="G22" s="3">
        <f t="shared" si="2"/>
        <v>30700</v>
      </c>
      <c r="H22" s="3">
        <f t="shared" si="2"/>
        <v>7600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116</v>
      </c>
      <c r="C27" s="28"/>
      <c r="D27" s="29">
        <f>E22</f>
        <v>20100</v>
      </c>
      <c r="E27" s="28"/>
      <c r="F27" s="28"/>
      <c r="G27" s="28" t="s">
        <v>116</v>
      </c>
      <c r="H27" s="29">
        <f>G22</f>
        <v>30700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NOVEMBER20!F37</f>
        <v>16803.082000000002</v>
      </c>
      <c r="E28" s="28"/>
      <c r="F28" s="28"/>
      <c r="G28" s="28" t="s">
        <v>5</v>
      </c>
      <c r="H28" s="29">
        <f>NOVEMBER20!J37</f>
        <v>-1396.9179999999978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2010</v>
      </c>
      <c r="F30" s="28"/>
      <c r="G30" s="28" t="s">
        <v>28</v>
      </c>
      <c r="H30" s="30">
        <v>0.1</v>
      </c>
      <c r="I30" s="29">
        <f>E30</f>
        <v>2010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>
        <v>5000</v>
      </c>
      <c r="F32" s="28"/>
      <c r="G32" s="31" t="s">
        <v>131</v>
      </c>
      <c r="H32" s="28"/>
      <c r="I32" s="28">
        <v>5000</v>
      </c>
      <c r="J32" s="28"/>
    </row>
    <row r="33" spans="1:11" ht="15.75" x14ac:dyDescent="0.25">
      <c r="A33" s="1"/>
      <c r="B33" s="4" t="s">
        <v>169</v>
      </c>
      <c r="C33" s="4"/>
      <c r="D33" s="4"/>
      <c r="E33" s="4">
        <v>17097</v>
      </c>
      <c r="F33" s="4"/>
      <c r="G33" s="4" t="s">
        <v>169</v>
      </c>
      <c r="H33" s="4"/>
      <c r="I33" s="4">
        <v>17097</v>
      </c>
      <c r="J33" s="4"/>
    </row>
    <row r="34" spans="1:11" ht="15.75" x14ac:dyDescent="0.25">
      <c r="A34" s="1"/>
      <c r="B34" s="31"/>
      <c r="C34" s="31"/>
      <c r="D34" s="28"/>
      <c r="E34" s="28"/>
      <c r="F34" s="28"/>
      <c r="G34" s="31"/>
      <c r="H34" s="31"/>
      <c r="I34" s="28"/>
      <c r="J34" s="28"/>
    </row>
    <row r="35" spans="1:11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1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1" ht="15.75" x14ac:dyDescent="0.25">
      <c r="A37" s="1"/>
      <c r="B37" s="28" t="s">
        <v>19</v>
      </c>
      <c r="C37" s="28"/>
      <c r="D37" s="29">
        <f>D27+D28+D29-E30</f>
        <v>34893.082000000002</v>
      </c>
      <c r="E37" s="29">
        <f>SUM(E32:E36)</f>
        <v>22097</v>
      </c>
      <c r="F37" s="29">
        <f>D37-E37</f>
        <v>12796.082000000002</v>
      </c>
      <c r="G37" s="28" t="s">
        <v>19</v>
      </c>
      <c r="H37" s="29">
        <f>H27+H28+H29-I30</f>
        <v>27293.082000000002</v>
      </c>
      <c r="I37" s="29">
        <f>SUM(I32:I36)</f>
        <v>22097</v>
      </c>
      <c r="J37" s="29">
        <f>H37-I37</f>
        <v>5196.0820000000022</v>
      </c>
    </row>
    <row r="38" spans="1:11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1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  <c r="K40" s="20">
        <f>H22+J37</f>
        <v>12796.082000000002</v>
      </c>
    </row>
    <row r="41" spans="1:1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10" workbookViewId="0">
      <selection activeCell="G20" sqref="G20"/>
    </sheetView>
  </sheetViews>
  <sheetFormatPr defaultRowHeight="15" x14ac:dyDescent="0.25"/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170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'DECEMBER 20'!H6:H21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'DECEMBER 20'!H7:H22</f>
        <v>0</v>
      </c>
      <c r="E7" s="4">
        <v>1500</v>
      </c>
      <c r="F7" s="4">
        <f t="shared" ref="F7:F21" si="0">D7+E7+C7</f>
        <v>1500</v>
      </c>
      <c r="G7" s="4"/>
      <c r="H7" s="4">
        <f t="shared" ref="H7:H20" si="1">F7-G7</f>
        <v>1500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'DECEMBER 20'!H8:H23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'DECEMBER 20'!H9:H24</f>
        <v>0</v>
      </c>
      <c r="E9" s="4">
        <v>1500</v>
      </c>
      <c r="F9" s="4">
        <f t="shared" si="0"/>
        <v>1500</v>
      </c>
      <c r="G9" s="4"/>
      <c r="H9" s="4">
        <f t="shared" si="1"/>
        <v>1500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'DECEMBER 20'!H10:H25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93</v>
      </c>
      <c r="C11" s="4"/>
      <c r="D11" s="4">
        <f>'DECEMBER 20'!H11:H26</f>
        <v>0</v>
      </c>
      <c r="E11" s="4">
        <v>3000</v>
      </c>
      <c r="F11" s="4">
        <f t="shared" si="0"/>
        <v>3000</v>
      </c>
      <c r="G11" s="4">
        <v>3000</v>
      </c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'DECEMBER 20'!H12:H27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'DECEMBER 20'!H13:H28</f>
        <v>300</v>
      </c>
      <c r="E13" s="4">
        <v>1200</v>
      </c>
      <c r="F13" s="4">
        <f t="shared" si="0"/>
        <v>1500</v>
      </c>
      <c r="G13" s="4">
        <v>1200</v>
      </c>
      <c r="H13" s="4">
        <f t="shared" si="1"/>
        <v>300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'DECEMBER 20'!H14:H29</f>
        <v>1800</v>
      </c>
      <c r="E14" s="4">
        <v>2400</v>
      </c>
      <c r="F14" s="4">
        <f t="shared" si="0"/>
        <v>4200</v>
      </c>
      <c r="G14" s="4">
        <v>2400</v>
      </c>
      <c r="H14" s="4">
        <f t="shared" si="1"/>
        <v>1800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'DECEMBER 20'!H15:H30</f>
        <v>0</v>
      </c>
      <c r="E15" s="4">
        <v>1500</v>
      </c>
      <c r="F15" s="4">
        <f t="shared" si="0"/>
        <v>1500</v>
      </c>
      <c r="G15" s="4"/>
      <c r="H15" s="4">
        <f t="shared" si="1"/>
        <v>1500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'DECEMBER 20'!H16:H31</f>
        <v>1500</v>
      </c>
      <c r="E16" s="4">
        <v>1500</v>
      </c>
      <c r="F16" s="4">
        <f t="shared" si="0"/>
        <v>3000</v>
      </c>
      <c r="G16" s="4">
        <f>1500+900</f>
        <v>2400</v>
      </c>
      <c r="H16" s="4">
        <f t="shared" si="1"/>
        <v>600</v>
      </c>
      <c r="I16" s="1"/>
      <c r="J16" s="1"/>
    </row>
    <row r="17" spans="1:11" ht="15.75" x14ac:dyDescent="0.25">
      <c r="A17" s="4">
        <v>12</v>
      </c>
      <c r="B17" s="4" t="s">
        <v>40</v>
      </c>
      <c r="C17" s="4"/>
      <c r="D17" s="4">
        <f>'DECEMBER 20'!H17:H32</f>
        <v>0</v>
      </c>
      <c r="E17" s="4">
        <v>1500</v>
      </c>
      <c r="F17" s="4">
        <f t="shared" si="0"/>
        <v>1500</v>
      </c>
      <c r="G17" s="4"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'DECEMBER 20'!H18:H33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'DECEMBER 20'!H19:H34</f>
        <v>1000</v>
      </c>
      <c r="E19" s="4">
        <v>3000</v>
      </c>
      <c r="F19" s="4">
        <f t="shared" si="0"/>
        <v>4000</v>
      </c>
      <c r="G19" s="4">
        <f>1000+2000+1000</f>
        <v>4000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'DECEMBER 20'!H20:H35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'DECEMBER 20'!H21:H36</f>
        <v>1500</v>
      </c>
      <c r="E21" s="4">
        <v>1500</v>
      </c>
      <c r="F21" s="4">
        <f t="shared" si="0"/>
        <v>3000</v>
      </c>
      <c r="G21" s="4">
        <f>1600</f>
        <v>1600</v>
      </c>
      <c r="H21" s="4">
        <f>F21-G21</f>
        <v>1400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7600</v>
      </c>
      <c r="E22" s="3">
        <f>SUM(E6:E21)</f>
        <v>24600</v>
      </c>
      <c r="F22" s="3">
        <f t="shared" si="2"/>
        <v>32200</v>
      </c>
      <c r="G22" s="3">
        <f t="shared" si="2"/>
        <v>22100</v>
      </c>
      <c r="H22" s="3">
        <f t="shared" si="2"/>
        <v>10100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119</v>
      </c>
      <c r="C27" s="28"/>
      <c r="D27" s="29">
        <f>E22</f>
        <v>24600</v>
      </c>
      <c r="E27" s="28"/>
      <c r="F27" s="28"/>
      <c r="G27" s="28" t="s">
        <v>119</v>
      </c>
      <c r="H27" s="29">
        <f>G22</f>
        <v>22100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'DECEMBER 20'!F37</f>
        <v>12796.082000000002</v>
      </c>
      <c r="E28" s="28"/>
      <c r="F28" s="28"/>
      <c r="G28" s="28" t="s">
        <v>5</v>
      </c>
      <c r="H28" s="29">
        <f>'DECEMBER 20'!J37</f>
        <v>5196.0820000000022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2460</v>
      </c>
      <c r="F30" s="28"/>
      <c r="G30" s="28" t="s">
        <v>28</v>
      </c>
      <c r="H30" s="30">
        <v>0.1</v>
      </c>
      <c r="I30" s="29">
        <f>E30</f>
        <v>2460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>
        <v>1931.9670000000001</v>
      </c>
      <c r="F32" s="28"/>
      <c r="G32" s="31" t="s">
        <v>131</v>
      </c>
      <c r="H32" s="28"/>
      <c r="I32" s="28">
        <v>1931.9670000000001</v>
      </c>
      <c r="J32" s="28"/>
    </row>
    <row r="33" spans="1:10" ht="15.75" x14ac:dyDescent="0.25">
      <c r="A33" s="1"/>
      <c r="B33" s="4" t="s">
        <v>171</v>
      </c>
      <c r="C33" s="4"/>
      <c r="D33" s="4"/>
      <c r="E33" s="4">
        <v>10087</v>
      </c>
      <c r="F33" s="4"/>
      <c r="G33" s="4" t="s">
        <v>171</v>
      </c>
      <c r="H33" s="4"/>
      <c r="I33" s="4">
        <v>10087</v>
      </c>
      <c r="J33" s="4"/>
    </row>
    <row r="34" spans="1:10" ht="15.75" x14ac:dyDescent="0.25">
      <c r="A34" s="1"/>
      <c r="B34" s="31" t="s">
        <v>173</v>
      </c>
      <c r="C34" s="31"/>
      <c r="D34" s="28"/>
      <c r="E34" s="28">
        <v>10087</v>
      </c>
      <c r="F34" s="28"/>
      <c r="G34" s="31" t="s">
        <v>173</v>
      </c>
      <c r="H34" s="31"/>
      <c r="I34" s="28">
        <v>10087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34936.082000000002</v>
      </c>
      <c r="E37" s="29">
        <f>SUM(E32:E36)</f>
        <v>22105.967000000001</v>
      </c>
      <c r="F37" s="29">
        <f>D37-E37</f>
        <v>12830.115000000002</v>
      </c>
      <c r="G37" s="28" t="s">
        <v>19</v>
      </c>
      <c r="H37" s="29">
        <f>H27+H28+H29-I30</f>
        <v>24836.082000000002</v>
      </c>
      <c r="I37" s="29">
        <f>SUM(I32:I36)</f>
        <v>22105.967000000001</v>
      </c>
      <c r="J37" s="29">
        <f>H37-I37</f>
        <v>2730.1150000000016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10" workbookViewId="0">
      <selection activeCell="J40" sqref="J40"/>
    </sheetView>
  </sheetViews>
  <sheetFormatPr defaultRowHeight="15" x14ac:dyDescent="0.25"/>
  <sheetData>
    <row r="2" spans="1:11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1" ht="15.75" x14ac:dyDescent="0.25">
      <c r="A4" s="1"/>
      <c r="B4" s="1"/>
      <c r="C4" s="1"/>
      <c r="D4" s="2" t="s">
        <v>172</v>
      </c>
      <c r="E4" s="1"/>
      <c r="F4" s="1"/>
      <c r="G4" s="1"/>
      <c r="H4" s="1"/>
      <c r="I4" s="1"/>
      <c r="J4" s="1"/>
    </row>
    <row r="5" spans="1:11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1" ht="15.75" x14ac:dyDescent="0.25">
      <c r="A6" s="4">
        <v>1</v>
      </c>
      <c r="B6" s="4" t="s">
        <v>120</v>
      </c>
      <c r="C6" s="4"/>
      <c r="D6" s="4">
        <f>'JANUARY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1" ht="15.75" x14ac:dyDescent="0.25">
      <c r="A7" s="4">
        <v>2</v>
      </c>
      <c r="B7" s="4" t="s">
        <v>134</v>
      </c>
      <c r="C7" s="4"/>
      <c r="D7" s="4">
        <f>'JANUARY 21'!H7:H22</f>
        <v>1500</v>
      </c>
      <c r="E7" s="4">
        <v>1500</v>
      </c>
      <c r="F7" s="4">
        <f t="shared" ref="F7:F21" si="0">D7+E7+C7</f>
        <v>3000</v>
      </c>
      <c r="G7" s="4"/>
      <c r="H7" s="4">
        <f t="shared" ref="H7:H20" si="1">F7-G7</f>
        <v>3000</v>
      </c>
      <c r="I7" s="1"/>
      <c r="J7" s="1"/>
    </row>
    <row r="8" spans="1:11" ht="15.75" x14ac:dyDescent="0.25">
      <c r="A8" s="4">
        <v>3</v>
      </c>
      <c r="B8" s="4" t="s">
        <v>39</v>
      </c>
      <c r="C8" s="4"/>
      <c r="D8" s="4">
        <f>'JANUARY 21'!H8:H23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1" ht="15.75" x14ac:dyDescent="0.25">
      <c r="A9" s="4">
        <v>4</v>
      </c>
      <c r="B9" s="4" t="s">
        <v>58</v>
      </c>
      <c r="C9" s="4"/>
      <c r="D9" s="4">
        <f>'JANUARY 21'!H9:H24</f>
        <v>1500</v>
      </c>
      <c r="E9" s="4">
        <v>1500</v>
      </c>
      <c r="F9" s="4">
        <f t="shared" si="0"/>
        <v>3000</v>
      </c>
      <c r="G9" s="4">
        <f>3000</f>
        <v>3000</v>
      </c>
      <c r="H9" s="4">
        <f t="shared" si="1"/>
        <v>0</v>
      </c>
      <c r="I9" s="1"/>
      <c r="J9" s="1"/>
    </row>
    <row r="10" spans="1:11" ht="15.75" x14ac:dyDescent="0.25">
      <c r="A10" s="4">
        <v>5</v>
      </c>
      <c r="B10" s="4" t="s">
        <v>15</v>
      </c>
      <c r="C10" s="4"/>
      <c r="D10" s="4">
        <f>'JANUARY 21'!H10:H25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6</v>
      </c>
      <c r="B11" s="4" t="s">
        <v>93</v>
      </c>
      <c r="C11" s="4"/>
      <c r="D11" s="4">
        <f>'JANUARY 21'!H11:H26</f>
        <v>0</v>
      </c>
      <c r="E11" s="4">
        <v>3000</v>
      </c>
      <c r="F11" s="4">
        <f t="shared" si="0"/>
        <v>3000</v>
      </c>
      <c r="G11" s="4">
        <f>1500+1500</f>
        <v>3000</v>
      </c>
      <c r="H11" s="4">
        <f>F11-G11</f>
        <v>0</v>
      </c>
      <c r="I11" s="1"/>
      <c r="J11" s="1"/>
    </row>
    <row r="12" spans="1:11" ht="15.75" x14ac:dyDescent="0.25">
      <c r="A12" s="4">
        <v>7</v>
      </c>
      <c r="B12" s="4" t="s">
        <v>59</v>
      </c>
      <c r="C12" s="4"/>
      <c r="D12" s="4">
        <f>'JANUARY 21'!H12:H27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1" ht="15.75" x14ac:dyDescent="0.25">
      <c r="A13" s="4">
        <v>8</v>
      </c>
      <c r="B13" s="4" t="s">
        <v>10</v>
      </c>
      <c r="C13" s="4"/>
      <c r="D13" s="4">
        <f>'JANUARY 21'!H13:H28</f>
        <v>300</v>
      </c>
      <c r="E13" s="4">
        <v>1200</v>
      </c>
      <c r="F13" s="4">
        <f t="shared" si="0"/>
        <v>1500</v>
      </c>
      <c r="G13" s="4">
        <v>1500</v>
      </c>
      <c r="H13" s="4">
        <f t="shared" si="1"/>
        <v>0</v>
      </c>
      <c r="I13" s="1"/>
      <c r="J13" s="1"/>
    </row>
    <row r="14" spans="1:11" ht="15.75" x14ac:dyDescent="0.25">
      <c r="A14" s="4">
        <v>9</v>
      </c>
      <c r="B14" s="4" t="s">
        <v>10</v>
      </c>
      <c r="C14" s="4"/>
      <c r="D14" s="4">
        <f>'JANUARY 21'!H14:H29</f>
        <v>1800</v>
      </c>
      <c r="E14" s="4">
        <v>2400</v>
      </c>
      <c r="F14" s="4">
        <f t="shared" si="0"/>
        <v>4200</v>
      </c>
      <c r="G14" s="4">
        <v>3500</v>
      </c>
      <c r="H14" s="4">
        <f t="shared" si="1"/>
        <v>700</v>
      </c>
      <c r="I14" s="1"/>
      <c r="J14" s="1"/>
      <c r="K14">
        <f>5000-G13</f>
        <v>3500</v>
      </c>
    </row>
    <row r="15" spans="1:11" ht="15.75" x14ac:dyDescent="0.25">
      <c r="A15" s="4">
        <v>10</v>
      </c>
      <c r="B15" s="4" t="s">
        <v>136</v>
      </c>
      <c r="C15" s="4"/>
      <c r="D15" s="4">
        <f>'JANUARY 21'!H15:H30</f>
        <v>1500</v>
      </c>
      <c r="E15" s="4">
        <v>1500</v>
      </c>
      <c r="F15" s="4">
        <f t="shared" si="0"/>
        <v>3000</v>
      </c>
      <c r="G15" s="4">
        <f>1000+1500+500</f>
        <v>3000</v>
      </c>
      <c r="H15" s="4">
        <f t="shared" si="1"/>
        <v>0</v>
      </c>
      <c r="I15" s="1"/>
      <c r="J15" s="1"/>
    </row>
    <row r="16" spans="1:11" ht="15.75" x14ac:dyDescent="0.25">
      <c r="A16" s="4">
        <v>11</v>
      </c>
      <c r="B16" s="4" t="s">
        <v>146</v>
      </c>
      <c r="C16" s="4"/>
      <c r="D16" s="4">
        <f>'JANUARY 21'!H16:H31</f>
        <v>600</v>
      </c>
      <c r="E16" s="4">
        <v>1500</v>
      </c>
      <c r="F16" s="4">
        <f t="shared" si="0"/>
        <v>2100</v>
      </c>
      <c r="G16" s="4">
        <f>600+1000</f>
        <v>1600</v>
      </c>
      <c r="H16" s="4">
        <f t="shared" si="1"/>
        <v>500</v>
      </c>
      <c r="I16" s="1"/>
      <c r="J16" s="1"/>
    </row>
    <row r="17" spans="1:11" ht="15.75" x14ac:dyDescent="0.25">
      <c r="A17" s="4">
        <v>12</v>
      </c>
      <c r="B17" s="4"/>
      <c r="C17" s="4"/>
      <c r="D17" s="4">
        <f>'JANUARY 21'!H17:H32</f>
        <v>0</v>
      </c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'JANUARY 21'!H18:H33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'JANUARY 21'!H19:H34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'JANUARY 21'!H20:H35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'JANUARY 21'!H21:H36</f>
        <v>1400</v>
      </c>
      <c r="E21" s="4">
        <v>1500</v>
      </c>
      <c r="F21" s="4">
        <f t="shared" si="0"/>
        <v>2900</v>
      </c>
      <c r="G21" s="4">
        <f>2000</f>
        <v>2000</v>
      </c>
      <c r="H21" s="4">
        <f>F21-G21</f>
        <v>900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10100</v>
      </c>
      <c r="E22" s="3">
        <f>SUM(E6:E21)</f>
        <v>23100</v>
      </c>
      <c r="F22" s="3">
        <f t="shared" si="2"/>
        <v>33200</v>
      </c>
      <c r="G22" s="3">
        <f t="shared" si="2"/>
        <v>26600</v>
      </c>
      <c r="H22" s="3">
        <f t="shared" si="2"/>
        <v>6600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124</v>
      </c>
      <c r="C27" s="28"/>
      <c r="D27" s="29">
        <f>E22</f>
        <v>23100</v>
      </c>
      <c r="E27" s="28"/>
      <c r="F27" s="28"/>
      <c r="G27" s="28" t="s">
        <v>124</v>
      </c>
      <c r="H27" s="29">
        <f>G22</f>
        <v>26600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'JANUARY 21'!F37</f>
        <v>12830.115000000002</v>
      </c>
      <c r="E28" s="28"/>
      <c r="F28" s="28"/>
      <c r="G28" s="28" t="s">
        <v>5</v>
      </c>
      <c r="H28" s="29">
        <f>'JANUARY 21'!J37</f>
        <v>2730.1150000000016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2310</v>
      </c>
      <c r="F30" s="28"/>
      <c r="G30" s="28" t="s">
        <v>28</v>
      </c>
      <c r="H30" s="30">
        <v>0.1</v>
      </c>
      <c r="I30" s="29">
        <f>E30</f>
        <v>2310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/>
      <c r="F32" s="28"/>
      <c r="G32" s="31" t="s">
        <v>131</v>
      </c>
      <c r="H32" s="28"/>
      <c r="I32" s="28"/>
      <c r="J32" s="28"/>
    </row>
    <row r="33" spans="1:10" ht="15.75" x14ac:dyDescent="0.25">
      <c r="A33" s="1"/>
      <c r="B33" s="4" t="s">
        <v>126</v>
      </c>
      <c r="C33" s="4"/>
      <c r="D33" s="4"/>
      <c r="E33" s="4">
        <v>10087</v>
      </c>
      <c r="F33" s="4"/>
      <c r="G33" s="4" t="s">
        <v>126</v>
      </c>
      <c r="H33" s="4"/>
      <c r="I33" s="4">
        <v>10087</v>
      </c>
      <c r="J33" s="4"/>
    </row>
    <row r="34" spans="1:10" ht="15.75" x14ac:dyDescent="0.25">
      <c r="A34" s="1"/>
      <c r="B34" s="31" t="s">
        <v>174</v>
      </c>
      <c r="C34" s="31"/>
      <c r="D34" s="28"/>
      <c r="E34" s="28">
        <v>6075</v>
      </c>
      <c r="F34" s="28"/>
      <c r="G34" s="31" t="s">
        <v>174</v>
      </c>
      <c r="H34" s="31"/>
      <c r="I34" s="28">
        <v>6075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33620.115000000005</v>
      </c>
      <c r="E37" s="29">
        <f>SUM(E32:E36)</f>
        <v>16162</v>
      </c>
      <c r="F37" s="29">
        <f>D37-E37</f>
        <v>17458.115000000005</v>
      </c>
      <c r="G37" s="28" t="s">
        <v>19</v>
      </c>
      <c r="H37" s="29">
        <f>H27+H28+H29-I30</f>
        <v>27020.115000000002</v>
      </c>
      <c r="I37" s="29">
        <f>SUM(I32:I36)</f>
        <v>16162</v>
      </c>
      <c r="J37" s="29">
        <f>H37-I37</f>
        <v>10858.115000000002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37">
        <f>H22+J37</f>
        <v>17458.115000000002</v>
      </c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7" workbookViewId="0">
      <selection activeCell="K40" sqref="K40"/>
    </sheetView>
  </sheetViews>
  <sheetFormatPr defaultRowHeight="15" x14ac:dyDescent="0.25"/>
  <cols>
    <col min="2" max="2" width="20.140625" customWidth="1"/>
  </cols>
  <sheetData>
    <row r="2" spans="1:11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1" ht="15.75" x14ac:dyDescent="0.25">
      <c r="A4" s="1"/>
      <c r="B4" s="1"/>
      <c r="C4" s="1"/>
      <c r="D4" s="2" t="s">
        <v>175</v>
      </c>
      <c r="E4" s="1"/>
      <c r="F4" s="1"/>
      <c r="G4" s="1"/>
      <c r="H4" s="1"/>
      <c r="I4" s="1"/>
      <c r="J4" s="1"/>
    </row>
    <row r="5" spans="1:11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1" ht="15.75" x14ac:dyDescent="0.25">
      <c r="A6" s="4">
        <v>1</v>
      </c>
      <c r="B6" s="4" t="s">
        <v>120</v>
      </c>
      <c r="C6" s="4"/>
      <c r="D6" s="4">
        <f>'FEBRUARY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1" ht="15.75" x14ac:dyDescent="0.25">
      <c r="A7" s="4">
        <v>2</v>
      </c>
      <c r="B7" s="4" t="s">
        <v>134</v>
      </c>
      <c r="C7" s="4"/>
      <c r="D7" s="4">
        <f>'FEBRUARY 21'!H7:H22</f>
        <v>3000</v>
      </c>
      <c r="E7" s="4"/>
      <c r="F7" s="4">
        <f t="shared" ref="F7:F21" si="0">D7+E7+C7</f>
        <v>3000</v>
      </c>
      <c r="G7" s="4"/>
      <c r="H7" s="4"/>
      <c r="I7" s="1" t="s">
        <v>122</v>
      </c>
      <c r="J7" s="1"/>
    </row>
    <row r="8" spans="1:11" ht="15.75" x14ac:dyDescent="0.25">
      <c r="A8" s="4">
        <v>3</v>
      </c>
      <c r="B8" s="4" t="s">
        <v>39</v>
      </c>
      <c r="C8" s="4"/>
      <c r="D8" s="4">
        <f>'FEBRUARY 21'!H8:H23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20" si="1">F8-G8</f>
        <v>0</v>
      </c>
      <c r="I8" s="1"/>
      <c r="J8" s="1"/>
    </row>
    <row r="9" spans="1:11" ht="15.75" x14ac:dyDescent="0.25">
      <c r="A9" s="4">
        <v>4</v>
      </c>
      <c r="B9" s="4" t="s">
        <v>58</v>
      </c>
      <c r="C9" s="4"/>
      <c r="D9" s="4">
        <f>'FEBRUARY 21'!H9:H24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1" ht="15.75" x14ac:dyDescent="0.25">
      <c r="A10" s="4">
        <v>5</v>
      </c>
      <c r="B10" s="4" t="s">
        <v>15</v>
      </c>
      <c r="C10" s="4"/>
      <c r="D10" s="4">
        <f>'FEBRUARY 21'!H10:H25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6</v>
      </c>
      <c r="B11" s="4" t="s">
        <v>93</v>
      </c>
      <c r="C11" s="4"/>
      <c r="D11" s="4">
        <f>'FEBRUARY 21'!H11:H26</f>
        <v>0</v>
      </c>
      <c r="E11" s="4">
        <v>3000</v>
      </c>
      <c r="F11" s="4">
        <f t="shared" si="0"/>
        <v>3000</v>
      </c>
      <c r="G11" s="4">
        <f>1500</f>
        <v>1500</v>
      </c>
      <c r="H11" s="4">
        <f>F11-G11</f>
        <v>1500</v>
      </c>
      <c r="I11" s="1"/>
      <c r="J11" s="1"/>
    </row>
    <row r="12" spans="1:11" ht="15.75" x14ac:dyDescent="0.25">
      <c r="A12" s="4">
        <v>7</v>
      </c>
      <c r="B12" s="4" t="s">
        <v>59</v>
      </c>
      <c r="C12" s="4"/>
      <c r="D12" s="4">
        <f>'FEBRUARY 21'!H12:H27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1" ht="15.75" x14ac:dyDescent="0.25">
      <c r="A13" s="4">
        <v>8</v>
      </c>
      <c r="B13" s="4" t="s">
        <v>10</v>
      </c>
      <c r="C13" s="4"/>
      <c r="D13" s="4">
        <f>'FEBRUARY 21'!H13:H28</f>
        <v>0</v>
      </c>
      <c r="E13" s="4">
        <v>1200</v>
      </c>
      <c r="F13" s="4">
        <f t="shared" si="0"/>
        <v>1200</v>
      </c>
      <c r="G13" s="4">
        <v>1200</v>
      </c>
      <c r="H13" s="4">
        <f t="shared" si="1"/>
        <v>0</v>
      </c>
      <c r="I13" s="1"/>
      <c r="J13" s="1"/>
    </row>
    <row r="14" spans="1:11" ht="15.75" x14ac:dyDescent="0.25">
      <c r="A14" s="4">
        <v>9</v>
      </c>
      <c r="B14" s="4" t="s">
        <v>10</v>
      </c>
      <c r="C14" s="4"/>
      <c r="D14" s="4">
        <f>'FEBRUARY 21'!H14:H29</f>
        <v>700</v>
      </c>
      <c r="E14" s="4">
        <v>2400</v>
      </c>
      <c r="F14" s="4">
        <f t="shared" si="0"/>
        <v>3100</v>
      </c>
      <c r="G14" s="4">
        <v>3100</v>
      </c>
      <c r="H14" s="4">
        <f t="shared" si="1"/>
        <v>0</v>
      </c>
      <c r="I14" s="1"/>
      <c r="J14" s="1"/>
      <c r="K14">
        <f>5000-G13</f>
        <v>3800</v>
      </c>
    </row>
    <row r="15" spans="1:11" ht="15.75" x14ac:dyDescent="0.25">
      <c r="A15" s="4">
        <v>10</v>
      </c>
      <c r="B15" s="4" t="s">
        <v>136</v>
      </c>
      <c r="C15" s="4"/>
      <c r="D15" s="4">
        <f>'FEBRUARY 21'!H15:H30</f>
        <v>0</v>
      </c>
      <c r="E15" s="4">
        <v>1500</v>
      </c>
      <c r="F15" s="4">
        <f t="shared" si="0"/>
        <v>1500</v>
      </c>
      <c r="G15" s="4">
        <f>1000</f>
        <v>1000</v>
      </c>
      <c r="H15" s="4">
        <f t="shared" si="1"/>
        <v>500</v>
      </c>
      <c r="I15" s="1"/>
      <c r="J15" s="1"/>
    </row>
    <row r="16" spans="1:11" ht="15.75" x14ac:dyDescent="0.25">
      <c r="A16" s="4">
        <v>11</v>
      </c>
      <c r="B16" s="4" t="s">
        <v>146</v>
      </c>
      <c r="C16" s="4"/>
      <c r="D16" s="4">
        <f>'FEBRUARY 21'!H16:H31</f>
        <v>500</v>
      </c>
      <c r="E16" s="4">
        <v>1500</v>
      </c>
      <c r="F16" s="4">
        <f t="shared" si="0"/>
        <v>2000</v>
      </c>
      <c r="G16" s="4">
        <f>500+1000</f>
        <v>1500</v>
      </c>
      <c r="H16" s="4">
        <f t="shared" si="1"/>
        <v>500</v>
      </c>
      <c r="I16" s="1"/>
      <c r="J16" s="1"/>
    </row>
    <row r="17" spans="1:11" ht="15.75" x14ac:dyDescent="0.25">
      <c r="A17" s="4">
        <v>12</v>
      </c>
      <c r="B17" s="4" t="s">
        <v>176</v>
      </c>
      <c r="C17" s="4"/>
      <c r="D17" s="4">
        <f>'FEBRUARY 21'!H17:H32</f>
        <v>0</v>
      </c>
      <c r="E17" s="4">
        <v>1500</v>
      </c>
      <c r="F17" s="4">
        <f t="shared" si="0"/>
        <v>1500</v>
      </c>
      <c r="G17" s="4">
        <f>1500</f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'FEBRUARY 21'!H18:H33</f>
        <v>1500</v>
      </c>
      <c r="E18" s="4">
        <v>1500</v>
      </c>
      <c r="F18" s="4">
        <f>D18+E18+C18</f>
        <v>3000</v>
      </c>
      <c r="G18" s="4">
        <f>1500</f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'FEBRUARY 21'!H19:H34</f>
        <v>0</v>
      </c>
      <c r="E19" s="4">
        <v>3000</v>
      </c>
      <c r="F19" s="4">
        <f t="shared" si="0"/>
        <v>3000</v>
      </c>
      <c r="G19" s="4">
        <f>3000</f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'FEBRUARY 21'!H20:H35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'FEBRUARY 21'!H21:H36</f>
        <v>900</v>
      </c>
      <c r="E21" s="4">
        <v>1500</v>
      </c>
      <c r="F21" s="4">
        <f t="shared" si="0"/>
        <v>2400</v>
      </c>
      <c r="G21" s="4">
        <f>1600</f>
        <v>1600</v>
      </c>
      <c r="H21" s="4">
        <f>F21-G21</f>
        <v>800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6600</v>
      </c>
      <c r="E22" s="3">
        <f>SUM(E6:E21)</f>
        <v>23100</v>
      </c>
      <c r="F22" s="3">
        <f t="shared" si="2"/>
        <v>29700</v>
      </c>
      <c r="G22" s="3">
        <f t="shared" si="2"/>
        <v>21900</v>
      </c>
      <c r="H22" s="3">
        <f t="shared" si="2"/>
        <v>4800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77</v>
      </c>
      <c r="C27" s="28"/>
      <c r="D27" s="29">
        <f>E22</f>
        <v>23100</v>
      </c>
      <c r="E27" s="28"/>
      <c r="F27" s="28"/>
      <c r="G27" s="28" t="s">
        <v>77</v>
      </c>
      <c r="H27" s="29">
        <f>G22</f>
        <v>21900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'FEBRUARY 21'!F37</f>
        <v>17458.115000000005</v>
      </c>
      <c r="E28" s="28"/>
      <c r="F28" s="28"/>
      <c r="G28" s="28" t="s">
        <v>5</v>
      </c>
      <c r="H28" s="29">
        <f>'FEBRUARY 21'!J37</f>
        <v>10858.115000000002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2310</v>
      </c>
      <c r="F30" s="28"/>
      <c r="G30" s="28" t="s">
        <v>28</v>
      </c>
      <c r="H30" s="30">
        <v>0.1</v>
      </c>
      <c r="I30" s="29">
        <f>E30</f>
        <v>2310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/>
      <c r="F32" s="28"/>
      <c r="G32" s="31" t="s">
        <v>131</v>
      </c>
      <c r="H32" s="28"/>
      <c r="I32" s="28"/>
      <c r="J32" s="28"/>
    </row>
    <row r="33" spans="1:11" ht="15.75" x14ac:dyDescent="0.25">
      <c r="A33" s="1"/>
      <c r="B33" s="4" t="s">
        <v>177</v>
      </c>
      <c r="C33" s="4"/>
      <c r="D33" s="4"/>
      <c r="E33" s="4">
        <v>3000</v>
      </c>
      <c r="F33" s="4"/>
      <c r="G33" s="4"/>
      <c r="H33" s="4"/>
      <c r="I33" s="4"/>
      <c r="J33" s="4"/>
    </row>
    <row r="34" spans="1:11" ht="15.75" x14ac:dyDescent="0.25">
      <c r="A34" s="1"/>
      <c r="B34" s="31" t="s">
        <v>178</v>
      </c>
      <c r="C34" s="31"/>
      <c r="D34" s="28"/>
      <c r="E34" s="28">
        <v>9387</v>
      </c>
      <c r="F34" s="28"/>
      <c r="G34" s="31" t="s">
        <v>178</v>
      </c>
      <c r="H34" s="31"/>
      <c r="I34" s="28">
        <v>9387</v>
      </c>
      <c r="J34" s="28"/>
    </row>
    <row r="35" spans="1:11" ht="15.75" x14ac:dyDescent="0.25">
      <c r="A35" s="1"/>
      <c r="B35" s="32" t="s">
        <v>179</v>
      </c>
      <c r="C35" s="32"/>
      <c r="D35" s="28"/>
      <c r="E35" s="28">
        <v>1000</v>
      </c>
      <c r="F35" s="28"/>
      <c r="G35" s="32" t="s">
        <v>179</v>
      </c>
      <c r="H35" s="32"/>
      <c r="I35" s="28">
        <v>1000</v>
      </c>
      <c r="J35" s="28"/>
    </row>
    <row r="36" spans="1:11" ht="15.75" x14ac:dyDescent="0.25">
      <c r="A36" s="1"/>
      <c r="B36" s="32" t="s">
        <v>181</v>
      </c>
      <c r="C36" s="32"/>
      <c r="D36" s="28"/>
      <c r="E36" s="28">
        <f>3351+1522</f>
        <v>4873</v>
      </c>
      <c r="F36" s="28"/>
      <c r="G36" s="32" t="s">
        <v>181</v>
      </c>
      <c r="H36" s="32"/>
      <c r="I36" s="28">
        <v>4873</v>
      </c>
      <c r="J36" s="28"/>
    </row>
    <row r="37" spans="1:11" ht="15.75" x14ac:dyDescent="0.25">
      <c r="A37" s="1"/>
      <c r="B37" s="28" t="s">
        <v>19</v>
      </c>
      <c r="C37" s="28"/>
      <c r="D37" s="29">
        <f>D27+D28+D29-E30</f>
        <v>38248.115000000005</v>
      </c>
      <c r="E37" s="29">
        <f>SUM(E32:E36)</f>
        <v>18260</v>
      </c>
      <c r="F37" s="29">
        <f>D37-E37</f>
        <v>19988.115000000005</v>
      </c>
      <c r="G37" s="28" t="s">
        <v>19</v>
      </c>
      <c r="H37" s="29">
        <f>H27+H28+H29-I30</f>
        <v>30448.115000000002</v>
      </c>
      <c r="I37" s="29">
        <f>SUM(I32:I36)</f>
        <v>15260</v>
      </c>
      <c r="J37" s="29">
        <f>H37-I37</f>
        <v>15188.115000000002</v>
      </c>
    </row>
    <row r="38" spans="1:11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20">
        <f>J37+H22</f>
        <v>19988.115000000002</v>
      </c>
    </row>
    <row r="40" spans="1:11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7" workbookViewId="0">
      <selection activeCell="C20" sqref="C20"/>
    </sheetView>
  </sheetViews>
  <sheetFormatPr defaultRowHeight="15" x14ac:dyDescent="0.25"/>
  <sheetData>
    <row r="2" spans="1:11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1" ht="15.75" x14ac:dyDescent="0.25">
      <c r="A4" s="1"/>
      <c r="B4" s="1"/>
      <c r="C4" s="1"/>
      <c r="D4" s="2" t="s">
        <v>180</v>
      </c>
      <c r="E4" s="1"/>
      <c r="F4" s="1"/>
      <c r="G4" s="1"/>
      <c r="H4" s="1"/>
      <c r="I4" s="1"/>
      <c r="J4" s="1"/>
    </row>
    <row r="5" spans="1:11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1" ht="15.75" x14ac:dyDescent="0.25">
      <c r="A6" s="4">
        <v>1</v>
      </c>
      <c r="B6" s="4" t="s">
        <v>120</v>
      </c>
      <c r="C6" s="4"/>
      <c r="D6" s="4">
        <f>'MARCH 21'!H6:H22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1" ht="15.75" x14ac:dyDescent="0.25">
      <c r="A7" s="4">
        <v>2</v>
      </c>
      <c r="B7" s="16" t="s">
        <v>15</v>
      </c>
      <c r="C7" s="4"/>
      <c r="D7" s="4">
        <f>'MARCH 21'!H7:H23</f>
        <v>0</v>
      </c>
      <c r="E7" s="4"/>
      <c r="F7" s="4">
        <f t="shared" ref="F7:F21" si="0">D7+E7+C7</f>
        <v>0</v>
      </c>
      <c r="G7" s="4"/>
      <c r="H7" s="4"/>
      <c r="I7" s="1"/>
      <c r="J7" s="1"/>
    </row>
    <row r="8" spans="1:11" ht="15.75" x14ac:dyDescent="0.25">
      <c r="A8" s="4">
        <v>3</v>
      </c>
      <c r="B8" s="4" t="s">
        <v>39</v>
      </c>
      <c r="C8" s="4"/>
      <c r="D8" s="4">
        <f>'MARCH 21'!H8:H24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1" ht="15.75" x14ac:dyDescent="0.25">
      <c r="A9" s="4">
        <v>4</v>
      </c>
      <c r="B9" s="4" t="s">
        <v>58</v>
      </c>
      <c r="C9" s="4"/>
      <c r="D9" s="4">
        <f>'MARCH 21'!H9:H25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1" ht="15.75" x14ac:dyDescent="0.25">
      <c r="A10" s="4">
        <v>5</v>
      </c>
      <c r="B10" s="16" t="s">
        <v>15</v>
      </c>
      <c r="C10" s="4"/>
      <c r="D10" s="4">
        <f>'MARCH 21'!H10:H26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6</v>
      </c>
      <c r="B11" s="4" t="s">
        <v>93</v>
      </c>
      <c r="C11" s="4"/>
      <c r="D11" s="4">
        <f>'MARCH 21'!H11:H27</f>
        <v>1500</v>
      </c>
      <c r="E11" s="4">
        <v>3000</v>
      </c>
      <c r="F11" s="4">
        <f t="shared" si="0"/>
        <v>4500</v>
      </c>
      <c r="G11" s="4">
        <v>1500</v>
      </c>
      <c r="H11" s="4">
        <f>F11-G11</f>
        <v>3000</v>
      </c>
      <c r="I11" s="1"/>
      <c r="J11" s="1"/>
    </row>
    <row r="12" spans="1:11" ht="15.75" x14ac:dyDescent="0.25">
      <c r="A12" s="4">
        <v>7</v>
      </c>
      <c r="B12" s="4" t="s">
        <v>59</v>
      </c>
      <c r="C12" s="4"/>
      <c r="D12" s="4">
        <f>'MARCH 21'!H12:H28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1" ht="15.75" x14ac:dyDescent="0.25">
      <c r="A13" s="4">
        <v>8</v>
      </c>
      <c r="B13" s="4" t="s">
        <v>10</v>
      </c>
      <c r="C13" s="4"/>
      <c r="D13" s="4">
        <f>'MARCH 21'!H13:H29</f>
        <v>0</v>
      </c>
      <c r="E13" s="4">
        <v>1200</v>
      </c>
      <c r="F13" s="4">
        <f t="shared" si="0"/>
        <v>1200</v>
      </c>
      <c r="G13" s="4">
        <v>1200</v>
      </c>
      <c r="H13" s="4">
        <f t="shared" si="1"/>
        <v>0</v>
      </c>
      <c r="I13" s="1"/>
      <c r="J13" s="1"/>
    </row>
    <row r="14" spans="1:11" ht="15.75" x14ac:dyDescent="0.25">
      <c r="A14" s="4">
        <v>9</v>
      </c>
      <c r="B14" s="4" t="s">
        <v>10</v>
      </c>
      <c r="C14" s="4"/>
      <c r="D14" s="4">
        <f>'MARCH 21'!H14:H30</f>
        <v>0</v>
      </c>
      <c r="E14" s="4">
        <v>2400</v>
      </c>
      <c r="F14" s="4">
        <f t="shared" si="0"/>
        <v>2400</v>
      </c>
      <c r="G14" s="4">
        <v>2400</v>
      </c>
      <c r="H14" s="4">
        <f t="shared" si="1"/>
        <v>0</v>
      </c>
      <c r="I14" s="1"/>
      <c r="J14" s="1"/>
      <c r="K14">
        <f>5000-G13</f>
        <v>3800</v>
      </c>
    </row>
    <row r="15" spans="1:11" ht="15.75" x14ac:dyDescent="0.25">
      <c r="A15" s="4">
        <v>10</v>
      </c>
      <c r="B15" s="4" t="s">
        <v>136</v>
      </c>
      <c r="C15" s="4"/>
      <c r="D15" s="4">
        <f>'MARCH 21'!H15:H31</f>
        <v>500</v>
      </c>
      <c r="E15" s="4">
        <v>1500</v>
      </c>
      <c r="F15" s="4">
        <f>D15+E15+C15</f>
        <v>2000</v>
      </c>
      <c r="G15" s="4"/>
      <c r="H15" s="4">
        <f t="shared" si="1"/>
        <v>2000</v>
      </c>
      <c r="I15" s="1" t="s">
        <v>184</v>
      </c>
      <c r="J15" s="1"/>
    </row>
    <row r="16" spans="1:11" ht="15.75" x14ac:dyDescent="0.25">
      <c r="A16" s="4">
        <v>11</v>
      </c>
      <c r="B16" s="4" t="s">
        <v>146</v>
      </c>
      <c r="C16" s="4"/>
      <c r="D16" s="4">
        <f>'MARCH 21'!H16:H32</f>
        <v>500</v>
      </c>
      <c r="E16" s="4">
        <v>1500</v>
      </c>
      <c r="F16" s="4">
        <f t="shared" si="0"/>
        <v>2000</v>
      </c>
      <c r="G16" s="4">
        <f>1000</f>
        <v>1000</v>
      </c>
      <c r="H16" s="4">
        <f t="shared" si="1"/>
        <v>1000</v>
      </c>
      <c r="I16" s="1"/>
      <c r="J16" s="1"/>
    </row>
    <row r="17" spans="1:11" ht="15.75" x14ac:dyDescent="0.25">
      <c r="A17" s="4">
        <v>12</v>
      </c>
      <c r="B17" s="4" t="s">
        <v>176</v>
      </c>
      <c r="C17" s="4"/>
      <c r="D17" s="4">
        <f>'MARCH 21'!H17:H33</f>
        <v>0</v>
      </c>
      <c r="E17" s="4">
        <v>1500</v>
      </c>
      <c r="F17" s="4">
        <f t="shared" si="0"/>
        <v>1500</v>
      </c>
      <c r="G17" s="4"/>
      <c r="H17" s="4">
        <f>F17-G17</f>
        <v>1500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'MARCH 21'!H18:H34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'MARCH 21'!H19:H35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'MARCH 21'!H20:H36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'MARCH 21'!H21:H37</f>
        <v>800</v>
      </c>
      <c r="E21" s="4">
        <v>1500</v>
      </c>
      <c r="F21" s="4">
        <f t="shared" si="0"/>
        <v>2300</v>
      </c>
      <c r="G21" s="4">
        <f>2000</f>
        <v>2000</v>
      </c>
      <c r="H21" s="4">
        <f>F21-G21</f>
        <v>300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'MARCH 21'!H22:H38</f>
        <v>4800</v>
      </c>
      <c r="E22" s="3">
        <f>SUM(E6:E21)</f>
        <v>23100</v>
      </c>
      <c r="F22" s="3">
        <f t="shared" si="2"/>
        <v>27900</v>
      </c>
      <c r="G22" s="3">
        <f t="shared" si="2"/>
        <v>18600</v>
      </c>
      <c r="H22" s="3">
        <f t="shared" si="2"/>
        <v>9300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82</v>
      </c>
      <c r="C27" s="28"/>
      <c r="D27" s="29">
        <f>E22</f>
        <v>23100</v>
      </c>
      <c r="E27" s="28"/>
      <c r="F27" s="28"/>
      <c r="G27" s="28" t="s">
        <v>82</v>
      </c>
      <c r="H27" s="29">
        <f>G22</f>
        <v>18600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'MARCH 21'!F37</f>
        <v>19988.115000000005</v>
      </c>
      <c r="E28" s="28"/>
      <c r="F28" s="28"/>
      <c r="G28" s="28" t="s">
        <v>5</v>
      </c>
      <c r="H28" s="29">
        <f>'MARCH 21'!J37</f>
        <v>15188.115000000002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2310</v>
      </c>
      <c r="F30" s="28"/>
      <c r="G30" s="28" t="s">
        <v>28</v>
      </c>
      <c r="H30" s="30">
        <v>0.1</v>
      </c>
      <c r="I30" s="29">
        <f>E30</f>
        <v>2310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28"/>
      <c r="I32" s="28"/>
      <c r="J32" s="28"/>
    </row>
    <row r="33" spans="1:10" ht="15.75" x14ac:dyDescent="0.25">
      <c r="A33" s="1"/>
      <c r="B33" s="4" t="s">
        <v>182</v>
      </c>
      <c r="C33" s="4"/>
      <c r="D33" s="4"/>
      <c r="E33" s="4">
        <v>30000</v>
      </c>
      <c r="F33" s="4"/>
      <c r="G33" s="4" t="s">
        <v>182</v>
      </c>
      <c r="H33" s="4"/>
      <c r="I33" s="4">
        <v>30000</v>
      </c>
      <c r="J33" s="4"/>
    </row>
    <row r="34" spans="1:10" ht="15.75" x14ac:dyDescent="0.25">
      <c r="A34" s="1"/>
      <c r="B34" s="31" t="s">
        <v>183</v>
      </c>
      <c r="C34" s="31"/>
      <c r="D34" s="28"/>
      <c r="E34" s="28">
        <v>2000</v>
      </c>
      <c r="F34" s="28"/>
      <c r="G34" s="31"/>
      <c r="H34" s="31"/>
      <c r="I34" s="28"/>
      <c r="J34" s="28"/>
    </row>
    <row r="35" spans="1:10" ht="15.75" x14ac:dyDescent="0.25">
      <c r="A35" s="1"/>
      <c r="B35" s="32" t="s">
        <v>186</v>
      </c>
      <c r="C35" s="32"/>
      <c r="D35" s="28"/>
      <c r="E35" s="28">
        <v>1500</v>
      </c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40778.115000000005</v>
      </c>
      <c r="E37" s="29">
        <f>SUM(E32:E36)</f>
        <v>33500</v>
      </c>
      <c r="F37" s="29">
        <f>D37-E37</f>
        <v>7278.1150000000052</v>
      </c>
      <c r="G37" s="28" t="s">
        <v>19</v>
      </c>
      <c r="H37" s="29">
        <f>H27+H28+H29-I30</f>
        <v>31478.115000000005</v>
      </c>
      <c r="I37" s="29">
        <f>SUM(I32:I36)</f>
        <v>30000</v>
      </c>
      <c r="J37" s="29">
        <f>H37-I37</f>
        <v>1478.1150000000052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4" zoomScaleNormal="100" workbookViewId="0">
      <selection activeCell="C41" sqref="C41"/>
    </sheetView>
  </sheetViews>
  <sheetFormatPr defaultRowHeight="15" x14ac:dyDescent="0.25"/>
  <cols>
    <col min="2" max="2" width="13.8554687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185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APRIL21!H6:H21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16" t="s">
        <v>15</v>
      </c>
      <c r="C7" s="4"/>
      <c r="D7" s="4">
        <f>APRIL21!H7:H22</f>
        <v>0</v>
      </c>
      <c r="E7" s="4"/>
      <c r="F7" s="4">
        <f t="shared" ref="F7:F21" si="0">D7+E7+C7</f>
        <v>0</v>
      </c>
      <c r="G7" s="4"/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APRIL21!H8:H23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APRIL21!H9:H24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16" t="s">
        <v>15</v>
      </c>
      <c r="C10" s="4"/>
      <c r="D10" s="4">
        <f>APRIL21!H10:H25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93</v>
      </c>
      <c r="C11" s="4"/>
      <c r="D11" s="4">
        <f>APRIL21!H11:H26</f>
        <v>3000</v>
      </c>
      <c r="E11" s="4">
        <v>3000</v>
      </c>
      <c r="F11" s="4">
        <f t="shared" si="0"/>
        <v>6000</v>
      </c>
      <c r="G11" s="4">
        <v>6000</v>
      </c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APRIL21!H12:H27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APRIL21!H13:H28</f>
        <v>0</v>
      </c>
      <c r="E13" s="4">
        <v>1200</v>
      </c>
      <c r="F13" s="4">
        <f t="shared" si="0"/>
        <v>1200</v>
      </c>
      <c r="G13" s="4"/>
      <c r="H13" s="4">
        <f t="shared" si="1"/>
        <v>1200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APRIL21!H14:H29</f>
        <v>0</v>
      </c>
      <c r="E14" s="4">
        <v>2400</v>
      </c>
      <c r="F14" s="4">
        <f t="shared" si="0"/>
        <v>2400</v>
      </c>
      <c r="G14" s="4"/>
      <c r="H14" s="4">
        <f t="shared" si="1"/>
        <v>2400</v>
      </c>
      <c r="I14" s="1"/>
      <c r="J14" s="1"/>
    </row>
    <row r="15" spans="1:10" ht="15.75" x14ac:dyDescent="0.25">
      <c r="A15" s="4">
        <v>10</v>
      </c>
      <c r="B15" s="4"/>
      <c r="C15" s="4"/>
      <c r="D15" s="4"/>
      <c r="E15" s="4"/>
      <c r="F15" s="4">
        <f>D15+E15+C15</f>
        <v>0</v>
      </c>
      <c r="G15" s="4"/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APRIL21!H16:H31</f>
        <v>1000</v>
      </c>
      <c r="E16" s="4">
        <v>1500</v>
      </c>
      <c r="F16" s="4">
        <f t="shared" si="0"/>
        <v>2500</v>
      </c>
      <c r="G16" s="4"/>
      <c r="H16" s="4">
        <f t="shared" si="1"/>
        <v>2500</v>
      </c>
      <c r="I16" s="1"/>
      <c r="J16" s="1"/>
    </row>
    <row r="17" spans="1:11" ht="15.75" x14ac:dyDescent="0.25">
      <c r="A17" s="4">
        <v>12</v>
      </c>
      <c r="B17" s="4"/>
      <c r="C17" s="4"/>
      <c r="D17" s="4"/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APRIL21!H18:H33</f>
        <v>1500</v>
      </c>
      <c r="E18" s="4">
        <v>1500</v>
      </c>
      <c r="F18" s="4">
        <f>D18+E18+C18</f>
        <v>3000</v>
      </c>
      <c r="G18" s="4">
        <f>1500</f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APRIL21!H19:H34</f>
        <v>0</v>
      </c>
      <c r="E19" s="4">
        <v>3000</v>
      </c>
      <c r="F19" s="4">
        <f t="shared" si="0"/>
        <v>3000</v>
      </c>
      <c r="G19" s="4">
        <f>2000</f>
        <v>2000</v>
      </c>
      <c r="H19" s="4">
        <f>F19-G19</f>
        <v>1000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APRIL21!H20:H35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APRIL21!H21:H36</f>
        <v>300</v>
      </c>
      <c r="E21" s="4">
        <v>1500</v>
      </c>
      <c r="F21" s="4">
        <f t="shared" si="0"/>
        <v>1800</v>
      </c>
      <c r="G21" s="4">
        <v>1800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5800</v>
      </c>
      <c r="E22" s="3">
        <f>SUM(E6:E21)</f>
        <v>20100</v>
      </c>
      <c r="F22" s="3">
        <f t="shared" si="2"/>
        <v>25900</v>
      </c>
      <c r="G22" s="3">
        <f t="shared" si="2"/>
        <v>17300</v>
      </c>
      <c r="H22" s="3">
        <f t="shared" si="2"/>
        <v>8600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87</v>
      </c>
      <c r="C27" s="28"/>
      <c r="D27" s="29">
        <f>E22</f>
        <v>20100</v>
      </c>
      <c r="E27" s="28"/>
      <c r="F27" s="28"/>
      <c r="G27" s="28" t="s">
        <v>87</v>
      </c>
      <c r="H27" s="29">
        <f>G22</f>
        <v>17300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APRIL21!F37</f>
        <v>7278.1150000000052</v>
      </c>
      <c r="E28" s="28"/>
      <c r="F28" s="28"/>
      <c r="G28" s="28" t="s">
        <v>5</v>
      </c>
      <c r="H28" s="29">
        <f>APRIL21!J37</f>
        <v>1478.1150000000052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2010</v>
      </c>
      <c r="F30" s="28"/>
      <c r="G30" s="28" t="s">
        <v>28</v>
      </c>
      <c r="H30" s="30">
        <v>0.1</v>
      </c>
      <c r="I30" s="29">
        <f>E30</f>
        <v>2010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187</v>
      </c>
      <c r="C32" s="31"/>
      <c r="D32" s="28"/>
      <c r="E32" s="28">
        <v>7075</v>
      </c>
      <c r="F32" s="28"/>
      <c r="G32" s="31" t="s">
        <v>187</v>
      </c>
      <c r="H32" s="31"/>
      <c r="I32" s="28">
        <v>7075</v>
      </c>
      <c r="J32" s="28"/>
    </row>
    <row r="33" spans="1:10" ht="15.75" x14ac:dyDescent="0.25">
      <c r="A33" s="1"/>
      <c r="B33" s="4" t="s">
        <v>188</v>
      </c>
      <c r="C33" s="4"/>
      <c r="D33" s="4"/>
      <c r="E33" s="4">
        <v>6800</v>
      </c>
      <c r="F33" s="4"/>
      <c r="G33" s="4" t="s">
        <v>188</v>
      </c>
      <c r="H33" s="4"/>
      <c r="I33" s="4">
        <v>6800</v>
      </c>
      <c r="J33" s="4"/>
    </row>
    <row r="34" spans="1:10" ht="15.75" x14ac:dyDescent="0.25">
      <c r="A34" s="1"/>
      <c r="B34" s="31" t="s">
        <v>189</v>
      </c>
      <c r="C34" s="31"/>
      <c r="D34" s="28"/>
      <c r="E34" s="28">
        <v>2000</v>
      </c>
      <c r="F34" s="28"/>
      <c r="G34" s="31" t="s">
        <v>189</v>
      </c>
      <c r="H34" s="31"/>
      <c r="I34" s="28">
        <v>2000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25368.115000000005</v>
      </c>
      <c r="E37" s="29">
        <f>SUM(E32:E36)</f>
        <v>15875</v>
      </c>
      <c r="F37" s="29">
        <f>D37-E37</f>
        <v>9493.1150000000052</v>
      </c>
      <c r="G37" s="28" t="s">
        <v>19</v>
      </c>
      <c r="H37" s="29">
        <f>H27+H28+H29-I30</f>
        <v>16768.115000000005</v>
      </c>
      <c r="I37" s="29">
        <f>SUM(I32:I36)</f>
        <v>15875</v>
      </c>
      <c r="J37" s="29">
        <f>H37-I37</f>
        <v>893.11500000000524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4" workbookViewId="0">
      <selection activeCell="A19" sqref="A19:XFD19"/>
    </sheetView>
  </sheetViews>
  <sheetFormatPr defaultRowHeight="15" x14ac:dyDescent="0.25"/>
  <cols>
    <col min="6" max="6" width="11.8554687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190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'MAY 21'!H6:H22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16" t="s">
        <v>191</v>
      </c>
      <c r="C7" s="4"/>
      <c r="D7" s="4">
        <f>'MAY 21'!H7:H23</f>
        <v>0</v>
      </c>
      <c r="E7" s="4">
        <v>1500</v>
      </c>
      <c r="F7" s="4">
        <f t="shared" ref="F7:F21" si="0">D7+E7+C7</f>
        <v>1500</v>
      </c>
      <c r="G7" s="4">
        <v>1500</v>
      </c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'MAY 21'!H8:H24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'MAY 21'!H9:H25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16" t="s">
        <v>40</v>
      </c>
      <c r="C10" s="4"/>
      <c r="D10" s="4">
        <f>'MAY 21'!H10:H26</f>
        <v>0</v>
      </c>
      <c r="E10" s="4">
        <v>1500</v>
      </c>
      <c r="F10" s="4">
        <f t="shared" si="0"/>
        <v>1500</v>
      </c>
      <c r="G10" s="4">
        <v>1500</v>
      </c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'MAY 21'!H11:H27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'MAY 21'!H12:H28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10</v>
      </c>
      <c r="C13" s="4"/>
      <c r="D13" s="4">
        <f>'MAY 21'!H13:H29</f>
        <v>1200</v>
      </c>
      <c r="E13" s="4"/>
      <c r="F13" s="4">
        <f t="shared" si="0"/>
        <v>1200</v>
      </c>
      <c r="G13" s="4">
        <f>1200</f>
        <v>1200</v>
      </c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'MAY 21'!H14:H30</f>
        <v>2400</v>
      </c>
      <c r="E14" s="4">
        <v>2400</v>
      </c>
      <c r="F14" s="4">
        <f t="shared" si="0"/>
        <v>4800</v>
      </c>
      <c r="G14" s="4">
        <f>3000+900</f>
        <v>3900</v>
      </c>
      <c r="H14" s="4">
        <f t="shared" si="1"/>
        <v>900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'MAY 21'!H15:H31</f>
        <v>0</v>
      </c>
      <c r="E15" s="4">
        <v>1500</v>
      </c>
      <c r="F15" s="4">
        <f>D15+E15+C15</f>
        <v>1500</v>
      </c>
      <c r="G15" s="4">
        <v>1200</v>
      </c>
      <c r="H15" s="4">
        <f t="shared" si="1"/>
        <v>300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'MAY 21'!H16:H32</f>
        <v>2500</v>
      </c>
      <c r="E16" s="4">
        <v>1500</v>
      </c>
      <c r="F16" s="4">
        <f t="shared" si="0"/>
        <v>4000</v>
      </c>
      <c r="G16" s="4">
        <f>1700+1000+900</f>
        <v>3600</v>
      </c>
      <c r="H16" s="4">
        <f t="shared" si="1"/>
        <v>400</v>
      </c>
      <c r="I16" s="1"/>
      <c r="J16" s="1"/>
    </row>
    <row r="17" spans="1:11" ht="15.75" x14ac:dyDescent="0.25">
      <c r="A17" s="4">
        <v>12</v>
      </c>
      <c r="B17" s="4"/>
      <c r="C17" s="4"/>
      <c r="D17" s="4">
        <f>'MAY 21'!H17:H33</f>
        <v>0</v>
      </c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'MAY 21'!H18:H34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'MAY 21'!H19:H35</f>
        <v>1000</v>
      </c>
      <c r="E19" s="4">
        <v>3000</v>
      </c>
      <c r="F19" s="4">
        <f t="shared" si="0"/>
        <v>4000</v>
      </c>
      <c r="G19" s="4">
        <f>1500+2500</f>
        <v>4000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'MAY 21'!H20:H36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'MAY 21'!H21:H37</f>
        <v>0</v>
      </c>
      <c r="E21" s="4">
        <v>1500</v>
      </c>
      <c r="F21" s="4">
        <f t="shared" si="0"/>
        <v>1500</v>
      </c>
      <c r="G21" s="4">
        <f>1500</f>
        <v>1500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8600</v>
      </c>
      <c r="E22" s="3">
        <f>SUM(E6:E21)</f>
        <v>20400</v>
      </c>
      <c r="F22" s="3">
        <f t="shared" si="2"/>
        <v>29000</v>
      </c>
      <c r="G22" s="3">
        <f t="shared" si="2"/>
        <v>25900</v>
      </c>
      <c r="H22" s="3">
        <f t="shared" si="2"/>
        <v>3100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27</v>
      </c>
      <c r="C27" s="28"/>
      <c r="D27" s="29">
        <f>E22</f>
        <v>20400</v>
      </c>
      <c r="E27" s="28"/>
      <c r="F27" s="28"/>
      <c r="G27" s="28" t="s">
        <v>27</v>
      </c>
      <c r="H27" s="29">
        <f>G22</f>
        <v>25900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'MAY 21'!F37</f>
        <v>9493.1150000000052</v>
      </c>
      <c r="E28" s="28"/>
      <c r="F28" s="28"/>
      <c r="G28" s="28" t="s">
        <v>5</v>
      </c>
      <c r="H28" s="29">
        <f>'MAY 21'!J37</f>
        <v>893.11500000000524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</row>
    <row r="33" spans="1:10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0" ht="15.75" x14ac:dyDescent="0.25">
      <c r="A34" s="1"/>
      <c r="B34" s="31" t="s">
        <v>192</v>
      </c>
      <c r="C34" s="31"/>
      <c r="D34" s="28"/>
      <c r="E34" s="28">
        <v>11550</v>
      </c>
      <c r="F34" s="28"/>
      <c r="G34" s="31" t="s">
        <v>192</v>
      </c>
      <c r="H34" s="31"/>
      <c r="I34" s="28">
        <v>11550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27853.115000000005</v>
      </c>
      <c r="E37" s="29">
        <f>SUM(E32:E36)</f>
        <v>19550</v>
      </c>
      <c r="F37" s="29">
        <f>D37-E37</f>
        <v>8303.1150000000052</v>
      </c>
      <c r="G37" s="28" t="s">
        <v>19</v>
      </c>
      <c r="H37" s="29">
        <f>H27+H28+H29-I30</f>
        <v>24753.115000000005</v>
      </c>
      <c r="I37" s="29">
        <f>SUM(I32:I36)</f>
        <v>19550</v>
      </c>
      <c r="J37" s="29">
        <f>H37-I37</f>
        <v>5203.1150000000052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37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workbookViewId="0">
      <selection activeCell="I33" sqref="I33"/>
    </sheetView>
  </sheetViews>
  <sheetFormatPr defaultRowHeight="15" x14ac:dyDescent="0.25"/>
  <cols>
    <col min="2" max="2" width="15.28515625" customWidth="1"/>
    <col min="8" max="8" width="16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194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'JUNE 21'!H6:H22</f>
        <v>0</v>
      </c>
      <c r="E6" s="4">
        <v>1500</v>
      </c>
      <c r="F6" s="4">
        <f>D6+E6+C6</f>
        <v>1500</v>
      </c>
      <c r="G6" s="4">
        <f>1500</f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28" t="s">
        <v>191</v>
      </c>
      <c r="C7" s="4"/>
      <c r="D7" s="4">
        <f>'JUNE 21'!H7:H23</f>
        <v>0</v>
      </c>
      <c r="E7" s="4">
        <v>1500</v>
      </c>
      <c r="F7" s="4">
        <f t="shared" ref="F7:F21" si="0">D7+E7+C7</f>
        <v>1500</v>
      </c>
      <c r="G7" s="4">
        <f>1500</f>
        <v>1500</v>
      </c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'JUNE 21'!H8:H24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'JUNE 21'!H9:H25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16"/>
      <c r="C10" s="4"/>
      <c r="D10" s="4">
        <f>'JUNE 21'!H10:H26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'JUNE 21'!H11:H27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'JUNE 21'!H12:H28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15</v>
      </c>
      <c r="C13" s="4"/>
      <c r="D13" s="4">
        <f>'JUNE 21'!H13:H29</f>
        <v>0</v>
      </c>
      <c r="E13" s="4"/>
      <c r="F13" s="4">
        <f t="shared" si="0"/>
        <v>0</v>
      </c>
      <c r="G13" s="4"/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'JUNE 21'!H14:H30</f>
        <v>900</v>
      </c>
      <c r="E14" s="4">
        <v>2400</v>
      </c>
      <c r="F14" s="4">
        <f t="shared" si="0"/>
        <v>3300</v>
      </c>
      <c r="G14" s="4">
        <v>3000</v>
      </c>
      <c r="H14" s="4">
        <f t="shared" si="1"/>
        <v>300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'JUNE 21'!H15:H31</f>
        <v>300</v>
      </c>
      <c r="E15" s="4">
        <v>1500</v>
      </c>
      <c r="F15" s="4">
        <f>D15+E15+C15</f>
        <v>1800</v>
      </c>
      <c r="G15" s="4"/>
      <c r="H15" s="4">
        <f t="shared" si="1"/>
        <v>1800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'JUNE 21'!H16:H32</f>
        <v>400</v>
      </c>
      <c r="E16" s="4">
        <v>1500</v>
      </c>
      <c r="F16" s="4">
        <f t="shared" si="0"/>
        <v>1900</v>
      </c>
      <c r="G16" s="4">
        <f>1500</f>
        <v>1500</v>
      </c>
      <c r="H16" s="4">
        <f t="shared" si="1"/>
        <v>400</v>
      </c>
      <c r="I16" s="1"/>
      <c r="J16" s="1"/>
    </row>
    <row r="17" spans="1:11" ht="15.75" x14ac:dyDescent="0.25">
      <c r="A17" s="4">
        <v>12</v>
      </c>
      <c r="B17" s="4" t="s">
        <v>193</v>
      </c>
      <c r="C17" s="4"/>
      <c r="D17" s="4">
        <f>'JUNE 21'!H17:H33</f>
        <v>0</v>
      </c>
      <c r="E17" s="4">
        <v>1500</v>
      </c>
      <c r="F17" s="4">
        <f t="shared" si="0"/>
        <v>1500</v>
      </c>
      <c r="G17" s="4"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'JUNE 21'!H18:H34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'JUNE 21'!H19:H35</f>
        <v>0</v>
      </c>
      <c r="E19" s="4">
        <v>3000</v>
      </c>
      <c r="F19" s="4">
        <f t="shared" si="0"/>
        <v>3000</v>
      </c>
      <c r="G19" s="4">
        <f>3000</f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'JUNE 21'!H20:H36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'JUNE 21'!H21:H37</f>
        <v>0</v>
      </c>
      <c r="E21" s="4">
        <v>1500</v>
      </c>
      <c r="F21" s="4">
        <f t="shared" si="0"/>
        <v>1500</v>
      </c>
      <c r="G21" s="4"/>
      <c r="H21" s="4">
        <f>F21-G21</f>
        <v>1500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3100</v>
      </c>
      <c r="E22" s="3">
        <f>SUM(E6:E21)</f>
        <v>20400</v>
      </c>
      <c r="F22" s="3">
        <f t="shared" si="2"/>
        <v>23500</v>
      </c>
      <c r="G22" s="3">
        <f t="shared" si="2"/>
        <v>18000</v>
      </c>
      <c r="H22" s="3">
        <f t="shared" si="2"/>
        <v>5500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37</v>
      </c>
      <c r="C27" s="28"/>
      <c r="D27" s="29">
        <f>E22</f>
        <v>20400</v>
      </c>
      <c r="E27" s="28"/>
      <c r="F27" s="28"/>
      <c r="G27" s="28" t="s">
        <v>37</v>
      </c>
      <c r="H27" s="29">
        <f>G22</f>
        <v>18000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'JUNE 21'!F37</f>
        <v>8303.1150000000052</v>
      </c>
      <c r="E28" s="28"/>
      <c r="F28" s="28"/>
      <c r="G28" s="28" t="s">
        <v>5</v>
      </c>
      <c r="H28" s="29">
        <f>'JUNE 21'!J37</f>
        <v>5203.1150000000052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</row>
    <row r="33" spans="1:12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2" ht="15.75" x14ac:dyDescent="0.25">
      <c r="A34" s="1"/>
      <c r="B34" s="31" t="s">
        <v>148</v>
      </c>
      <c r="C34" s="31"/>
      <c r="D34" s="28"/>
      <c r="E34" s="28">
        <f>5700+8000</f>
        <v>13700</v>
      </c>
      <c r="F34" s="28"/>
      <c r="G34" s="31" t="s">
        <v>148</v>
      </c>
      <c r="H34" s="31"/>
      <c r="I34" s="28">
        <f>5700+8000</f>
        <v>13700</v>
      </c>
      <c r="J34" s="28"/>
    </row>
    <row r="35" spans="1:12" ht="15.75" x14ac:dyDescent="0.25">
      <c r="A35" s="1"/>
      <c r="B35" s="32" t="s">
        <v>195</v>
      </c>
      <c r="C35" s="32"/>
      <c r="D35" s="28"/>
      <c r="E35" s="28">
        <v>3000</v>
      </c>
      <c r="F35" s="28"/>
      <c r="G35" s="32" t="s">
        <v>195</v>
      </c>
      <c r="H35" s="32"/>
      <c r="I35" s="28">
        <v>3000</v>
      </c>
      <c r="J35" s="28"/>
    </row>
    <row r="36" spans="1:12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2" ht="15.75" x14ac:dyDescent="0.25">
      <c r="A37" s="1"/>
      <c r="B37" s="28" t="s">
        <v>19</v>
      </c>
      <c r="C37" s="28"/>
      <c r="D37" s="29">
        <f>D27+D28+D29-E30</f>
        <v>26663.115000000005</v>
      </c>
      <c r="E37" s="29">
        <f>SUM(E32:E36)</f>
        <v>24700</v>
      </c>
      <c r="F37" s="29">
        <f>D37-E37</f>
        <v>1963.1150000000052</v>
      </c>
      <c r="G37" s="28" t="s">
        <v>19</v>
      </c>
      <c r="H37" s="29">
        <f>H27+H28+H29-I30</f>
        <v>21163.115000000005</v>
      </c>
      <c r="I37" s="29">
        <f>SUM(I32:I36)</f>
        <v>24700</v>
      </c>
      <c r="J37" s="29">
        <f>H37-I37</f>
        <v>-3536.8849999999948</v>
      </c>
    </row>
    <row r="38" spans="1:12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  <c r="L38" s="20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2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10" workbookViewId="0">
      <selection activeCell="J40" sqref="J40"/>
    </sheetView>
  </sheetViews>
  <sheetFormatPr defaultRowHeight="15" x14ac:dyDescent="0.25"/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196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'JULY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28" t="s">
        <v>191</v>
      </c>
      <c r="C7" s="4"/>
      <c r="D7" s="4">
        <f>'JULY 21'!H7:H22</f>
        <v>0</v>
      </c>
      <c r="E7" s="4">
        <v>1500</v>
      </c>
      <c r="F7" s="4">
        <f t="shared" ref="F7:F21" si="0">D7+E7+C7</f>
        <v>1500</v>
      </c>
      <c r="G7" s="4">
        <f>1500</f>
        <v>1500</v>
      </c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'JULY 21'!H8:H23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'JULY 21'!H9:H24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28" t="s">
        <v>197</v>
      </c>
      <c r="C10" s="28"/>
      <c r="D10" s="4">
        <f>'JULY 21'!H10:H25</f>
        <v>0</v>
      </c>
      <c r="E10" s="4">
        <v>1500</v>
      </c>
      <c r="F10" s="4">
        <f t="shared" si="0"/>
        <v>1500</v>
      </c>
      <c r="G10" s="4">
        <v>1500</v>
      </c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'JULY 21'!H11:H26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'JULY 21'!H12:H27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15</v>
      </c>
      <c r="C13" s="4"/>
      <c r="D13" s="4">
        <f>'JULY 21'!H13:H28</f>
        <v>0</v>
      </c>
      <c r="E13" s="4"/>
      <c r="F13" s="4">
        <f t="shared" si="0"/>
        <v>0</v>
      </c>
      <c r="G13" s="4"/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'JULY 21'!H14:H29</f>
        <v>300</v>
      </c>
      <c r="E14" s="4">
        <v>2400</v>
      </c>
      <c r="F14" s="4">
        <f t="shared" si="0"/>
        <v>2700</v>
      </c>
      <c r="G14" s="4">
        <f>2400</f>
        <v>2400</v>
      </c>
      <c r="H14" s="4">
        <f t="shared" si="1"/>
        <v>300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'JULY 21'!H15:H30</f>
        <v>1800</v>
      </c>
      <c r="E15" s="4">
        <v>1500</v>
      </c>
      <c r="F15" s="4">
        <f>D15+E15+C15</f>
        <v>3300</v>
      </c>
      <c r="G15" s="4">
        <f>1500</f>
        <v>1500</v>
      </c>
      <c r="H15" s="4">
        <f t="shared" si="1"/>
        <v>1800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'JULY 21'!H16:H31</f>
        <v>400</v>
      </c>
      <c r="E16" s="4">
        <v>1500</v>
      </c>
      <c r="F16" s="4">
        <f t="shared" si="0"/>
        <v>1900</v>
      </c>
      <c r="G16" s="4"/>
      <c r="H16" s="4">
        <f t="shared" si="1"/>
        <v>1900</v>
      </c>
      <c r="I16" s="1"/>
      <c r="J16" s="1"/>
    </row>
    <row r="17" spans="1:11" ht="15.75" x14ac:dyDescent="0.25">
      <c r="A17" s="4">
        <v>12</v>
      </c>
      <c r="B17" s="4" t="s">
        <v>193</v>
      </c>
      <c r="C17" s="4"/>
      <c r="D17" s="4">
        <f>'JULY 21'!H17:H32</f>
        <v>0</v>
      </c>
      <c r="E17" s="4">
        <v>1500</v>
      </c>
      <c r="F17" s="4">
        <f t="shared" si="0"/>
        <v>1500</v>
      </c>
      <c r="G17" s="4">
        <f>1500</f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'JULY 21'!H18:H33</f>
        <v>1500</v>
      </c>
      <c r="E18" s="4">
        <v>1500</v>
      </c>
      <c r="F18" s="4">
        <f>D18+E18+C18</f>
        <v>3000</v>
      </c>
      <c r="G18" s="4">
        <f>1500+1500</f>
        <v>3000</v>
      </c>
      <c r="H18" s="4">
        <f>F18-G18</f>
        <v>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'JULY 21'!H19:H34</f>
        <v>0</v>
      </c>
      <c r="E19" s="4">
        <v>3000</v>
      </c>
      <c r="F19" s="4">
        <f t="shared" si="0"/>
        <v>3000</v>
      </c>
      <c r="G19" s="4">
        <f>2500</f>
        <v>2500</v>
      </c>
      <c r="H19" s="4">
        <f>F19-G19</f>
        <v>500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'JULY 21'!H20:H35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'JULY 21'!H21:H36</f>
        <v>1500</v>
      </c>
      <c r="E21" s="4">
        <v>1500</v>
      </c>
      <c r="F21" s="4">
        <f t="shared" si="0"/>
        <v>3000</v>
      </c>
      <c r="G21" s="4">
        <f>1500+1500</f>
        <v>3000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5500</v>
      </c>
      <c r="E22" s="3">
        <f>SUM(E6:E21)</f>
        <v>21900</v>
      </c>
      <c r="F22" s="3">
        <f t="shared" si="2"/>
        <v>27400</v>
      </c>
      <c r="G22" s="3">
        <f t="shared" si="2"/>
        <v>22900</v>
      </c>
      <c r="H22" s="3">
        <f t="shared" si="2"/>
        <v>4500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151</v>
      </c>
      <c r="C27" s="28"/>
      <c r="D27" s="29">
        <f>E22</f>
        <v>21900</v>
      </c>
      <c r="E27" s="28"/>
      <c r="F27" s="28"/>
      <c r="G27" s="28" t="s">
        <v>151</v>
      </c>
      <c r="H27" s="29">
        <f>G22</f>
        <v>22900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'JULY 21'!F37</f>
        <v>1963.1150000000052</v>
      </c>
      <c r="E28" s="28"/>
      <c r="F28" s="28"/>
      <c r="G28" s="28" t="s">
        <v>5</v>
      </c>
      <c r="H28" s="29">
        <f>'JULY 21'!J37</f>
        <v>-3536.8849999999948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2190</v>
      </c>
      <c r="F30" s="28"/>
      <c r="G30" s="28" t="s">
        <v>28</v>
      </c>
      <c r="H30" s="30">
        <v>0.1</v>
      </c>
      <c r="I30" s="29">
        <f>E30</f>
        <v>2190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</row>
    <row r="33" spans="1:10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0" ht="15.75" x14ac:dyDescent="0.25">
      <c r="A34" s="1"/>
      <c r="B34" s="31" t="s">
        <v>198</v>
      </c>
      <c r="C34" s="31"/>
      <c r="D34" s="28"/>
      <c r="E34" s="28">
        <v>13673</v>
      </c>
      <c r="F34" s="28"/>
      <c r="G34" s="31" t="s">
        <v>198</v>
      </c>
      <c r="H34" s="31"/>
      <c r="I34" s="28">
        <v>13673</v>
      </c>
      <c r="J34" s="28"/>
    </row>
    <row r="35" spans="1:10" ht="15.75" x14ac:dyDescent="0.25">
      <c r="A35" s="1"/>
      <c r="B35" s="32" t="s">
        <v>200</v>
      </c>
      <c r="C35" s="32"/>
      <c r="D35" s="28"/>
      <c r="E35" s="28">
        <f>F16</f>
        <v>1900</v>
      </c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21673.115000000005</v>
      </c>
      <c r="E37" s="29">
        <f>SUM(E32:E36)</f>
        <v>23573</v>
      </c>
      <c r="F37" s="29">
        <f>D37-E37</f>
        <v>-1899.8849999999948</v>
      </c>
      <c r="G37" s="28" t="s">
        <v>19</v>
      </c>
      <c r="H37" s="29">
        <f>H27+H28+H29-I30</f>
        <v>17173.115000000005</v>
      </c>
      <c r="I37" s="29">
        <f>SUM(I32:I36)</f>
        <v>21673</v>
      </c>
      <c r="J37" s="29">
        <f>H37-I37</f>
        <v>-4499.8849999999948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E40" sqref="E40"/>
    </sheetView>
  </sheetViews>
  <sheetFormatPr defaultRowHeight="15" x14ac:dyDescent="0.25"/>
  <cols>
    <col min="1" max="1" width="4.42578125" customWidth="1"/>
    <col min="2" max="2" width="17.85546875" customWidth="1"/>
    <col min="5" max="5" width="11.42578125" customWidth="1"/>
    <col min="6" max="6" width="9.71093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51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15</v>
      </c>
      <c r="C9" s="4"/>
      <c r="D9" s="4"/>
      <c r="E9" s="4">
        <f t="shared" si="0"/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21300</v>
      </c>
      <c r="E22" s="3">
        <f>SUM(E5:E21)</f>
        <v>21300</v>
      </c>
      <c r="F22" s="3">
        <f>SUM(F5:F21)</f>
        <v>21300</v>
      </c>
      <c r="G22" s="3">
        <f>SUM(G5:G21)</f>
        <v>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52</v>
      </c>
      <c r="C27" s="12">
        <f>D22</f>
        <v>21300</v>
      </c>
      <c r="D27" s="4"/>
      <c r="E27" s="4"/>
      <c r="F27" s="4" t="s">
        <v>52</v>
      </c>
      <c r="G27" s="12">
        <f>F22</f>
        <v>21300</v>
      </c>
      <c r="H27" s="4"/>
      <c r="I27" s="4"/>
    </row>
    <row r="28" spans="1:9" ht="15.75" x14ac:dyDescent="0.25">
      <c r="A28" s="1"/>
      <c r="B28" s="4" t="s">
        <v>5</v>
      </c>
      <c r="C28" s="12">
        <f>AUGUST!E35</f>
        <v>960</v>
      </c>
      <c r="D28" s="4"/>
      <c r="E28" s="4"/>
      <c r="F28" s="4" t="s">
        <v>5</v>
      </c>
      <c r="G28" s="12">
        <f>AUGUST!I35</f>
        <v>960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2130</v>
      </c>
      <c r="E29" s="4"/>
      <c r="F29" s="4" t="s">
        <v>28</v>
      </c>
      <c r="G29" s="14">
        <v>0.1</v>
      </c>
      <c r="H29" s="12">
        <f>D29</f>
        <v>2130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43356</v>
      </c>
      <c r="C31" s="4"/>
      <c r="D31" s="4">
        <v>15602</v>
      </c>
      <c r="E31" s="4"/>
      <c r="F31" s="17">
        <v>43356</v>
      </c>
      <c r="G31" s="4"/>
      <c r="H31" s="4">
        <v>15602</v>
      </c>
      <c r="I31" s="4"/>
    </row>
    <row r="32" spans="1:9" ht="15.75" x14ac:dyDescent="0.25">
      <c r="A32" s="1"/>
      <c r="B32" s="17">
        <v>43362</v>
      </c>
      <c r="C32" s="4"/>
      <c r="D32" s="4">
        <v>4589</v>
      </c>
      <c r="E32" s="4"/>
      <c r="F32" s="17">
        <v>43362</v>
      </c>
      <c r="G32" s="4"/>
      <c r="H32" s="4">
        <v>4589</v>
      </c>
      <c r="I32" s="4"/>
    </row>
    <row r="33" spans="1:9" ht="15.75" x14ac:dyDescent="0.25">
      <c r="A33" s="1"/>
      <c r="B33" s="17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9"/>
      <c r="C34" s="4"/>
      <c r="D34" s="4"/>
      <c r="E34" s="4"/>
      <c r="F34" s="17"/>
      <c r="G34" s="4"/>
      <c r="H34" s="4"/>
      <c r="I34" s="4"/>
    </row>
    <row r="35" spans="1:9" ht="15.75" x14ac:dyDescent="0.25">
      <c r="A35" s="1"/>
      <c r="B35" s="16" t="s">
        <v>19</v>
      </c>
      <c r="C35" s="18">
        <f>C27+C28</f>
        <v>22260</v>
      </c>
      <c r="D35" s="18">
        <f>SUM(D29:D34)</f>
        <v>22321</v>
      </c>
      <c r="E35" s="18">
        <f>C35-D35</f>
        <v>-61</v>
      </c>
      <c r="F35" s="16" t="s">
        <v>19</v>
      </c>
      <c r="G35" s="18">
        <f>G27+G28</f>
        <v>22260</v>
      </c>
      <c r="H35" s="18">
        <f>SUM(H29:H34)</f>
        <v>22321</v>
      </c>
      <c r="I35" s="12">
        <f>G35-H35</f>
        <v>-61</v>
      </c>
    </row>
    <row r="36" spans="1:9" ht="15.75" x14ac:dyDescent="0.25">
      <c r="A36" s="1"/>
      <c r="B36" s="1"/>
      <c r="C36" s="1"/>
      <c r="D36" s="1" t="s">
        <v>53</v>
      </c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opLeftCell="A4" workbookViewId="0">
      <selection activeCell="J16" sqref="J16"/>
    </sheetView>
  </sheetViews>
  <sheetFormatPr defaultRowHeight="15" x14ac:dyDescent="0.25"/>
  <cols>
    <col min="2" max="2" width="19.28515625" bestFit="1" customWidth="1"/>
    <col min="7" max="7" width="13.425781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199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'AUGUST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28" t="s">
        <v>191</v>
      </c>
      <c r="C7" s="4"/>
      <c r="D7" s="4">
        <f>'AUGUST 21'!H7:H22</f>
        <v>0</v>
      </c>
      <c r="E7" s="4">
        <v>1500</v>
      </c>
      <c r="F7" s="4">
        <f t="shared" ref="F7:F21" si="0">D7+E7+C7</f>
        <v>1500</v>
      </c>
      <c r="G7" s="4">
        <f>1500</f>
        <v>1500</v>
      </c>
      <c r="H7" s="4">
        <f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'AUGUST 21'!H8:H23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'AUGUST 21'!H9:H24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28" t="s">
        <v>197</v>
      </c>
      <c r="C10" s="28"/>
      <c r="D10" s="4">
        <f>'AUGUST 21'!H10:H25</f>
        <v>0</v>
      </c>
      <c r="E10" s="4">
        <v>1500</v>
      </c>
      <c r="F10" s="4">
        <f t="shared" si="0"/>
        <v>1500</v>
      </c>
      <c r="G10" s="4">
        <v>1500</v>
      </c>
      <c r="H10" s="4">
        <f>F10-G10</f>
        <v>0</v>
      </c>
      <c r="I10" s="1"/>
      <c r="J10" s="1"/>
    </row>
    <row r="11" spans="1:10" ht="15.75" x14ac:dyDescent="0.25">
      <c r="A11" s="4">
        <v>6</v>
      </c>
      <c r="B11" s="16" t="s">
        <v>15</v>
      </c>
      <c r="C11" s="4"/>
      <c r="D11" s="4">
        <f>'AUGUST 21'!H11:H26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'AUGUST 21'!H12:H27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15</v>
      </c>
      <c r="C13" s="4"/>
      <c r="D13" s="4">
        <f>'AUGUST 21'!H13:H28</f>
        <v>0</v>
      </c>
      <c r="E13" s="4"/>
      <c r="F13" s="4">
        <f t="shared" si="0"/>
        <v>0</v>
      </c>
      <c r="G13" s="4"/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'AUGUST 21'!H14:H29</f>
        <v>300</v>
      </c>
      <c r="E14" s="4">
        <v>2400</v>
      </c>
      <c r="F14" s="4">
        <f t="shared" si="0"/>
        <v>2700</v>
      </c>
      <c r="G14" s="4">
        <f>500+1900</f>
        <v>2400</v>
      </c>
      <c r="H14" s="4">
        <f t="shared" si="1"/>
        <v>300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'AUGUST 21'!H15:H30</f>
        <v>1800</v>
      </c>
      <c r="E15" s="4">
        <v>1500</v>
      </c>
      <c r="F15" s="4">
        <f>D15+E15+C15</f>
        <v>3300</v>
      </c>
      <c r="G15" s="4">
        <v>1500</v>
      </c>
      <c r="H15" s="4">
        <f t="shared" si="1"/>
        <v>1800</v>
      </c>
      <c r="I15" s="1"/>
      <c r="J15" s="1"/>
    </row>
    <row r="16" spans="1:10" ht="15.75" x14ac:dyDescent="0.25">
      <c r="A16" s="4">
        <v>11</v>
      </c>
      <c r="B16" s="16" t="s">
        <v>15</v>
      </c>
      <c r="C16" s="4"/>
      <c r="D16" s="4"/>
      <c r="E16" s="4"/>
      <c r="F16" s="4">
        <f t="shared" si="0"/>
        <v>0</v>
      </c>
      <c r="G16" s="4"/>
      <c r="H16" s="4">
        <f t="shared" si="1"/>
        <v>0</v>
      </c>
      <c r="I16" s="1"/>
      <c r="J16" s="1"/>
    </row>
    <row r="17" spans="1:14" ht="15.75" x14ac:dyDescent="0.25">
      <c r="A17" s="4">
        <v>12</v>
      </c>
      <c r="B17" s="4" t="s">
        <v>193</v>
      </c>
      <c r="C17" s="4"/>
      <c r="D17" s="4">
        <f>'AUGUST 21'!H17:H32</f>
        <v>0</v>
      </c>
      <c r="E17" s="4">
        <v>1500</v>
      </c>
      <c r="F17" s="4">
        <f t="shared" si="0"/>
        <v>1500</v>
      </c>
      <c r="G17" s="4"/>
      <c r="H17" s="4">
        <f>F17-G17</f>
        <v>1500</v>
      </c>
      <c r="I17" s="1"/>
      <c r="J17" s="1"/>
    </row>
    <row r="18" spans="1:14" ht="15.75" x14ac:dyDescent="0.25">
      <c r="A18" s="4">
        <v>13</v>
      </c>
      <c r="B18" s="4" t="s">
        <v>135</v>
      </c>
      <c r="C18" s="4"/>
      <c r="D18" s="4">
        <f>'AUGUST 21'!H18:H33</f>
        <v>0</v>
      </c>
      <c r="E18" s="4">
        <v>1500</v>
      </c>
      <c r="F18" s="4">
        <f>D18+E18+C18</f>
        <v>1500</v>
      </c>
      <c r="G18" s="4">
        <f>1500</f>
        <v>1500</v>
      </c>
      <c r="H18" s="4">
        <f>F18-G18</f>
        <v>0</v>
      </c>
      <c r="I18" s="1"/>
      <c r="J18" s="1"/>
      <c r="K18">
        <f>2400-500</f>
        <v>1900</v>
      </c>
    </row>
    <row r="19" spans="1:14" ht="15.75" x14ac:dyDescent="0.25">
      <c r="A19" s="4">
        <v>14</v>
      </c>
      <c r="B19" s="4" t="s">
        <v>140</v>
      </c>
      <c r="C19" s="4"/>
      <c r="D19" s="4">
        <f>'AUGUST 21'!H19:H34</f>
        <v>500</v>
      </c>
      <c r="E19" s="4">
        <v>3000</v>
      </c>
      <c r="F19" s="4">
        <f t="shared" si="0"/>
        <v>3500</v>
      </c>
      <c r="G19" s="4">
        <f>3500</f>
        <v>3500</v>
      </c>
      <c r="H19" s="4">
        <f>F19-G19</f>
        <v>0</v>
      </c>
      <c r="I19" s="1"/>
      <c r="J19" s="1"/>
    </row>
    <row r="20" spans="1:14" ht="15.75" x14ac:dyDescent="0.25">
      <c r="A20" s="4">
        <v>15</v>
      </c>
      <c r="B20" s="16" t="s">
        <v>15</v>
      </c>
      <c r="C20" s="4"/>
      <c r="D20" s="4">
        <f>'AUGUST 21'!H20:H35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4" ht="15.75" x14ac:dyDescent="0.25">
      <c r="A21" s="4">
        <v>16</v>
      </c>
      <c r="B21" s="4" t="s">
        <v>18</v>
      </c>
      <c r="C21" s="4"/>
      <c r="D21" s="4">
        <f>'AUGUST 21'!H21:H36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1"/>
      <c r="J21" s="1"/>
      <c r="K21" s="20"/>
      <c r="M21">
        <f>300*12</f>
        <v>3600</v>
      </c>
    </row>
    <row r="22" spans="1:14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2600</v>
      </c>
      <c r="E22" s="3">
        <f>SUM(E6:E21)</f>
        <v>20400</v>
      </c>
      <c r="F22" s="3">
        <f t="shared" si="2"/>
        <v>23000</v>
      </c>
      <c r="G22" s="3">
        <f t="shared" si="2"/>
        <v>19400</v>
      </c>
      <c r="H22" s="3">
        <f t="shared" si="2"/>
        <v>3600</v>
      </c>
      <c r="I22" s="1"/>
      <c r="J22" s="1"/>
    </row>
    <row r="23" spans="1:14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4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4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4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4" ht="15.75" x14ac:dyDescent="0.25">
      <c r="A27" s="1"/>
      <c r="B27" s="28" t="s">
        <v>158</v>
      </c>
      <c r="C27" s="28"/>
      <c r="D27" s="29">
        <f>E22</f>
        <v>20400</v>
      </c>
      <c r="E27" s="28"/>
      <c r="F27" s="28"/>
      <c r="G27" s="28" t="s">
        <v>158</v>
      </c>
      <c r="H27" s="29">
        <f>G22</f>
        <v>19400</v>
      </c>
      <c r="I27" s="28"/>
      <c r="J27" s="28"/>
    </row>
    <row r="28" spans="1:14" ht="15.75" x14ac:dyDescent="0.25">
      <c r="A28" s="1"/>
      <c r="B28" s="28" t="s">
        <v>5</v>
      </c>
      <c r="C28" s="29"/>
      <c r="D28" s="29">
        <f>'AUGUST 21'!F37</f>
        <v>-1899.8849999999948</v>
      </c>
      <c r="E28" s="28"/>
      <c r="F28" s="28"/>
      <c r="G28" s="28" t="s">
        <v>5</v>
      </c>
      <c r="H28" s="29">
        <f>'AUGUST 21'!J37</f>
        <v>-4499.8849999999948</v>
      </c>
      <c r="I28" s="28"/>
      <c r="J28" s="28"/>
      <c r="L28" s="20">
        <f>D27</f>
        <v>20400</v>
      </c>
      <c r="N28">
        <f>1900/2</f>
        <v>950</v>
      </c>
    </row>
    <row r="29" spans="1:14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  <c r="L29" s="20">
        <f>E30</f>
        <v>2040</v>
      </c>
    </row>
    <row r="30" spans="1:14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  <c r="L30" s="20">
        <f>L28-L29</f>
        <v>18360</v>
      </c>
    </row>
    <row r="31" spans="1:14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  <c r="L31">
        <v>950</v>
      </c>
    </row>
    <row r="32" spans="1:14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  <c r="L32" s="20">
        <f>L30-L31</f>
        <v>17410</v>
      </c>
    </row>
    <row r="33" spans="1:12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  <c r="L33">
        <f>8000</f>
        <v>8000</v>
      </c>
    </row>
    <row r="34" spans="1:12" ht="15.75" x14ac:dyDescent="0.25">
      <c r="A34" s="1"/>
      <c r="B34" s="31" t="s">
        <v>104</v>
      </c>
      <c r="C34" s="31"/>
      <c r="D34" s="28"/>
      <c r="E34" s="28">
        <v>9410</v>
      </c>
      <c r="F34" s="28"/>
      <c r="G34" s="31" t="s">
        <v>104</v>
      </c>
      <c r="H34" s="31"/>
      <c r="I34" s="28">
        <v>9410</v>
      </c>
      <c r="J34" s="28"/>
      <c r="L34" s="20">
        <f>L32-L33</f>
        <v>9410</v>
      </c>
    </row>
    <row r="35" spans="1:12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2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2" ht="15.75" x14ac:dyDescent="0.25">
      <c r="A37" s="1"/>
      <c r="B37" s="28" t="s">
        <v>19</v>
      </c>
      <c r="C37" s="28"/>
      <c r="D37" s="29">
        <f>D27+D28+D29-E30</f>
        <v>16460.115000000005</v>
      </c>
      <c r="E37" s="29">
        <f>SUM(E32:E36)</f>
        <v>17410</v>
      </c>
      <c r="F37" s="29">
        <f>D37-E37</f>
        <v>-949.88499999999476</v>
      </c>
      <c r="G37" s="28" t="s">
        <v>19</v>
      </c>
      <c r="H37" s="29">
        <f>H27+H28+H29-I30</f>
        <v>12860.115000000005</v>
      </c>
      <c r="I37" s="29">
        <f>SUM(I32:I36)</f>
        <v>17410</v>
      </c>
      <c r="J37" s="29">
        <f>H37-I37</f>
        <v>-4549.8849999999948</v>
      </c>
    </row>
    <row r="38" spans="1:12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2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abSelected="1" topLeftCell="A15" workbookViewId="0">
      <selection activeCell="K19" sqref="K19"/>
    </sheetView>
  </sheetViews>
  <sheetFormatPr defaultRowHeight="15" x14ac:dyDescent="0.25"/>
  <cols>
    <col min="1" max="1" width="6" customWidth="1"/>
    <col min="2" max="2" width="18.5703125" customWidth="1"/>
    <col min="3" max="3" width="13.85546875" customWidth="1"/>
    <col min="6" max="6" width="12.85546875" customWidth="1"/>
    <col min="7" max="7" width="13.42578125" customWidth="1"/>
    <col min="8" max="8" width="11.42578125" customWidth="1"/>
    <col min="10" max="10" width="11.57031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201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4" t="s">
        <v>203</v>
      </c>
      <c r="J5" s="1"/>
    </row>
    <row r="6" spans="1:10" ht="15.75" x14ac:dyDescent="0.25">
      <c r="A6" s="4">
        <v>1</v>
      </c>
      <c r="B6" s="4" t="s">
        <v>120</v>
      </c>
      <c r="C6" s="4"/>
      <c r="D6" s="4">
        <f>'SEPTEMBER 21'!H6:H22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4"/>
      <c r="J6" s="1"/>
    </row>
    <row r="7" spans="1:10" ht="15.75" x14ac:dyDescent="0.25">
      <c r="A7" s="4">
        <v>2</v>
      </c>
      <c r="B7" s="28" t="s">
        <v>191</v>
      </c>
      <c r="C7" s="4"/>
      <c r="D7" s="4">
        <f>'SEPTEMBER 21'!H7:H23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>F7-G7</f>
        <v>0</v>
      </c>
      <c r="I7" s="4"/>
      <c r="J7" s="1"/>
    </row>
    <row r="8" spans="1:10" ht="15.75" x14ac:dyDescent="0.25">
      <c r="A8" s="4">
        <v>3</v>
      </c>
      <c r="B8" s="4" t="s">
        <v>39</v>
      </c>
      <c r="C8" s="4"/>
      <c r="D8" s="4">
        <f>'SEPTEMBER 21'!H8:H24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4">
        <v>300</v>
      </c>
      <c r="J8" s="1"/>
    </row>
    <row r="9" spans="1:10" ht="15.75" x14ac:dyDescent="0.25">
      <c r="A9" s="4">
        <v>4</v>
      </c>
      <c r="B9" s="4" t="s">
        <v>58</v>
      </c>
      <c r="C9" s="4"/>
      <c r="D9" s="4">
        <f>'SEPTEMBER 21'!H9:H25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4">
        <v>300</v>
      </c>
      <c r="J9" s="1"/>
    </row>
    <row r="10" spans="1:10" ht="15.75" x14ac:dyDescent="0.25">
      <c r="A10" s="4">
        <v>5</v>
      </c>
      <c r="B10" s="28" t="s">
        <v>197</v>
      </c>
      <c r="C10" s="28"/>
      <c r="D10" s="4">
        <f>'SEPTEMBER 21'!H10:H26</f>
        <v>0</v>
      </c>
      <c r="E10" s="4">
        <v>1500</v>
      </c>
      <c r="F10" s="4">
        <f t="shared" si="0"/>
        <v>1500</v>
      </c>
      <c r="G10" s="4">
        <f>1300+200</f>
        <v>1500</v>
      </c>
      <c r="H10" s="4">
        <f>F10-G10</f>
        <v>0</v>
      </c>
      <c r="I10" s="4"/>
      <c r="J10" s="1"/>
    </row>
    <row r="11" spans="1:10" ht="15.75" x14ac:dyDescent="0.25">
      <c r="A11" s="4">
        <v>6</v>
      </c>
      <c r="B11" s="16" t="s">
        <v>15</v>
      </c>
      <c r="C11" s="4"/>
      <c r="D11" s="4">
        <f>'SEPTEMBER 21'!H11:H27</f>
        <v>0</v>
      </c>
      <c r="E11" s="4"/>
      <c r="F11" s="4">
        <f t="shared" si="0"/>
        <v>0</v>
      </c>
      <c r="G11" s="4"/>
      <c r="H11" s="4">
        <f>F11-G11</f>
        <v>0</v>
      </c>
      <c r="I11" s="4"/>
      <c r="J11" s="1"/>
    </row>
    <row r="12" spans="1:10" ht="15.75" x14ac:dyDescent="0.25">
      <c r="A12" s="4">
        <v>7</v>
      </c>
      <c r="B12" s="4" t="s">
        <v>59</v>
      </c>
      <c r="C12" s="4"/>
      <c r="D12" s="4">
        <f>'SEPTEMBER 21'!H12:H28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4"/>
      <c r="J12" s="1"/>
    </row>
    <row r="13" spans="1:10" ht="15.75" x14ac:dyDescent="0.25">
      <c r="A13" s="4">
        <v>8</v>
      </c>
      <c r="B13" s="16" t="s">
        <v>15</v>
      </c>
      <c r="C13" s="4"/>
      <c r="D13" s="4">
        <f>'SEPTEMBER 21'!H13:H29</f>
        <v>0</v>
      </c>
      <c r="E13" s="4"/>
      <c r="F13" s="4">
        <f t="shared" si="0"/>
        <v>0</v>
      </c>
      <c r="G13" s="4"/>
      <c r="H13" s="4">
        <f t="shared" si="1"/>
        <v>0</v>
      </c>
      <c r="I13" s="4"/>
      <c r="J13" s="1"/>
    </row>
    <row r="14" spans="1:10" ht="15.75" x14ac:dyDescent="0.25">
      <c r="A14" s="4">
        <v>9</v>
      </c>
      <c r="B14" s="4" t="s">
        <v>10</v>
      </c>
      <c r="C14" s="4"/>
      <c r="D14" s="4">
        <f>'SEPTEMBER 21'!H14:H30</f>
        <v>300</v>
      </c>
      <c r="E14" s="4">
        <v>2400</v>
      </c>
      <c r="F14" s="4">
        <f t="shared" si="0"/>
        <v>2700</v>
      </c>
      <c r="G14" s="4">
        <v>2400</v>
      </c>
      <c r="H14" s="4">
        <f t="shared" si="1"/>
        <v>300</v>
      </c>
      <c r="I14" s="4"/>
      <c r="J14" s="1"/>
    </row>
    <row r="15" spans="1:10" ht="15.75" x14ac:dyDescent="0.25">
      <c r="A15" s="4">
        <v>10</v>
      </c>
      <c r="B15" s="4" t="s">
        <v>10</v>
      </c>
      <c r="C15" s="4"/>
      <c r="D15" s="4">
        <f>'SEPTEMBER 21'!H15:H31</f>
        <v>1800</v>
      </c>
      <c r="E15" s="4">
        <v>1500</v>
      </c>
      <c r="F15" s="4">
        <f>D15+E15+C15</f>
        <v>3300</v>
      </c>
      <c r="G15" s="4">
        <v>1500</v>
      </c>
      <c r="H15" s="4">
        <f t="shared" si="1"/>
        <v>1800</v>
      </c>
      <c r="I15" s="4"/>
      <c r="J15" s="1"/>
    </row>
    <row r="16" spans="1:10" ht="15.75" x14ac:dyDescent="0.25">
      <c r="A16" s="4">
        <v>11</v>
      </c>
      <c r="B16" s="16" t="s">
        <v>15</v>
      </c>
      <c r="C16" s="4"/>
      <c r="D16" s="4">
        <f>'SEPTEMBER 21'!H16:H32</f>
        <v>0</v>
      </c>
      <c r="E16" s="4"/>
      <c r="F16" s="4">
        <f t="shared" si="0"/>
        <v>0</v>
      </c>
      <c r="G16" s="4"/>
      <c r="H16" s="4">
        <f t="shared" si="1"/>
        <v>0</v>
      </c>
      <c r="I16" s="4"/>
      <c r="J16" s="1"/>
    </row>
    <row r="17" spans="1:16" ht="15.75" x14ac:dyDescent="0.25">
      <c r="A17" s="4">
        <v>12</v>
      </c>
      <c r="B17" s="4" t="s">
        <v>193</v>
      </c>
      <c r="C17" s="4"/>
      <c r="D17" s="4">
        <f>'SEPTEMBER 21'!H17:H33</f>
        <v>1500</v>
      </c>
      <c r="E17" s="4">
        <v>1500</v>
      </c>
      <c r="F17" s="4">
        <f t="shared" si="0"/>
        <v>3000</v>
      </c>
      <c r="G17" s="4"/>
      <c r="H17" s="4">
        <f>F17-G17</f>
        <v>3000</v>
      </c>
      <c r="I17" s="4"/>
      <c r="J17" s="1" t="s">
        <v>130</v>
      </c>
    </row>
    <row r="18" spans="1:16" ht="15.75" x14ac:dyDescent="0.25">
      <c r="A18" s="4">
        <v>13</v>
      </c>
      <c r="B18" s="4" t="s">
        <v>135</v>
      </c>
      <c r="C18" s="4"/>
      <c r="D18" s="4">
        <f>'SEPTEMBER 21'!H18:H34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4"/>
      <c r="J18" s="1"/>
    </row>
    <row r="19" spans="1:16" ht="15.75" x14ac:dyDescent="0.25">
      <c r="A19" s="4">
        <v>14</v>
      </c>
      <c r="B19" s="4" t="s">
        <v>140</v>
      </c>
      <c r="C19" s="4"/>
      <c r="D19" s="4">
        <f>'SEPTEMBER 21'!H19:H35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4"/>
      <c r="J19" s="1"/>
    </row>
    <row r="20" spans="1:16" ht="15.75" x14ac:dyDescent="0.25">
      <c r="A20" s="4">
        <v>15</v>
      </c>
      <c r="B20" s="16" t="s">
        <v>15</v>
      </c>
      <c r="C20" s="4"/>
      <c r="D20" s="4">
        <f>'SEPTEMBER 21'!H20:H36</f>
        <v>0</v>
      </c>
      <c r="E20" s="4"/>
      <c r="F20" s="4">
        <f t="shared" si="0"/>
        <v>0</v>
      </c>
      <c r="G20" s="4"/>
      <c r="H20" s="4">
        <f>F20-G20</f>
        <v>0</v>
      </c>
      <c r="I20" s="4"/>
      <c r="J20" s="1"/>
    </row>
    <row r="21" spans="1:16" ht="15.75" x14ac:dyDescent="0.25">
      <c r="A21" s="4">
        <v>16</v>
      </c>
      <c r="B21" s="4" t="s">
        <v>18</v>
      </c>
      <c r="C21" s="4"/>
      <c r="D21" s="4">
        <f>'SEPTEMBER 21'!H21:H37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4">
        <v>300</v>
      </c>
      <c r="J21" s="1"/>
    </row>
    <row r="22" spans="1:16" ht="15.75" x14ac:dyDescent="0.25">
      <c r="A22" s="4"/>
      <c r="B22" s="3" t="s">
        <v>19</v>
      </c>
      <c r="C22" s="3">
        <f t="shared" ref="C22:H22" si="2">SUM(C6:C21)</f>
        <v>0</v>
      </c>
      <c r="D22" s="4">
        <f>'SEPTEMBER 21'!H22:H38</f>
        <v>3600</v>
      </c>
      <c r="E22" s="3">
        <f>SUM(E6:E21)</f>
        <v>20400</v>
      </c>
      <c r="F22" s="3">
        <f t="shared" si="2"/>
        <v>24000</v>
      </c>
      <c r="G22" s="3">
        <f t="shared" si="2"/>
        <v>18900</v>
      </c>
      <c r="H22" s="3">
        <f t="shared" si="2"/>
        <v>5100</v>
      </c>
      <c r="I22" s="4">
        <f>SUM(I6:I21)</f>
        <v>900</v>
      </c>
      <c r="J22" s="1"/>
    </row>
    <row r="23" spans="1:1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P23">
        <f>12*300</f>
        <v>3600</v>
      </c>
    </row>
    <row r="24" spans="1:16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  <c r="P24">
        <v>2000</v>
      </c>
    </row>
    <row r="25" spans="1:16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  <c r="P25">
        <f>P23-P24</f>
        <v>1600</v>
      </c>
    </row>
    <row r="26" spans="1:16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6" ht="15.75" x14ac:dyDescent="0.25">
      <c r="A27" s="1"/>
      <c r="B27" s="28" t="s">
        <v>202</v>
      </c>
      <c r="C27" s="28"/>
      <c r="D27" s="29">
        <f>E22</f>
        <v>20400</v>
      </c>
      <c r="E27" s="28"/>
      <c r="F27" s="28"/>
      <c r="G27" s="28" t="s">
        <v>202</v>
      </c>
      <c r="H27" s="29">
        <f>G22</f>
        <v>18900</v>
      </c>
      <c r="I27" s="28"/>
      <c r="J27" s="28"/>
    </row>
    <row r="28" spans="1:16" ht="15.75" x14ac:dyDescent="0.25">
      <c r="A28" s="1"/>
      <c r="B28" s="28" t="s">
        <v>5</v>
      </c>
      <c r="C28" s="29"/>
      <c r="D28" s="29">
        <f>'SEPTEMBER 21'!F37</f>
        <v>-949.88499999999476</v>
      </c>
      <c r="E28" s="28"/>
      <c r="F28" s="28"/>
      <c r="G28" s="28" t="s">
        <v>5</v>
      </c>
      <c r="H28" s="29">
        <f>'SEPTEMBER 21'!J37</f>
        <v>-4549.8849999999948</v>
      </c>
      <c r="I28" s="28"/>
      <c r="J28" s="28"/>
      <c r="N28" s="20">
        <f>D27</f>
        <v>20400</v>
      </c>
    </row>
    <row r="29" spans="1:16" ht="15.75" x14ac:dyDescent="0.25">
      <c r="A29" s="1"/>
      <c r="B29" s="28" t="s">
        <v>203</v>
      </c>
      <c r="C29" s="28"/>
      <c r="D29" s="29">
        <f>I22</f>
        <v>900</v>
      </c>
      <c r="E29" s="28"/>
      <c r="F29" s="28"/>
      <c r="G29" s="28" t="s">
        <v>203</v>
      </c>
      <c r="H29" s="28">
        <f>I22</f>
        <v>900</v>
      </c>
      <c r="I29" s="29"/>
      <c r="J29" s="28"/>
      <c r="N29" s="20">
        <f>E30</f>
        <v>2040</v>
      </c>
    </row>
    <row r="30" spans="1:16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  <c r="N30" s="20">
        <f>N28-N29</f>
        <v>18360</v>
      </c>
    </row>
    <row r="31" spans="1:16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  <c r="N31">
        <v>950</v>
      </c>
    </row>
    <row r="32" spans="1:16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  <c r="N32" s="20">
        <f>N30-N31</f>
        <v>17410</v>
      </c>
    </row>
    <row r="33" spans="1:15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  <c r="N33">
        <v>8000</v>
      </c>
    </row>
    <row r="34" spans="1:15" ht="15.75" x14ac:dyDescent="0.25">
      <c r="A34" s="1"/>
      <c r="B34" s="31" t="s">
        <v>204</v>
      </c>
      <c r="C34" s="31"/>
      <c r="D34" s="28"/>
      <c r="E34" s="28">
        <v>11010</v>
      </c>
      <c r="F34" s="28"/>
      <c r="G34" s="31" t="s">
        <v>204</v>
      </c>
      <c r="H34" s="31"/>
      <c r="I34" s="28">
        <v>11010</v>
      </c>
      <c r="J34" s="28"/>
      <c r="N34" s="20">
        <f>N32-N33</f>
        <v>9410</v>
      </c>
      <c r="O34" s="20">
        <f>N34+1600</f>
        <v>11010</v>
      </c>
    </row>
    <row r="35" spans="1:15" ht="15.75" x14ac:dyDescent="0.25">
      <c r="A35" s="1"/>
      <c r="B35" s="32" t="s">
        <v>206</v>
      </c>
      <c r="C35" s="32"/>
      <c r="D35" s="28"/>
      <c r="E35" s="28"/>
      <c r="F35" s="28"/>
      <c r="G35" s="32"/>
      <c r="H35" s="32"/>
      <c r="I35" s="28"/>
      <c r="J35" s="28"/>
    </row>
    <row r="36" spans="1:15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5" ht="15.75" x14ac:dyDescent="0.25">
      <c r="A37" s="1"/>
      <c r="B37" s="28" t="s">
        <v>19</v>
      </c>
      <c r="C37" s="28"/>
      <c r="D37" s="29">
        <f>D27+D28+D29-E30</f>
        <v>18310.115000000005</v>
      </c>
      <c r="E37" s="29">
        <f>SUM(E32:E36)</f>
        <v>19010</v>
      </c>
      <c r="F37" s="29">
        <f>D37-E37</f>
        <v>-699.88499999999476</v>
      </c>
      <c r="G37" s="28" t="s">
        <v>19</v>
      </c>
      <c r="H37" s="29">
        <f>H27+H28+H29-I30</f>
        <v>13210.115000000005</v>
      </c>
      <c r="I37" s="29">
        <f>SUM(I32:I36)</f>
        <v>19010</v>
      </c>
      <c r="J37" s="29">
        <f>H37-I37</f>
        <v>-5799.8849999999948</v>
      </c>
    </row>
    <row r="38" spans="1:15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  <c r="L38" s="20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N39">
        <f>8000*5</f>
        <v>40000</v>
      </c>
    </row>
    <row r="40" spans="1:15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6" workbookViewId="0">
      <selection activeCell="K17" sqref="K17"/>
    </sheetView>
  </sheetViews>
  <sheetFormatPr defaultRowHeight="15" x14ac:dyDescent="0.25"/>
  <cols>
    <col min="1" max="1" width="6" customWidth="1"/>
    <col min="2" max="2" width="18.5703125" customWidth="1"/>
    <col min="3" max="3" width="13.85546875" customWidth="1"/>
    <col min="6" max="6" width="12.85546875" customWidth="1"/>
    <col min="7" max="7" width="13.42578125" customWidth="1"/>
    <col min="8" max="8" width="11.42578125" customWidth="1"/>
    <col min="10" max="10" width="11.57031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205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4" t="s">
        <v>203</v>
      </c>
      <c r="J5" s="1"/>
    </row>
    <row r="6" spans="1:10" ht="15.75" x14ac:dyDescent="0.25">
      <c r="A6" s="4">
        <v>1</v>
      </c>
      <c r="B6" s="4" t="s">
        <v>120</v>
      </c>
      <c r="C6" s="4"/>
      <c r="D6" s="4">
        <f>'OCTOBER 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4"/>
      <c r="J6" s="1"/>
    </row>
    <row r="7" spans="1:10" ht="15.75" x14ac:dyDescent="0.25">
      <c r="A7" s="4">
        <v>2</v>
      </c>
      <c r="B7" s="28" t="s">
        <v>191</v>
      </c>
      <c r="C7" s="4"/>
      <c r="D7" s="4">
        <f>'OCTOBER  21'!H7:H22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>F7-G7</f>
        <v>0</v>
      </c>
      <c r="I7" s="4"/>
      <c r="J7" s="1"/>
    </row>
    <row r="8" spans="1:10" ht="15.75" x14ac:dyDescent="0.25">
      <c r="A8" s="4">
        <v>3</v>
      </c>
      <c r="B8" s="4" t="s">
        <v>39</v>
      </c>
      <c r="C8" s="4"/>
      <c r="D8" s="4">
        <f>'OCTOBER  21'!H8:H23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4">
        <v>300</v>
      </c>
      <c r="J8" s="1"/>
    </row>
    <row r="9" spans="1:10" ht="15.75" x14ac:dyDescent="0.25">
      <c r="A9" s="4">
        <v>4</v>
      </c>
      <c r="B9" s="4" t="s">
        <v>58</v>
      </c>
      <c r="C9" s="4"/>
      <c r="D9" s="4">
        <f>'OCTOBER  21'!H9:H24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4">
        <v>300</v>
      </c>
      <c r="J9" s="1"/>
    </row>
    <row r="10" spans="1:10" ht="15.75" x14ac:dyDescent="0.25">
      <c r="A10" s="4">
        <v>5</v>
      </c>
      <c r="B10" s="28" t="s">
        <v>197</v>
      </c>
      <c r="C10" s="28"/>
      <c r="D10" s="4">
        <f>'OCTOBER  21'!H10:H25</f>
        <v>0</v>
      </c>
      <c r="E10" s="4">
        <v>1500</v>
      </c>
      <c r="F10" s="4">
        <f t="shared" si="0"/>
        <v>1500</v>
      </c>
      <c r="G10" s="4">
        <v>1300</v>
      </c>
      <c r="H10" s="4">
        <f>F10-G10</f>
        <v>200</v>
      </c>
      <c r="I10" s="4"/>
      <c r="J10" s="1"/>
    </row>
    <row r="11" spans="1:10" ht="15.75" x14ac:dyDescent="0.25">
      <c r="A11" s="4">
        <v>6</v>
      </c>
      <c r="B11" s="16" t="s">
        <v>15</v>
      </c>
      <c r="C11" s="4"/>
      <c r="D11" s="4">
        <f>'OCTOBER  21'!H11:H26</f>
        <v>0</v>
      </c>
      <c r="E11" s="4"/>
      <c r="F11" s="4">
        <f t="shared" si="0"/>
        <v>0</v>
      </c>
      <c r="G11" s="4"/>
      <c r="H11" s="4">
        <f>F11-G11</f>
        <v>0</v>
      </c>
      <c r="I11" s="4"/>
      <c r="J11" s="1"/>
    </row>
    <row r="12" spans="1:10" ht="15.75" x14ac:dyDescent="0.25">
      <c r="A12" s="4">
        <v>7</v>
      </c>
      <c r="B12" s="4" t="s">
        <v>59</v>
      </c>
      <c r="C12" s="4"/>
      <c r="D12" s="4">
        <f>'OCTOBER  21'!H12:H27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4"/>
      <c r="J12" s="1"/>
    </row>
    <row r="13" spans="1:10" ht="15.75" x14ac:dyDescent="0.25">
      <c r="A13" s="4">
        <v>8</v>
      </c>
      <c r="B13" s="16" t="s">
        <v>15</v>
      </c>
      <c r="C13" s="4"/>
      <c r="D13" s="4">
        <f>'OCTOBER  21'!H13:H28</f>
        <v>0</v>
      </c>
      <c r="E13" s="4"/>
      <c r="F13" s="4">
        <f t="shared" si="0"/>
        <v>0</v>
      </c>
      <c r="G13" s="4"/>
      <c r="H13" s="4">
        <f t="shared" si="1"/>
        <v>0</v>
      </c>
      <c r="I13" s="4"/>
      <c r="J13" s="1"/>
    </row>
    <row r="14" spans="1:10" ht="15.75" x14ac:dyDescent="0.25">
      <c r="A14" s="4">
        <v>9</v>
      </c>
      <c r="B14" s="4" t="s">
        <v>10</v>
      </c>
      <c r="C14" s="4"/>
      <c r="D14" s="4">
        <f>'OCTOBER  21'!H14:H29</f>
        <v>300</v>
      </c>
      <c r="E14" s="4">
        <v>2400</v>
      </c>
      <c r="F14" s="4">
        <f t="shared" si="0"/>
        <v>2700</v>
      </c>
      <c r="G14" s="4">
        <v>2400</v>
      </c>
      <c r="H14" s="4">
        <f t="shared" si="1"/>
        <v>300</v>
      </c>
      <c r="I14" s="4"/>
      <c r="J14" s="1"/>
    </row>
    <row r="15" spans="1:10" ht="15.75" x14ac:dyDescent="0.25">
      <c r="A15" s="4">
        <v>10</v>
      </c>
      <c r="B15" s="4" t="s">
        <v>10</v>
      </c>
      <c r="C15" s="4"/>
      <c r="D15" s="4">
        <f>'OCTOBER  21'!H15:H30</f>
        <v>1800</v>
      </c>
      <c r="E15" s="4">
        <v>1500</v>
      </c>
      <c r="F15" s="4">
        <f>D15+E15+C15</f>
        <v>3300</v>
      </c>
      <c r="G15" s="4">
        <v>1500</v>
      </c>
      <c r="H15" s="4">
        <f t="shared" si="1"/>
        <v>1800</v>
      </c>
      <c r="I15" s="4"/>
      <c r="J15" s="1"/>
    </row>
    <row r="16" spans="1:10" ht="15.75" x14ac:dyDescent="0.25">
      <c r="A16" s="4">
        <v>11</v>
      </c>
      <c r="B16" s="16" t="s">
        <v>15</v>
      </c>
      <c r="C16" s="4"/>
      <c r="D16" s="4">
        <f>'OCTOBER  21'!H16:H31</f>
        <v>0</v>
      </c>
      <c r="E16" s="4"/>
      <c r="F16" s="4">
        <f t="shared" si="0"/>
        <v>0</v>
      </c>
      <c r="G16" s="4"/>
      <c r="H16" s="4">
        <f t="shared" si="1"/>
        <v>0</v>
      </c>
      <c r="I16" s="4"/>
      <c r="J16" s="1"/>
    </row>
    <row r="17" spans="1:16" ht="15.75" x14ac:dyDescent="0.25">
      <c r="A17" s="4">
        <v>12</v>
      </c>
      <c r="B17" s="4" t="s">
        <v>15</v>
      </c>
      <c r="C17" s="4"/>
      <c r="D17" s="4"/>
      <c r="E17" s="4"/>
      <c r="F17" s="4">
        <f t="shared" si="0"/>
        <v>0</v>
      </c>
      <c r="G17" s="4"/>
      <c r="H17" s="4">
        <f>F17-G17</f>
        <v>0</v>
      </c>
      <c r="I17" s="4"/>
      <c r="J17" s="1"/>
    </row>
    <row r="18" spans="1:16" ht="15.75" x14ac:dyDescent="0.25">
      <c r="A18" s="4">
        <v>13</v>
      </c>
      <c r="B18" s="4" t="s">
        <v>135</v>
      </c>
      <c r="C18" s="4"/>
      <c r="D18" s="4">
        <f>'OCTOBER  21'!H18:H33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4"/>
      <c r="J18" s="1"/>
    </row>
    <row r="19" spans="1:16" ht="15.75" x14ac:dyDescent="0.25">
      <c r="A19" s="4">
        <v>14</v>
      </c>
      <c r="B19" s="4" t="s">
        <v>140</v>
      </c>
      <c r="C19" s="4"/>
      <c r="D19" s="4">
        <f>'OCTOBER  21'!H19:H34</f>
        <v>0</v>
      </c>
      <c r="E19" s="4">
        <v>3000</v>
      </c>
      <c r="F19" s="4">
        <f t="shared" si="0"/>
        <v>3000</v>
      </c>
      <c r="G19" s="4">
        <f>2500</f>
        <v>2500</v>
      </c>
      <c r="H19" s="4">
        <f>F19-G19</f>
        <v>500</v>
      </c>
      <c r="I19" s="4"/>
      <c r="J19" s="1"/>
    </row>
    <row r="20" spans="1:16" ht="15.75" x14ac:dyDescent="0.25">
      <c r="A20" s="4">
        <v>15</v>
      </c>
      <c r="B20" s="16" t="s">
        <v>15</v>
      </c>
      <c r="C20" s="4"/>
      <c r="D20" s="4">
        <f>'OCTOBER  21'!H20:H35</f>
        <v>0</v>
      </c>
      <c r="E20" s="4"/>
      <c r="F20" s="4">
        <f t="shared" si="0"/>
        <v>0</v>
      </c>
      <c r="G20" s="4"/>
      <c r="H20" s="4">
        <f>F20-G20</f>
        <v>0</v>
      </c>
      <c r="I20" s="4"/>
      <c r="J20" s="1"/>
    </row>
    <row r="21" spans="1:16" ht="15.75" x14ac:dyDescent="0.25">
      <c r="A21" s="4">
        <v>16</v>
      </c>
      <c r="B21" s="4" t="s">
        <v>18</v>
      </c>
      <c r="C21" s="4"/>
      <c r="D21" s="4">
        <f>'OCTOBER  21'!H21:H36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4">
        <v>300</v>
      </c>
      <c r="J21" s="1"/>
    </row>
    <row r="22" spans="1:16" ht="15.75" x14ac:dyDescent="0.25">
      <c r="A22" s="4"/>
      <c r="B22" s="3" t="s">
        <v>19</v>
      </c>
      <c r="C22" s="3">
        <f t="shared" ref="C22:H22" si="2">SUM(C6:C21)</f>
        <v>0</v>
      </c>
      <c r="D22" s="4">
        <f>'SEPTEMBER 21'!H22:H38</f>
        <v>3600</v>
      </c>
      <c r="E22" s="3">
        <f>SUM(E6:E21)</f>
        <v>18900</v>
      </c>
      <c r="F22" s="3">
        <f t="shared" si="2"/>
        <v>21000</v>
      </c>
      <c r="G22" s="3">
        <f t="shared" si="2"/>
        <v>18200</v>
      </c>
      <c r="H22" s="3">
        <f t="shared" si="2"/>
        <v>2800</v>
      </c>
      <c r="I22" s="4">
        <f>SUM(I6:I21)</f>
        <v>900</v>
      </c>
      <c r="J22" s="1"/>
    </row>
    <row r="23" spans="1:1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P23">
        <f>12*300</f>
        <v>3600</v>
      </c>
    </row>
    <row r="24" spans="1:16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  <c r="P24">
        <v>2000</v>
      </c>
    </row>
    <row r="25" spans="1:16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  <c r="P25">
        <f>P23-P24</f>
        <v>1600</v>
      </c>
    </row>
    <row r="26" spans="1:16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6" ht="15.75" x14ac:dyDescent="0.25">
      <c r="A27" s="1"/>
      <c r="B27" s="28" t="s">
        <v>57</v>
      </c>
      <c r="C27" s="28"/>
      <c r="D27" s="29">
        <f>E22</f>
        <v>18900</v>
      </c>
      <c r="E27" s="28"/>
      <c r="F27" s="28"/>
      <c r="G27" s="28" t="s">
        <v>57</v>
      </c>
      <c r="H27" s="29">
        <f>G22</f>
        <v>18200</v>
      </c>
      <c r="I27" s="28"/>
      <c r="J27" s="28"/>
    </row>
    <row r="28" spans="1:16" ht="15.75" x14ac:dyDescent="0.25">
      <c r="A28" s="1"/>
      <c r="B28" s="28" t="s">
        <v>5</v>
      </c>
      <c r="C28" s="29"/>
      <c r="D28" s="29">
        <f>'OCTOBER  21'!F37</f>
        <v>-699.88499999999476</v>
      </c>
      <c r="E28" s="28"/>
      <c r="F28" s="28"/>
      <c r="G28" s="28" t="s">
        <v>5</v>
      </c>
      <c r="H28" s="29">
        <f>'OCTOBER  21'!J37</f>
        <v>-5799.8849999999948</v>
      </c>
      <c r="I28" s="28"/>
      <c r="J28" s="28"/>
      <c r="N28" s="20">
        <f>D27</f>
        <v>18900</v>
      </c>
    </row>
    <row r="29" spans="1:16" ht="15.75" x14ac:dyDescent="0.25">
      <c r="A29" s="1"/>
      <c r="B29" s="28" t="s">
        <v>203</v>
      </c>
      <c r="C29" s="28"/>
      <c r="D29" s="29">
        <f>I22</f>
        <v>900</v>
      </c>
      <c r="E29" s="28"/>
      <c r="F29" s="28"/>
      <c r="G29" s="28"/>
      <c r="H29" s="29"/>
      <c r="I29" s="28"/>
      <c r="J29" s="28"/>
      <c r="N29" s="20">
        <f>E30</f>
        <v>1890</v>
      </c>
    </row>
    <row r="30" spans="1:16" ht="15.75" x14ac:dyDescent="0.25">
      <c r="A30" s="1"/>
      <c r="B30" s="28" t="s">
        <v>28</v>
      </c>
      <c r="C30" s="28"/>
      <c r="D30" s="30">
        <v>0.1</v>
      </c>
      <c r="E30" s="29">
        <f>D30*D27</f>
        <v>1890</v>
      </c>
      <c r="F30" s="28"/>
      <c r="G30" s="28" t="s">
        <v>28</v>
      </c>
      <c r="H30" s="30">
        <v>0.1</v>
      </c>
      <c r="I30" s="29">
        <f>E30</f>
        <v>1890</v>
      </c>
      <c r="J30" s="28"/>
      <c r="N30" s="20">
        <f>N28-N29</f>
        <v>17010</v>
      </c>
    </row>
    <row r="31" spans="1:16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  <c r="N31">
        <v>8000</v>
      </c>
    </row>
    <row r="32" spans="1:16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  <c r="N32" s="20">
        <f>N30-N31</f>
        <v>9010</v>
      </c>
    </row>
    <row r="33" spans="1:15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5" ht="15.75" x14ac:dyDescent="0.25">
      <c r="A34" s="1"/>
      <c r="B34" s="31" t="s">
        <v>112</v>
      </c>
      <c r="C34" s="31"/>
      <c r="D34" s="28"/>
      <c r="E34" s="28">
        <v>9010</v>
      </c>
      <c r="F34" s="28"/>
      <c r="G34" s="31" t="s">
        <v>112</v>
      </c>
      <c r="H34" s="31"/>
      <c r="I34" s="28">
        <v>9010</v>
      </c>
      <c r="J34" s="28"/>
      <c r="N34" s="20"/>
      <c r="O34" s="20"/>
    </row>
    <row r="35" spans="1:15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5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5" ht="15.75" x14ac:dyDescent="0.25">
      <c r="A37" s="1"/>
      <c r="B37" s="28" t="s">
        <v>19</v>
      </c>
      <c r="C37" s="28"/>
      <c r="D37" s="29">
        <f>D27+D28+D29-E30</f>
        <v>17210.115000000005</v>
      </c>
      <c r="E37" s="29">
        <f>SUM(E32:E36)</f>
        <v>17010</v>
      </c>
      <c r="F37" s="29">
        <f>D37-E37</f>
        <v>200.11500000000524</v>
      </c>
      <c r="G37" s="28" t="s">
        <v>19</v>
      </c>
      <c r="H37" s="29">
        <f>H27+H28+H29-I30</f>
        <v>10510.115000000005</v>
      </c>
      <c r="I37" s="29">
        <f>SUM(I32:I36)</f>
        <v>17010</v>
      </c>
      <c r="J37" s="29">
        <f>H37-I37</f>
        <v>-6499.8849999999948</v>
      </c>
    </row>
    <row r="38" spans="1:15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N39">
        <f>8000*5</f>
        <v>40000</v>
      </c>
    </row>
    <row r="40" spans="1:15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opLeftCell="A17" workbookViewId="0">
      <selection activeCell="A34" sqref="A34:G34"/>
    </sheetView>
  </sheetViews>
  <sheetFormatPr defaultRowHeight="15" x14ac:dyDescent="0.25"/>
  <sheetData>
    <row r="2" spans="1:8" ht="15.75" x14ac:dyDescent="0.25">
      <c r="B2" s="2" t="s">
        <v>0</v>
      </c>
      <c r="C2" s="1"/>
      <c r="D2" s="1"/>
      <c r="E2" s="1"/>
      <c r="F2" s="1"/>
      <c r="G2" s="1"/>
      <c r="H2" s="1"/>
    </row>
    <row r="3" spans="1:8" ht="15.75" x14ac:dyDescent="0.25">
      <c r="A3" s="1"/>
      <c r="B3" s="2" t="s">
        <v>1</v>
      </c>
      <c r="C3" s="1"/>
      <c r="D3" s="1"/>
      <c r="E3" s="1"/>
      <c r="F3" s="1"/>
      <c r="G3" s="1"/>
      <c r="H3" s="1"/>
    </row>
    <row r="4" spans="1:8" ht="15.75" x14ac:dyDescent="0.25">
      <c r="A4" s="1"/>
      <c r="B4" s="2" t="s">
        <v>205</v>
      </c>
      <c r="C4" s="1"/>
      <c r="D4" s="1"/>
      <c r="E4" s="1"/>
      <c r="F4" s="1"/>
      <c r="G4" s="1"/>
      <c r="H4" s="1"/>
    </row>
    <row r="5" spans="1:8" ht="15.75" x14ac:dyDescent="0.25">
      <c r="A5" s="3" t="s">
        <v>141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203</v>
      </c>
      <c r="H5" s="1"/>
    </row>
    <row r="6" spans="1:8" ht="15.75" x14ac:dyDescent="0.25">
      <c r="A6" s="4"/>
      <c r="B6" s="4">
        <f>'NOVEMBER 21'!H6:H21</f>
        <v>0</v>
      </c>
      <c r="C6" s="4">
        <v>1500</v>
      </c>
      <c r="D6" s="4">
        <f>B6+C6+A6</f>
        <v>1500</v>
      </c>
      <c r="E6" s="4"/>
      <c r="F6" s="4">
        <f>D6-E6</f>
        <v>1500</v>
      </c>
      <c r="G6" s="4"/>
      <c r="H6" s="1"/>
    </row>
    <row r="7" spans="1:8" ht="15.75" x14ac:dyDescent="0.25">
      <c r="A7" s="4"/>
      <c r="B7" s="4">
        <f>'NOVEMBER 21'!H7:H22</f>
        <v>0</v>
      </c>
      <c r="C7" s="4">
        <v>1500</v>
      </c>
      <c r="D7" s="4">
        <f t="shared" ref="D7:D21" si="0">B7+C7+A7</f>
        <v>1500</v>
      </c>
      <c r="E7" s="4"/>
      <c r="F7" s="4">
        <f>D7-E7</f>
        <v>1500</v>
      </c>
      <c r="G7" s="4"/>
      <c r="H7" s="1"/>
    </row>
    <row r="8" spans="1:8" ht="15.75" x14ac:dyDescent="0.25">
      <c r="A8" s="4"/>
      <c r="B8" s="4">
        <f>'NOVEMBER 21'!H8:H23</f>
        <v>0</v>
      </c>
      <c r="C8" s="4">
        <v>1500</v>
      </c>
      <c r="D8" s="4">
        <f t="shared" si="0"/>
        <v>1500</v>
      </c>
      <c r="E8" s="4"/>
      <c r="F8" s="4">
        <f t="shared" ref="F8:F16" si="1">D8-E8</f>
        <v>1500</v>
      </c>
      <c r="G8" s="4">
        <v>300</v>
      </c>
      <c r="H8" s="1"/>
    </row>
    <row r="9" spans="1:8" ht="15.75" x14ac:dyDescent="0.25">
      <c r="A9" s="4"/>
      <c r="B9" s="4">
        <f>'NOVEMBER 21'!H9:H24</f>
        <v>0</v>
      </c>
      <c r="C9" s="4">
        <v>1500</v>
      </c>
      <c r="D9" s="4">
        <f t="shared" si="0"/>
        <v>1500</v>
      </c>
      <c r="E9" s="4"/>
      <c r="F9" s="4">
        <f t="shared" si="1"/>
        <v>1500</v>
      </c>
      <c r="G9" s="4">
        <v>300</v>
      </c>
      <c r="H9" s="1"/>
    </row>
    <row r="10" spans="1:8" ht="15.75" x14ac:dyDescent="0.25">
      <c r="A10" s="28"/>
      <c r="B10" s="4">
        <f>'NOVEMBER 21'!H10:H25</f>
        <v>200</v>
      </c>
      <c r="C10" s="4">
        <v>1500</v>
      </c>
      <c r="D10" s="4">
        <f t="shared" si="0"/>
        <v>1700</v>
      </c>
      <c r="E10" s="4"/>
      <c r="F10" s="4">
        <f>D10-E10</f>
        <v>1700</v>
      </c>
      <c r="G10" s="4"/>
      <c r="H10" s="1"/>
    </row>
    <row r="11" spans="1:8" ht="15.75" x14ac:dyDescent="0.25">
      <c r="A11" s="4"/>
      <c r="B11" s="4">
        <f>'NOVEMBER 21'!H11:H26</f>
        <v>0</v>
      </c>
      <c r="C11" s="4"/>
      <c r="D11" s="4">
        <f t="shared" si="0"/>
        <v>0</v>
      </c>
      <c r="E11" s="4"/>
      <c r="F11" s="4">
        <f>D11-E11</f>
        <v>0</v>
      </c>
      <c r="G11" s="4"/>
      <c r="H11" s="1"/>
    </row>
    <row r="12" spans="1:8" ht="15.75" x14ac:dyDescent="0.25">
      <c r="A12" s="4"/>
      <c r="B12" s="4">
        <f>'NOVEMBER 21'!H12:H27</f>
        <v>0</v>
      </c>
      <c r="C12" s="4">
        <v>1500</v>
      </c>
      <c r="D12" s="4">
        <f t="shared" si="0"/>
        <v>1500</v>
      </c>
      <c r="E12" s="4"/>
      <c r="F12" s="4">
        <f t="shared" si="1"/>
        <v>1500</v>
      </c>
      <c r="G12" s="4"/>
      <c r="H12" s="1"/>
    </row>
    <row r="13" spans="1:8" ht="15.75" x14ac:dyDescent="0.25">
      <c r="A13" s="4"/>
      <c r="B13" s="4">
        <f>'NOVEMBER 21'!H13:H28</f>
        <v>0</v>
      </c>
      <c r="C13" s="4"/>
      <c r="D13" s="4">
        <f t="shared" si="0"/>
        <v>0</v>
      </c>
      <c r="E13" s="4"/>
      <c r="F13" s="4">
        <f t="shared" si="1"/>
        <v>0</v>
      </c>
      <c r="G13" s="4"/>
      <c r="H13" s="1"/>
    </row>
    <row r="14" spans="1:8" ht="15.75" x14ac:dyDescent="0.25">
      <c r="A14" s="4"/>
      <c r="B14" s="4">
        <f>'NOVEMBER 21'!H14:H29</f>
        <v>300</v>
      </c>
      <c r="C14" s="4">
        <v>2400</v>
      </c>
      <c r="D14" s="4">
        <f t="shared" si="0"/>
        <v>2700</v>
      </c>
      <c r="E14" s="4"/>
      <c r="F14" s="4">
        <f t="shared" si="1"/>
        <v>2700</v>
      </c>
      <c r="G14" s="4"/>
      <c r="H14" s="1"/>
    </row>
    <row r="15" spans="1:8" ht="15.75" x14ac:dyDescent="0.25">
      <c r="A15" s="4"/>
      <c r="B15" s="4">
        <f>'NOVEMBER 21'!H15:H30</f>
        <v>1800</v>
      </c>
      <c r="C15" s="4">
        <v>1500</v>
      </c>
      <c r="D15" s="4">
        <f>B15+C15+A15</f>
        <v>3300</v>
      </c>
      <c r="E15" s="4"/>
      <c r="F15" s="4">
        <f t="shared" si="1"/>
        <v>3300</v>
      </c>
      <c r="G15" s="4"/>
      <c r="H15" s="1"/>
    </row>
    <row r="16" spans="1:8" ht="15.75" x14ac:dyDescent="0.25">
      <c r="A16" s="4"/>
      <c r="B16" s="4">
        <f>'NOVEMBER 21'!H16:H31</f>
        <v>0</v>
      </c>
      <c r="C16" s="4"/>
      <c r="D16" s="4">
        <f t="shared" si="0"/>
        <v>0</v>
      </c>
      <c r="E16" s="4"/>
      <c r="F16" s="4">
        <f t="shared" si="1"/>
        <v>0</v>
      </c>
      <c r="G16" s="4"/>
      <c r="H16" s="1"/>
    </row>
    <row r="17" spans="1:14" ht="15.75" x14ac:dyDescent="0.25">
      <c r="A17" s="4"/>
      <c r="B17" s="4">
        <f>'NOVEMBER 21'!H17:H32</f>
        <v>0</v>
      </c>
      <c r="C17" s="4"/>
      <c r="D17" s="4">
        <f t="shared" si="0"/>
        <v>0</v>
      </c>
      <c r="E17" s="4"/>
      <c r="F17" s="4">
        <f>D17-E17</f>
        <v>0</v>
      </c>
      <c r="G17" s="4"/>
      <c r="H17" s="1"/>
    </row>
    <row r="18" spans="1:14" ht="15.75" x14ac:dyDescent="0.25">
      <c r="A18" s="4"/>
      <c r="B18" s="4">
        <f>'NOVEMBER 21'!H18:H33</f>
        <v>0</v>
      </c>
      <c r="C18" s="4">
        <v>1500</v>
      </c>
      <c r="D18" s="4">
        <f>B18+C18+A18</f>
        <v>1500</v>
      </c>
      <c r="E18" s="4"/>
      <c r="F18" s="4">
        <f>D18-E18</f>
        <v>1500</v>
      </c>
      <c r="G18" s="4"/>
      <c r="H18" s="1"/>
    </row>
    <row r="19" spans="1:14" ht="15.75" x14ac:dyDescent="0.25">
      <c r="A19" s="4"/>
      <c r="B19" s="4">
        <f>'NOVEMBER 21'!H19:H34</f>
        <v>500</v>
      </c>
      <c r="C19" s="4">
        <v>3000</v>
      </c>
      <c r="D19" s="4">
        <f t="shared" si="0"/>
        <v>3500</v>
      </c>
      <c r="E19" s="4"/>
      <c r="F19" s="4">
        <f>D19-E19</f>
        <v>3500</v>
      </c>
      <c r="G19" s="4"/>
      <c r="H19" s="1"/>
    </row>
    <row r="20" spans="1:14" ht="15.75" x14ac:dyDescent="0.25">
      <c r="A20" s="4"/>
      <c r="B20" s="4">
        <f>'NOVEMBER 21'!H20:H35</f>
        <v>0</v>
      </c>
      <c r="C20" s="4"/>
      <c r="D20" s="4">
        <f t="shared" si="0"/>
        <v>0</v>
      </c>
      <c r="E20" s="4"/>
      <c r="F20" s="4">
        <f>D20-E20</f>
        <v>0</v>
      </c>
      <c r="G20" s="4"/>
      <c r="H20" s="1"/>
    </row>
    <row r="21" spans="1:14" ht="15.75" x14ac:dyDescent="0.25">
      <c r="A21" s="4"/>
      <c r="B21" s="4">
        <f>'NOVEMBER 21'!H21:H36</f>
        <v>0</v>
      </c>
      <c r="C21" s="4">
        <v>1500</v>
      </c>
      <c r="D21" s="4">
        <f t="shared" si="0"/>
        <v>1500</v>
      </c>
      <c r="E21" s="4"/>
      <c r="F21" s="4">
        <f>D21-E21</f>
        <v>1500</v>
      </c>
      <c r="G21" s="4">
        <v>300</v>
      </c>
      <c r="H21" s="1"/>
    </row>
    <row r="22" spans="1:14" ht="15.75" x14ac:dyDescent="0.25">
      <c r="A22" s="3">
        <f t="shared" ref="A22:F22" si="2">SUM(A6:A21)</f>
        <v>0</v>
      </c>
      <c r="B22" s="4">
        <f>SUM(B6:B21)</f>
        <v>2800</v>
      </c>
      <c r="C22" s="3">
        <f>SUM(C6:C21)</f>
        <v>18900</v>
      </c>
      <c r="D22" s="3">
        <f t="shared" si="2"/>
        <v>21700</v>
      </c>
      <c r="E22" s="3">
        <f t="shared" si="2"/>
        <v>0</v>
      </c>
      <c r="F22" s="3">
        <f t="shared" si="2"/>
        <v>21700</v>
      </c>
      <c r="G22" s="4">
        <f>SUM(G6:G21)</f>
        <v>900</v>
      </c>
      <c r="H22" s="1"/>
    </row>
    <row r="23" spans="1:14" ht="15.75" x14ac:dyDescent="0.25">
      <c r="A23" s="1"/>
      <c r="B23" s="1"/>
      <c r="C23" s="1"/>
      <c r="D23" s="1"/>
      <c r="E23" s="1"/>
      <c r="F23" s="1"/>
      <c r="G23" s="1"/>
      <c r="H23" s="1"/>
      <c r="N23">
        <f>12*300</f>
        <v>3600</v>
      </c>
    </row>
    <row r="24" spans="1:14" ht="15.75" x14ac:dyDescent="0.25">
      <c r="A24" s="21"/>
      <c r="B24" s="22"/>
      <c r="C24" s="7"/>
      <c r="D24" s="23"/>
      <c r="E24" s="24"/>
      <c r="F24" s="10"/>
      <c r="G24" s="24"/>
      <c r="H24" s="21"/>
      <c r="N24">
        <v>2000</v>
      </c>
    </row>
    <row r="25" spans="1:14" ht="15.75" x14ac:dyDescent="0.25">
      <c r="A25" s="25"/>
      <c r="B25" s="25"/>
      <c r="C25" s="25"/>
      <c r="D25" s="26"/>
      <c r="E25" s="25" t="s">
        <v>22</v>
      </c>
      <c r="F25" s="21"/>
      <c r="G25" s="21"/>
      <c r="H25" s="21"/>
      <c r="N25">
        <f>N23-N24</f>
        <v>1600</v>
      </c>
    </row>
    <row r="26" spans="1:14" ht="15.75" x14ac:dyDescent="0.25">
      <c r="A26" s="27"/>
      <c r="B26" s="27" t="s">
        <v>24</v>
      </c>
      <c r="C26" s="27" t="s">
        <v>25</v>
      </c>
      <c r="D26" s="27" t="s">
        <v>26</v>
      </c>
      <c r="E26" s="27" t="s">
        <v>23</v>
      </c>
      <c r="F26" s="27" t="s">
        <v>24</v>
      </c>
      <c r="G26" s="27" t="s">
        <v>25</v>
      </c>
      <c r="H26" s="27" t="s">
        <v>26</v>
      </c>
    </row>
    <row r="27" spans="1:14" ht="15.75" x14ac:dyDescent="0.25">
      <c r="A27" s="28"/>
      <c r="B27" s="29">
        <f>C22</f>
        <v>18900</v>
      </c>
      <c r="C27" s="28"/>
      <c r="D27" s="28"/>
      <c r="E27" s="28" t="s">
        <v>57</v>
      </c>
      <c r="F27" s="29">
        <f>E22</f>
        <v>0</v>
      </c>
      <c r="G27" s="28"/>
      <c r="H27" s="28"/>
    </row>
    <row r="28" spans="1:14" ht="15.75" x14ac:dyDescent="0.25">
      <c r="A28" s="29"/>
      <c r="B28" s="29">
        <f>'NOVEMBER 21'!F37</f>
        <v>200.11500000000524</v>
      </c>
      <c r="C28" s="28"/>
      <c r="D28" s="28"/>
      <c r="E28" s="28" t="s">
        <v>5</v>
      </c>
      <c r="F28" s="29">
        <f>'NOVEMBER 21'!J37</f>
        <v>-6499.8849999999948</v>
      </c>
      <c r="G28" s="28"/>
      <c r="H28" s="28"/>
      <c r="L28" s="20">
        <f>B27</f>
        <v>18900</v>
      </c>
    </row>
    <row r="29" spans="1:14" ht="15.75" x14ac:dyDescent="0.25">
      <c r="A29" s="28"/>
      <c r="B29" s="29">
        <f>G22</f>
        <v>900</v>
      </c>
      <c r="C29" s="28"/>
      <c r="D29" s="28"/>
      <c r="E29" s="28"/>
      <c r="F29" s="29"/>
      <c r="G29" s="28"/>
      <c r="H29" s="28"/>
      <c r="L29" s="20">
        <f>C30</f>
        <v>1890</v>
      </c>
    </row>
    <row r="30" spans="1:14" ht="15.75" x14ac:dyDescent="0.25">
      <c r="A30" s="28"/>
      <c r="B30" s="30">
        <v>0.1</v>
      </c>
      <c r="C30" s="29">
        <f>B30*B27</f>
        <v>1890</v>
      </c>
      <c r="D30" s="28"/>
      <c r="E30" s="28" t="s">
        <v>28</v>
      </c>
      <c r="F30" s="30">
        <v>0.1</v>
      </c>
      <c r="G30" s="29">
        <f>C30</f>
        <v>1890</v>
      </c>
      <c r="H30" s="28"/>
      <c r="L30" s="20">
        <f>L28-L29</f>
        <v>17010</v>
      </c>
    </row>
    <row r="31" spans="1:14" ht="15.75" x14ac:dyDescent="0.25">
      <c r="A31" s="27"/>
      <c r="B31" s="27" t="s">
        <v>30</v>
      </c>
      <c r="C31" s="27"/>
      <c r="D31" s="27"/>
      <c r="E31" s="27" t="s">
        <v>29</v>
      </c>
      <c r="F31" s="33"/>
      <c r="G31" s="27"/>
      <c r="H31" s="27"/>
      <c r="L31">
        <v>8000</v>
      </c>
    </row>
    <row r="32" spans="1:14" ht="15.75" x14ac:dyDescent="0.25">
      <c r="A32" s="31"/>
      <c r="B32" s="28"/>
      <c r="C32" s="28"/>
      <c r="D32" s="28"/>
      <c r="E32" s="31"/>
      <c r="F32" s="31"/>
      <c r="G32" s="28"/>
      <c r="H32" s="28"/>
      <c r="L32" s="20">
        <f>L30-L31</f>
        <v>9010</v>
      </c>
    </row>
    <row r="33" spans="1:13" ht="15.75" x14ac:dyDescent="0.25">
      <c r="A33" s="4"/>
      <c r="B33" s="4"/>
      <c r="C33" s="4">
        <v>8000</v>
      </c>
      <c r="D33" s="4"/>
      <c r="E33" s="4" t="s">
        <v>131</v>
      </c>
      <c r="F33" s="4"/>
      <c r="G33" s="4">
        <v>8000</v>
      </c>
      <c r="H33" s="4"/>
    </row>
    <row r="34" spans="1:13" ht="15.75" x14ac:dyDescent="0.25">
      <c r="A34" s="31"/>
      <c r="B34" s="28"/>
      <c r="C34" s="28"/>
      <c r="D34" s="28"/>
      <c r="E34" s="31"/>
      <c r="F34" s="31"/>
      <c r="G34" s="28"/>
      <c r="H34" s="28"/>
      <c r="L34" s="20"/>
      <c r="M34" s="20"/>
    </row>
    <row r="35" spans="1:13" ht="15.75" x14ac:dyDescent="0.25">
      <c r="A35" s="32"/>
      <c r="B35" s="28"/>
      <c r="C35" s="28"/>
      <c r="D35" s="28"/>
      <c r="E35" s="32"/>
      <c r="F35" s="32"/>
      <c r="G35" s="28"/>
      <c r="H35" s="28"/>
    </row>
    <row r="36" spans="1:13" ht="15.75" x14ac:dyDescent="0.25">
      <c r="A36" s="32"/>
      <c r="B36" s="28"/>
      <c r="C36" s="28"/>
      <c r="D36" s="28"/>
      <c r="E36" s="32"/>
      <c r="F36" s="32"/>
      <c r="G36" s="28"/>
      <c r="H36" s="28"/>
    </row>
    <row r="37" spans="1:13" ht="15.75" x14ac:dyDescent="0.25">
      <c r="A37" s="28"/>
      <c r="B37" s="29">
        <f>B27+B28+B29-C30</f>
        <v>18110.115000000005</v>
      </c>
      <c r="C37" s="29">
        <f>SUM(C32:C36)</f>
        <v>8000</v>
      </c>
      <c r="D37" s="29">
        <f>B37-C37</f>
        <v>10110.115000000005</v>
      </c>
      <c r="E37" s="28" t="s">
        <v>19</v>
      </c>
      <c r="F37" s="29">
        <f>F27+F28+F29-G30</f>
        <v>-8389.8849999999948</v>
      </c>
      <c r="G37" s="29">
        <f>SUM(G32:G36)</f>
        <v>8000</v>
      </c>
      <c r="H37" s="29">
        <f>F37-G37</f>
        <v>-16389.884999999995</v>
      </c>
    </row>
    <row r="38" spans="1:13" ht="15.75" x14ac:dyDescent="0.25">
      <c r="A38" s="21"/>
      <c r="B38" s="21"/>
      <c r="C38" s="21" t="s">
        <v>53</v>
      </c>
      <c r="D38" s="21"/>
      <c r="E38" s="21"/>
      <c r="F38" s="21"/>
      <c r="G38" s="21"/>
      <c r="H38" s="21"/>
    </row>
    <row r="39" spans="1:13" ht="15.75" x14ac:dyDescent="0.25">
      <c r="A39" s="1"/>
      <c r="B39" s="1"/>
      <c r="C39" s="1"/>
      <c r="D39" s="1"/>
      <c r="E39" s="1"/>
      <c r="F39" s="1"/>
      <c r="G39" s="1"/>
      <c r="H39" s="1"/>
      <c r="L39">
        <f>8000*5</f>
        <v>40000</v>
      </c>
    </row>
    <row r="40" spans="1:13" ht="15.75" x14ac:dyDescent="0.25">
      <c r="A40" s="1"/>
      <c r="B40" s="1"/>
      <c r="C40" s="1"/>
      <c r="D40" s="1" t="s">
        <v>44</v>
      </c>
      <c r="E40" s="1"/>
      <c r="F40" s="1"/>
      <c r="G40" s="1" t="s">
        <v>46</v>
      </c>
      <c r="H40" s="1"/>
    </row>
    <row r="41" spans="1:13" ht="15.75" x14ac:dyDescent="0.25">
      <c r="A41" s="1"/>
      <c r="B41" s="1"/>
      <c r="C41" s="1"/>
      <c r="D41" s="1"/>
      <c r="E41" s="1"/>
      <c r="F41" s="1"/>
      <c r="G41" s="1"/>
      <c r="H41" s="1"/>
    </row>
    <row r="42" spans="1:13" ht="15.75" x14ac:dyDescent="0.25">
      <c r="A42" s="1"/>
      <c r="B42" s="1"/>
      <c r="C42" s="1"/>
      <c r="D42" s="1" t="s">
        <v>45</v>
      </c>
      <c r="E42" s="1"/>
      <c r="F42" s="1"/>
      <c r="G42" s="1" t="s">
        <v>47</v>
      </c>
      <c r="H4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G15" sqref="G15"/>
    </sheetView>
  </sheetViews>
  <sheetFormatPr defaultRowHeight="15" x14ac:dyDescent="0.25"/>
  <cols>
    <col min="1" max="1" width="4.42578125" customWidth="1"/>
    <col min="2" max="2" width="17.85546875" customWidth="1"/>
    <col min="4" max="4" width="8.28515625" customWidth="1"/>
    <col min="5" max="5" width="11.42578125" customWidth="1"/>
    <col min="6" max="6" width="10.71093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54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/>
      <c r="D16" s="4"/>
      <c r="E16" s="4">
        <f t="shared" si="0"/>
        <v>0</v>
      </c>
      <c r="F16" s="4"/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21000</v>
      </c>
      <c r="E22" s="3">
        <f>SUM(E5:E21)</f>
        <v>21000</v>
      </c>
      <c r="F22" s="3">
        <f>SUM(F5:F21)</f>
        <v>21000</v>
      </c>
      <c r="G22" s="3">
        <f>SUM(G5:G21)</f>
        <v>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55</v>
      </c>
      <c r="C27" s="12">
        <f>D22</f>
        <v>21000</v>
      </c>
      <c r="D27" s="4"/>
      <c r="E27" s="4"/>
      <c r="F27" s="4" t="s">
        <v>55</v>
      </c>
      <c r="G27" s="12">
        <f>F22</f>
        <v>21000</v>
      </c>
      <c r="H27" s="4"/>
      <c r="I27" s="4"/>
    </row>
    <row r="28" spans="1:9" ht="15.75" x14ac:dyDescent="0.25">
      <c r="A28" s="1"/>
      <c r="B28" s="4" t="s">
        <v>5</v>
      </c>
      <c r="C28" s="12">
        <f>SEPTEMBER!E35</f>
        <v>-61</v>
      </c>
      <c r="D28" s="4"/>
      <c r="E28" s="4"/>
      <c r="F28" s="4" t="s">
        <v>5</v>
      </c>
      <c r="G28" s="12">
        <f>SEPTEMBER!I35</f>
        <v>-61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2100</v>
      </c>
      <c r="E29" s="4"/>
      <c r="F29" s="4" t="s">
        <v>28</v>
      </c>
      <c r="G29" s="14">
        <v>0.1</v>
      </c>
      <c r="H29" s="12">
        <f>D29</f>
        <v>2100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43385</v>
      </c>
      <c r="C31" s="4"/>
      <c r="D31" s="4">
        <v>15097</v>
      </c>
      <c r="E31" s="4"/>
      <c r="F31" s="17">
        <v>43385</v>
      </c>
      <c r="G31" s="4"/>
      <c r="H31" s="4">
        <v>15097</v>
      </c>
      <c r="I31" s="4"/>
    </row>
    <row r="32" spans="1:9" ht="15.75" x14ac:dyDescent="0.25">
      <c r="A32" s="1"/>
      <c r="B32" s="17">
        <v>43392</v>
      </c>
      <c r="C32" s="4"/>
      <c r="D32" s="4">
        <v>2650</v>
      </c>
      <c r="E32" s="4"/>
      <c r="F32" s="17">
        <v>43392</v>
      </c>
      <c r="G32" s="4"/>
      <c r="H32" s="4">
        <v>2650</v>
      </c>
      <c r="I32" s="4"/>
    </row>
    <row r="33" spans="1:9" ht="15.75" x14ac:dyDescent="0.25">
      <c r="A33" s="1"/>
      <c r="B33" s="17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9"/>
      <c r="C34" s="4"/>
      <c r="D34" s="4"/>
      <c r="E34" s="4"/>
      <c r="F34" s="17"/>
      <c r="G34" s="4"/>
      <c r="H34" s="4"/>
      <c r="I34" s="4"/>
    </row>
    <row r="35" spans="1:9" ht="15.75" x14ac:dyDescent="0.25">
      <c r="A35" s="1"/>
      <c r="B35" s="16" t="s">
        <v>19</v>
      </c>
      <c r="C35" s="18">
        <f>C27+C28</f>
        <v>20939</v>
      </c>
      <c r="D35" s="18">
        <f>SUM(D29:D34)</f>
        <v>19847</v>
      </c>
      <c r="E35" s="18">
        <f>C35-D35</f>
        <v>1092</v>
      </c>
      <c r="F35" s="16" t="s">
        <v>19</v>
      </c>
      <c r="G35" s="18">
        <f>G27+G28</f>
        <v>20939</v>
      </c>
      <c r="H35" s="18">
        <f>SUM(H29:H34)</f>
        <v>19847</v>
      </c>
      <c r="I35" s="12">
        <f>G35-H35</f>
        <v>1092</v>
      </c>
    </row>
    <row r="36" spans="1:9" ht="15.75" x14ac:dyDescent="0.25">
      <c r="A36" s="1"/>
      <c r="B36" s="1"/>
      <c r="C36" s="1"/>
      <c r="D36" s="1" t="s">
        <v>53</v>
      </c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0" workbookViewId="0">
      <selection activeCell="G43" sqref="G43"/>
    </sheetView>
  </sheetViews>
  <sheetFormatPr defaultRowHeight="15" x14ac:dyDescent="0.25"/>
  <cols>
    <col min="1" max="1" width="4.42578125" customWidth="1"/>
    <col min="2" max="2" width="17.85546875" customWidth="1"/>
    <col min="4" max="4" width="8.28515625" customWidth="1"/>
    <col min="5" max="5" width="11.42578125" customWidth="1"/>
    <col min="6" max="6" width="9.71093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56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/>
      <c r="G14" s="4">
        <f t="shared" si="1"/>
        <v>1500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3" t="s">
        <v>19</v>
      </c>
      <c r="C21" s="3"/>
      <c r="D21" s="3">
        <f>SUM(D5:D20)</f>
        <v>19800</v>
      </c>
      <c r="E21" s="3">
        <f>SUM(E5:E20)</f>
        <v>19800</v>
      </c>
      <c r="F21" s="3">
        <f>SUM(F5:F20)</f>
        <v>18300</v>
      </c>
      <c r="G21" s="3">
        <f>SUM(G5:G20)</f>
        <v>1500</v>
      </c>
      <c r="H21" s="1"/>
      <c r="I21" s="1"/>
    </row>
    <row r="22" spans="1:9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ht="15.75" x14ac:dyDescent="0.25">
      <c r="A23" s="1"/>
      <c r="B23" s="5" t="s">
        <v>20</v>
      </c>
      <c r="C23" s="6"/>
      <c r="D23" s="7"/>
      <c r="E23" s="8"/>
      <c r="F23" s="9"/>
      <c r="G23" s="10"/>
      <c r="H23" s="9"/>
      <c r="I23" s="1"/>
    </row>
    <row r="24" spans="1:9" ht="15.75" x14ac:dyDescent="0.25">
      <c r="A24" s="1"/>
      <c r="B24" s="2" t="s">
        <v>21</v>
      </c>
      <c r="C24" s="2"/>
      <c r="D24" s="2"/>
      <c r="E24" s="11"/>
      <c r="F24" s="2" t="s">
        <v>22</v>
      </c>
      <c r="G24" s="1"/>
      <c r="H24" s="1"/>
      <c r="I24" s="1"/>
    </row>
    <row r="25" spans="1:9" ht="15.75" x14ac:dyDescent="0.25">
      <c r="A25" s="1"/>
      <c r="B25" s="3" t="s">
        <v>23</v>
      </c>
      <c r="C25" s="3" t="s">
        <v>24</v>
      </c>
      <c r="D25" s="3" t="s">
        <v>25</v>
      </c>
      <c r="E25" s="3" t="s">
        <v>26</v>
      </c>
      <c r="F25" s="3" t="s">
        <v>23</v>
      </c>
      <c r="G25" s="3" t="s">
        <v>24</v>
      </c>
      <c r="H25" s="3" t="s">
        <v>25</v>
      </c>
      <c r="I25" s="3" t="s">
        <v>26</v>
      </c>
    </row>
    <row r="26" spans="1:9" ht="15.75" x14ac:dyDescent="0.25">
      <c r="A26" s="1"/>
      <c r="B26" s="4" t="s">
        <v>57</v>
      </c>
      <c r="C26" s="12">
        <f>D21</f>
        <v>19800</v>
      </c>
      <c r="D26" s="4"/>
      <c r="E26" s="4"/>
      <c r="F26" s="4" t="s">
        <v>57</v>
      </c>
      <c r="G26" s="12">
        <f>F21</f>
        <v>18300</v>
      </c>
      <c r="H26" s="4"/>
      <c r="I26" s="4"/>
    </row>
    <row r="27" spans="1:9" ht="15.75" x14ac:dyDescent="0.25">
      <c r="A27" s="1"/>
      <c r="B27" s="4" t="s">
        <v>5</v>
      </c>
      <c r="C27" s="12">
        <f>OCTOBER!E35</f>
        <v>1092</v>
      </c>
      <c r="D27" s="4"/>
      <c r="E27" s="4"/>
      <c r="F27" s="4" t="s">
        <v>5</v>
      </c>
      <c r="G27" s="12">
        <f>OCTOBER!I35</f>
        <v>1092</v>
      </c>
      <c r="H27" s="4"/>
      <c r="I27" s="4"/>
    </row>
    <row r="28" spans="1:9" ht="15.75" x14ac:dyDescent="0.25">
      <c r="A28" s="1"/>
      <c r="B28" s="4" t="s">
        <v>28</v>
      </c>
      <c r="C28" s="14">
        <v>0.1</v>
      </c>
      <c r="D28" s="12">
        <f>C26*C28</f>
        <v>1980</v>
      </c>
      <c r="E28" s="4"/>
      <c r="F28" s="4" t="s">
        <v>28</v>
      </c>
      <c r="G28" s="14">
        <v>0.1</v>
      </c>
      <c r="H28" s="12">
        <f>D28</f>
        <v>1980</v>
      </c>
      <c r="I28" s="4"/>
    </row>
    <row r="29" spans="1:9" ht="15.75" x14ac:dyDescent="0.25">
      <c r="A29" s="1"/>
      <c r="B29" s="16" t="s">
        <v>29</v>
      </c>
      <c r="C29" s="4" t="s">
        <v>30</v>
      </c>
      <c r="D29" s="4"/>
      <c r="E29" s="4"/>
      <c r="F29" s="16" t="s">
        <v>29</v>
      </c>
      <c r="G29" s="12"/>
      <c r="H29" s="4"/>
      <c r="I29" s="4"/>
    </row>
    <row r="30" spans="1:9" ht="15.75" x14ac:dyDescent="0.25">
      <c r="A30" s="1"/>
      <c r="B30" s="17">
        <v>43417</v>
      </c>
      <c r="C30" s="4"/>
      <c r="D30" s="4">
        <v>19000</v>
      </c>
      <c r="E30" s="4"/>
      <c r="F30" s="17">
        <v>43417</v>
      </c>
      <c r="G30" s="4"/>
      <c r="H30" s="4">
        <v>19000</v>
      </c>
      <c r="I30" s="4"/>
    </row>
    <row r="31" spans="1:9" ht="15.75" x14ac:dyDescent="0.25">
      <c r="A31" s="1"/>
      <c r="B31" s="17"/>
      <c r="C31" s="4"/>
      <c r="D31" s="4"/>
      <c r="E31" s="4"/>
      <c r="F31" s="17"/>
      <c r="G31" s="4"/>
      <c r="H31" s="4"/>
      <c r="I31" s="4"/>
    </row>
    <row r="32" spans="1:9" ht="15.75" x14ac:dyDescent="0.25">
      <c r="A32" s="1"/>
      <c r="B32" s="17"/>
      <c r="C32" s="4"/>
      <c r="D32" s="4"/>
      <c r="E32" s="4"/>
      <c r="F32" s="17"/>
      <c r="G32" s="4"/>
      <c r="H32" s="4"/>
      <c r="I32" s="4"/>
    </row>
    <row r="33" spans="1:9" ht="15.75" x14ac:dyDescent="0.25">
      <c r="A33" s="1"/>
      <c r="B33" s="19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6" t="s">
        <v>19</v>
      </c>
      <c r="C34" s="18">
        <f>C26+C27</f>
        <v>20892</v>
      </c>
      <c r="D34" s="18">
        <f>SUM(D28:D33)</f>
        <v>20980</v>
      </c>
      <c r="E34" s="18">
        <f>C34-D34</f>
        <v>-88</v>
      </c>
      <c r="F34" s="16" t="s">
        <v>19</v>
      </c>
      <c r="G34" s="18">
        <f>G26+G27</f>
        <v>19392</v>
      </c>
      <c r="H34" s="18">
        <f>SUM(H28:H33)</f>
        <v>20980</v>
      </c>
      <c r="I34" s="12">
        <f>G34-H34</f>
        <v>-1588</v>
      </c>
    </row>
    <row r="35" spans="1:9" ht="15.75" x14ac:dyDescent="0.25">
      <c r="A35" s="1"/>
      <c r="B35" s="1"/>
      <c r="C35" s="1"/>
      <c r="D35" s="1" t="s">
        <v>53</v>
      </c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4" workbookViewId="0">
      <selection activeCell="H47" sqref="H47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60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>
        <v>1200</v>
      </c>
      <c r="E9" s="4">
        <f>C9+D9</f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>
        <v>1500</v>
      </c>
      <c r="D14" s="4">
        <v>1500</v>
      </c>
      <c r="E14" s="4">
        <f t="shared" si="0"/>
        <v>3000</v>
      </c>
      <c r="F14" s="4">
        <v>1500</v>
      </c>
      <c r="G14" s="4">
        <f t="shared" si="1"/>
        <v>1500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10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3"/>
      <c r="D21" s="3">
        <f>SUM(D5:D20)</f>
        <v>19800</v>
      </c>
      <c r="E21" s="3">
        <f>SUM(E5:E20)</f>
        <v>21300</v>
      </c>
      <c r="F21" s="3">
        <f>SUM(F5:F20)</f>
        <v>19800</v>
      </c>
      <c r="G21" s="3">
        <f>SUM(G5:G20)</f>
        <v>1500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5" t="s">
        <v>20</v>
      </c>
      <c r="C23" s="6"/>
      <c r="D23" s="7"/>
      <c r="E23" s="8"/>
      <c r="F23" s="9"/>
      <c r="G23" s="10"/>
      <c r="H23" s="9"/>
      <c r="I23" s="1"/>
    </row>
    <row r="24" spans="1:10" ht="15.75" x14ac:dyDescent="0.25">
      <c r="A24" s="1"/>
      <c r="B24" s="2" t="s">
        <v>21</v>
      </c>
      <c r="C24" s="2"/>
      <c r="D24" s="2"/>
      <c r="E24" s="11"/>
      <c r="F24" s="2" t="s">
        <v>22</v>
      </c>
      <c r="G24" s="1"/>
      <c r="H24" s="1"/>
      <c r="I24" s="1"/>
    </row>
    <row r="25" spans="1:10" ht="15.75" x14ac:dyDescent="0.25">
      <c r="A25" s="1"/>
      <c r="B25" s="3" t="s">
        <v>23</v>
      </c>
      <c r="C25" s="3" t="s">
        <v>24</v>
      </c>
      <c r="D25" s="3" t="s">
        <v>25</v>
      </c>
      <c r="E25" s="3" t="s">
        <v>26</v>
      </c>
      <c r="F25" s="3" t="s">
        <v>23</v>
      </c>
      <c r="G25" s="3" t="s">
        <v>24</v>
      </c>
      <c r="H25" s="3" t="s">
        <v>25</v>
      </c>
      <c r="I25" s="3" t="s">
        <v>26</v>
      </c>
    </row>
    <row r="26" spans="1:10" ht="15.75" x14ac:dyDescent="0.25">
      <c r="A26" s="1"/>
      <c r="B26" s="4" t="s">
        <v>61</v>
      </c>
      <c r="C26" s="12">
        <f>D21</f>
        <v>19800</v>
      </c>
      <c r="D26" s="4"/>
      <c r="E26" s="4"/>
      <c r="F26" s="4" t="s">
        <v>61</v>
      </c>
      <c r="G26" s="12">
        <f>F21</f>
        <v>19800</v>
      </c>
      <c r="H26" s="4"/>
      <c r="I26" s="4"/>
    </row>
    <row r="27" spans="1:10" ht="15.75" x14ac:dyDescent="0.25">
      <c r="A27" s="1"/>
      <c r="B27" s="4" t="s">
        <v>5</v>
      </c>
      <c r="C27" s="12">
        <f>NOVEMBER!E34</f>
        <v>-88</v>
      </c>
      <c r="D27" s="4"/>
      <c r="E27" s="4"/>
      <c r="F27" s="4" t="s">
        <v>5</v>
      </c>
      <c r="G27" s="12">
        <f>NOVEMBER!I34</f>
        <v>-1588</v>
      </c>
      <c r="H27" s="4"/>
      <c r="I27" s="4"/>
    </row>
    <row r="28" spans="1:10" ht="15.75" x14ac:dyDescent="0.25">
      <c r="A28" s="1"/>
      <c r="B28" s="4" t="s">
        <v>28</v>
      </c>
      <c r="C28" s="14">
        <v>0.1</v>
      </c>
      <c r="D28" s="12">
        <f>C26*C28</f>
        <v>1980</v>
      </c>
      <c r="E28" s="4"/>
      <c r="F28" s="4" t="s">
        <v>28</v>
      </c>
      <c r="G28" s="14">
        <v>0.1</v>
      </c>
      <c r="H28" s="12">
        <f>D28</f>
        <v>1980</v>
      </c>
      <c r="I28" s="4"/>
    </row>
    <row r="29" spans="1:10" ht="15.75" x14ac:dyDescent="0.25">
      <c r="A29" s="1"/>
      <c r="B29" s="16" t="s">
        <v>29</v>
      </c>
      <c r="C29" s="4" t="s">
        <v>30</v>
      </c>
      <c r="D29" s="4"/>
      <c r="E29" s="4"/>
      <c r="F29" s="16" t="s">
        <v>29</v>
      </c>
      <c r="G29" s="12"/>
      <c r="H29" s="4"/>
      <c r="I29" s="4"/>
    </row>
    <row r="30" spans="1:10" ht="15.75" x14ac:dyDescent="0.25">
      <c r="A30" s="1"/>
      <c r="B30" s="17" t="s">
        <v>62</v>
      </c>
      <c r="C30" s="4"/>
      <c r="D30" s="4">
        <v>15097</v>
      </c>
      <c r="E30" s="4"/>
      <c r="F30" s="17" t="s">
        <v>62</v>
      </c>
      <c r="G30" s="4"/>
      <c r="H30" s="4">
        <v>15097</v>
      </c>
      <c r="I30" s="4"/>
    </row>
    <row r="31" spans="1:10" ht="15.75" x14ac:dyDescent="0.25">
      <c r="A31" s="1"/>
      <c r="B31" s="17" t="s">
        <v>63</v>
      </c>
      <c r="C31" s="4"/>
      <c r="D31" s="4">
        <v>2656</v>
      </c>
      <c r="E31" s="4"/>
      <c r="F31" s="17" t="s">
        <v>63</v>
      </c>
      <c r="G31" s="4"/>
      <c r="H31" s="4">
        <v>2656</v>
      </c>
      <c r="I31" s="4"/>
    </row>
    <row r="32" spans="1:10" ht="15.75" x14ac:dyDescent="0.25">
      <c r="A32" s="1"/>
      <c r="B32" s="17"/>
      <c r="C32" s="4"/>
      <c r="D32" s="4"/>
      <c r="E32" s="4"/>
      <c r="F32" s="17"/>
      <c r="G32" s="4"/>
      <c r="H32" s="4"/>
      <c r="I32" s="4"/>
    </row>
    <row r="33" spans="1:9" ht="15.75" x14ac:dyDescent="0.25">
      <c r="A33" s="1"/>
      <c r="B33" s="19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6" t="s">
        <v>19</v>
      </c>
      <c r="C34" s="18">
        <f>C26+C27-D28</f>
        <v>17732</v>
      </c>
      <c r="D34" s="18">
        <f>SUM(D30:D33)</f>
        <v>17753</v>
      </c>
      <c r="E34" s="18">
        <f>C34-D34</f>
        <v>-21</v>
      </c>
      <c r="F34" s="16" t="s">
        <v>19</v>
      </c>
      <c r="G34" s="18">
        <f>G26+G27-H28</f>
        <v>16232</v>
      </c>
      <c r="H34" s="18">
        <f>SUM(H30:H33)</f>
        <v>17753</v>
      </c>
      <c r="I34" s="12">
        <f>G34-H34</f>
        <v>-1521</v>
      </c>
    </row>
    <row r="35" spans="1:9" ht="15.75" x14ac:dyDescent="0.25">
      <c r="A35" s="1"/>
      <c r="B35" s="1"/>
      <c r="C35" s="1"/>
      <c r="D35" s="1" t="s">
        <v>53</v>
      </c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0" workbookViewId="0">
      <selection activeCell="F46" sqref="F46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64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/>
      <c r="E9" s="4">
        <f>C9+D9</f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>
        <v>1500</v>
      </c>
      <c r="D14" s="4">
        <v>1500</v>
      </c>
      <c r="E14" s="4">
        <f t="shared" si="0"/>
        <v>3000</v>
      </c>
      <c r="F14" s="4">
        <v>3000</v>
      </c>
      <c r="G14" s="4">
        <f t="shared" si="1"/>
        <v>0</v>
      </c>
      <c r="H14" s="1" t="s">
        <v>78</v>
      </c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10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3"/>
      <c r="D21" s="3">
        <f>SUM(D5:D20)</f>
        <v>21600</v>
      </c>
      <c r="E21" s="3">
        <f>SUM(E5:E20)</f>
        <v>23100</v>
      </c>
      <c r="F21" s="3">
        <f>SUM(F5:F20)</f>
        <v>23100</v>
      </c>
      <c r="G21" s="3">
        <f>SUM(G5:G20)</f>
        <v>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5" t="s">
        <v>20</v>
      </c>
      <c r="C23" s="6"/>
      <c r="D23" s="7"/>
      <c r="E23" s="8"/>
      <c r="F23" s="9"/>
      <c r="G23" s="10"/>
      <c r="H23" s="9"/>
      <c r="I23" s="1"/>
    </row>
    <row r="24" spans="1:10" ht="15.75" x14ac:dyDescent="0.25">
      <c r="A24" s="1"/>
      <c r="B24" s="2" t="s">
        <v>21</v>
      </c>
      <c r="C24" s="2"/>
      <c r="D24" s="2"/>
      <c r="E24" s="11"/>
      <c r="F24" s="2" t="s">
        <v>22</v>
      </c>
      <c r="G24" s="1"/>
      <c r="H24" s="1"/>
      <c r="I24" s="1"/>
    </row>
    <row r="25" spans="1:10" ht="15.75" x14ac:dyDescent="0.25">
      <c r="A25" s="1"/>
      <c r="B25" s="3" t="s">
        <v>23</v>
      </c>
      <c r="C25" s="3" t="s">
        <v>24</v>
      </c>
      <c r="D25" s="3" t="s">
        <v>25</v>
      </c>
      <c r="E25" s="3" t="s">
        <v>26</v>
      </c>
      <c r="F25" s="3" t="s">
        <v>23</v>
      </c>
      <c r="G25" s="3" t="s">
        <v>24</v>
      </c>
      <c r="H25" s="3" t="s">
        <v>25</v>
      </c>
      <c r="I25" s="3" t="s">
        <v>26</v>
      </c>
    </row>
    <row r="26" spans="1:10" ht="15.75" x14ac:dyDescent="0.25">
      <c r="A26" s="1"/>
      <c r="B26" s="4" t="s">
        <v>65</v>
      </c>
      <c r="C26" s="12">
        <f>D21</f>
        <v>21600</v>
      </c>
      <c r="D26" s="4"/>
      <c r="E26" s="4"/>
      <c r="F26" s="4" t="s">
        <v>65</v>
      </c>
      <c r="G26" s="12">
        <f>F21</f>
        <v>23100</v>
      </c>
      <c r="H26" s="4"/>
      <c r="I26" s="4"/>
    </row>
    <row r="27" spans="1:10" ht="15.75" x14ac:dyDescent="0.25">
      <c r="A27" s="1"/>
      <c r="B27" s="4" t="s">
        <v>5</v>
      </c>
      <c r="C27" s="12">
        <f>DECEMBER!E34</f>
        <v>-21</v>
      </c>
      <c r="D27" s="4"/>
      <c r="E27" s="4"/>
      <c r="F27" s="4" t="s">
        <v>5</v>
      </c>
      <c r="G27" s="12">
        <f>DECEMBER!I34</f>
        <v>-1521</v>
      </c>
      <c r="H27" s="4"/>
      <c r="I27" s="4"/>
    </row>
    <row r="28" spans="1:10" ht="15.75" x14ac:dyDescent="0.25">
      <c r="A28" s="1"/>
      <c r="B28" s="4" t="s">
        <v>28</v>
      </c>
      <c r="C28" s="14">
        <v>0.1</v>
      </c>
      <c r="D28" s="12">
        <f>C26*C28</f>
        <v>2160</v>
      </c>
      <c r="E28" s="4"/>
      <c r="F28" s="4" t="s">
        <v>28</v>
      </c>
      <c r="G28" s="14">
        <v>0.1</v>
      </c>
      <c r="H28" s="12">
        <f>D28</f>
        <v>2160</v>
      </c>
      <c r="I28" s="4"/>
    </row>
    <row r="29" spans="1:10" ht="15.75" x14ac:dyDescent="0.25">
      <c r="A29" s="1"/>
      <c r="B29" s="16" t="s">
        <v>29</v>
      </c>
      <c r="C29" s="4" t="s">
        <v>30</v>
      </c>
      <c r="D29" s="4"/>
      <c r="E29" s="4"/>
      <c r="F29" s="16" t="s">
        <v>29</v>
      </c>
      <c r="G29" s="12"/>
      <c r="H29" s="4"/>
      <c r="I29" s="4"/>
    </row>
    <row r="30" spans="1:10" ht="15.75" x14ac:dyDescent="0.25">
      <c r="A30" s="1"/>
      <c r="B30" s="17" t="s">
        <v>67</v>
      </c>
      <c r="C30" s="4"/>
      <c r="D30" s="4">
        <v>15097</v>
      </c>
      <c r="E30" s="4"/>
      <c r="F30" s="17" t="s">
        <v>67</v>
      </c>
      <c r="G30" s="4"/>
      <c r="H30" s="4">
        <v>15097</v>
      </c>
      <c r="I30" s="4"/>
    </row>
    <row r="31" spans="1:10" ht="15.75" x14ac:dyDescent="0.25">
      <c r="A31" s="1"/>
      <c r="B31" s="17" t="s">
        <v>68</v>
      </c>
      <c r="C31" s="4"/>
      <c r="D31" s="4">
        <v>1326</v>
      </c>
      <c r="E31" s="4"/>
      <c r="F31" s="17" t="s">
        <v>68</v>
      </c>
      <c r="G31" s="4"/>
      <c r="H31" s="4">
        <v>1326</v>
      </c>
      <c r="I31" s="4"/>
    </row>
    <row r="32" spans="1:10" ht="15.75" x14ac:dyDescent="0.25">
      <c r="A32" s="1"/>
      <c r="B32" s="17" t="s">
        <v>69</v>
      </c>
      <c r="C32" s="4"/>
      <c r="D32" s="4">
        <v>3000</v>
      </c>
      <c r="E32" s="4"/>
      <c r="F32" s="17" t="s">
        <v>69</v>
      </c>
      <c r="G32" s="4"/>
      <c r="H32" s="4">
        <v>3000</v>
      </c>
      <c r="I32" s="4"/>
    </row>
    <row r="33" spans="1:9" ht="15.75" x14ac:dyDescent="0.25">
      <c r="A33" s="1"/>
      <c r="B33" s="19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6" t="s">
        <v>19</v>
      </c>
      <c r="C34" s="18">
        <f>C26+C27-D28</f>
        <v>19419</v>
      </c>
      <c r="D34" s="18">
        <f>SUM(D30:D33)</f>
        <v>19423</v>
      </c>
      <c r="E34" s="18">
        <f>C34-D34</f>
        <v>-4</v>
      </c>
      <c r="F34" s="16" t="s">
        <v>19</v>
      </c>
      <c r="G34" s="18">
        <f>G26+G27-H28</f>
        <v>19419</v>
      </c>
      <c r="H34" s="18">
        <f>SUM(H30:H33)</f>
        <v>19423</v>
      </c>
      <c r="I34" s="12">
        <f>G34-H34</f>
        <v>-4</v>
      </c>
    </row>
    <row r="35" spans="1:9" ht="15.75" x14ac:dyDescent="0.25">
      <c r="A35" s="1"/>
      <c r="B35" s="1"/>
      <c r="C35" s="1"/>
      <c r="D35" s="1" t="s">
        <v>53</v>
      </c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25" right="0.25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I55" sqref="I55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70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/>
      <c r="G6" s="4">
        <f t="shared" ref="G6:G20" si="1">E6-F6</f>
        <v>1500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72</v>
      </c>
      <c r="C9" s="4"/>
      <c r="D9" s="4">
        <v>1500</v>
      </c>
      <c r="E9" s="4">
        <f>C9+D9</f>
        <v>1500</v>
      </c>
      <c r="F9" s="4"/>
      <c r="G9" s="4">
        <f t="shared" si="1"/>
        <v>1500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0"/>
        <v>2400</v>
      </c>
      <c r="F10" s="4">
        <v>2400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74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/>
      <c r="G16" s="4">
        <f t="shared" si="1"/>
        <v>1500</v>
      </c>
      <c r="H16" s="1"/>
      <c r="I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/>
      <c r="G17" s="4">
        <f t="shared" si="1"/>
        <v>1500</v>
      </c>
      <c r="H17" s="1"/>
      <c r="I17" s="1"/>
    </row>
    <row r="18" spans="1:10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3"/>
      <c r="D21" s="3">
        <f>SUM(D5:D20)</f>
        <v>25500</v>
      </c>
      <c r="E21" s="3">
        <f>SUM(E5:E20)</f>
        <v>25500</v>
      </c>
      <c r="F21" s="3">
        <f>SUM(F5:F20)</f>
        <v>19500</v>
      </c>
      <c r="G21" s="3">
        <f>SUM(G5:G20)</f>
        <v>6000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71</v>
      </c>
      <c r="C26" s="29">
        <f>D21</f>
        <v>25500</v>
      </c>
      <c r="D26" s="28"/>
      <c r="E26" s="28"/>
      <c r="F26" s="28" t="s">
        <v>71</v>
      </c>
      <c r="G26" s="29">
        <f>F21</f>
        <v>19500</v>
      </c>
      <c r="H26" s="28"/>
      <c r="I26" s="28"/>
    </row>
    <row r="27" spans="1:10" ht="15.75" x14ac:dyDescent="0.25">
      <c r="A27" s="1"/>
      <c r="B27" s="28" t="s">
        <v>5</v>
      </c>
      <c r="C27" s="29">
        <f>JANUARY!E34</f>
        <v>-4</v>
      </c>
      <c r="D27" s="28"/>
      <c r="E27" s="28"/>
      <c r="F27" s="28" t="s">
        <v>5</v>
      </c>
      <c r="G27" s="29">
        <f>JANUARY!I34</f>
        <v>-4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2550</v>
      </c>
      <c r="E28" s="28"/>
      <c r="F28" s="28" t="s">
        <v>28</v>
      </c>
      <c r="G28" s="30">
        <v>0.1</v>
      </c>
      <c r="H28" s="29">
        <f>D28</f>
        <v>2550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73</v>
      </c>
      <c r="C30" s="28"/>
      <c r="D30" s="28">
        <v>500</v>
      </c>
      <c r="E30" s="28"/>
      <c r="F30" s="31" t="s">
        <v>73</v>
      </c>
      <c r="G30" s="28"/>
      <c r="H30" s="28">
        <v>500</v>
      </c>
      <c r="I30" s="28"/>
    </row>
    <row r="31" spans="1:10" ht="15.75" x14ac:dyDescent="0.25">
      <c r="A31" s="1"/>
      <c r="B31" s="31" t="s">
        <v>75</v>
      </c>
      <c r="C31" s="28"/>
      <c r="D31" s="28">
        <v>8000</v>
      </c>
      <c r="E31" s="28"/>
      <c r="F31" s="31" t="s">
        <v>75</v>
      </c>
      <c r="G31" s="28"/>
      <c r="H31" s="28">
        <v>8000</v>
      </c>
      <c r="I31" s="28"/>
    </row>
    <row r="32" spans="1:10" ht="15.75" x14ac:dyDescent="0.25">
      <c r="A32" s="1"/>
      <c r="B32" s="31">
        <v>43509</v>
      </c>
      <c r="C32" s="28"/>
      <c r="D32" s="28">
        <v>11097</v>
      </c>
      <c r="E32" s="28"/>
      <c r="F32" s="31">
        <v>43509</v>
      </c>
      <c r="G32" s="28"/>
      <c r="H32" s="28">
        <v>11097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22946</v>
      </c>
      <c r="D34" s="29">
        <f>SUM(D30:D33)</f>
        <v>19597</v>
      </c>
      <c r="E34" s="29">
        <f>C34-D34</f>
        <v>3349</v>
      </c>
      <c r="F34" s="28" t="s">
        <v>19</v>
      </c>
      <c r="G34" s="29">
        <f>G26+G27-H28</f>
        <v>16946</v>
      </c>
      <c r="H34" s="29">
        <f>SUM(H30:H33)</f>
        <v>19597</v>
      </c>
      <c r="I34" s="29">
        <f>G34-H34</f>
        <v>-2651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  <row r="52" spans="2:9" x14ac:dyDescent="0.25">
      <c r="B52">
        <v>50000</v>
      </c>
      <c r="C52" s="35">
        <v>0.05</v>
      </c>
      <c r="D52">
        <f>B52*C52</f>
        <v>2500</v>
      </c>
      <c r="E52">
        <f>B52+D52</f>
        <v>52500</v>
      </c>
      <c r="F52">
        <v>8000</v>
      </c>
      <c r="G52">
        <f>E52-F52</f>
        <v>44500</v>
      </c>
      <c r="H52">
        <f>C52*G52</f>
        <v>2225</v>
      </c>
      <c r="I52">
        <f>G52+H52</f>
        <v>46725</v>
      </c>
    </row>
    <row r="53" spans="2:9" x14ac:dyDescent="0.25">
      <c r="I53">
        <v>47000</v>
      </c>
    </row>
    <row r="54" spans="2:9" x14ac:dyDescent="0.25">
      <c r="I54">
        <f>I53-I52</f>
        <v>275</v>
      </c>
    </row>
  </sheetData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JUNE </vt:lpstr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JUNEE </vt:lpstr>
      <vt:lpstr>JULY </vt:lpstr>
      <vt:lpstr>AUGUST19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2021-11-30T15:42:59Z</dcterms:modified>
</cp:coreProperties>
</file>