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105" windowWidth="18195" windowHeight="11520" firstSheet="9" activeTab="9"/>
  </bookViews>
  <sheets>
    <sheet name="APRIL21" sheetId="1" r:id="rId1"/>
    <sheet name="MAY 21 " sheetId="2" r:id="rId2"/>
    <sheet name="JUNE 21" sheetId="3" r:id="rId3"/>
    <sheet name="JULY 21" sheetId="4" r:id="rId4"/>
    <sheet name="AUGUST 21" sheetId="5" r:id="rId5"/>
    <sheet name="SEPT 21" sheetId="6" r:id="rId6"/>
    <sheet name="OCTOBER  21" sheetId="7" r:id="rId7"/>
    <sheet name="Sheet1" sheetId="8" r:id="rId8"/>
    <sheet name="NOVEMBER 21" sheetId="9" r:id="rId9"/>
    <sheet name="DECEMBER 21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K31" i="7" l="1"/>
  <c r="K31" i="6"/>
  <c r="K9" i="7"/>
  <c r="K17" i="9"/>
  <c r="K70" i="9" l="1"/>
  <c r="K32" i="9" l="1"/>
  <c r="K20" i="9"/>
  <c r="K13" i="9"/>
  <c r="J2" i="9"/>
  <c r="I75" i="10" l="1"/>
  <c r="I79" i="10"/>
  <c r="H78" i="10"/>
  <c r="C84" i="10" s="1"/>
  <c r="G78" i="10"/>
  <c r="C88" i="10" s="1"/>
  <c r="F78" i="10"/>
  <c r="C87" i="10" s="1"/>
  <c r="E78" i="10"/>
  <c r="C86" i="10" s="1"/>
  <c r="J75" i="10"/>
  <c r="D44" i="10"/>
  <c r="D78" i="10" s="1"/>
  <c r="D79" i="10" s="1"/>
  <c r="C83" i="10" s="1"/>
  <c r="K78" i="10"/>
  <c r="E91" i="10" l="1"/>
  <c r="I91" i="10"/>
  <c r="E94" i="10"/>
  <c r="H83" i="10"/>
  <c r="I94" i="10"/>
  <c r="C85" i="10"/>
  <c r="K62" i="9"/>
  <c r="E96" i="10" l="1"/>
  <c r="I96" i="10"/>
  <c r="I97" i="10" s="1"/>
  <c r="K42" i="9"/>
  <c r="K32" i="7"/>
  <c r="K11" i="9"/>
  <c r="K40" i="9" l="1"/>
  <c r="K14" i="7" l="1"/>
  <c r="J21" i="8"/>
  <c r="K22" i="8" s="1"/>
  <c r="J20" i="8"/>
  <c r="K67" i="7"/>
  <c r="K66" i="7"/>
  <c r="K43" i="7"/>
  <c r="K32" i="6" l="1"/>
  <c r="K15" i="6"/>
  <c r="K69" i="6"/>
  <c r="K43" i="6"/>
  <c r="K27" i="7"/>
  <c r="K34" i="7" l="1"/>
  <c r="K36" i="7"/>
  <c r="K38" i="7"/>
  <c r="K42" i="7"/>
  <c r="K70" i="7"/>
  <c r="K68" i="7"/>
  <c r="K63" i="7"/>
  <c r="K62" i="7"/>
  <c r="K49" i="7"/>
  <c r="K18" i="6"/>
  <c r="K9" i="6"/>
  <c r="K12" i="7"/>
  <c r="K75" i="7" l="1"/>
  <c r="I79" i="9" l="1"/>
  <c r="H78" i="9"/>
  <c r="C84" i="9" s="1"/>
  <c r="G78" i="9"/>
  <c r="C88" i="9" s="1"/>
  <c r="F78" i="9"/>
  <c r="C87" i="9" s="1"/>
  <c r="E78" i="9"/>
  <c r="C86" i="9" s="1"/>
  <c r="D44" i="9"/>
  <c r="D78" i="9" s="1"/>
  <c r="D79" i="9" s="1"/>
  <c r="C83" i="9" s="1"/>
  <c r="I91" i="9" l="1"/>
  <c r="E91" i="9"/>
  <c r="C85" i="9"/>
  <c r="K78" i="9"/>
  <c r="I94" i="9" l="1"/>
  <c r="I96" i="9" s="1"/>
  <c r="I97" i="9" s="1"/>
  <c r="H83" i="9"/>
  <c r="E94" i="9"/>
  <c r="E96" i="9" s="1"/>
  <c r="G29" i="8" l="1"/>
  <c r="G30" i="8" s="1"/>
  <c r="J6" i="8" l="1"/>
  <c r="K6" i="8" s="1"/>
  <c r="J7" i="8"/>
  <c r="K7" i="8" s="1"/>
  <c r="J8" i="8"/>
  <c r="K8" i="8" s="1"/>
  <c r="J5" i="8"/>
  <c r="K5" i="8" s="1"/>
  <c r="K9" i="8" l="1"/>
  <c r="J9" i="8"/>
  <c r="K63" i="6" l="1"/>
  <c r="K52" i="6" l="1"/>
  <c r="J41" i="6"/>
  <c r="J7" i="6"/>
  <c r="I79" i="7" l="1"/>
  <c r="H78" i="7"/>
  <c r="C84" i="7" s="1"/>
  <c r="G78" i="7"/>
  <c r="C88" i="7" s="1"/>
  <c r="F78" i="7"/>
  <c r="C87" i="7" s="1"/>
  <c r="E78" i="7"/>
  <c r="C86" i="7" s="1"/>
  <c r="D44" i="7"/>
  <c r="D78" i="7" s="1"/>
  <c r="K78" i="7"/>
  <c r="E94" i="7" s="1"/>
  <c r="D79" i="7" l="1"/>
  <c r="C83" i="7" s="1"/>
  <c r="H83" i="7"/>
  <c r="I94" i="7"/>
  <c r="K33" i="6"/>
  <c r="C85" i="7" l="1"/>
  <c r="E91" i="7"/>
  <c r="E96" i="7" s="1"/>
  <c r="I91" i="7"/>
  <c r="I96" i="7" s="1"/>
  <c r="I97" i="7" s="1"/>
  <c r="K71" i="6" l="1"/>
  <c r="K5" i="6"/>
  <c r="K7" i="6" l="1"/>
  <c r="K62" i="6" l="1"/>
  <c r="K70" i="6"/>
  <c r="K21" i="6" l="1"/>
  <c r="K22" i="6" l="1"/>
  <c r="K38" i="6" l="1"/>
  <c r="K26" i="6" l="1"/>
  <c r="K16" i="6" l="1"/>
  <c r="K39" i="6" l="1"/>
  <c r="K40" i="6" l="1"/>
  <c r="K73" i="6" l="1"/>
  <c r="K25" i="6" l="1"/>
  <c r="K12" i="6" l="1"/>
  <c r="K19" i="6" l="1"/>
  <c r="K68" i="6" l="1"/>
  <c r="K34" i="6" l="1"/>
  <c r="K49" i="6" l="1"/>
  <c r="K28" i="6" l="1"/>
  <c r="D44" i="6" l="1"/>
  <c r="K75" i="6" l="1"/>
  <c r="K78" i="6" s="1"/>
  <c r="H78" i="6"/>
  <c r="C84" i="6" s="1"/>
  <c r="G78" i="6"/>
  <c r="C88" i="6" s="1"/>
  <c r="F78" i="6"/>
  <c r="C87" i="6" s="1"/>
  <c r="E78" i="6"/>
  <c r="C86" i="6" s="1"/>
  <c r="D78" i="6"/>
  <c r="L41" i="6"/>
  <c r="I41" i="7" s="1"/>
  <c r="L7" i="6"/>
  <c r="I7" i="7" s="1"/>
  <c r="J41" i="7" l="1"/>
  <c r="L41" i="7" s="1"/>
  <c r="I41" i="9" s="1"/>
  <c r="J41" i="9" s="1"/>
  <c r="L41" i="9" s="1"/>
  <c r="I41" i="10" s="1"/>
  <c r="J41" i="10" s="1"/>
  <c r="L41" i="10" s="1"/>
  <c r="J7" i="7"/>
  <c r="L7" i="7" s="1"/>
  <c r="I7" i="9" s="1"/>
  <c r="J7" i="9" s="1"/>
  <c r="L7" i="9" s="1"/>
  <c r="I7" i="10" s="1"/>
  <c r="E94" i="6"/>
  <c r="H83" i="6"/>
  <c r="I94" i="6"/>
  <c r="D79" i="6"/>
  <c r="C83" i="6" s="1"/>
  <c r="K70" i="3"/>
  <c r="N71" i="5"/>
  <c r="N70" i="5" s="1"/>
  <c r="N69" i="5" s="1"/>
  <c r="J7" i="10" l="1"/>
  <c r="E91" i="6"/>
  <c r="E96" i="6" s="1"/>
  <c r="I91" i="6"/>
  <c r="I96" i="6" s="1"/>
  <c r="I97" i="6" s="1"/>
  <c r="C85" i="6"/>
  <c r="K5" i="5"/>
  <c r="L7" i="10" l="1"/>
  <c r="K65" i="5"/>
  <c r="K64" i="5" l="1"/>
  <c r="K49" i="5"/>
  <c r="K33" i="5"/>
  <c r="K20" i="5"/>
  <c r="K17" i="5"/>
  <c r="K11" i="5"/>
  <c r="K62" i="5" l="1"/>
  <c r="K52" i="5" l="1"/>
  <c r="K18" i="5" l="1"/>
  <c r="K25" i="5" l="1"/>
  <c r="K41" i="5" l="1"/>
  <c r="K28" i="5" l="1"/>
  <c r="K43" i="5" l="1"/>
  <c r="K15" i="5" l="1"/>
  <c r="K73" i="5" l="1"/>
  <c r="K31" i="5" l="1"/>
  <c r="K69" i="5" l="1"/>
  <c r="K39" i="5" l="1"/>
  <c r="K16" i="5" l="1"/>
  <c r="K9" i="5" l="1"/>
  <c r="K40" i="5" l="1"/>
  <c r="K12" i="5" l="1"/>
  <c r="K35" i="5" l="1"/>
  <c r="K34" i="5" l="1"/>
  <c r="K27" i="5" l="1"/>
  <c r="K44" i="5" l="1"/>
  <c r="K30" i="5"/>
  <c r="K60" i="5"/>
  <c r="H78" i="5"/>
  <c r="C84" i="5" s="1"/>
  <c r="G78" i="5"/>
  <c r="C88" i="5" s="1"/>
  <c r="F78" i="5"/>
  <c r="C87" i="5" s="1"/>
  <c r="E78" i="5"/>
  <c r="C86" i="5" s="1"/>
  <c r="D60" i="5"/>
  <c r="D44" i="5"/>
  <c r="D78" i="5" l="1"/>
  <c r="D79" i="5" s="1"/>
  <c r="C83" i="5" s="1"/>
  <c r="K78" i="5"/>
  <c r="K17" i="3"/>
  <c r="K18" i="3"/>
  <c r="K17" i="4"/>
  <c r="E91" i="5" l="1"/>
  <c r="I91" i="5"/>
  <c r="E94" i="5"/>
  <c r="H83" i="5"/>
  <c r="I94" i="5"/>
  <c r="C85" i="5"/>
  <c r="K5" i="4"/>
  <c r="E96" i="5" l="1"/>
  <c r="I96" i="5"/>
  <c r="I97" i="5" s="1"/>
  <c r="K62" i="4"/>
  <c r="K52" i="3"/>
  <c r="D44" i="3"/>
  <c r="K33" i="3"/>
  <c r="K18" i="4"/>
  <c r="K11" i="4"/>
  <c r="K7" i="4"/>
  <c r="K67" i="4" l="1"/>
  <c r="K10" i="4"/>
  <c r="K12" i="4"/>
  <c r="K24" i="4"/>
  <c r="K49" i="4"/>
  <c r="K69" i="4" l="1"/>
  <c r="K64" i="4" l="1"/>
  <c r="K42" i="4" l="1"/>
  <c r="K15" i="4" l="1"/>
  <c r="K52" i="4" l="1"/>
  <c r="K75" i="4" l="1"/>
  <c r="K9" i="4" l="1"/>
  <c r="K66" i="4" l="1"/>
  <c r="K31" i="4" l="1"/>
  <c r="K63" i="4" l="1"/>
  <c r="K34" i="4" l="1"/>
  <c r="K40" i="4" l="1"/>
  <c r="K39" i="4" l="1"/>
  <c r="K23" i="4" l="1"/>
  <c r="K27" i="4" l="1"/>
  <c r="K33" i="4" l="1"/>
  <c r="K38" i="4" l="1"/>
  <c r="K16" i="4" l="1"/>
  <c r="K19" i="4" l="1"/>
  <c r="K28" i="4" l="1"/>
  <c r="K68" i="4" l="1"/>
  <c r="K41" i="4" l="1"/>
  <c r="K21" i="4" l="1"/>
  <c r="K22" i="4"/>
  <c r="K73" i="4" l="1"/>
  <c r="K60" i="4" l="1"/>
  <c r="K88" i="3" l="1"/>
  <c r="K64" i="3" l="1"/>
  <c r="K68" i="3" l="1"/>
  <c r="H78" i="4"/>
  <c r="C84" i="4" s="1"/>
  <c r="G78" i="4"/>
  <c r="C88" i="4" s="1"/>
  <c r="F78" i="4"/>
  <c r="C87" i="4" s="1"/>
  <c r="E78" i="4"/>
  <c r="C86" i="4" s="1"/>
  <c r="D60" i="4"/>
  <c r="D44" i="4"/>
  <c r="J41" i="4"/>
  <c r="L41" i="4" s="1"/>
  <c r="I41" i="5" s="1"/>
  <c r="J41" i="5" s="1"/>
  <c r="L41" i="5" s="1"/>
  <c r="K78" i="4"/>
  <c r="D78" i="4" l="1"/>
  <c r="D79" i="4" s="1"/>
  <c r="C83" i="4" s="1"/>
  <c r="E94" i="4"/>
  <c r="I94" i="4"/>
  <c r="H83" i="4"/>
  <c r="E91" i="4" l="1"/>
  <c r="E96" i="4" s="1"/>
  <c r="I91" i="4"/>
  <c r="I96" i="4" s="1"/>
  <c r="I97" i="4" s="1"/>
  <c r="C85" i="4"/>
  <c r="K31" i="3"/>
  <c r="K15" i="3" l="1"/>
  <c r="K9" i="3" l="1"/>
  <c r="K5" i="2" l="1"/>
  <c r="K69" i="3" l="1"/>
  <c r="K39" i="3" l="1"/>
  <c r="K34" i="3"/>
  <c r="K23" i="3"/>
  <c r="K60" i="3" l="1"/>
  <c r="K49" i="3"/>
  <c r="K10" i="3"/>
  <c r="K44" i="3" l="1"/>
  <c r="K75" i="3" l="1"/>
  <c r="K19" i="3" l="1"/>
  <c r="K38" i="3" l="1"/>
  <c r="K27" i="3" l="1"/>
  <c r="K43" i="3" l="1"/>
  <c r="K40" i="3" l="1"/>
  <c r="K63" i="3" l="1"/>
  <c r="K5" i="3" l="1"/>
  <c r="K73" i="3" l="1"/>
  <c r="K11" i="3" l="1"/>
  <c r="H78" i="3" l="1"/>
  <c r="C84" i="3" s="1"/>
  <c r="G78" i="3"/>
  <c r="C88" i="3" s="1"/>
  <c r="F78" i="3"/>
  <c r="C87" i="3" s="1"/>
  <c r="E78" i="3"/>
  <c r="C86" i="3" s="1"/>
  <c r="D60" i="3"/>
  <c r="D78" i="3"/>
  <c r="K78" i="3"/>
  <c r="E94" i="3" l="1"/>
  <c r="H83" i="3"/>
  <c r="I94" i="3"/>
  <c r="D79" i="3"/>
  <c r="C83" i="3" s="1"/>
  <c r="D44" i="2"/>
  <c r="C85" i="3" l="1"/>
  <c r="E91" i="3"/>
  <c r="E96" i="3" s="1"/>
  <c r="I91" i="3"/>
  <c r="I96" i="3" s="1"/>
  <c r="I97" i="3" s="1"/>
  <c r="J70" i="2"/>
  <c r="K14" i="2" l="1"/>
  <c r="K18" i="2" l="1"/>
  <c r="K37" i="2" l="1"/>
  <c r="K66" i="2" l="1"/>
  <c r="K19" i="2" l="1"/>
  <c r="K6" i="2"/>
  <c r="H85" i="2"/>
  <c r="K42" i="2" l="1"/>
  <c r="K62" i="2"/>
  <c r="K35" i="2" l="1"/>
  <c r="K73" i="2" l="1"/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1" i="2"/>
  <c r="J62" i="2"/>
  <c r="J63" i="2"/>
  <c r="J64" i="2"/>
  <c r="J65" i="2"/>
  <c r="J66" i="2"/>
  <c r="J67" i="2"/>
  <c r="J68" i="2"/>
  <c r="J69" i="2"/>
  <c r="J71" i="2"/>
  <c r="J72" i="2"/>
  <c r="J73" i="2"/>
  <c r="J74" i="2"/>
  <c r="J75" i="2"/>
  <c r="J76" i="2"/>
  <c r="J77" i="2"/>
  <c r="J5" i="2"/>
  <c r="E78" i="2"/>
  <c r="C86" i="2" s="1"/>
  <c r="G78" i="2"/>
  <c r="C88" i="2" s="1"/>
  <c r="I78" i="2"/>
  <c r="H78" i="2"/>
  <c r="C84" i="2" s="1"/>
  <c r="K49" i="2"/>
  <c r="K10" i="2"/>
  <c r="K9" i="2"/>
  <c r="K7" i="2"/>
  <c r="K15" i="2"/>
  <c r="K30" i="2"/>
  <c r="K68" i="2"/>
  <c r="K64" i="2" l="1"/>
  <c r="K31" i="2" l="1"/>
  <c r="K17" i="2" l="1"/>
  <c r="K69" i="2" l="1"/>
  <c r="K27" i="2" l="1"/>
  <c r="K63" i="2" l="1"/>
  <c r="K16" i="2" l="1"/>
  <c r="K24" i="2" l="1"/>
  <c r="K43" i="2" l="1"/>
  <c r="K40" i="2" l="1"/>
  <c r="K38" i="2" l="1"/>
  <c r="K21" i="2" l="1"/>
  <c r="K22" i="2" l="1"/>
  <c r="K52" i="2" l="1"/>
  <c r="K78" i="2" s="1"/>
  <c r="E94" i="2" l="1"/>
  <c r="H83" i="2"/>
  <c r="H96" i="2" s="1"/>
  <c r="I94" i="2"/>
  <c r="F78" i="2"/>
  <c r="C87" i="2" s="1"/>
  <c r="L30" i="2"/>
  <c r="I30" i="3" s="1"/>
  <c r="J30" i="3" s="1"/>
  <c r="L30" i="3" s="1"/>
  <c r="I30" i="4" s="1"/>
  <c r="J30" i="4" s="1"/>
  <c r="L30" i="4" s="1"/>
  <c r="I30" i="5" s="1"/>
  <c r="J30" i="5" s="1"/>
  <c r="L30" i="5" s="1"/>
  <c r="I30" i="6" s="1"/>
  <c r="J30" i="6" s="1"/>
  <c r="L30" i="6" s="1"/>
  <c r="I30" i="7" s="1"/>
  <c r="L47" i="2"/>
  <c r="I47" i="3" s="1"/>
  <c r="J47" i="3" s="1"/>
  <c r="L47" i="3" s="1"/>
  <c r="I47" i="4" s="1"/>
  <c r="J47" i="4" s="1"/>
  <c r="L47" i="4" s="1"/>
  <c r="I47" i="5" s="1"/>
  <c r="J47" i="5" s="1"/>
  <c r="L47" i="5" s="1"/>
  <c r="I47" i="6" s="1"/>
  <c r="J47" i="6" s="1"/>
  <c r="L47" i="6" s="1"/>
  <c r="I47" i="7" s="1"/>
  <c r="L49" i="2"/>
  <c r="I49" i="3" s="1"/>
  <c r="J49" i="3" s="1"/>
  <c r="L49" i="3" s="1"/>
  <c r="I49" i="4" s="1"/>
  <c r="J49" i="4" s="1"/>
  <c r="L49" i="4" s="1"/>
  <c r="I49" i="5" s="1"/>
  <c r="J49" i="5" s="1"/>
  <c r="L49" i="5" s="1"/>
  <c r="I49" i="6" s="1"/>
  <c r="J49" i="6" s="1"/>
  <c r="L49" i="6" s="1"/>
  <c r="I49" i="7" s="1"/>
  <c r="L64" i="2"/>
  <c r="I64" i="3" s="1"/>
  <c r="J64" i="3" s="1"/>
  <c r="L64" i="3" s="1"/>
  <c r="I64" i="4" s="1"/>
  <c r="J64" i="4" s="1"/>
  <c r="L64" i="4" s="1"/>
  <c r="I64" i="5" s="1"/>
  <c r="J64" i="5" s="1"/>
  <c r="L64" i="5" s="1"/>
  <c r="I64" i="6" s="1"/>
  <c r="J64" i="6" s="1"/>
  <c r="L64" i="6" s="1"/>
  <c r="I64" i="7" s="1"/>
  <c r="L77" i="2"/>
  <c r="I77" i="3" s="1"/>
  <c r="J77" i="3" s="1"/>
  <c r="L77" i="3" s="1"/>
  <c r="I77" i="4" s="1"/>
  <c r="J77" i="4" s="1"/>
  <c r="L77" i="4" s="1"/>
  <c r="I77" i="5" s="1"/>
  <c r="J77" i="5" s="1"/>
  <c r="L77" i="5" s="1"/>
  <c r="I77" i="6" s="1"/>
  <c r="J77" i="6" s="1"/>
  <c r="L77" i="6" s="1"/>
  <c r="I77" i="7" s="1"/>
  <c r="J77" i="7" s="1"/>
  <c r="L77" i="7" s="1"/>
  <c r="L28" i="2"/>
  <c r="I28" i="3" s="1"/>
  <c r="J28" i="3" s="1"/>
  <c r="L28" i="3" s="1"/>
  <c r="I28" i="4" s="1"/>
  <c r="J28" i="4" s="1"/>
  <c r="L28" i="4" s="1"/>
  <c r="I28" i="5" s="1"/>
  <c r="J28" i="5" s="1"/>
  <c r="L28" i="5" s="1"/>
  <c r="I28" i="6" s="1"/>
  <c r="J28" i="6" s="1"/>
  <c r="L28" i="6" s="1"/>
  <c r="I28" i="7" s="1"/>
  <c r="L7" i="2"/>
  <c r="I7" i="3" s="1"/>
  <c r="J7" i="3" s="1"/>
  <c r="L7" i="3" s="1"/>
  <c r="I7" i="4" s="1"/>
  <c r="J7" i="4" s="1"/>
  <c r="L7" i="4" s="1"/>
  <c r="I7" i="5" s="1"/>
  <c r="J7" i="5" s="1"/>
  <c r="L7" i="5" s="1"/>
  <c r="L9" i="2"/>
  <c r="I9" i="3" s="1"/>
  <c r="J9" i="3" s="1"/>
  <c r="L9" i="3" s="1"/>
  <c r="I9" i="4" s="1"/>
  <c r="J9" i="4" s="1"/>
  <c r="L9" i="4" s="1"/>
  <c r="I9" i="5" s="1"/>
  <c r="J9" i="5" s="1"/>
  <c r="L9" i="5" s="1"/>
  <c r="I9" i="6" s="1"/>
  <c r="J9" i="6" s="1"/>
  <c r="L9" i="6" s="1"/>
  <c r="I9" i="7" s="1"/>
  <c r="L22" i="2"/>
  <c r="I22" i="3" s="1"/>
  <c r="J22" i="3" s="1"/>
  <c r="L22" i="3" s="1"/>
  <c r="I22" i="4" s="1"/>
  <c r="J22" i="4" s="1"/>
  <c r="L22" i="4" s="1"/>
  <c r="I22" i="5" s="1"/>
  <c r="J22" i="5" s="1"/>
  <c r="L22" i="5" s="1"/>
  <c r="I22" i="6" s="1"/>
  <c r="J22" i="6" s="1"/>
  <c r="L22" i="6" s="1"/>
  <c r="I22" i="7" s="1"/>
  <c r="L24" i="2"/>
  <c r="I24" i="3" s="1"/>
  <c r="J24" i="3" s="1"/>
  <c r="L24" i="3" s="1"/>
  <c r="I24" i="4" s="1"/>
  <c r="J24" i="4" s="1"/>
  <c r="L24" i="4" s="1"/>
  <c r="I24" i="5" s="1"/>
  <c r="J24" i="5" s="1"/>
  <c r="L24" i="5" s="1"/>
  <c r="I24" i="6" s="1"/>
  <c r="J24" i="6" s="1"/>
  <c r="L24" i="6" s="1"/>
  <c r="I24" i="7" s="1"/>
  <c r="L26" i="2"/>
  <c r="I26" i="3" s="1"/>
  <c r="J26" i="3" s="1"/>
  <c r="L26" i="3" s="1"/>
  <c r="I26" i="4" s="1"/>
  <c r="J26" i="4" s="1"/>
  <c r="L26" i="4" s="1"/>
  <c r="I26" i="5" s="1"/>
  <c r="J26" i="5" s="1"/>
  <c r="L26" i="5" s="1"/>
  <c r="I26" i="6" s="1"/>
  <c r="J26" i="6" s="1"/>
  <c r="L26" i="6" s="1"/>
  <c r="I26" i="7" s="1"/>
  <c r="L32" i="2"/>
  <c r="I32" i="3" s="1"/>
  <c r="J32" i="3" s="1"/>
  <c r="L32" i="3" s="1"/>
  <c r="I32" i="4" s="1"/>
  <c r="J32" i="4" s="1"/>
  <c r="L32" i="4" s="1"/>
  <c r="I32" i="5" s="1"/>
  <c r="J32" i="5" s="1"/>
  <c r="L32" i="5" s="1"/>
  <c r="I32" i="6" s="1"/>
  <c r="J32" i="6" s="1"/>
  <c r="L32" i="6" s="1"/>
  <c r="I32" i="7" s="1"/>
  <c r="L34" i="2"/>
  <c r="I34" i="3" s="1"/>
  <c r="J34" i="3" s="1"/>
  <c r="L34" i="3" s="1"/>
  <c r="I34" i="4" s="1"/>
  <c r="J34" i="4" s="1"/>
  <c r="L34" i="4" s="1"/>
  <c r="I34" i="5" s="1"/>
  <c r="J34" i="5" s="1"/>
  <c r="L34" i="5" s="1"/>
  <c r="I34" i="6" s="1"/>
  <c r="J34" i="6" s="1"/>
  <c r="L34" i="6" s="1"/>
  <c r="I34" i="7" s="1"/>
  <c r="D60" i="2"/>
  <c r="J60" i="2" s="1"/>
  <c r="L70" i="2"/>
  <c r="I70" i="3" s="1"/>
  <c r="J70" i="3" s="1"/>
  <c r="L70" i="3" s="1"/>
  <c r="I70" i="4" s="1"/>
  <c r="J70" i="4" s="1"/>
  <c r="L70" i="4" s="1"/>
  <c r="L72" i="2"/>
  <c r="I72" i="3" s="1"/>
  <c r="J72" i="3" s="1"/>
  <c r="L72" i="3" s="1"/>
  <c r="I72" i="4" s="1"/>
  <c r="J72" i="4" s="1"/>
  <c r="L72" i="4" s="1"/>
  <c r="I72" i="5" s="1"/>
  <c r="J72" i="5" s="1"/>
  <c r="L72" i="5" s="1"/>
  <c r="I72" i="6" s="1"/>
  <c r="J72" i="6" s="1"/>
  <c r="L72" i="6" s="1"/>
  <c r="I72" i="7" s="1"/>
  <c r="L74" i="2"/>
  <c r="I74" i="3" s="1"/>
  <c r="J74" i="3" s="1"/>
  <c r="L74" i="3" s="1"/>
  <c r="I74" i="4" s="1"/>
  <c r="J74" i="4" s="1"/>
  <c r="L74" i="4" s="1"/>
  <c r="I74" i="5" s="1"/>
  <c r="J74" i="5" s="1"/>
  <c r="L74" i="5" s="1"/>
  <c r="I74" i="6" s="1"/>
  <c r="J74" i="6" s="1"/>
  <c r="L74" i="6" s="1"/>
  <c r="I74" i="7" s="1"/>
  <c r="L75" i="2"/>
  <c r="I75" i="3" s="1"/>
  <c r="J75" i="3" s="1"/>
  <c r="L75" i="3" s="1"/>
  <c r="I75" i="4" s="1"/>
  <c r="J75" i="4" s="1"/>
  <c r="L75" i="4" s="1"/>
  <c r="I75" i="5" s="1"/>
  <c r="J75" i="5" s="1"/>
  <c r="L75" i="5" s="1"/>
  <c r="I75" i="6" s="1"/>
  <c r="J75" i="6" s="1"/>
  <c r="L75" i="6" s="1"/>
  <c r="J75" i="7" s="1"/>
  <c r="L75" i="7" s="1"/>
  <c r="I75" i="9" s="1"/>
  <c r="J75" i="9" s="1"/>
  <c r="L76" i="2"/>
  <c r="I76" i="3" s="1"/>
  <c r="J76" i="3" s="1"/>
  <c r="L76" i="3" s="1"/>
  <c r="I76" i="4" s="1"/>
  <c r="J76" i="4" s="1"/>
  <c r="L76" i="4" s="1"/>
  <c r="I76" i="5" s="1"/>
  <c r="J76" i="5" s="1"/>
  <c r="L76" i="5" s="1"/>
  <c r="I76" i="6" s="1"/>
  <c r="J76" i="6" s="1"/>
  <c r="L76" i="6" s="1"/>
  <c r="I76" i="7" s="1"/>
  <c r="L51" i="2"/>
  <c r="I51" i="3" s="1"/>
  <c r="J51" i="3" s="1"/>
  <c r="L51" i="3" s="1"/>
  <c r="I51" i="4" s="1"/>
  <c r="J51" i="4" s="1"/>
  <c r="L51" i="4" s="1"/>
  <c r="I51" i="5" s="1"/>
  <c r="J51" i="5" s="1"/>
  <c r="L51" i="5" s="1"/>
  <c r="I51" i="6" s="1"/>
  <c r="J51" i="6" s="1"/>
  <c r="L51" i="6" s="1"/>
  <c r="I51" i="7" s="1"/>
  <c r="L53" i="2"/>
  <c r="I53" i="3" s="1"/>
  <c r="J53" i="3" s="1"/>
  <c r="L53" i="3" s="1"/>
  <c r="I53" i="4" s="1"/>
  <c r="J53" i="4" s="1"/>
  <c r="L53" i="4" s="1"/>
  <c r="I53" i="5" s="1"/>
  <c r="J53" i="5" s="1"/>
  <c r="L53" i="5" s="1"/>
  <c r="I53" i="6" s="1"/>
  <c r="J53" i="6" s="1"/>
  <c r="L53" i="6" s="1"/>
  <c r="I53" i="7" s="1"/>
  <c r="L55" i="2"/>
  <c r="I55" i="3" s="1"/>
  <c r="J55" i="3" s="1"/>
  <c r="L55" i="3" s="1"/>
  <c r="I55" i="4" s="1"/>
  <c r="J55" i="4" s="1"/>
  <c r="L55" i="4" s="1"/>
  <c r="I55" i="5" s="1"/>
  <c r="J55" i="5" s="1"/>
  <c r="L55" i="5" s="1"/>
  <c r="I55" i="6" s="1"/>
  <c r="J55" i="6" s="1"/>
  <c r="L55" i="6" s="1"/>
  <c r="I55" i="7" s="1"/>
  <c r="L57" i="2"/>
  <c r="I57" i="3" s="1"/>
  <c r="J57" i="3" s="1"/>
  <c r="L57" i="3" s="1"/>
  <c r="I57" i="4" s="1"/>
  <c r="J57" i="4" s="1"/>
  <c r="L57" i="4" s="1"/>
  <c r="I57" i="5" s="1"/>
  <c r="J57" i="5" s="1"/>
  <c r="L57" i="5" s="1"/>
  <c r="I57" i="6" s="1"/>
  <c r="J57" i="6" s="1"/>
  <c r="L57" i="6" s="1"/>
  <c r="I57" i="7" s="1"/>
  <c r="L59" i="2"/>
  <c r="I59" i="3" s="1"/>
  <c r="J59" i="3" s="1"/>
  <c r="L59" i="3" s="1"/>
  <c r="I59" i="4" s="1"/>
  <c r="J59" i="4" s="1"/>
  <c r="L59" i="4" s="1"/>
  <c r="I59" i="5" s="1"/>
  <c r="J59" i="5" s="1"/>
  <c r="L59" i="5" s="1"/>
  <c r="I59" i="6" s="1"/>
  <c r="J59" i="6" s="1"/>
  <c r="L59" i="6" s="1"/>
  <c r="I59" i="7" s="1"/>
  <c r="L36" i="2"/>
  <c r="I36" i="3" s="1"/>
  <c r="J36" i="3" s="1"/>
  <c r="L36" i="3" s="1"/>
  <c r="I36" i="4" s="1"/>
  <c r="J36" i="4" s="1"/>
  <c r="L36" i="4" s="1"/>
  <c r="I36" i="5" s="1"/>
  <c r="J36" i="5" s="1"/>
  <c r="L36" i="5" s="1"/>
  <c r="I36" i="6" s="1"/>
  <c r="J36" i="6" s="1"/>
  <c r="L36" i="6" s="1"/>
  <c r="I36" i="7" s="1"/>
  <c r="L38" i="2"/>
  <c r="I38" i="3" s="1"/>
  <c r="J38" i="3" s="1"/>
  <c r="L38" i="3" s="1"/>
  <c r="I38" i="4" s="1"/>
  <c r="J38" i="4" s="1"/>
  <c r="L38" i="4" s="1"/>
  <c r="I38" i="5" s="1"/>
  <c r="J38" i="5" s="1"/>
  <c r="L38" i="5" s="1"/>
  <c r="I38" i="6" s="1"/>
  <c r="J38" i="6" s="1"/>
  <c r="L38" i="6" s="1"/>
  <c r="I38" i="7" s="1"/>
  <c r="L40" i="2"/>
  <c r="I40" i="3" s="1"/>
  <c r="J40" i="3" s="1"/>
  <c r="L40" i="3" s="1"/>
  <c r="I40" i="4" s="1"/>
  <c r="J40" i="4" s="1"/>
  <c r="L40" i="4" s="1"/>
  <c r="I40" i="5" s="1"/>
  <c r="J40" i="5" s="1"/>
  <c r="L40" i="5" s="1"/>
  <c r="I40" i="6" s="1"/>
  <c r="J40" i="6" s="1"/>
  <c r="L40" i="6" s="1"/>
  <c r="I40" i="7" s="1"/>
  <c r="L42" i="2"/>
  <c r="I42" i="3" s="1"/>
  <c r="J42" i="3" s="1"/>
  <c r="L42" i="3" s="1"/>
  <c r="I42" i="4" s="1"/>
  <c r="J42" i="4" s="1"/>
  <c r="L42" i="4" s="1"/>
  <c r="I42" i="5" s="1"/>
  <c r="J42" i="5" s="1"/>
  <c r="L42" i="5" s="1"/>
  <c r="I42" i="6" s="1"/>
  <c r="J42" i="6" s="1"/>
  <c r="L42" i="6" s="1"/>
  <c r="I42" i="7" s="1"/>
  <c r="L43" i="2"/>
  <c r="I43" i="3" s="1"/>
  <c r="J43" i="3" s="1"/>
  <c r="L43" i="3" s="1"/>
  <c r="I43" i="4" s="1"/>
  <c r="J43" i="4" s="1"/>
  <c r="L43" i="4" s="1"/>
  <c r="I43" i="5" s="1"/>
  <c r="J43" i="5" s="1"/>
  <c r="L43" i="5" s="1"/>
  <c r="I43" i="6" s="1"/>
  <c r="J43" i="6" s="1"/>
  <c r="L43" i="6" s="1"/>
  <c r="I43" i="7" s="1"/>
  <c r="L45" i="2"/>
  <c r="I45" i="3" s="1"/>
  <c r="J45" i="3" s="1"/>
  <c r="L45" i="3" s="1"/>
  <c r="I45" i="4" s="1"/>
  <c r="J45" i="4" s="1"/>
  <c r="L45" i="4" s="1"/>
  <c r="I45" i="5" s="1"/>
  <c r="J45" i="5" s="1"/>
  <c r="L45" i="5" s="1"/>
  <c r="I45" i="6" s="1"/>
  <c r="J45" i="6" s="1"/>
  <c r="L45" i="6" s="1"/>
  <c r="I45" i="7" s="1"/>
  <c r="L73" i="2"/>
  <c r="I73" i="3" s="1"/>
  <c r="J73" i="3" s="1"/>
  <c r="L73" i="3" s="1"/>
  <c r="I73" i="4" s="1"/>
  <c r="J73" i="4" s="1"/>
  <c r="L73" i="4" s="1"/>
  <c r="I73" i="5" s="1"/>
  <c r="J73" i="5" s="1"/>
  <c r="L73" i="5" s="1"/>
  <c r="I73" i="6" s="1"/>
  <c r="J73" i="6" s="1"/>
  <c r="L73" i="6" s="1"/>
  <c r="I73" i="7" s="1"/>
  <c r="L11" i="2"/>
  <c r="I11" i="3" s="1"/>
  <c r="J11" i="3" s="1"/>
  <c r="L11" i="3" s="1"/>
  <c r="I11" i="4" s="1"/>
  <c r="J11" i="4" s="1"/>
  <c r="L11" i="4" s="1"/>
  <c r="I11" i="5" s="1"/>
  <c r="J11" i="5" s="1"/>
  <c r="L11" i="5" s="1"/>
  <c r="I11" i="6" s="1"/>
  <c r="J11" i="6" s="1"/>
  <c r="L11" i="6" s="1"/>
  <c r="I11" i="7" s="1"/>
  <c r="L12" i="2"/>
  <c r="I12" i="3" s="1"/>
  <c r="J12" i="3" s="1"/>
  <c r="L12" i="3" s="1"/>
  <c r="I12" i="4" s="1"/>
  <c r="J12" i="4" s="1"/>
  <c r="L12" i="4" s="1"/>
  <c r="I12" i="5" s="1"/>
  <c r="J12" i="5" s="1"/>
  <c r="L12" i="5" s="1"/>
  <c r="I12" i="6" s="1"/>
  <c r="J12" i="6" s="1"/>
  <c r="L12" i="6" s="1"/>
  <c r="I12" i="7" s="1"/>
  <c r="L13" i="2"/>
  <c r="I13" i="3" s="1"/>
  <c r="J13" i="3" s="1"/>
  <c r="L13" i="3" s="1"/>
  <c r="I13" i="4" s="1"/>
  <c r="J13" i="4" s="1"/>
  <c r="L13" i="4" s="1"/>
  <c r="I13" i="5" s="1"/>
  <c r="J13" i="5" s="1"/>
  <c r="L13" i="5" s="1"/>
  <c r="I13" i="6" s="1"/>
  <c r="L14" i="2"/>
  <c r="I14" i="3" s="1"/>
  <c r="J14" i="3" s="1"/>
  <c r="L14" i="3" s="1"/>
  <c r="I14" i="4" s="1"/>
  <c r="J14" i="4" s="1"/>
  <c r="L14" i="4" s="1"/>
  <c r="I14" i="5" s="1"/>
  <c r="J14" i="5" s="1"/>
  <c r="L14" i="5" s="1"/>
  <c r="I14" i="6" s="1"/>
  <c r="J14" i="6" s="1"/>
  <c r="L14" i="6" s="1"/>
  <c r="I14" i="7" s="1"/>
  <c r="L15" i="2"/>
  <c r="I15" i="3" s="1"/>
  <c r="J15" i="3" s="1"/>
  <c r="L15" i="3" s="1"/>
  <c r="I15" i="4" s="1"/>
  <c r="J15" i="4" s="1"/>
  <c r="L15" i="4" s="1"/>
  <c r="I15" i="5" s="1"/>
  <c r="J15" i="5" s="1"/>
  <c r="L15" i="5" s="1"/>
  <c r="I15" i="6" s="1"/>
  <c r="J15" i="6" s="1"/>
  <c r="L15" i="6" s="1"/>
  <c r="I15" i="7" s="1"/>
  <c r="L16" i="2"/>
  <c r="I16" i="3" s="1"/>
  <c r="J16" i="3" s="1"/>
  <c r="L16" i="3" s="1"/>
  <c r="I16" i="4" s="1"/>
  <c r="J16" i="4" s="1"/>
  <c r="L16" i="4" s="1"/>
  <c r="I16" i="5" s="1"/>
  <c r="J16" i="5" s="1"/>
  <c r="L16" i="5" s="1"/>
  <c r="I16" i="6" s="1"/>
  <c r="J16" i="6" s="1"/>
  <c r="L16" i="6" s="1"/>
  <c r="I16" i="7" s="1"/>
  <c r="L17" i="2"/>
  <c r="I17" i="3" s="1"/>
  <c r="J17" i="3" s="1"/>
  <c r="L17" i="3" s="1"/>
  <c r="I17" i="4" s="1"/>
  <c r="J17" i="4" s="1"/>
  <c r="L17" i="4" s="1"/>
  <c r="I17" i="5" s="1"/>
  <c r="J17" i="5" s="1"/>
  <c r="L17" i="5" s="1"/>
  <c r="I17" i="6" s="1"/>
  <c r="J17" i="6" s="1"/>
  <c r="L17" i="6" s="1"/>
  <c r="I17" i="7" s="1"/>
  <c r="L18" i="2"/>
  <c r="I18" i="3" s="1"/>
  <c r="J18" i="3" s="1"/>
  <c r="L18" i="3" s="1"/>
  <c r="I18" i="4" s="1"/>
  <c r="J18" i="4" s="1"/>
  <c r="L18" i="4" s="1"/>
  <c r="I18" i="5" s="1"/>
  <c r="J18" i="5" s="1"/>
  <c r="L18" i="5" s="1"/>
  <c r="I18" i="6" s="1"/>
  <c r="J18" i="6" s="1"/>
  <c r="L18" i="6" s="1"/>
  <c r="I18" i="7" s="1"/>
  <c r="L19" i="2"/>
  <c r="L20" i="2"/>
  <c r="I20" i="3" s="1"/>
  <c r="L21" i="2"/>
  <c r="L23" i="2"/>
  <c r="I23" i="3" s="1"/>
  <c r="J23" i="3" s="1"/>
  <c r="L23" i="3" s="1"/>
  <c r="I23" i="4" s="1"/>
  <c r="J23" i="4" s="1"/>
  <c r="L23" i="4" s="1"/>
  <c r="I23" i="5" s="1"/>
  <c r="J23" i="5" s="1"/>
  <c r="L23" i="5" s="1"/>
  <c r="I23" i="6" s="1"/>
  <c r="J23" i="6" s="1"/>
  <c r="L23" i="6" s="1"/>
  <c r="I23" i="7" s="1"/>
  <c r="L25" i="2"/>
  <c r="I25" i="3" s="1"/>
  <c r="J25" i="3" s="1"/>
  <c r="L25" i="3" s="1"/>
  <c r="I25" i="4" s="1"/>
  <c r="J25" i="4" s="1"/>
  <c r="L25" i="4" s="1"/>
  <c r="I25" i="5" s="1"/>
  <c r="J25" i="5" s="1"/>
  <c r="L25" i="5" s="1"/>
  <c r="I25" i="6" s="1"/>
  <c r="J25" i="6" s="1"/>
  <c r="L25" i="6" s="1"/>
  <c r="I25" i="7" s="1"/>
  <c r="L27" i="2"/>
  <c r="I27" i="3" s="1"/>
  <c r="J27" i="3" s="1"/>
  <c r="L27" i="3" s="1"/>
  <c r="I27" i="4" s="1"/>
  <c r="J27" i="4" s="1"/>
  <c r="L27" i="4" s="1"/>
  <c r="I27" i="5" s="1"/>
  <c r="J27" i="5" s="1"/>
  <c r="L27" i="5" s="1"/>
  <c r="I27" i="6" s="1"/>
  <c r="J27" i="6" s="1"/>
  <c r="L27" i="6" s="1"/>
  <c r="I27" i="7" s="1"/>
  <c r="L29" i="2"/>
  <c r="I29" i="3" s="1"/>
  <c r="J29" i="3" s="1"/>
  <c r="L29" i="3" s="1"/>
  <c r="I29" i="4" s="1"/>
  <c r="J29" i="4" s="1"/>
  <c r="L29" i="4" s="1"/>
  <c r="I29" i="5" s="1"/>
  <c r="J29" i="5" s="1"/>
  <c r="L29" i="5" s="1"/>
  <c r="I29" i="6" s="1"/>
  <c r="L31" i="2"/>
  <c r="I31" i="3" s="1"/>
  <c r="J31" i="3" s="1"/>
  <c r="L31" i="3" s="1"/>
  <c r="I31" i="4" s="1"/>
  <c r="J31" i="4" s="1"/>
  <c r="L31" i="4" s="1"/>
  <c r="I31" i="5" s="1"/>
  <c r="J31" i="5" s="1"/>
  <c r="L31" i="5" s="1"/>
  <c r="I31" i="6" s="1"/>
  <c r="J31" i="6" s="1"/>
  <c r="L31" i="6" s="1"/>
  <c r="I31" i="7" s="1"/>
  <c r="L33" i="2"/>
  <c r="I33" i="3" s="1"/>
  <c r="J33" i="3" s="1"/>
  <c r="L33" i="3" s="1"/>
  <c r="I33" i="4" s="1"/>
  <c r="J33" i="4" s="1"/>
  <c r="L33" i="4" s="1"/>
  <c r="I33" i="5" s="1"/>
  <c r="J33" i="5" s="1"/>
  <c r="L33" i="5" s="1"/>
  <c r="I33" i="6" s="1"/>
  <c r="J33" i="6" s="1"/>
  <c r="L33" i="6" s="1"/>
  <c r="I33" i="7" s="1"/>
  <c r="L35" i="2"/>
  <c r="I35" i="3" s="1"/>
  <c r="J35" i="3" s="1"/>
  <c r="L35" i="3" s="1"/>
  <c r="I35" i="4" s="1"/>
  <c r="J35" i="4" s="1"/>
  <c r="L35" i="4" s="1"/>
  <c r="I35" i="5" s="1"/>
  <c r="J35" i="5" s="1"/>
  <c r="L35" i="5" s="1"/>
  <c r="I35" i="6" s="1"/>
  <c r="J35" i="6" s="1"/>
  <c r="L35" i="6" s="1"/>
  <c r="I35" i="7" s="1"/>
  <c r="L37" i="2"/>
  <c r="I37" i="3" s="1"/>
  <c r="J37" i="3" s="1"/>
  <c r="L37" i="3" s="1"/>
  <c r="I37" i="4" s="1"/>
  <c r="J37" i="4" s="1"/>
  <c r="L37" i="4" s="1"/>
  <c r="I37" i="5" s="1"/>
  <c r="J37" i="5" s="1"/>
  <c r="L37" i="5" s="1"/>
  <c r="I37" i="6" s="1"/>
  <c r="J37" i="6" s="1"/>
  <c r="L37" i="6" s="1"/>
  <c r="I37" i="7" s="1"/>
  <c r="L39" i="2"/>
  <c r="I39" i="3" s="1"/>
  <c r="J39" i="3" s="1"/>
  <c r="L39" i="3" s="1"/>
  <c r="I39" i="4" s="1"/>
  <c r="J39" i="4" s="1"/>
  <c r="L39" i="4" s="1"/>
  <c r="I39" i="5" s="1"/>
  <c r="J39" i="5" s="1"/>
  <c r="L39" i="5" s="1"/>
  <c r="I39" i="6" s="1"/>
  <c r="J39" i="6" s="1"/>
  <c r="L39" i="6" s="1"/>
  <c r="I39" i="7" s="1"/>
  <c r="L41" i="2"/>
  <c r="I41" i="3" s="1"/>
  <c r="J41" i="3" s="1"/>
  <c r="L41" i="3" s="1"/>
  <c r="L46" i="2"/>
  <c r="I46" i="3" s="1"/>
  <c r="J46" i="3" s="1"/>
  <c r="L46" i="3" s="1"/>
  <c r="I46" i="4" s="1"/>
  <c r="J46" i="4" s="1"/>
  <c r="L46" i="4" s="1"/>
  <c r="I46" i="5" s="1"/>
  <c r="J46" i="5" s="1"/>
  <c r="L46" i="5" s="1"/>
  <c r="I46" i="6" s="1"/>
  <c r="J46" i="6" s="1"/>
  <c r="L46" i="6" s="1"/>
  <c r="I46" i="7" s="1"/>
  <c r="L48" i="2"/>
  <c r="I48" i="3" s="1"/>
  <c r="J48" i="3" s="1"/>
  <c r="L48" i="3" s="1"/>
  <c r="I48" i="4" s="1"/>
  <c r="J48" i="4" s="1"/>
  <c r="L48" i="4" s="1"/>
  <c r="I48" i="5" s="1"/>
  <c r="J48" i="5" s="1"/>
  <c r="L48" i="5" s="1"/>
  <c r="I48" i="6" s="1"/>
  <c r="J48" i="6" s="1"/>
  <c r="L48" i="6" s="1"/>
  <c r="I48" i="7" s="1"/>
  <c r="L50" i="2"/>
  <c r="I50" i="3" s="1"/>
  <c r="J50" i="3" s="1"/>
  <c r="L50" i="3" s="1"/>
  <c r="I50" i="4" s="1"/>
  <c r="J50" i="4" s="1"/>
  <c r="L50" i="4" s="1"/>
  <c r="I50" i="5" s="1"/>
  <c r="J50" i="5" s="1"/>
  <c r="L50" i="5" s="1"/>
  <c r="I50" i="6" s="1"/>
  <c r="J50" i="6" s="1"/>
  <c r="L50" i="6" s="1"/>
  <c r="I50" i="7" s="1"/>
  <c r="L52" i="2"/>
  <c r="I52" i="3" s="1"/>
  <c r="J52" i="3" s="1"/>
  <c r="L52" i="3" s="1"/>
  <c r="I52" i="4" s="1"/>
  <c r="J52" i="4" s="1"/>
  <c r="L52" i="4" s="1"/>
  <c r="I52" i="5" s="1"/>
  <c r="J52" i="5" s="1"/>
  <c r="L52" i="5" s="1"/>
  <c r="I52" i="6" s="1"/>
  <c r="J52" i="6" s="1"/>
  <c r="L52" i="6" s="1"/>
  <c r="I52" i="7" s="1"/>
  <c r="L54" i="2"/>
  <c r="I54" i="3" s="1"/>
  <c r="J54" i="3" s="1"/>
  <c r="L54" i="3" s="1"/>
  <c r="I54" i="4" s="1"/>
  <c r="J54" i="4" s="1"/>
  <c r="L54" i="4" s="1"/>
  <c r="I54" i="5" s="1"/>
  <c r="J54" i="5" s="1"/>
  <c r="L54" i="5" s="1"/>
  <c r="I54" i="6" s="1"/>
  <c r="J54" i="6" s="1"/>
  <c r="L54" i="6" s="1"/>
  <c r="I54" i="7" s="1"/>
  <c r="L56" i="2"/>
  <c r="I56" i="3" s="1"/>
  <c r="J56" i="3" s="1"/>
  <c r="L56" i="3" s="1"/>
  <c r="I56" i="4" s="1"/>
  <c r="J56" i="4" s="1"/>
  <c r="L56" i="4" s="1"/>
  <c r="I56" i="5" s="1"/>
  <c r="J56" i="5" s="1"/>
  <c r="L56" i="5" s="1"/>
  <c r="I56" i="6" s="1"/>
  <c r="J56" i="6" s="1"/>
  <c r="L56" i="6" s="1"/>
  <c r="I56" i="7" s="1"/>
  <c r="L58" i="2"/>
  <c r="I58" i="3" s="1"/>
  <c r="J58" i="3" s="1"/>
  <c r="L58" i="3" s="1"/>
  <c r="I58" i="4" s="1"/>
  <c r="J58" i="4" s="1"/>
  <c r="L58" i="4" s="1"/>
  <c r="I58" i="5" s="1"/>
  <c r="J58" i="5" s="1"/>
  <c r="L58" i="5" s="1"/>
  <c r="I58" i="6" s="1"/>
  <c r="J58" i="6" s="1"/>
  <c r="L58" i="6" s="1"/>
  <c r="I58" i="7" s="1"/>
  <c r="L61" i="2"/>
  <c r="I61" i="3" s="1"/>
  <c r="J61" i="3" s="1"/>
  <c r="L61" i="3" s="1"/>
  <c r="I61" i="4" s="1"/>
  <c r="J61" i="4" s="1"/>
  <c r="L61" i="4" s="1"/>
  <c r="I61" i="5" s="1"/>
  <c r="J61" i="5" s="1"/>
  <c r="L61" i="5" s="1"/>
  <c r="I61" i="6" s="1"/>
  <c r="J61" i="6" s="1"/>
  <c r="L61" i="6" s="1"/>
  <c r="I61" i="7" s="1"/>
  <c r="L62" i="2"/>
  <c r="I62" i="3" s="1"/>
  <c r="J62" i="3" s="1"/>
  <c r="L62" i="3" s="1"/>
  <c r="I62" i="4" s="1"/>
  <c r="J62" i="4" s="1"/>
  <c r="L62" i="4" s="1"/>
  <c r="I62" i="5" s="1"/>
  <c r="J62" i="5" s="1"/>
  <c r="L62" i="5" s="1"/>
  <c r="I62" i="6" s="1"/>
  <c r="J62" i="6" s="1"/>
  <c r="L62" i="6" s="1"/>
  <c r="I62" i="7" s="1"/>
  <c r="L63" i="2"/>
  <c r="I63" i="3" s="1"/>
  <c r="J63" i="3" s="1"/>
  <c r="L63" i="3" s="1"/>
  <c r="I63" i="4" s="1"/>
  <c r="J63" i="4" s="1"/>
  <c r="L63" i="4" s="1"/>
  <c r="I63" i="5" s="1"/>
  <c r="J63" i="5" s="1"/>
  <c r="L63" i="5" s="1"/>
  <c r="I63" i="6" s="1"/>
  <c r="J63" i="6" s="1"/>
  <c r="L63" i="6" s="1"/>
  <c r="I63" i="7" s="1"/>
  <c r="L65" i="2"/>
  <c r="I65" i="3" s="1"/>
  <c r="J65" i="3" s="1"/>
  <c r="L65" i="3" s="1"/>
  <c r="I65" i="4" s="1"/>
  <c r="J65" i="4" s="1"/>
  <c r="L65" i="4" s="1"/>
  <c r="I65" i="5" s="1"/>
  <c r="J65" i="5" s="1"/>
  <c r="L65" i="5" s="1"/>
  <c r="I65" i="6" s="1"/>
  <c r="J65" i="6" s="1"/>
  <c r="L65" i="6" s="1"/>
  <c r="I65" i="7" s="1"/>
  <c r="L66" i="2"/>
  <c r="I66" i="3" s="1"/>
  <c r="J66" i="3" s="1"/>
  <c r="L66" i="3" s="1"/>
  <c r="I66" i="4" s="1"/>
  <c r="J66" i="4" s="1"/>
  <c r="L66" i="4" s="1"/>
  <c r="I66" i="5" s="1"/>
  <c r="J66" i="5" s="1"/>
  <c r="L66" i="5" s="1"/>
  <c r="I66" i="6" s="1"/>
  <c r="J66" i="6" s="1"/>
  <c r="L66" i="6" s="1"/>
  <c r="I66" i="7" s="1"/>
  <c r="L67" i="2"/>
  <c r="I67" i="3" s="1"/>
  <c r="J67" i="3" s="1"/>
  <c r="L67" i="3" s="1"/>
  <c r="I67" i="4" s="1"/>
  <c r="J67" i="4" s="1"/>
  <c r="L67" i="4" s="1"/>
  <c r="I67" i="5" s="1"/>
  <c r="J67" i="5" s="1"/>
  <c r="L67" i="5" s="1"/>
  <c r="I67" i="6" s="1"/>
  <c r="L68" i="2"/>
  <c r="I68" i="3" s="1"/>
  <c r="J68" i="3" s="1"/>
  <c r="L68" i="3" s="1"/>
  <c r="I68" i="4" s="1"/>
  <c r="J68" i="4" s="1"/>
  <c r="L68" i="4" s="1"/>
  <c r="I68" i="5" s="1"/>
  <c r="J68" i="5" s="1"/>
  <c r="L68" i="5" s="1"/>
  <c r="I68" i="6" s="1"/>
  <c r="J68" i="6" s="1"/>
  <c r="L68" i="6" s="1"/>
  <c r="I68" i="7" s="1"/>
  <c r="L69" i="2"/>
  <c r="I69" i="3" s="1"/>
  <c r="J69" i="3" s="1"/>
  <c r="L69" i="3" s="1"/>
  <c r="I69" i="4" s="1"/>
  <c r="J69" i="4" s="1"/>
  <c r="L69" i="4" s="1"/>
  <c r="I69" i="5" s="1"/>
  <c r="J69" i="5" s="1"/>
  <c r="L69" i="5" s="1"/>
  <c r="I69" i="6" s="1"/>
  <c r="J69" i="6" s="1"/>
  <c r="L69" i="6" s="1"/>
  <c r="I69" i="7" s="1"/>
  <c r="L71" i="2"/>
  <c r="I71" i="3" s="1"/>
  <c r="J71" i="3" s="1"/>
  <c r="L71" i="3" s="1"/>
  <c r="I71" i="4" s="1"/>
  <c r="J71" i="4" s="1"/>
  <c r="L71" i="4" s="1"/>
  <c r="J71" i="5" s="1"/>
  <c r="L71" i="5" s="1"/>
  <c r="I71" i="6" s="1"/>
  <c r="J71" i="6" s="1"/>
  <c r="L71" i="6" s="1"/>
  <c r="I71" i="7" s="1"/>
  <c r="L10" i="2"/>
  <c r="I10" i="3" s="1"/>
  <c r="J10" i="3" s="1"/>
  <c r="L10" i="3" s="1"/>
  <c r="I10" i="4" s="1"/>
  <c r="J10" i="4" s="1"/>
  <c r="L10" i="4" s="1"/>
  <c r="I10" i="5" s="1"/>
  <c r="J10" i="5" s="1"/>
  <c r="L10" i="5" s="1"/>
  <c r="I10" i="6" s="1"/>
  <c r="J10" i="6" s="1"/>
  <c r="L10" i="6" s="1"/>
  <c r="I10" i="7" s="1"/>
  <c r="L8" i="2"/>
  <c r="I8" i="3" s="1"/>
  <c r="J8" i="3" s="1"/>
  <c r="L8" i="3" s="1"/>
  <c r="I8" i="4" s="1"/>
  <c r="J8" i="4" s="1"/>
  <c r="L8" i="4" s="1"/>
  <c r="I8" i="5" s="1"/>
  <c r="J8" i="5" s="1"/>
  <c r="L8" i="5" s="1"/>
  <c r="I8" i="6" s="1"/>
  <c r="J8" i="6" s="1"/>
  <c r="L8" i="6" s="1"/>
  <c r="J8" i="7" s="1"/>
  <c r="L8" i="7" s="1"/>
  <c r="I8" i="9" s="1"/>
  <c r="J8" i="9" s="1"/>
  <c r="L8" i="9" s="1"/>
  <c r="I8" i="10" s="1"/>
  <c r="J8" i="10" s="1"/>
  <c r="L8" i="10" s="1"/>
  <c r="L6" i="2"/>
  <c r="I6" i="3" s="1"/>
  <c r="J6" i="3" s="1"/>
  <c r="L6" i="3" s="1"/>
  <c r="I6" i="4" s="1"/>
  <c r="J6" i="4" s="1"/>
  <c r="L6" i="4" s="1"/>
  <c r="I6" i="5" s="1"/>
  <c r="J6" i="5" s="1"/>
  <c r="L6" i="5" s="1"/>
  <c r="I6" i="6" s="1"/>
  <c r="J6" i="6" s="1"/>
  <c r="L6" i="6" s="1"/>
  <c r="I6" i="7" s="1"/>
  <c r="L5" i="2"/>
  <c r="I5" i="3" s="1"/>
  <c r="J5" i="3" s="1"/>
  <c r="L5" i="3" s="1"/>
  <c r="I5" i="4" s="1"/>
  <c r="J5" i="4" s="1"/>
  <c r="L5" i="4" s="1"/>
  <c r="I5" i="5" s="1"/>
  <c r="J5" i="5" s="1"/>
  <c r="L5" i="5" s="1"/>
  <c r="I5" i="6" s="1"/>
  <c r="I77" i="9" l="1"/>
  <c r="J77" i="9" s="1"/>
  <c r="L77" i="9" s="1"/>
  <c r="I77" i="10" s="1"/>
  <c r="J77" i="10" s="1"/>
  <c r="L77" i="10" s="1"/>
  <c r="J71" i="7"/>
  <c r="L71" i="7" s="1"/>
  <c r="I71" i="9" s="1"/>
  <c r="J71" i="9" s="1"/>
  <c r="L71" i="9" s="1"/>
  <c r="I71" i="10" s="1"/>
  <c r="J71" i="10" s="1"/>
  <c r="L71" i="10" s="1"/>
  <c r="J68" i="7"/>
  <c r="L68" i="7" s="1"/>
  <c r="I68" i="9" s="1"/>
  <c r="J68" i="9" s="1"/>
  <c r="L68" i="9" s="1"/>
  <c r="I68" i="10" s="1"/>
  <c r="J68" i="10" s="1"/>
  <c r="L68" i="10" s="1"/>
  <c r="J66" i="7"/>
  <c r="L66" i="7" s="1"/>
  <c r="I66" i="9" s="1"/>
  <c r="J66" i="9" s="1"/>
  <c r="L66" i="9" s="1"/>
  <c r="I66" i="10" s="1"/>
  <c r="J66" i="10" s="1"/>
  <c r="L66" i="10" s="1"/>
  <c r="J63" i="7"/>
  <c r="L63" i="7" s="1"/>
  <c r="I63" i="9" s="1"/>
  <c r="J63" i="9" s="1"/>
  <c r="L63" i="9" s="1"/>
  <c r="I63" i="10" s="1"/>
  <c r="J63" i="10" s="1"/>
  <c r="L63" i="10" s="1"/>
  <c r="J61" i="7"/>
  <c r="L61" i="7" s="1"/>
  <c r="I61" i="9" s="1"/>
  <c r="J61" i="9" s="1"/>
  <c r="L61" i="9" s="1"/>
  <c r="I61" i="10" s="1"/>
  <c r="J61" i="10" s="1"/>
  <c r="L61" i="10" s="1"/>
  <c r="J56" i="7"/>
  <c r="L56" i="7" s="1"/>
  <c r="I56" i="9" s="1"/>
  <c r="J56" i="9" s="1"/>
  <c r="L56" i="9" s="1"/>
  <c r="I56" i="10" s="1"/>
  <c r="J56" i="10" s="1"/>
  <c r="L56" i="10" s="1"/>
  <c r="J52" i="7"/>
  <c r="L52" i="7" s="1"/>
  <c r="I52" i="9" s="1"/>
  <c r="J52" i="9" s="1"/>
  <c r="L52" i="9" s="1"/>
  <c r="I52" i="10" s="1"/>
  <c r="J52" i="10" s="1"/>
  <c r="L52" i="10" s="1"/>
  <c r="J48" i="7"/>
  <c r="L48" i="7" s="1"/>
  <c r="I48" i="9" s="1"/>
  <c r="J48" i="9" s="1"/>
  <c r="L48" i="9" s="1"/>
  <c r="I48" i="10" s="1"/>
  <c r="J48" i="10" s="1"/>
  <c r="L48" i="10" s="1"/>
  <c r="J37" i="7"/>
  <c r="L37" i="7" s="1"/>
  <c r="I37" i="9" s="1"/>
  <c r="J37" i="9" s="1"/>
  <c r="L37" i="9" s="1"/>
  <c r="I37" i="10" s="1"/>
  <c r="J37" i="10" s="1"/>
  <c r="L37" i="10" s="1"/>
  <c r="J33" i="7"/>
  <c r="L33" i="7" s="1"/>
  <c r="I33" i="9" s="1"/>
  <c r="J33" i="9" s="1"/>
  <c r="L33" i="9" s="1"/>
  <c r="I33" i="10" s="1"/>
  <c r="J33" i="10" s="1"/>
  <c r="L33" i="10" s="1"/>
  <c r="J25" i="7"/>
  <c r="L25" i="7" s="1"/>
  <c r="I25" i="9" s="1"/>
  <c r="J25" i="9" s="1"/>
  <c r="L25" i="9" s="1"/>
  <c r="I25" i="10" s="1"/>
  <c r="J25" i="10" s="1"/>
  <c r="L25" i="10" s="1"/>
  <c r="J17" i="7"/>
  <c r="L17" i="7" s="1"/>
  <c r="I17" i="9" s="1"/>
  <c r="J17" i="9" s="1"/>
  <c r="L17" i="9" s="1"/>
  <c r="I17" i="10" s="1"/>
  <c r="J17" i="10" s="1"/>
  <c r="L17" i="10" s="1"/>
  <c r="J11" i="7"/>
  <c r="L11" i="7" s="1"/>
  <c r="I11" i="9" s="1"/>
  <c r="J11" i="9" s="1"/>
  <c r="L11" i="9" s="1"/>
  <c r="I11" i="10" s="1"/>
  <c r="J11" i="10" s="1"/>
  <c r="L11" i="10" s="1"/>
  <c r="J45" i="7"/>
  <c r="L45" i="7" s="1"/>
  <c r="I45" i="9" s="1"/>
  <c r="J45" i="9" s="1"/>
  <c r="L45" i="9" s="1"/>
  <c r="I45" i="10" s="1"/>
  <c r="J45" i="10" s="1"/>
  <c r="L45" i="10" s="1"/>
  <c r="J42" i="7"/>
  <c r="L42" i="7" s="1"/>
  <c r="I42" i="9" s="1"/>
  <c r="J42" i="9" s="1"/>
  <c r="L42" i="9" s="1"/>
  <c r="I42" i="10" s="1"/>
  <c r="J42" i="10" s="1"/>
  <c r="L42" i="10" s="1"/>
  <c r="J38" i="7"/>
  <c r="L38" i="7" s="1"/>
  <c r="I38" i="9" s="1"/>
  <c r="J38" i="9" s="1"/>
  <c r="L38" i="9" s="1"/>
  <c r="I38" i="10" s="1"/>
  <c r="J38" i="10" s="1"/>
  <c r="L38" i="10" s="1"/>
  <c r="J59" i="7"/>
  <c r="L59" i="7" s="1"/>
  <c r="I59" i="9" s="1"/>
  <c r="J59" i="9" s="1"/>
  <c r="L59" i="9" s="1"/>
  <c r="I59" i="10" s="1"/>
  <c r="J59" i="10" s="1"/>
  <c r="L59" i="10" s="1"/>
  <c r="J55" i="7"/>
  <c r="L55" i="7" s="1"/>
  <c r="I55" i="9" s="1"/>
  <c r="J55" i="9" s="1"/>
  <c r="L55" i="9" s="1"/>
  <c r="I55" i="10" s="1"/>
  <c r="J55" i="10" s="1"/>
  <c r="L55" i="10" s="1"/>
  <c r="J51" i="7"/>
  <c r="L51" i="7" s="1"/>
  <c r="I51" i="9" s="1"/>
  <c r="J51" i="9" s="1"/>
  <c r="L51" i="9" s="1"/>
  <c r="I51" i="10" s="1"/>
  <c r="J51" i="10" s="1"/>
  <c r="L51" i="10" s="1"/>
  <c r="J72" i="7"/>
  <c r="L72" i="7" s="1"/>
  <c r="I72" i="9" s="1"/>
  <c r="J72" i="9" s="1"/>
  <c r="L72" i="9" s="1"/>
  <c r="I72" i="10" s="1"/>
  <c r="J72" i="10" s="1"/>
  <c r="L72" i="10" s="1"/>
  <c r="J32" i="7"/>
  <c r="L32" i="7" s="1"/>
  <c r="I32" i="9" s="1"/>
  <c r="J32" i="9" s="1"/>
  <c r="L32" i="9" s="1"/>
  <c r="I32" i="10" s="1"/>
  <c r="J32" i="10" s="1"/>
  <c r="L32" i="10" s="1"/>
  <c r="J24" i="7"/>
  <c r="L24" i="7" s="1"/>
  <c r="I24" i="9" s="1"/>
  <c r="J24" i="9" s="1"/>
  <c r="L24" i="9" s="1"/>
  <c r="I24" i="10" s="1"/>
  <c r="J24" i="10" s="1"/>
  <c r="L24" i="10" s="1"/>
  <c r="J28" i="7"/>
  <c r="L28" i="7" s="1"/>
  <c r="I28" i="9" s="1"/>
  <c r="J28" i="9" s="1"/>
  <c r="L28" i="9" s="1"/>
  <c r="I28" i="10" s="1"/>
  <c r="J28" i="10" s="1"/>
  <c r="L28" i="10" s="1"/>
  <c r="J64" i="7"/>
  <c r="L64" i="7" s="1"/>
  <c r="I64" i="9" s="1"/>
  <c r="J64" i="9" s="1"/>
  <c r="L64" i="9" s="1"/>
  <c r="I64" i="10" s="1"/>
  <c r="J64" i="10" s="1"/>
  <c r="L64" i="10" s="1"/>
  <c r="J47" i="7"/>
  <c r="L47" i="7" s="1"/>
  <c r="I47" i="9" s="1"/>
  <c r="J47" i="9" s="1"/>
  <c r="L47" i="9" s="1"/>
  <c r="I47" i="10" s="1"/>
  <c r="J47" i="10" s="1"/>
  <c r="L47" i="10" s="1"/>
  <c r="J6" i="7"/>
  <c r="L6" i="7" s="1"/>
  <c r="I6" i="9" s="1"/>
  <c r="J6" i="9" s="1"/>
  <c r="L6" i="9" s="1"/>
  <c r="I6" i="10" s="1"/>
  <c r="J6" i="10" s="1"/>
  <c r="L6" i="10" s="1"/>
  <c r="J65" i="7"/>
  <c r="L65" i="7" s="1"/>
  <c r="I65" i="9" s="1"/>
  <c r="J65" i="9" s="1"/>
  <c r="L65" i="9" s="1"/>
  <c r="I65" i="10" s="1"/>
  <c r="J65" i="10" s="1"/>
  <c r="L65" i="10" s="1"/>
  <c r="J62" i="7"/>
  <c r="L62" i="7" s="1"/>
  <c r="I62" i="9" s="1"/>
  <c r="J62" i="9" s="1"/>
  <c r="L62" i="9" s="1"/>
  <c r="I62" i="10" s="1"/>
  <c r="J62" i="10" s="1"/>
  <c r="L62" i="10" s="1"/>
  <c r="J58" i="7"/>
  <c r="L58" i="7" s="1"/>
  <c r="I58" i="9" s="1"/>
  <c r="J58" i="9" s="1"/>
  <c r="L58" i="9" s="1"/>
  <c r="I58" i="10" s="1"/>
  <c r="J58" i="10" s="1"/>
  <c r="L58" i="10" s="1"/>
  <c r="J54" i="7"/>
  <c r="L54" i="7" s="1"/>
  <c r="I54" i="9" s="1"/>
  <c r="J54" i="9" s="1"/>
  <c r="L54" i="9" s="1"/>
  <c r="I54" i="10" s="1"/>
  <c r="J54" i="10" s="1"/>
  <c r="L54" i="10" s="1"/>
  <c r="J50" i="7"/>
  <c r="L50" i="7" s="1"/>
  <c r="I50" i="9" s="1"/>
  <c r="J50" i="9" s="1"/>
  <c r="L50" i="9" s="1"/>
  <c r="I50" i="10" s="1"/>
  <c r="J50" i="10" s="1"/>
  <c r="L50" i="10" s="1"/>
  <c r="J46" i="7"/>
  <c r="L46" i="7" s="1"/>
  <c r="I46" i="9" s="1"/>
  <c r="J46" i="9" s="1"/>
  <c r="L46" i="9" s="1"/>
  <c r="I46" i="10" s="1"/>
  <c r="J46" i="10" s="1"/>
  <c r="L46" i="10" s="1"/>
  <c r="J39" i="7"/>
  <c r="L39" i="7" s="1"/>
  <c r="I39" i="9" s="1"/>
  <c r="J39" i="9" s="1"/>
  <c r="L39" i="9" s="1"/>
  <c r="I39" i="10" s="1"/>
  <c r="J39" i="10" s="1"/>
  <c r="L39" i="10" s="1"/>
  <c r="J35" i="7"/>
  <c r="L35" i="7" s="1"/>
  <c r="I35" i="9" s="1"/>
  <c r="J35" i="9" s="1"/>
  <c r="L35" i="9" s="1"/>
  <c r="I35" i="10" s="1"/>
  <c r="J35" i="10" s="1"/>
  <c r="L35" i="10" s="1"/>
  <c r="J27" i="7"/>
  <c r="L27" i="7" s="1"/>
  <c r="I27" i="9" s="1"/>
  <c r="J27" i="9" s="1"/>
  <c r="L27" i="9" s="1"/>
  <c r="I27" i="10" s="1"/>
  <c r="J27" i="10" s="1"/>
  <c r="L27" i="10" s="1"/>
  <c r="J16" i="7"/>
  <c r="L16" i="7" s="1"/>
  <c r="I16" i="9" s="1"/>
  <c r="J16" i="9" s="1"/>
  <c r="L16" i="9" s="1"/>
  <c r="I16" i="10" s="1"/>
  <c r="J16" i="10" s="1"/>
  <c r="L16" i="10" s="1"/>
  <c r="J14" i="7"/>
  <c r="L14" i="7" s="1"/>
  <c r="I14" i="9" s="1"/>
  <c r="J14" i="9" s="1"/>
  <c r="L14" i="9" s="1"/>
  <c r="I14" i="10" s="1"/>
  <c r="J14" i="10" s="1"/>
  <c r="L14" i="10" s="1"/>
  <c r="J12" i="7"/>
  <c r="L12" i="7" s="1"/>
  <c r="I12" i="9" s="1"/>
  <c r="J12" i="9" s="1"/>
  <c r="L12" i="9" s="1"/>
  <c r="I12" i="10" s="1"/>
  <c r="J12" i="10" s="1"/>
  <c r="L12" i="10" s="1"/>
  <c r="J73" i="7"/>
  <c r="L73" i="7" s="1"/>
  <c r="I73" i="9" s="1"/>
  <c r="J73" i="9" s="1"/>
  <c r="L73" i="9" s="1"/>
  <c r="I73" i="10" s="1"/>
  <c r="J73" i="10" s="1"/>
  <c r="L73" i="10" s="1"/>
  <c r="J40" i="7"/>
  <c r="L40" i="7" s="1"/>
  <c r="I40" i="9" s="1"/>
  <c r="J40" i="9" s="1"/>
  <c r="L40" i="9" s="1"/>
  <c r="I40" i="10" s="1"/>
  <c r="J40" i="10" s="1"/>
  <c r="L40" i="10" s="1"/>
  <c r="J36" i="7"/>
  <c r="L36" i="7" s="1"/>
  <c r="I36" i="9" s="1"/>
  <c r="J36" i="9" s="1"/>
  <c r="L36" i="9" s="1"/>
  <c r="I36" i="10" s="1"/>
  <c r="J36" i="10" s="1"/>
  <c r="L36" i="10" s="1"/>
  <c r="J57" i="7"/>
  <c r="L57" i="7" s="1"/>
  <c r="I57" i="9" s="1"/>
  <c r="J57" i="9" s="1"/>
  <c r="L57" i="9" s="1"/>
  <c r="I57" i="10" s="1"/>
  <c r="J57" i="10" s="1"/>
  <c r="L57" i="10" s="1"/>
  <c r="J53" i="7"/>
  <c r="L53" i="7" s="1"/>
  <c r="I53" i="9" s="1"/>
  <c r="J53" i="9" s="1"/>
  <c r="L53" i="9" s="1"/>
  <c r="I53" i="10" s="1"/>
  <c r="J53" i="10" s="1"/>
  <c r="L53" i="10" s="1"/>
  <c r="J76" i="7"/>
  <c r="L76" i="7" s="1"/>
  <c r="I76" i="9" s="1"/>
  <c r="J76" i="9" s="1"/>
  <c r="L76" i="9" s="1"/>
  <c r="I76" i="10" s="1"/>
  <c r="J76" i="10" s="1"/>
  <c r="L76" i="10" s="1"/>
  <c r="J74" i="7"/>
  <c r="L74" i="7" s="1"/>
  <c r="I74" i="9" s="1"/>
  <c r="J74" i="9" s="1"/>
  <c r="L74" i="9" s="1"/>
  <c r="I74" i="10" s="1"/>
  <c r="J74" i="10" s="1"/>
  <c r="L74" i="10" s="1"/>
  <c r="J34" i="7"/>
  <c r="L34" i="7" s="1"/>
  <c r="I34" i="9" s="1"/>
  <c r="J34" i="9" s="1"/>
  <c r="L34" i="9" s="1"/>
  <c r="I34" i="10" s="1"/>
  <c r="J34" i="10" s="1"/>
  <c r="L34" i="10" s="1"/>
  <c r="J26" i="7"/>
  <c r="L26" i="7" s="1"/>
  <c r="J26" i="9" s="1"/>
  <c r="L26" i="9" s="1"/>
  <c r="I26" i="10" s="1"/>
  <c r="J26" i="10" s="1"/>
  <c r="L26" i="10" s="1"/>
  <c r="J22" i="7"/>
  <c r="L22" i="7" s="1"/>
  <c r="I22" i="9" s="1"/>
  <c r="J22" i="9" s="1"/>
  <c r="L22" i="9" s="1"/>
  <c r="I22" i="10" s="1"/>
  <c r="J22" i="10" s="1"/>
  <c r="L22" i="10" s="1"/>
  <c r="J49" i="7"/>
  <c r="L49" i="7" s="1"/>
  <c r="I49" i="9" s="1"/>
  <c r="J49" i="9" s="1"/>
  <c r="L49" i="9" s="1"/>
  <c r="I49" i="10" s="1"/>
  <c r="J49" i="10" s="1"/>
  <c r="L49" i="10" s="1"/>
  <c r="J30" i="7"/>
  <c r="L30" i="7" s="1"/>
  <c r="J30" i="9"/>
  <c r="L30" i="9" s="1"/>
  <c r="I30" i="10" s="1"/>
  <c r="J30" i="10" s="1"/>
  <c r="L30" i="10" s="1"/>
  <c r="J31" i="7"/>
  <c r="L31" i="7" s="1"/>
  <c r="I31" i="9" s="1"/>
  <c r="J31" i="9" s="1"/>
  <c r="L31" i="9" s="1"/>
  <c r="I31" i="10" s="1"/>
  <c r="J31" i="10" s="1"/>
  <c r="L31" i="10" s="1"/>
  <c r="J15" i="7"/>
  <c r="L15" i="7" s="1"/>
  <c r="I15" i="9" s="1"/>
  <c r="J15" i="9" s="1"/>
  <c r="L15" i="9" s="1"/>
  <c r="I15" i="10" s="1"/>
  <c r="J15" i="10" s="1"/>
  <c r="L15" i="10" s="1"/>
  <c r="J69" i="7"/>
  <c r="L69" i="7" s="1"/>
  <c r="I69" i="9" s="1"/>
  <c r="J69" i="9" s="1"/>
  <c r="L69" i="9" s="1"/>
  <c r="I69" i="10" s="1"/>
  <c r="J69" i="10" s="1"/>
  <c r="L69" i="10" s="1"/>
  <c r="J43" i="7"/>
  <c r="L43" i="7" s="1"/>
  <c r="I43" i="9" s="1"/>
  <c r="J43" i="9" s="1"/>
  <c r="L43" i="9" s="1"/>
  <c r="I43" i="10" s="1"/>
  <c r="J43" i="10" s="1"/>
  <c r="L43" i="10" s="1"/>
  <c r="J23" i="7"/>
  <c r="L23" i="7" s="1"/>
  <c r="I23" i="9" s="1"/>
  <c r="J23" i="9" s="1"/>
  <c r="L23" i="9" s="1"/>
  <c r="I23" i="10" s="1"/>
  <c r="J23" i="10" s="1"/>
  <c r="L23" i="10" s="1"/>
  <c r="J18" i="7"/>
  <c r="L18" i="7" s="1"/>
  <c r="I18" i="9" s="1"/>
  <c r="J18" i="9" s="1"/>
  <c r="L18" i="9" s="1"/>
  <c r="I18" i="10" s="1"/>
  <c r="J18" i="10" s="1"/>
  <c r="L18" i="10" s="1"/>
  <c r="J10" i="7"/>
  <c r="L10" i="7" s="1"/>
  <c r="I10" i="9" s="1"/>
  <c r="J10" i="9" s="1"/>
  <c r="L10" i="9" s="1"/>
  <c r="I10" i="10" s="1"/>
  <c r="J10" i="10" s="1"/>
  <c r="L10" i="10" s="1"/>
  <c r="J9" i="7"/>
  <c r="L9" i="7" s="1"/>
  <c r="I9" i="9" s="1"/>
  <c r="J5" i="6"/>
  <c r="J29" i="6"/>
  <c r="L29" i="6" s="1"/>
  <c r="I29" i="7" s="1"/>
  <c r="J13" i="6"/>
  <c r="L13" i="6" s="1"/>
  <c r="I13" i="7" s="1"/>
  <c r="J67" i="6"/>
  <c r="L67" i="6" s="1"/>
  <c r="I67" i="7" s="1"/>
  <c r="I70" i="5"/>
  <c r="J70" i="5" s="1"/>
  <c r="L70" i="5" s="1"/>
  <c r="I21" i="3"/>
  <c r="J21" i="3" s="1"/>
  <c r="L21" i="3" s="1"/>
  <c r="I21" i="4" s="1"/>
  <c r="J21" i="4" s="1"/>
  <c r="L21" i="4" s="1"/>
  <c r="I21" i="5" s="1"/>
  <c r="J21" i="5" s="1"/>
  <c r="L21" i="5" s="1"/>
  <c r="I21" i="6" s="1"/>
  <c r="J21" i="6" s="1"/>
  <c r="L21" i="6" s="1"/>
  <c r="I19" i="3"/>
  <c r="J19" i="3" s="1"/>
  <c r="L19" i="3" s="1"/>
  <c r="I19" i="4" s="1"/>
  <c r="J20" i="3"/>
  <c r="D78" i="2"/>
  <c r="D79" i="2" s="1"/>
  <c r="J44" i="2"/>
  <c r="J78" i="2" s="1"/>
  <c r="L60" i="2"/>
  <c r="I60" i="3" s="1"/>
  <c r="J60" i="3" s="1"/>
  <c r="L60" i="3" s="1"/>
  <c r="I60" i="4" s="1"/>
  <c r="J60" i="4" s="1"/>
  <c r="L60" i="4" s="1"/>
  <c r="I60" i="5" s="1"/>
  <c r="J60" i="5" s="1"/>
  <c r="L60" i="5" s="1"/>
  <c r="I60" i="6" s="1"/>
  <c r="J60" i="6" s="1"/>
  <c r="L60" i="6" s="1"/>
  <c r="I60" i="7" s="1"/>
  <c r="D44" i="1"/>
  <c r="J67" i="7" l="1"/>
  <c r="L67" i="7" s="1"/>
  <c r="I67" i="9" s="1"/>
  <c r="J67" i="9" s="1"/>
  <c r="L67" i="9" s="1"/>
  <c r="I67" i="10" s="1"/>
  <c r="J67" i="10" s="1"/>
  <c r="L67" i="10" s="1"/>
  <c r="J29" i="7"/>
  <c r="L29" i="7" s="1"/>
  <c r="J29" i="9"/>
  <c r="L29" i="9" s="1"/>
  <c r="I29" i="10" s="1"/>
  <c r="J29" i="10" s="1"/>
  <c r="L29" i="10" s="1"/>
  <c r="J60" i="7"/>
  <c r="L60" i="7" s="1"/>
  <c r="I60" i="9" s="1"/>
  <c r="J60" i="9" s="1"/>
  <c r="L60" i="9" s="1"/>
  <c r="I60" i="10" s="1"/>
  <c r="J60" i="10" s="1"/>
  <c r="L60" i="10" s="1"/>
  <c r="J13" i="7"/>
  <c r="L13" i="7" s="1"/>
  <c r="I13" i="9" s="1"/>
  <c r="J13" i="9" s="1"/>
  <c r="L13" i="9" s="1"/>
  <c r="I13" i="10" s="1"/>
  <c r="J9" i="9"/>
  <c r="N75" i="5"/>
  <c r="N76" i="5" s="1"/>
  <c r="I70" i="6"/>
  <c r="J70" i="6" s="1"/>
  <c r="L70" i="6" s="1"/>
  <c r="I70" i="7" s="1"/>
  <c r="I21" i="7"/>
  <c r="L5" i="6"/>
  <c r="J19" i="4"/>
  <c r="L20" i="3"/>
  <c r="C83" i="2"/>
  <c r="E91" i="2" s="1"/>
  <c r="L44" i="2"/>
  <c r="F76" i="1"/>
  <c r="E76" i="1"/>
  <c r="D76" i="1"/>
  <c r="G46" i="1"/>
  <c r="G45" i="1"/>
  <c r="G44" i="1"/>
  <c r="G43" i="1"/>
  <c r="G42" i="1"/>
  <c r="G41" i="1"/>
  <c r="G40" i="1"/>
  <c r="G39" i="1"/>
  <c r="G38" i="1"/>
  <c r="G37" i="1"/>
  <c r="G36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J13" i="10" l="1"/>
  <c r="J21" i="7"/>
  <c r="L21" i="7" s="1"/>
  <c r="I21" i="9" s="1"/>
  <c r="J21" i="9" s="1"/>
  <c r="L21" i="9" s="1"/>
  <c r="I21" i="10" s="1"/>
  <c r="J21" i="10" s="1"/>
  <c r="L21" i="10" s="1"/>
  <c r="J70" i="7"/>
  <c r="L70" i="7" s="1"/>
  <c r="I70" i="9" s="1"/>
  <c r="J70" i="9" s="1"/>
  <c r="L70" i="9" s="1"/>
  <c r="L9" i="9"/>
  <c r="I9" i="10" s="1"/>
  <c r="J9" i="10" s="1"/>
  <c r="L9" i="10" s="1"/>
  <c r="L78" i="2"/>
  <c r="I44" i="3"/>
  <c r="I5" i="7"/>
  <c r="I20" i="4"/>
  <c r="L19" i="4"/>
  <c r="I19" i="5" s="1"/>
  <c r="E96" i="2"/>
  <c r="I91" i="2"/>
  <c r="I96" i="2" s="1"/>
  <c r="I97" i="2" s="1"/>
  <c r="C85" i="2"/>
  <c r="C96" i="2" s="1"/>
  <c r="F96" i="2" s="1"/>
  <c r="G76" i="1"/>
  <c r="I70" i="10" l="1"/>
  <c r="J70" i="10" s="1"/>
  <c r="L70" i="10" s="1"/>
  <c r="L13" i="10"/>
  <c r="J5" i="7"/>
  <c r="L5" i="7" s="1"/>
  <c r="I5" i="9" s="1"/>
  <c r="J5" i="9" s="1"/>
  <c r="L5" i="9" s="1"/>
  <c r="I5" i="10" s="1"/>
  <c r="J5" i="10" s="1"/>
  <c r="L5" i="10" s="1"/>
  <c r="J44" i="3"/>
  <c r="I78" i="3"/>
  <c r="J19" i="5"/>
  <c r="J20" i="4"/>
  <c r="C89" i="3"/>
  <c r="C96" i="3" s="1"/>
  <c r="J96" i="2"/>
  <c r="L44" i="3" l="1"/>
  <c r="J78" i="3"/>
  <c r="L19" i="5"/>
  <c r="I19" i="6" s="1"/>
  <c r="F96" i="3"/>
  <c r="C89" i="4" s="1"/>
  <c r="L20" i="4"/>
  <c r="H85" i="3"/>
  <c r="H96" i="3" s="1"/>
  <c r="J96" i="3" s="1"/>
  <c r="J19" i="6" l="1"/>
  <c r="I44" i="4"/>
  <c r="L78" i="3"/>
  <c r="I20" i="5"/>
  <c r="C96" i="4"/>
  <c r="F96" i="4" s="1"/>
  <c r="C89" i="5" s="1"/>
  <c r="C96" i="5" s="1"/>
  <c r="F96" i="5" s="1"/>
  <c r="C89" i="6" s="1"/>
  <c r="C96" i="6" s="1"/>
  <c r="F96" i="6" s="1"/>
  <c r="C89" i="7" s="1"/>
  <c r="C96" i="7" s="1"/>
  <c r="F96" i="7" s="1"/>
  <c r="C89" i="9" s="1"/>
  <c r="C96" i="9" s="1"/>
  <c r="F96" i="9" s="1"/>
  <c r="C89" i="10" s="1"/>
  <c r="C96" i="10" s="1"/>
  <c r="F96" i="10" s="1"/>
  <c r="H85" i="4"/>
  <c r="H96" i="4" s="1"/>
  <c r="J96" i="4" s="1"/>
  <c r="J44" i="4" l="1"/>
  <c r="I78" i="4"/>
  <c r="L19" i="6"/>
  <c r="J20" i="5"/>
  <c r="H85" i="5"/>
  <c r="H96" i="5" s="1"/>
  <c r="J96" i="5" s="1"/>
  <c r="H85" i="6" s="1"/>
  <c r="H96" i="6" s="1"/>
  <c r="J96" i="6" s="1"/>
  <c r="H85" i="7" l="1"/>
  <c r="H96" i="7" s="1"/>
  <c r="J96" i="7" s="1"/>
  <c r="H85" i="9" s="1"/>
  <c r="H96" i="9" s="1"/>
  <c r="J96" i="9" s="1"/>
  <c r="H85" i="10" s="1"/>
  <c r="H96" i="10" s="1"/>
  <c r="J96" i="10" s="1"/>
  <c r="I19" i="7"/>
  <c r="L44" i="4"/>
  <c r="J78" i="4"/>
  <c r="L20" i="5"/>
  <c r="J19" i="7" l="1"/>
  <c r="I20" i="6"/>
  <c r="I44" i="5"/>
  <c r="L78" i="4"/>
  <c r="L19" i="7"/>
  <c r="I19" i="9" s="1"/>
  <c r="J19" i="9" s="1"/>
  <c r="L19" i="9" s="1"/>
  <c r="I19" i="10" s="1"/>
  <c r="J19" i="10" s="1"/>
  <c r="L19" i="10" s="1"/>
  <c r="J20" i="6" l="1"/>
  <c r="J44" i="5"/>
  <c r="I78" i="5"/>
  <c r="L44" i="5" l="1"/>
  <c r="J78" i="5"/>
  <c r="L20" i="6"/>
  <c r="I20" i="7" l="1"/>
  <c r="I44" i="6"/>
  <c r="L78" i="5"/>
  <c r="J20" i="7" l="1"/>
  <c r="J44" i="6"/>
  <c r="I78" i="6"/>
  <c r="L20" i="7"/>
  <c r="I20" i="9" s="1"/>
  <c r="J20" i="9" l="1"/>
  <c r="L44" i="6"/>
  <c r="J78" i="6"/>
  <c r="L20" i="9" l="1"/>
  <c r="I20" i="10" s="1"/>
  <c r="I44" i="7"/>
  <c r="I78" i="7" s="1"/>
  <c r="L78" i="6"/>
  <c r="J20" i="10" l="1"/>
  <c r="J44" i="7"/>
  <c r="L44" i="7" s="1"/>
  <c r="J78" i="7"/>
  <c r="L20" i="10" l="1"/>
  <c r="L78" i="7"/>
  <c r="I44" i="9"/>
  <c r="J44" i="9" s="1"/>
  <c r="I78" i="9" l="1"/>
  <c r="L44" i="9"/>
  <c r="J78" i="9"/>
  <c r="L78" i="9" l="1"/>
  <c r="I44" i="10"/>
  <c r="J44" i="10" l="1"/>
  <c r="I78" i="10"/>
  <c r="L44" i="10" l="1"/>
  <c r="L78" i="10" s="1"/>
  <c r="J78" i="10"/>
</calcChain>
</file>

<file path=xl/sharedStrings.xml><?xml version="1.0" encoding="utf-8"?>
<sst xmlns="http://schemas.openxmlformats.org/spreadsheetml/2006/main" count="2187" uniqueCount="249">
  <si>
    <t xml:space="preserve">RENT STATEMENT </t>
  </si>
  <si>
    <t>FOR THE MONTH OF APRIL 2021</t>
  </si>
  <si>
    <t xml:space="preserve">NO. </t>
  </si>
  <si>
    <t>NAME</t>
  </si>
  <si>
    <t>BUSINESS NAME</t>
  </si>
  <si>
    <t>RENT</t>
  </si>
  <si>
    <t>TOTAL DUE</t>
  </si>
  <si>
    <t xml:space="preserve">PAID </t>
  </si>
  <si>
    <t>BAL</t>
  </si>
  <si>
    <t>SHOP 1</t>
  </si>
  <si>
    <t>MARY MWIHAKI</t>
  </si>
  <si>
    <t>FASHION DOC</t>
  </si>
  <si>
    <t>SHOP 2</t>
  </si>
  <si>
    <t>VACCANT</t>
  </si>
  <si>
    <t>SHOP 3</t>
  </si>
  <si>
    <t>SHOP 4</t>
  </si>
  <si>
    <t>STEPHEN KAMAU</t>
  </si>
  <si>
    <t>OUTLOOK INDEX</t>
  </si>
  <si>
    <t>SHOP 5</t>
  </si>
  <si>
    <t>DIDIS SALLON</t>
  </si>
  <si>
    <t>MARY W. KINUTHIA</t>
  </si>
  <si>
    <t>ANNABELLAS</t>
  </si>
  <si>
    <t>SAMUEL KARANJA KAGUNYU</t>
  </si>
  <si>
    <t>STEMAX ENTERPRISES</t>
  </si>
  <si>
    <t>SYDNEY MWENDE MUTEMBEI</t>
  </si>
  <si>
    <t>THREE ACE</t>
  </si>
  <si>
    <t>SHOP 15</t>
  </si>
  <si>
    <t>ELIZABETH KARIITHI</t>
  </si>
  <si>
    <t>THE ATTIC</t>
  </si>
  <si>
    <t>SHOP 16</t>
  </si>
  <si>
    <t>VODOSKI PUB</t>
  </si>
  <si>
    <t>SHOP 17</t>
  </si>
  <si>
    <t>GEOFFREY OMUNDI</t>
  </si>
  <si>
    <t>BONG MASTER</t>
  </si>
  <si>
    <t>SHOP 18</t>
  </si>
  <si>
    <t>AGNES WANJIKLU</t>
  </si>
  <si>
    <t>TOP SHELF WINE &amp;LIQUOR</t>
  </si>
  <si>
    <t>SHOP 19</t>
  </si>
  <si>
    <t>TRIPPLE DELIGHT</t>
  </si>
  <si>
    <t>SHOP 20</t>
  </si>
  <si>
    <t>CATHERINE MUIRURI</t>
  </si>
  <si>
    <t>HOT LIPS WINE &amp;SPIRIT</t>
  </si>
  <si>
    <t>SHOP 21</t>
  </si>
  <si>
    <t>YVETTE TUYISHIME</t>
  </si>
  <si>
    <t>YISHIME WINES &amp; SPIRIT</t>
  </si>
  <si>
    <t>SHOP 22</t>
  </si>
  <si>
    <t>CLIFF DANIEL</t>
  </si>
  <si>
    <t>CJ'S LOUNGE</t>
  </si>
  <si>
    <t>SHOP 23</t>
  </si>
  <si>
    <t>CLOSED</t>
  </si>
  <si>
    <t>SHOP 24</t>
  </si>
  <si>
    <t>SHOP 25</t>
  </si>
  <si>
    <t>ELIZABETH WANJA</t>
  </si>
  <si>
    <t>LABRITS LOUNGE</t>
  </si>
  <si>
    <t>LINUS KIVUTI</t>
  </si>
  <si>
    <t>PENINAH WAMBUI</t>
  </si>
  <si>
    <t>FAITH NDIRANGU</t>
  </si>
  <si>
    <t>FRESH SUGARCANE JUICE</t>
  </si>
  <si>
    <t>BEAUTY WORLD</t>
  </si>
  <si>
    <t xml:space="preserve">AMINA ABDIRAHIM </t>
  </si>
  <si>
    <t>MISH COSMETICS</t>
  </si>
  <si>
    <t>MARY WANJIRU</t>
  </si>
  <si>
    <t>HASHI GAS</t>
  </si>
  <si>
    <t>ZAHRA ABDI</t>
  </si>
  <si>
    <t>ROZA SUPPLIES DEPOT</t>
  </si>
  <si>
    <t>ERICK MOKUA</t>
  </si>
  <si>
    <t>MAMBA SERVICES</t>
  </si>
  <si>
    <t>GRACE ANYANGO</t>
  </si>
  <si>
    <t>GRACE FISH</t>
  </si>
  <si>
    <t>SYRENE</t>
  </si>
  <si>
    <t>EDWIN ONDARI</t>
  </si>
  <si>
    <t>SOUND DELUXE</t>
  </si>
  <si>
    <t>DENNIS NDUNDA</t>
  </si>
  <si>
    <t>COMFORT BUTCHERY</t>
  </si>
  <si>
    <t>FLORENCE OCHOLA</t>
  </si>
  <si>
    <t>OPULENCE COUTURE</t>
  </si>
  <si>
    <t>ROJAZ BEAUTY SALOON</t>
  </si>
  <si>
    <t>LOCKED WITH 1 PADLOCK</t>
  </si>
  <si>
    <t>STEPHEN KANYASYA</t>
  </si>
  <si>
    <t>STEPHEN B/S</t>
  </si>
  <si>
    <t>GRAFRANT CREATIONS</t>
  </si>
  <si>
    <t>STEPHEN MBOGO</t>
  </si>
  <si>
    <t>CLINTON NANGAVO</t>
  </si>
  <si>
    <t>ISABELLAH JEROTICH</t>
  </si>
  <si>
    <t>SLIVER LARE LIQOURS</t>
  </si>
  <si>
    <t>RAMMU OMWARICHI</t>
  </si>
  <si>
    <t>SWEET POINT</t>
  </si>
  <si>
    <t>MILLICENT OGANGA</t>
  </si>
  <si>
    <t>MICAS SHOP</t>
  </si>
  <si>
    <t>AGNES WAIRIMU</t>
  </si>
  <si>
    <t>UNAITAS BANK</t>
  </si>
  <si>
    <t>TOTAL</t>
  </si>
  <si>
    <t>NGONG BUTCHERS PLOT NO.23124/3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</si>
  <si>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</si>
  <si>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</si>
  <si>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</si>
  <si>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</si>
  <si>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</si>
  <si>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</si>
  <si>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</si>
  <si>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</si>
  <si>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</si>
  <si>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26</t>
  </si>
  <si>
    <t>SHOP 27</t>
  </si>
  <si>
    <t>SHOP 28</t>
  </si>
  <si>
    <t>SHOP 29</t>
  </si>
  <si>
    <t>SHOP 30</t>
  </si>
  <si>
    <t>SHOP 31</t>
  </si>
  <si>
    <t>SHOP 32</t>
  </si>
  <si>
    <t>SHOP 33</t>
  </si>
  <si>
    <t>SHOP 34</t>
  </si>
  <si>
    <t>SHOP 35</t>
  </si>
  <si>
    <t>SHOP 36</t>
  </si>
  <si>
    <t>SHOP 37</t>
  </si>
  <si>
    <t>SHOP 38</t>
  </si>
  <si>
    <t>SHOP 39</t>
  </si>
  <si>
    <t>SHOP 40</t>
  </si>
  <si>
    <t>SHOP 41</t>
  </si>
  <si>
    <t>SHOP 42</t>
  </si>
  <si>
    <t>SHOP 43</t>
  </si>
  <si>
    <t>SHOP 44</t>
  </si>
  <si>
    <t>SHOP 45</t>
  </si>
  <si>
    <t>SHOP 46</t>
  </si>
  <si>
    <t>SHOP 47</t>
  </si>
  <si>
    <t>SHOP 48</t>
  </si>
  <si>
    <t>SHOP 49</t>
  </si>
  <si>
    <t>SHOP 50</t>
  </si>
  <si>
    <t>SHOP 51</t>
  </si>
  <si>
    <t>SHOP 52</t>
  </si>
  <si>
    <t>SHOP 53</t>
  </si>
  <si>
    <t>SHOP 54</t>
  </si>
  <si>
    <t>SHOP 55</t>
  </si>
  <si>
    <t>SHOP 56</t>
  </si>
  <si>
    <t>SHOP 57</t>
  </si>
  <si>
    <t>SHOP 58</t>
  </si>
  <si>
    <t>SHOP 59</t>
  </si>
  <si>
    <t>SHOP 60</t>
  </si>
  <si>
    <t>SHOP 61</t>
  </si>
  <si>
    <t>SHOP 62</t>
  </si>
  <si>
    <t>SHOP 63</t>
  </si>
  <si>
    <t>SHOP 64</t>
  </si>
  <si>
    <t>SHOP 65</t>
  </si>
  <si>
    <t>SHOP 66</t>
  </si>
  <si>
    <t>SHOP 67</t>
  </si>
  <si>
    <t>SHOP 68</t>
  </si>
  <si>
    <t>SHOP 69</t>
  </si>
  <si>
    <t>SHOP 70</t>
  </si>
  <si>
    <t>MARIE STOPES</t>
  </si>
  <si>
    <t>JANET NYAMBURA/DOLPHINE</t>
  </si>
  <si>
    <t>STORE(DEPOT)</t>
  </si>
  <si>
    <t>ISAAC MUTHAMA MATIKO</t>
  </si>
  <si>
    <t>90'S LOUNGE</t>
  </si>
  <si>
    <t>PUREX HOLDINGS(TISSUE)</t>
  </si>
  <si>
    <t>MARGARET WANJIKU NJOROGE</t>
  </si>
  <si>
    <t>PHANIS NYATIGO</t>
  </si>
  <si>
    <t>ATINDAS VENTURES</t>
  </si>
  <si>
    <t>OLIVIA OKETCH</t>
  </si>
  <si>
    <t>CHARLIE'S BARBER SHOP</t>
  </si>
  <si>
    <t>PUREFRESH</t>
  </si>
  <si>
    <t>NGURUMANI HOLDINGS</t>
  </si>
  <si>
    <t>JANE AKINYI/ELIZABETH</t>
  </si>
  <si>
    <t>VALENTINE SIMARO</t>
  </si>
  <si>
    <t>SENASH FASHION</t>
  </si>
  <si>
    <t>FINE PHARMTECH</t>
  </si>
  <si>
    <t>GYM</t>
  </si>
  <si>
    <t>COLLINS MAINA</t>
  </si>
  <si>
    <t>BAR</t>
  </si>
  <si>
    <t>BRAYANNDERITU/ANNASTATIA</t>
  </si>
  <si>
    <t xml:space="preserve">SAMUEL KAHURURU </t>
  </si>
  <si>
    <t>XRAY ULTRA SOUND</t>
  </si>
  <si>
    <t>LOCKED WITH 2 PADLOCKS</t>
  </si>
  <si>
    <t>MARTIN WANJALA/JEMIMA</t>
  </si>
  <si>
    <t>DINAH JASON</t>
  </si>
  <si>
    <t>OGODO OGOMO</t>
  </si>
  <si>
    <t>DEPOSIT</t>
  </si>
  <si>
    <t>SERVICE CHARGE</t>
  </si>
  <si>
    <t>VAT 16%</t>
  </si>
  <si>
    <t>PAID</t>
  </si>
  <si>
    <t>LEASE FEE</t>
  </si>
  <si>
    <t>SHOP 71</t>
  </si>
  <si>
    <t>SHOP 72</t>
  </si>
  <si>
    <t>SHOP 73</t>
  </si>
  <si>
    <t>WATCH</t>
  </si>
  <si>
    <t>WATER DEP</t>
  </si>
  <si>
    <t>BRAYAN MAKALI</t>
  </si>
  <si>
    <t>EXPECTED</t>
  </si>
  <si>
    <t xml:space="preserve">DETAILS </t>
  </si>
  <si>
    <t xml:space="preserve">CR </t>
  </si>
  <si>
    <t>DR</t>
  </si>
  <si>
    <t>BL</t>
  </si>
  <si>
    <t>MAY</t>
  </si>
  <si>
    <t>VAT</t>
  </si>
  <si>
    <t>B/F</t>
  </si>
  <si>
    <t>ADVOCATE FEE</t>
  </si>
  <si>
    <t>FROM NGONG BUTCHERS</t>
  </si>
  <si>
    <t>COMM</t>
  </si>
  <si>
    <t>PAYMENTS</t>
  </si>
  <si>
    <t xml:space="preserve"> </t>
  </si>
  <si>
    <t>DIRECT TO LL</t>
  </si>
  <si>
    <t xml:space="preserve">TOTAL </t>
  </si>
  <si>
    <t>PREPARED BY</t>
  </si>
  <si>
    <t>APPROVED BY</t>
  </si>
  <si>
    <t>RECEIVED BY</t>
  </si>
  <si>
    <t>FLORENCE</t>
  </si>
  <si>
    <t>GRACE</t>
  </si>
  <si>
    <t>NGONG BUTCHERS</t>
  </si>
  <si>
    <t>TOTAL RENT WITHOUT VAT</t>
  </si>
  <si>
    <t>HUMPREY MUYALE</t>
  </si>
  <si>
    <t xml:space="preserve"> BUTCHERY</t>
  </si>
  <si>
    <t>JAMES NGARI</t>
  </si>
  <si>
    <t>FOR THE MONTH OF JUNE 2021</t>
  </si>
  <si>
    <t>JUNE</t>
  </si>
  <si>
    <t>WINNIE EBRUSE KOLI</t>
  </si>
  <si>
    <t>EGG DEPOT</t>
  </si>
  <si>
    <t>JULY</t>
  </si>
  <si>
    <t>locked</t>
  </si>
  <si>
    <t>LOCKED</t>
  </si>
  <si>
    <t>DINAH JASON+SHADE</t>
  </si>
  <si>
    <t>BELINDA</t>
  </si>
  <si>
    <t>FLORENCE AWOUR</t>
  </si>
  <si>
    <t>ISHAMAEL KIBOO</t>
  </si>
  <si>
    <t>FOR THE MONTH OF JULY 2021</t>
  </si>
  <si>
    <t>AUGUST</t>
  </si>
  <si>
    <t>BESSY MAKENA MUTUA</t>
  </si>
  <si>
    <t>FOR THE MONTH OF AUGUST 2021</t>
  </si>
  <si>
    <t>FOR THE MONTH OF SEPTEMBER 2021</t>
  </si>
  <si>
    <t>SEPTEMBER</t>
  </si>
  <si>
    <t>SAMUEL MBOGO</t>
  </si>
  <si>
    <t>DANIEL KISEMELI</t>
  </si>
  <si>
    <t>BRENDA WANJIRU</t>
  </si>
  <si>
    <t>FOR THE MONTH OF OCTOBER  2021</t>
  </si>
  <si>
    <t xml:space="preserve">OCTOBER </t>
  </si>
  <si>
    <t>SHOP 62&amp;63</t>
  </si>
  <si>
    <t>MAY PAID</t>
  </si>
  <si>
    <t>AUGUSTPAID</t>
  </si>
  <si>
    <t>SEPTPAID</t>
  </si>
  <si>
    <t>JULY PAID</t>
  </si>
  <si>
    <t>JUNE PAID</t>
  </si>
  <si>
    <t>TOTAL PAID</t>
  </si>
  <si>
    <t xml:space="preserve">RENT 5MONTHS </t>
  </si>
  <si>
    <t>ISHAMAEL KIBOR TOO</t>
  </si>
  <si>
    <t>=</t>
  </si>
  <si>
    <t>FOR THE MONTH OF NOVEMBER  2021</t>
  </si>
  <si>
    <t>STEVE OTIENO JURA</t>
  </si>
  <si>
    <t>STEVE OTIENO</t>
  </si>
  <si>
    <t>NOV</t>
  </si>
  <si>
    <t>DECEMBER</t>
  </si>
  <si>
    <t>FOR THE MONTH OF DECEMBER  2021</t>
  </si>
  <si>
    <t>ESTHER AFANDI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</si>
</sst>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name val="Arial"/>
      <family val="2"/>
    </font>
    <font>
      <b/>
      <sz val="12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3" fillId="0" borderId="2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Fill="1" applyBorder="1"/>
    <xf numFmtId="0" fontId="4" fillId="0" borderId="4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5" fillId="0" borderId="1" xfId="0" applyFont="1" applyBorder="1"/>
    <xf numFmtId="0" fontId="3" fillId="0" borderId="3" xfId="0" applyFont="1" applyFill="1" applyBorder="1"/>
    <xf numFmtId="0" fontId="5" fillId="0" borderId="2" xfId="0" applyFont="1" applyBorder="1"/>
    <xf numFmtId="0" fontId="2" fillId="0" borderId="0" xfId="0" applyFont="1" applyBorder="1"/>
    <xf numFmtId="4" fontId="2" fillId="0" borderId="0" xfId="0" applyNumberFormat="1" applyFont="1" applyBorder="1"/>
    <xf numFmtId="164" fontId="6" fillId="0" borderId="0" xfId="0" applyNumberFormat="1" applyFont="1" applyBorder="1"/>
    <xf numFmtId="0" fontId="2" fillId="0" borderId="5" xfId="0" applyFont="1" applyBorder="1"/>
    <xf numFmtId="3" fontId="1" fillId="0" borderId="1" xfId="0" applyNumberFormat="1" applyFont="1" applyBorder="1"/>
    <xf numFmtId="3" fontId="1" fillId="0" borderId="0" xfId="0" applyNumberFormat="1" applyFont="1"/>
    <xf numFmtId="3" fontId="2" fillId="0" borderId="1" xfId="0" applyNumberFormat="1" applyFont="1" applyBorder="1"/>
    <xf numFmtId="14" fontId="2" fillId="0" borderId="1" xfId="0" applyNumberFormat="1" applyFont="1" applyBorder="1"/>
    <xf numFmtId="3" fontId="2" fillId="0" borderId="1" xfId="0" applyNumberFormat="1" applyFont="1" applyFill="1" applyBorder="1"/>
    <xf numFmtId="4" fontId="0" fillId="0" borderId="0" xfId="0" applyNumberFormat="1"/>
    <xf numFmtId="0" fontId="5" fillId="0" borderId="3" xfId="0" applyFont="1" applyFill="1" applyBorder="1"/>
    <xf numFmtId="0" fontId="7" fillId="0" borderId="1" xfId="0" applyFont="1" applyBorder="1"/>
    <xf numFmtId="0" fontId="7" fillId="0" borderId="2" xfId="0" applyFont="1" applyBorder="1"/>
    <xf numFmtId="0" fontId="2" fillId="0" borderId="1" xfId="0" applyFont="1" applyFill="1" applyBorder="1"/>
    <xf numFmtId="4" fontId="2" fillId="0" borderId="1" xfId="0" applyNumberFormat="1" applyFont="1" applyBorder="1"/>
    <xf numFmtId="9" fontId="2" fillId="0" borderId="1" xfId="0" applyNumberFormat="1" applyFont="1" applyBorder="1"/>
    <xf numFmtId="16" fontId="2" fillId="0" borderId="1" xfId="0" applyNumberFormat="1" applyFont="1" applyBorder="1"/>
    <xf numFmtId="3" fontId="2" fillId="0" borderId="0" xfId="0" applyNumberFormat="1" applyFont="1"/>
    <xf numFmtId="0" fontId="8" fillId="0" borderId="0" xfId="0" applyFont="1"/>
    <xf numFmtId="0" fontId="0" fillId="0" borderId="1" xfId="0" applyBorder="1"/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GONG%20BUTCH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20"/>
      <sheetName val="AUGUST 20"/>
      <sheetName val="SEPTEMBER 20"/>
      <sheetName val="OCTOBER 2020"/>
      <sheetName val="NOVEMBER20"/>
      <sheetName val="DECEMBER 20"/>
      <sheetName val="JANUARY 21"/>
      <sheetName val="FEBRUARY 21"/>
      <sheetName val="MARCH 21"/>
      <sheetName val="APRIL 21"/>
      <sheetName val="MAY 21"/>
      <sheetName val="JUNE 21"/>
      <sheetName val="JULY 21"/>
      <sheetName val="AUGUST 21"/>
      <sheetName val="SEPTEMBER 21"/>
      <sheetName val="OCTOBER 21"/>
      <sheetName val="NOVEMBER 21"/>
      <sheetName val="DECEMBER 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55" workbookViewId="0">
      <selection activeCell="B89" sqref="B89"/>
    </sheetView>
  </sheetViews>
  <sheetFormatPr defaultRowHeight="15" x14ac:dyDescent="0.25"/>
  <cols>
    <col min="2" max="2" width="31.140625" customWidth="1"/>
    <col min="3" max="3" width="27" customWidth="1"/>
    <col min="4" max="4" width="10.140625" customWidth="1"/>
    <col min="5" max="5" width="10.28515625" customWidth="1"/>
  </cols>
  <sheetData>
    <row r="1" spans="1:9" ht="15.75" x14ac:dyDescent="0.25">
      <c r="C1" s="2" t="s">
        <v>92</v>
      </c>
      <c r="D1" s="2"/>
    </row>
    <row r="2" spans="1:9" ht="15.75" x14ac:dyDescent="0.25">
      <c r="A2" s="1"/>
      <c r="B2" s="1"/>
      <c r="C2" s="2" t="s">
        <v>0</v>
      </c>
      <c r="D2" s="2"/>
      <c r="E2" s="2"/>
      <c r="F2" s="2"/>
      <c r="G2" s="1"/>
      <c r="H2" s="1"/>
    </row>
    <row r="3" spans="1:9" ht="15.75" x14ac:dyDescent="0.25">
      <c r="A3" s="1"/>
      <c r="B3" s="1"/>
      <c r="C3" s="2" t="s">
        <v>1</v>
      </c>
      <c r="D3" s="2"/>
      <c r="E3" s="2"/>
      <c r="F3" s="2"/>
      <c r="G3" s="1"/>
      <c r="H3" s="1"/>
    </row>
    <row r="4" spans="1:9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3" t="s">
        <v>6</v>
      </c>
      <c r="F4" s="3" t="s">
        <v>7</v>
      </c>
      <c r="G4" s="3" t="s">
        <v>8</v>
      </c>
    </row>
    <row r="5" spans="1:9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3"/>
      <c r="F5" s="3"/>
      <c r="G5" s="3">
        <f>E5-F5</f>
        <v>0</v>
      </c>
      <c r="H5" s="1"/>
    </row>
    <row r="6" spans="1:9" ht="15.75" x14ac:dyDescent="0.25">
      <c r="A6" s="3" t="s">
        <v>12</v>
      </c>
      <c r="B6" s="7" t="s">
        <v>147</v>
      </c>
      <c r="C6" s="4"/>
      <c r="D6" s="4">
        <v>64670</v>
      </c>
      <c r="E6" s="3"/>
      <c r="F6" s="3"/>
      <c r="G6" s="3">
        <f t="shared" ref="G6:G46" si="0">E6-F6</f>
        <v>0</v>
      </c>
      <c r="H6" s="1"/>
    </row>
    <row r="7" spans="1:9" ht="15.75" x14ac:dyDescent="0.25">
      <c r="A7" s="3" t="s">
        <v>14</v>
      </c>
      <c r="B7" s="3" t="s">
        <v>16</v>
      </c>
      <c r="C7" s="4" t="s">
        <v>17</v>
      </c>
      <c r="D7" s="4">
        <v>122000</v>
      </c>
      <c r="E7" s="3"/>
      <c r="F7" s="3"/>
      <c r="G7" s="3">
        <f t="shared" si="0"/>
        <v>0</v>
      </c>
      <c r="H7" s="1"/>
    </row>
    <row r="8" spans="1:9" ht="15.75" x14ac:dyDescent="0.25">
      <c r="A8" s="3" t="s">
        <v>15</v>
      </c>
      <c r="B8" s="3" t="s">
        <v>16</v>
      </c>
      <c r="C8" s="4" t="s">
        <v>149</v>
      </c>
      <c r="D8" s="4"/>
      <c r="E8" s="3"/>
      <c r="F8" s="3"/>
      <c r="G8" s="3">
        <f t="shared" si="0"/>
        <v>0</v>
      </c>
      <c r="H8" s="1"/>
    </row>
    <row r="9" spans="1:9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3"/>
      <c r="F9" s="3"/>
      <c r="G9" s="3">
        <f t="shared" si="0"/>
        <v>0</v>
      </c>
      <c r="H9" s="1"/>
    </row>
    <row r="10" spans="1:9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3"/>
      <c r="F10" s="3"/>
      <c r="G10" s="3">
        <f t="shared" si="0"/>
        <v>0</v>
      </c>
      <c r="H10" s="1"/>
    </row>
    <row r="11" spans="1:9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3"/>
      <c r="F11" s="3"/>
      <c r="G11" s="3">
        <f t="shared" si="0"/>
        <v>0</v>
      </c>
      <c r="H11" s="1"/>
    </row>
    <row r="12" spans="1:9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3"/>
      <c r="F12" s="3"/>
      <c r="G12" s="3">
        <f t="shared" si="0"/>
        <v>0</v>
      </c>
      <c r="H12" s="1"/>
    </row>
    <row r="13" spans="1:9" ht="15.75" x14ac:dyDescent="0.25">
      <c r="A13" s="3" t="s">
        <v>96</v>
      </c>
      <c r="B13" s="5" t="s">
        <v>13</v>
      </c>
      <c r="C13" s="4"/>
      <c r="D13" s="4"/>
      <c r="E13" s="3"/>
      <c r="F13" s="3"/>
      <c r="G13" s="3">
        <f>E13-F13</f>
        <v>0</v>
      </c>
      <c r="H13" s="1"/>
    </row>
    <row r="14" spans="1:9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3"/>
      <c r="F14" s="3"/>
      <c r="G14" s="3">
        <f t="shared" si="0"/>
        <v>0</v>
      </c>
      <c r="H14" s="1"/>
    </row>
    <row r="15" spans="1:9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3"/>
      <c r="F15" s="3"/>
      <c r="G15" s="3">
        <f t="shared" si="0"/>
        <v>0</v>
      </c>
      <c r="H15" s="1"/>
    </row>
    <row r="16" spans="1:9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3"/>
      <c r="F16" s="3"/>
      <c r="G16" s="3">
        <f t="shared" si="0"/>
        <v>0</v>
      </c>
      <c r="H16" s="1"/>
      <c r="I16" s="1"/>
    </row>
    <row r="17" spans="1:8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3"/>
      <c r="F17" s="3"/>
      <c r="G17" s="3">
        <f t="shared" si="0"/>
        <v>0</v>
      </c>
      <c r="H17" s="1"/>
    </row>
    <row r="18" spans="1:8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3"/>
      <c r="F18" s="3"/>
      <c r="G18" s="3">
        <f t="shared" si="0"/>
        <v>0</v>
      </c>
      <c r="H18" s="1"/>
    </row>
    <row r="19" spans="1:8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3"/>
      <c r="F19" s="3"/>
      <c r="G19" s="3">
        <f t="shared" si="0"/>
        <v>0</v>
      </c>
      <c r="H19" s="1"/>
    </row>
    <row r="20" spans="1:8" ht="15.75" x14ac:dyDescent="0.25">
      <c r="A20" s="3" t="s">
        <v>29</v>
      </c>
      <c r="B20" s="7" t="s">
        <v>167</v>
      </c>
      <c r="C20" s="8" t="s">
        <v>38</v>
      </c>
      <c r="D20" s="4">
        <v>12000</v>
      </c>
      <c r="E20" s="3"/>
      <c r="F20" s="3"/>
      <c r="G20" s="3">
        <f t="shared" si="0"/>
        <v>0</v>
      </c>
      <c r="H20" s="1"/>
    </row>
    <row r="21" spans="1:8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3"/>
      <c r="F21" s="3"/>
      <c r="G21" s="3">
        <f t="shared" si="0"/>
        <v>0</v>
      </c>
      <c r="H21" s="1"/>
    </row>
    <row r="22" spans="1:8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3"/>
      <c r="F22" s="3"/>
      <c r="G22" s="3">
        <f t="shared" si="0"/>
        <v>0</v>
      </c>
      <c r="H22" s="1"/>
    </row>
    <row r="23" spans="1:8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3"/>
      <c r="F23" s="3"/>
      <c r="G23" s="3">
        <f t="shared" si="0"/>
        <v>0</v>
      </c>
      <c r="H23" s="1"/>
    </row>
    <row r="24" spans="1:8" ht="15.75" x14ac:dyDescent="0.25">
      <c r="A24" s="3" t="s">
        <v>39</v>
      </c>
      <c r="B24" s="3" t="s">
        <v>43</v>
      </c>
      <c r="C24" s="4" t="s">
        <v>44</v>
      </c>
      <c r="D24" s="4">
        <v>12000</v>
      </c>
      <c r="E24" s="3"/>
      <c r="F24" s="3"/>
      <c r="G24" s="3">
        <f t="shared" si="0"/>
        <v>0</v>
      </c>
      <c r="H24" s="1"/>
    </row>
    <row r="25" spans="1:8" ht="15.75" x14ac:dyDescent="0.25">
      <c r="A25" s="3" t="s">
        <v>42</v>
      </c>
      <c r="B25" s="5" t="s">
        <v>49</v>
      </c>
      <c r="C25" s="4"/>
      <c r="D25" s="4"/>
      <c r="E25" s="3"/>
      <c r="F25" s="3"/>
      <c r="G25" s="3">
        <f t="shared" si="0"/>
        <v>0</v>
      </c>
      <c r="H25" s="1"/>
    </row>
    <row r="26" spans="1:8" ht="15.75" x14ac:dyDescent="0.25">
      <c r="A26" s="3" t="s">
        <v>45</v>
      </c>
      <c r="B26" s="5" t="s">
        <v>49</v>
      </c>
      <c r="C26" s="4"/>
      <c r="D26" s="4"/>
      <c r="E26" s="3"/>
      <c r="F26" s="3"/>
      <c r="G26" s="3">
        <f t="shared" si="0"/>
        <v>0</v>
      </c>
      <c r="H26" s="1"/>
    </row>
    <row r="27" spans="1:8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3"/>
      <c r="F27" s="3"/>
      <c r="G27" s="3">
        <f t="shared" si="0"/>
        <v>0</v>
      </c>
      <c r="H27" s="1"/>
    </row>
    <row r="28" spans="1:8" ht="15.75" x14ac:dyDescent="0.25">
      <c r="A28" s="3" t="s">
        <v>50</v>
      </c>
      <c r="B28" s="3" t="s">
        <v>72</v>
      </c>
      <c r="C28" s="4" t="s">
        <v>73</v>
      </c>
      <c r="D28" s="4">
        <v>10000</v>
      </c>
      <c r="E28" s="3"/>
      <c r="G28" s="3">
        <f t="shared" si="0"/>
        <v>0</v>
      </c>
      <c r="H28" s="1"/>
    </row>
    <row r="29" spans="1:8" ht="15.75" x14ac:dyDescent="0.25">
      <c r="A29" s="3" t="s">
        <v>51</v>
      </c>
      <c r="B29" s="3" t="s">
        <v>70</v>
      </c>
      <c r="C29" s="4" t="s">
        <v>71</v>
      </c>
      <c r="D29" s="4">
        <v>6500</v>
      </c>
      <c r="E29" s="3"/>
      <c r="F29" s="3"/>
      <c r="G29" s="3">
        <f t="shared" si="0"/>
        <v>0</v>
      </c>
      <c r="H29" s="1"/>
    </row>
    <row r="30" spans="1:8" ht="15.75" x14ac:dyDescent="0.25">
      <c r="A30" s="5" t="s">
        <v>102</v>
      </c>
      <c r="B30" s="7" t="s">
        <v>171</v>
      </c>
      <c r="C30" s="6" t="s">
        <v>69</v>
      </c>
      <c r="D30" s="4"/>
      <c r="E30" s="3"/>
      <c r="F30" s="3"/>
      <c r="G30" s="3">
        <f t="shared" si="0"/>
        <v>0</v>
      </c>
      <c r="H30" s="1"/>
    </row>
    <row r="31" spans="1:8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3"/>
      <c r="F31" s="3"/>
      <c r="G31" s="3">
        <f t="shared" si="0"/>
        <v>0</v>
      </c>
      <c r="H31" s="1"/>
    </row>
    <row r="32" spans="1:8" ht="15.75" x14ac:dyDescent="0.25">
      <c r="A32" s="3" t="s">
        <v>104</v>
      </c>
      <c r="B32" s="14" t="s">
        <v>13</v>
      </c>
      <c r="C32" s="10"/>
      <c r="D32" s="4"/>
      <c r="E32" s="3"/>
      <c r="F32" s="11"/>
      <c r="G32" s="3">
        <f t="shared" si="0"/>
        <v>0</v>
      </c>
      <c r="H32" s="1"/>
    </row>
    <row r="33" spans="1:8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3"/>
      <c r="F33" s="3"/>
      <c r="G33" s="3">
        <f t="shared" si="0"/>
        <v>0</v>
      </c>
      <c r="H33" s="1"/>
    </row>
    <row r="34" spans="1:8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3"/>
      <c r="F34" s="3"/>
      <c r="G34" s="3">
        <f t="shared" si="0"/>
        <v>0</v>
      </c>
      <c r="H34" s="1"/>
    </row>
    <row r="35" spans="1:8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3"/>
      <c r="F35" s="11"/>
      <c r="G35" s="3"/>
      <c r="H35" s="1"/>
    </row>
    <row r="36" spans="1:8" ht="15.75" x14ac:dyDescent="0.25">
      <c r="A36" s="3" t="s">
        <v>108</v>
      </c>
      <c r="B36" s="5" t="s">
        <v>13</v>
      </c>
      <c r="C36" s="8"/>
      <c r="D36" s="12"/>
      <c r="E36" s="3"/>
      <c r="F36" s="3"/>
      <c r="G36" s="3">
        <f t="shared" si="0"/>
        <v>0</v>
      </c>
      <c r="H36" s="1"/>
    </row>
    <row r="37" spans="1:8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3"/>
      <c r="F37" s="3"/>
      <c r="G37" s="3">
        <f t="shared" si="0"/>
        <v>0</v>
      </c>
      <c r="H37" s="1"/>
    </row>
    <row r="38" spans="1:8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3"/>
      <c r="F38" s="3"/>
      <c r="G38" s="3">
        <f t="shared" si="0"/>
        <v>0</v>
      </c>
      <c r="H38" s="1"/>
    </row>
    <row r="39" spans="1:8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3"/>
      <c r="F39" s="11"/>
      <c r="G39" s="3">
        <f t="shared" si="0"/>
        <v>0</v>
      </c>
      <c r="H39" s="1"/>
    </row>
    <row r="40" spans="1:8" ht="15.75" x14ac:dyDescent="0.25">
      <c r="A40" s="3" t="s">
        <v>112</v>
      </c>
      <c r="B40" s="3" t="s">
        <v>56</v>
      </c>
      <c r="C40" s="4" t="s">
        <v>57</v>
      </c>
      <c r="D40" s="4">
        <v>12000</v>
      </c>
      <c r="E40" s="3"/>
      <c r="F40" s="3"/>
      <c r="G40" s="3">
        <f t="shared" si="0"/>
        <v>0</v>
      </c>
      <c r="H40" s="1"/>
    </row>
    <row r="41" spans="1:8" ht="15.75" x14ac:dyDescent="0.25">
      <c r="A41" s="7" t="s">
        <v>113</v>
      </c>
      <c r="B41" s="7" t="s">
        <v>82</v>
      </c>
      <c r="C41" s="10" t="s">
        <v>169</v>
      </c>
      <c r="D41" s="4">
        <v>6500</v>
      </c>
      <c r="E41" s="3"/>
      <c r="F41" s="11"/>
      <c r="G41" s="3">
        <f t="shared" si="0"/>
        <v>0</v>
      </c>
      <c r="H41" s="1"/>
    </row>
    <row r="42" spans="1:8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3"/>
      <c r="F42" s="11"/>
      <c r="G42" s="3">
        <f t="shared" si="0"/>
        <v>0</v>
      </c>
      <c r="H42" s="1"/>
    </row>
    <row r="43" spans="1:8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3"/>
      <c r="F43" s="3"/>
      <c r="G43" s="3">
        <f t="shared" si="0"/>
        <v>0</v>
      </c>
      <c r="H43" s="1"/>
    </row>
    <row r="44" spans="1:8" ht="15.75" x14ac:dyDescent="0.25">
      <c r="A44" s="3" t="s">
        <v>116</v>
      </c>
      <c r="B44" s="9" t="s">
        <v>172</v>
      </c>
      <c r="C44" s="8"/>
      <c r="D44" s="4">
        <f>10000+1600+300</f>
        <v>11900</v>
      </c>
      <c r="E44" s="3"/>
      <c r="F44" s="11"/>
      <c r="G44" s="3">
        <f t="shared" si="0"/>
        <v>0</v>
      </c>
      <c r="H44" s="1"/>
    </row>
    <row r="45" spans="1:8" ht="15.75" x14ac:dyDescent="0.25">
      <c r="A45" s="3" t="s">
        <v>117</v>
      </c>
      <c r="B45" s="5" t="s">
        <v>13</v>
      </c>
      <c r="C45" s="4"/>
      <c r="D45" s="4"/>
      <c r="E45" s="3"/>
      <c r="F45" s="3"/>
      <c r="G45" s="3">
        <f t="shared" si="0"/>
        <v>0</v>
      </c>
      <c r="H45" s="1"/>
    </row>
    <row r="46" spans="1:8" ht="15.75" x14ac:dyDescent="0.25">
      <c r="A46" s="3" t="s">
        <v>118</v>
      </c>
      <c r="B46" s="5" t="s">
        <v>13</v>
      </c>
      <c r="C46" s="4"/>
      <c r="D46" s="4"/>
      <c r="E46" s="3"/>
      <c r="F46" s="3"/>
      <c r="G46" s="3">
        <f t="shared" si="0"/>
        <v>0</v>
      </c>
      <c r="H46" s="1"/>
    </row>
    <row r="47" spans="1:8" ht="15.75" x14ac:dyDescent="0.25">
      <c r="A47" s="3" t="s">
        <v>119</v>
      </c>
      <c r="B47" s="5" t="s">
        <v>13</v>
      </c>
      <c r="C47" s="4"/>
      <c r="D47" s="4"/>
      <c r="E47" s="3"/>
      <c r="F47" s="3"/>
      <c r="G47" s="3"/>
      <c r="H47" s="1"/>
    </row>
    <row r="48" spans="1:8" ht="15.75" x14ac:dyDescent="0.25">
      <c r="A48" s="3" t="s">
        <v>120</v>
      </c>
      <c r="B48" s="5" t="s">
        <v>168</v>
      </c>
      <c r="C48" s="4" t="s">
        <v>80</v>
      </c>
      <c r="D48" s="4"/>
      <c r="E48" s="3"/>
      <c r="F48" s="3"/>
      <c r="G48" s="3"/>
      <c r="H48" s="1"/>
    </row>
    <row r="49" spans="1:8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3"/>
      <c r="F49" s="3"/>
      <c r="G49" s="3"/>
      <c r="H49" s="1"/>
    </row>
    <row r="50" spans="1:8" ht="15.75" x14ac:dyDescent="0.25">
      <c r="A50" s="3" t="s">
        <v>122</v>
      </c>
      <c r="B50" s="13" t="s">
        <v>77</v>
      </c>
      <c r="C50" s="4"/>
      <c r="D50" s="4"/>
      <c r="E50" s="3"/>
      <c r="F50" s="3"/>
      <c r="G50" s="3"/>
      <c r="H50" s="1"/>
    </row>
    <row r="51" spans="1:8" ht="15.75" x14ac:dyDescent="0.25">
      <c r="A51" s="3" t="s">
        <v>123</v>
      </c>
      <c r="B51" s="5" t="s">
        <v>13</v>
      </c>
      <c r="C51" s="4"/>
      <c r="D51" s="4"/>
      <c r="E51" s="3"/>
      <c r="F51" s="3"/>
      <c r="G51" s="3"/>
      <c r="H51" s="1"/>
    </row>
    <row r="52" spans="1:8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3"/>
      <c r="F52" s="3"/>
      <c r="G52" s="3"/>
      <c r="H52" s="1"/>
    </row>
    <row r="53" spans="1:8" ht="15.75" x14ac:dyDescent="0.25">
      <c r="A53" s="3" t="s">
        <v>125</v>
      </c>
      <c r="B53" s="13" t="s">
        <v>77</v>
      </c>
      <c r="C53" s="4"/>
      <c r="D53" s="4"/>
      <c r="E53" s="3"/>
      <c r="F53" s="3"/>
      <c r="G53" s="3"/>
      <c r="H53" s="1"/>
    </row>
    <row r="54" spans="1:8" ht="15.75" x14ac:dyDescent="0.25">
      <c r="A54" s="3" t="s">
        <v>126</v>
      </c>
      <c r="B54" s="5" t="s">
        <v>13</v>
      </c>
      <c r="C54" s="4"/>
      <c r="D54" s="4"/>
      <c r="E54" s="3"/>
      <c r="F54" s="3"/>
      <c r="G54" s="3"/>
      <c r="H54" s="1"/>
    </row>
    <row r="55" spans="1:8" ht="15.75" x14ac:dyDescent="0.25">
      <c r="A55" s="3" t="s">
        <v>127</v>
      </c>
      <c r="B55" s="13" t="s">
        <v>77</v>
      </c>
      <c r="C55" s="4"/>
      <c r="D55" s="4"/>
      <c r="E55" s="3"/>
      <c r="F55" s="3"/>
      <c r="G55" s="3"/>
      <c r="H55" s="1"/>
    </row>
    <row r="56" spans="1:8" ht="15.75" x14ac:dyDescent="0.25">
      <c r="A56" s="3" t="s">
        <v>128</v>
      </c>
      <c r="B56" s="13" t="s">
        <v>13</v>
      </c>
      <c r="C56" s="4"/>
      <c r="D56" s="4"/>
      <c r="E56" s="3"/>
      <c r="F56" s="3"/>
      <c r="G56" s="3"/>
      <c r="H56" s="1"/>
    </row>
    <row r="57" spans="1:8" ht="15.75" x14ac:dyDescent="0.25">
      <c r="A57" s="3" t="s">
        <v>129</v>
      </c>
      <c r="B57" s="13" t="s">
        <v>77</v>
      </c>
      <c r="C57" s="4"/>
      <c r="D57" s="4"/>
      <c r="E57" s="3"/>
      <c r="F57" s="3"/>
      <c r="G57" s="3"/>
      <c r="H57" s="1"/>
    </row>
    <row r="58" spans="1:8" ht="15.75" x14ac:dyDescent="0.25">
      <c r="A58" s="3" t="s">
        <v>130</v>
      </c>
      <c r="B58" s="5" t="s">
        <v>13</v>
      </c>
      <c r="C58" s="4"/>
      <c r="D58" s="4"/>
      <c r="E58" s="3"/>
      <c r="F58" s="3"/>
      <c r="G58" s="3"/>
      <c r="H58" s="1"/>
    </row>
    <row r="59" spans="1:8" ht="15.75" x14ac:dyDescent="0.25">
      <c r="A59" s="3" t="s">
        <v>131</v>
      </c>
      <c r="B59" s="13" t="s">
        <v>77</v>
      </c>
      <c r="C59" s="4"/>
      <c r="D59" s="4"/>
      <c r="E59" s="3"/>
      <c r="F59" s="3"/>
      <c r="G59" s="3"/>
      <c r="H59" s="1"/>
    </row>
    <row r="60" spans="1:8" ht="15.75" x14ac:dyDescent="0.25">
      <c r="A60" s="3" t="s">
        <v>132</v>
      </c>
      <c r="B60" s="5" t="s">
        <v>13</v>
      </c>
      <c r="C60" s="4"/>
      <c r="D60" s="4"/>
      <c r="E60" s="3"/>
      <c r="F60" s="3"/>
      <c r="G60" s="3"/>
      <c r="H60" s="1"/>
    </row>
    <row r="61" spans="1:8" ht="15.75" x14ac:dyDescent="0.25">
      <c r="A61" s="3" t="s">
        <v>133</v>
      </c>
      <c r="B61" s="13" t="s">
        <v>170</v>
      </c>
      <c r="C61" s="4"/>
      <c r="D61" s="4"/>
      <c r="E61" s="3"/>
      <c r="F61" s="3"/>
      <c r="G61" s="3"/>
      <c r="H61" s="1"/>
    </row>
    <row r="62" spans="1:8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3"/>
      <c r="F62" s="3"/>
      <c r="G62" s="3"/>
      <c r="H62" s="1"/>
    </row>
    <row r="63" spans="1:8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3"/>
      <c r="F63" s="3"/>
      <c r="G63" s="3"/>
      <c r="H63" s="1"/>
    </row>
    <row r="64" spans="1:8" ht="15.75" x14ac:dyDescent="0.25">
      <c r="A64" s="3" t="s">
        <v>136</v>
      </c>
      <c r="B64" s="3" t="s">
        <v>74</v>
      </c>
      <c r="C64" s="4" t="s">
        <v>75</v>
      </c>
      <c r="D64" s="4">
        <v>12000</v>
      </c>
      <c r="E64" s="3"/>
      <c r="F64" s="3"/>
      <c r="G64" s="3"/>
      <c r="H64" s="1"/>
    </row>
    <row r="65" spans="1:8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3"/>
      <c r="F65" s="3"/>
      <c r="G65" s="3"/>
      <c r="H65" s="1"/>
    </row>
    <row r="66" spans="1:8" ht="15.75" x14ac:dyDescent="0.25">
      <c r="A66" s="3" t="s">
        <v>138</v>
      </c>
      <c r="B66" s="7" t="s">
        <v>173</v>
      </c>
      <c r="C66" s="15"/>
      <c r="D66" s="4">
        <v>6500</v>
      </c>
      <c r="E66" s="3"/>
      <c r="F66" s="3"/>
      <c r="G66" s="3"/>
      <c r="H66" s="1"/>
    </row>
    <row r="67" spans="1:8" ht="15.75" x14ac:dyDescent="0.25">
      <c r="A67" s="3" t="s">
        <v>139</v>
      </c>
      <c r="B67" s="7" t="s">
        <v>173</v>
      </c>
      <c r="C67" s="15"/>
      <c r="D67" s="4">
        <v>6500</v>
      </c>
      <c r="E67" s="3"/>
      <c r="F67" s="3"/>
      <c r="G67" s="3"/>
      <c r="H67" s="1"/>
    </row>
    <row r="68" spans="1:8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3"/>
      <c r="F68" s="3"/>
      <c r="G68" s="3"/>
      <c r="H68" s="1"/>
    </row>
    <row r="69" spans="1:8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3"/>
      <c r="F69" s="3"/>
      <c r="G69" s="3"/>
      <c r="H69" s="1"/>
    </row>
    <row r="70" spans="1:8" ht="15.75" x14ac:dyDescent="0.25">
      <c r="A70" s="3" t="s">
        <v>142</v>
      </c>
      <c r="B70" s="3" t="s">
        <v>85</v>
      </c>
      <c r="C70" s="4" t="s">
        <v>86</v>
      </c>
      <c r="D70" s="4">
        <v>20000</v>
      </c>
      <c r="E70" s="3"/>
      <c r="F70" s="3"/>
      <c r="G70" s="3"/>
      <c r="H70" s="1"/>
    </row>
    <row r="71" spans="1:8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3"/>
      <c r="F71" s="3"/>
      <c r="G71" s="3"/>
      <c r="H71" s="1"/>
    </row>
    <row r="72" spans="1:8" ht="15.75" x14ac:dyDescent="0.25">
      <c r="A72" s="3" t="s">
        <v>144</v>
      </c>
      <c r="B72" s="3" t="s">
        <v>89</v>
      </c>
      <c r="C72" s="4" t="s">
        <v>164</v>
      </c>
      <c r="D72" s="4"/>
      <c r="E72" s="3"/>
      <c r="F72" s="3"/>
      <c r="G72" s="3"/>
      <c r="H72" s="1"/>
    </row>
    <row r="73" spans="1:8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3"/>
      <c r="F73" s="3"/>
      <c r="G73" s="3"/>
      <c r="H73" s="1"/>
    </row>
    <row r="74" spans="1:8" ht="15.75" x14ac:dyDescent="0.25">
      <c r="A74" s="3" t="s">
        <v>146</v>
      </c>
      <c r="B74" s="3" t="s">
        <v>90</v>
      </c>
      <c r="C74" s="4"/>
      <c r="D74" s="4"/>
      <c r="E74" s="3"/>
      <c r="F74" s="3"/>
      <c r="G74" s="3"/>
      <c r="H74" s="1"/>
    </row>
    <row r="75" spans="1:8" ht="15.75" x14ac:dyDescent="0.25">
      <c r="A75" s="3"/>
      <c r="B75" s="7"/>
      <c r="C75" s="8"/>
      <c r="D75" s="4"/>
      <c r="E75" s="3"/>
      <c r="F75" s="7"/>
      <c r="G75" s="3"/>
      <c r="H75" s="1"/>
    </row>
    <row r="76" spans="1:8" ht="15.75" x14ac:dyDescent="0.25">
      <c r="A76" s="3"/>
      <c r="B76" s="3" t="s">
        <v>91</v>
      </c>
      <c r="C76" s="4"/>
      <c r="D76" s="4">
        <f>SUM(D5:D75)</f>
        <v>949440</v>
      </c>
      <c r="E76" s="3">
        <f>SUM(E5:E75)</f>
        <v>0</v>
      </c>
      <c r="F76" s="3">
        <f>SUM(F5:F75)</f>
        <v>0</v>
      </c>
      <c r="G76" s="3">
        <f>SUM(G5:G75)</f>
        <v>0</v>
      </c>
      <c r="H76" s="1"/>
    </row>
    <row r="77" spans="1:8" ht="15.75" x14ac:dyDescent="0.25">
      <c r="A77" s="1"/>
      <c r="B77" s="1"/>
      <c r="C77" s="16"/>
      <c r="D77" s="17"/>
      <c r="F77" s="18"/>
      <c r="G77" s="17"/>
      <c r="H77" s="1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topLeftCell="A17" workbookViewId="0">
      <selection activeCell="K20" sqref="K20"/>
    </sheetView>
  </sheetViews>
  <sheetFormatPr defaultRowHeight="15" x14ac:dyDescent="0.25"/>
  <cols>
    <col min="2" max="2" width="21.28515625" customWidth="1"/>
    <col min="3" max="3" width="23.140625" customWidth="1"/>
    <col min="6" max="7" width="13" customWidth="1"/>
  </cols>
  <sheetData>
    <row r="1" spans="1:19" ht="15.75" x14ac:dyDescent="0.25">
      <c r="C1" s="2" t="s">
        <v>92</v>
      </c>
      <c r="D1" s="2"/>
      <c r="E1" s="2"/>
      <c r="F1" s="2"/>
      <c r="G1" s="2"/>
      <c r="H1" s="2"/>
      <c r="K1" s="34"/>
    </row>
    <row r="2" spans="1:19" ht="15.75" x14ac:dyDescent="0.25"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1"/>
    </row>
    <row r="3" spans="1:19" ht="15.75" x14ac:dyDescent="0.25">
      <c r="B3" s="1"/>
      <c r="C3" s="2" t="s">
        <v>247</v>
      </c>
      <c r="D3" s="2"/>
      <c r="E3" s="2"/>
      <c r="F3" s="2"/>
      <c r="G3" s="2"/>
      <c r="H3" s="2"/>
      <c r="I3" s="2"/>
      <c r="J3" s="2"/>
      <c r="K3" s="2"/>
      <c r="L3" s="1"/>
    </row>
    <row r="4" spans="1:19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174</v>
      </c>
      <c r="F4" s="4" t="s">
        <v>183</v>
      </c>
      <c r="G4" s="4" t="s">
        <v>178</v>
      </c>
      <c r="H4" s="4" t="s">
        <v>175</v>
      </c>
      <c r="I4" s="3" t="s">
        <v>192</v>
      </c>
      <c r="J4" s="3" t="s">
        <v>6</v>
      </c>
      <c r="K4" s="3" t="s">
        <v>177</v>
      </c>
      <c r="L4" s="3" t="s">
        <v>8</v>
      </c>
    </row>
    <row r="5" spans="1:19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4"/>
      <c r="F5" s="4"/>
      <c r="G5" s="4"/>
      <c r="H5" s="4">
        <v>300</v>
      </c>
      <c r="I5" s="3">
        <f>'NOVEMBER 21'!L5:L77</f>
        <v>77700</v>
      </c>
      <c r="J5" s="3">
        <f>D5+E5+F5+G5+H5+I5</f>
        <v>158000</v>
      </c>
      <c r="K5" s="3"/>
      <c r="L5" s="3">
        <f t="shared" ref="L5:L68" si="0">J5-K5</f>
        <v>158000</v>
      </c>
    </row>
    <row r="6" spans="1:19" ht="15.75" x14ac:dyDescent="0.25">
      <c r="A6" s="3" t="s">
        <v>12</v>
      </c>
      <c r="B6" s="7" t="s">
        <v>147</v>
      </c>
      <c r="C6" s="4"/>
      <c r="D6" s="4"/>
      <c r="E6" s="4"/>
      <c r="F6" s="4"/>
      <c r="G6" s="4"/>
      <c r="H6" s="4"/>
      <c r="I6" s="3">
        <f>'NOVEMBER 21'!L6:L78</f>
        <v>0</v>
      </c>
      <c r="J6" s="3">
        <f t="shared" ref="J6:J69" si="1">D6+E6+F6+G6+H6+I6</f>
        <v>0</v>
      </c>
      <c r="K6" s="3"/>
      <c r="L6" s="3">
        <f t="shared" si="0"/>
        <v>0</v>
      </c>
    </row>
    <row r="7" spans="1:19" ht="15.75" x14ac:dyDescent="0.25">
      <c r="A7" s="3" t="s">
        <v>14</v>
      </c>
      <c r="B7" s="3" t="s">
        <v>16</v>
      </c>
      <c r="C7" s="4" t="s">
        <v>17</v>
      </c>
      <c r="D7" s="4">
        <v>139080</v>
      </c>
      <c r="E7" s="4"/>
      <c r="F7" s="4"/>
      <c r="G7" s="4"/>
      <c r="H7" s="4"/>
      <c r="I7" s="3">
        <f>'NOVEMBER 21'!L7:L79</f>
        <v>0</v>
      </c>
      <c r="J7" s="3">
        <f t="shared" si="1"/>
        <v>139080</v>
      </c>
      <c r="K7" s="3"/>
      <c r="L7" s="3">
        <f t="shared" si="0"/>
        <v>139080</v>
      </c>
    </row>
    <row r="8" spans="1:19" ht="15.75" x14ac:dyDescent="0.25">
      <c r="A8" s="3" t="s">
        <v>15</v>
      </c>
      <c r="B8" s="3" t="s">
        <v>16</v>
      </c>
      <c r="C8" s="4" t="s">
        <v>149</v>
      </c>
      <c r="D8" s="4"/>
      <c r="E8" s="4"/>
      <c r="F8" s="4"/>
      <c r="G8" s="4"/>
      <c r="H8" s="4"/>
      <c r="I8" s="3">
        <f>'NOVEMBER 21'!L8:L80</f>
        <v>0</v>
      </c>
      <c r="J8" s="3">
        <f t="shared" si="1"/>
        <v>0</v>
      </c>
      <c r="K8" s="3"/>
      <c r="L8" s="3">
        <f t="shared" si="0"/>
        <v>0</v>
      </c>
    </row>
    <row r="9" spans="1:19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4"/>
      <c r="F9" s="4"/>
      <c r="G9" s="4"/>
      <c r="H9" s="4">
        <v>300</v>
      </c>
      <c r="I9" s="3">
        <f>'NOVEMBER 21'!L9:L81</f>
        <v>0</v>
      </c>
      <c r="J9" s="3">
        <f t="shared" si="1"/>
        <v>40300</v>
      </c>
      <c r="K9" s="3"/>
      <c r="L9" s="3">
        <f t="shared" si="0"/>
        <v>40300</v>
      </c>
    </row>
    <row r="10" spans="1:19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4"/>
      <c r="F10" s="4"/>
      <c r="G10" s="4"/>
      <c r="H10" s="4">
        <v>300</v>
      </c>
      <c r="I10" s="3">
        <f>'NOVEMBER 21'!L10:L82</f>
        <v>0</v>
      </c>
      <c r="J10" s="3">
        <f t="shared" si="1"/>
        <v>50300</v>
      </c>
      <c r="K10" s="3"/>
      <c r="L10" s="3">
        <f t="shared" si="0"/>
        <v>50300</v>
      </c>
      <c r="S10">
        <v>950</v>
      </c>
    </row>
    <row r="11" spans="1:19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4"/>
      <c r="F11" s="4"/>
      <c r="G11" s="4"/>
      <c r="H11" s="4">
        <v>300</v>
      </c>
      <c r="I11" s="3">
        <f>'NOVEMBER 21'!L11:L83</f>
        <v>3300</v>
      </c>
      <c r="J11" s="3">
        <f t="shared" si="1"/>
        <v>23600</v>
      </c>
      <c r="K11" s="3">
        <v>20000</v>
      </c>
      <c r="L11" s="3">
        <f t="shared" si="0"/>
        <v>3600</v>
      </c>
    </row>
    <row r="12" spans="1:19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4"/>
      <c r="F12" s="4"/>
      <c r="G12" s="4"/>
      <c r="H12" s="4">
        <v>300</v>
      </c>
      <c r="I12" s="3">
        <f>'NOVEMBER 21'!L12:L84</f>
        <v>1600</v>
      </c>
      <c r="J12" s="3">
        <f t="shared" si="1"/>
        <v>21900</v>
      </c>
      <c r="K12" s="3"/>
      <c r="L12" s="3">
        <f t="shared" si="0"/>
        <v>21900</v>
      </c>
    </row>
    <row r="13" spans="1:19" ht="15.75" x14ac:dyDescent="0.25">
      <c r="A13" s="3" t="s">
        <v>96</v>
      </c>
      <c r="B13" s="5" t="s">
        <v>228</v>
      </c>
      <c r="C13" s="4"/>
      <c r="D13" s="4"/>
      <c r="E13" s="4"/>
      <c r="F13" s="4"/>
      <c r="G13" s="4"/>
      <c r="H13" s="4"/>
      <c r="I13" s="3">
        <f>'NOVEMBER 21'!L13:L85</f>
        <v>9500</v>
      </c>
      <c r="J13" s="3">
        <f t="shared" si="1"/>
        <v>9500</v>
      </c>
      <c r="K13" s="3"/>
      <c r="L13" s="3">
        <f t="shared" si="0"/>
        <v>9500</v>
      </c>
    </row>
    <row r="14" spans="1:19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4"/>
      <c r="F14" s="4"/>
      <c r="G14" s="4"/>
      <c r="H14" s="4">
        <v>300</v>
      </c>
      <c r="I14" s="3">
        <f>'NOVEMBER 21'!L14:L86</f>
        <v>300</v>
      </c>
      <c r="J14" s="3">
        <f t="shared" si="1"/>
        <v>12600</v>
      </c>
      <c r="K14" s="3"/>
      <c r="L14" s="3">
        <f t="shared" si="0"/>
        <v>12600</v>
      </c>
    </row>
    <row r="15" spans="1:19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4"/>
      <c r="F15" s="4"/>
      <c r="G15" s="4"/>
      <c r="H15" s="4">
        <v>300</v>
      </c>
      <c r="I15" s="3">
        <f>'NOVEMBER 21'!L15:L87</f>
        <v>3600</v>
      </c>
      <c r="J15" s="3">
        <f t="shared" si="1"/>
        <v>68900</v>
      </c>
      <c r="K15" s="3"/>
      <c r="L15" s="3">
        <f t="shared" si="0"/>
        <v>68900</v>
      </c>
    </row>
    <row r="16" spans="1:19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4"/>
      <c r="F16" s="4"/>
      <c r="G16" s="4"/>
      <c r="H16" s="4">
        <v>300</v>
      </c>
      <c r="I16" s="3">
        <f>'NOVEMBER 21'!L16:L88</f>
        <v>1500</v>
      </c>
      <c r="J16" s="3">
        <f t="shared" si="1"/>
        <v>61800</v>
      </c>
      <c r="K16" s="3"/>
      <c r="L16" s="3">
        <f t="shared" si="0"/>
        <v>61800</v>
      </c>
    </row>
    <row r="17" spans="1:12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4"/>
      <c r="F17" s="4"/>
      <c r="G17" s="4"/>
      <c r="H17" s="4">
        <v>300</v>
      </c>
      <c r="I17" s="3">
        <f>'NOVEMBER 21'!L17:L89</f>
        <v>45100</v>
      </c>
      <c r="J17" s="3">
        <f t="shared" si="1"/>
        <v>60400</v>
      </c>
      <c r="K17" s="3"/>
      <c r="L17" s="3">
        <f t="shared" si="0"/>
        <v>60400</v>
      </c>
    </row>
    <row r="18" spans="1:12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4"/>
      <c r="F18" s="4"/>
      <c r="G18" s="4"/>
      <c r="H18" s="4">
        <v>300</v>
      </c>
      <c r="I18" s="3">
        <f>'NOVEMBER 21'!L18:L90</f>
        <v>3600</v>
      </c>
      <c r="J18" s="3">
        <f t="shared" si="1"/>
        <v>18900</v>
      </c>
      <c r="K18" s="3"/>
      <c r="L18" s="3">
        <f t="shared" si="0"/>
        <v>18900</v>
      </c>
    </row>
    <row r="19" spans="1:12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4"/>
      <c r="F19" s="4"/>
      <c r="G19" s="4"/>
      <c r="H19" s="4">
        <v>300</v>
      </c>
      <c r="I19" s="3">
        <f>'NOVEMBER 21'!L19:L91</f>
        <v>0</v>
      </c>
      <c r="J19" s="3">
        <f t="shared" si="1"/>
        <v>15300</v>
      </c>
      <c r="K19" s="3">
        <v>15300</v>
      </c>
      <c r="L19" s="3">
        <f t="shared" si="0"/>
        <v>0</v>
      </c>
    </row>
    <row r="20" spans="1:12" ht="15.75" x14ac:dyDescent="0.25">
      <c r="A20" s="3" t="s">
        <v>29</v>
      </c>
      <c r="B20" s="7" t="s">
        <v>167</v>
      </c>
      <c r="C20" s="8" t="s">
        <v>38</v>
      </c>
      <c r="D20" s="4">
        <v>10000</v>
      </c>
      <c r="E20" s="4"/>
      <c r="F20" s="4"/>
      <c r="G20" s="4"/>
      <c r="H20" s="4">
        <v>300</v>
      </c>
      <c r="I20" s="3">
        <f>'NOVEMBER 21'!L20:L92</f>
        <v>15150</v>
      </c>
      <c r="J20" s="3">
        <f t="shared" si="1"/>
        <v>25450</v>
      </c>
      <c r="K20" s="3"/>
      <c r="L20" s="3">
        <f t="shared" si="0"/>
        <v>25450</v>
      </c>
    </row>
    <row r="21" spans="1:12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4"/>
      <c r="F21" s="4"/>
      <c r="G21" s="4"/>
      <c r="H21" s="4"/>
      <c r="I21" s="3">
        <f>'NOVEMBER 21'!L21:L93</f>
        <v>0</v>
      </c>
      <c r="J21" s="3">
        <f t="shared" si="1"/>
        <v>10000</v>
      </c>
      <c r="K21" s="3"/>
      <c r="L21" s="3">
        <f t="shared" si="0"/>
        <v>10000</v>
      </c>
    </row>
    <row r="22" spans="1:12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4"/>
      <c r="F22" s="4"/>
      <c r="G22" s="4"/>
      <c r="H22" s="4">
        <v>300</v>
      </c>
      <c r="I22" s="3">
        <f>'NOVEMBER 21'!L22:L94</f>
        <v>3600</v>
      </c>
      <c r="J22" s="3">
        <f t="shared" si="1"/>
        <v>13900</v>
      </c>
      <c r="K22" s="3"/>
      <c r="L22" s="3">
        <f t="shared" si="0"/>
        <v>13900</v>
      </c>
    </row>
    <row r="23" spans="1:12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4"/>
      <c r="F23" s="4"/>
      <c r="G23" s="4"/>
      <c r="H23" s="4">
        <v>300</v>
      </c>
      <c r="I23" s="3">
        <f>'NOVEMBER 21'!L23:L95</f>
        <v>45600</v>
      </c>
      <c r="J23" s="3">
        <f t="shared" si="1"/>
        <v>57900</v>
      </c>
      <c r="K23" s="3"/>
      <c r="L23" s="3">
        <f t="shared" si="0"/>
        <v>57900</v>
      </c>
    </row>
    <row r="24" spans="1:12" ht="15.75" x14ac:dyDescent="0.25">
      <c r="A24" s="3" t="s">
        <v>39</v>
      </c>
      <c r="B24" s="3" t="s">
        <v>43</v>
      </c>
      <c r="C24" s="4" t="s">
        <v>44</v>
      </c>
      <c r="D24" s="4">
        <v>10000</v>
      </c>
      <c r="E24" s="4"/>
      <c r="F24" s="4"/>
      <c r="G24" s="4"/>
      <c r="H24" s="4">
        <v>300</v>
      </c>
      <c r="I24" s="3">
        <f>'NOVEMBER 21'!L24:L96</f>
        <v>5600</v>
      </c>
      <c r="J24" s="3">
        <f t="shared" si="1"/>
        <v>15900</v>
      </c>
      <c r="K24" s="3"/>
      <c r="L24" s="3">
        <f t="shared" si="0"/>
        <v>15900</v>
      </c>
    </row>
    <row r="25" spans="1:12" ht="15.75" x14ac:dyDescent="0.25">
      <c r="A25" s="3" t="s">
        <v>42</v>
      </c>
      <c r="B25" s="7" t="s">
        <v>219</v>
      </c>
      <c r="C25" s="4"/>
      <c r="D25" s="4">
        <v>11600</v>
      </c>
      <c r="E25" s="4"/>
      <c r="F25" s="4"/>
      <c r="G25" s="4"/>
      <c r="H25" s="4">
        <v>300</v>
      </c>
      <c r="I25" s="3">
        <f>'NOVEMBER 21'!L25:L97</f>
        <v>1900</v>
      </c>
      <c r="J25" s="3">
        <f t="shared" si="1"/>
        <v>13800</v>
      </c>
      <c r="K25" s="3"/>
      <c r="L25" s="3">
        <f t="shared" si="0"/>
        <v>13800</v>
      </c>
    </row>
    <row r="26" spans="1:12" ht="15.75" x14ac:dyDescent="0.25">
      <c r="A26" s="3" t="s">
        <v>45</v>
      </c>
      <c r="B26" s="5" t="s">
        <v>13</v>
      </c>
      <c r="C26" s="4"/>
      <c r="D26" s="4"/>
      <c r="E26" s="4"/>
      <c r="F26" s="4"/>
      <c r="G26" s="4"/>
      <c r="H26" s="4"/>
      <c r="I26" s="3">
        <f>'NOVEMBER 21'!L26:L98</f>
        <v>0</v>
      </c>
      <c r="J26" s="3">
        <f t="shared" si="1"/>
        <v>0</v>
      </c>
      <c r="K26" s="3"/>
      <c r="L26" s="3">
        <f t="shared" si="0"/>
        <v>0</v>
      </c>
    </row>
    <row r="27" spans="1:12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4"/>
      <c r="F27" s="4"/>
      <c r="G27" s="4"/>
      <c r="H27" s="4">
        <v>300</v>
      </c>
      <c r="I27" s="3">
        <f>'NOVEMBER 21'!L27:L99</f>
        <v>600</v>
      </c>
      <c r="J27" s="3">
        <f t="shared" si="1"/>
        <v>10900</v>
      </c>
      <c r="K27" s="3"/>
      <c r="L27" s="3">
        <f t="shared" si="0"/>
        <v>10900</v>
      </c>
    </row>
    <row r="28" spans="1:12" ht="15.75" x14ac:dyDescent="0.25">
      <c r="A28" s="3" t="s">
        <v>50</v>
      </c>
      <c r="B28" s="7" t="s">
        <v>207</v>
      </c>
      <c r="C28" s="8" t="s">
        <v>208</v>
      </c>
      <c r="D28" s="8">
        <v>11600</v>
      </c>
      <c r="E28" s="8"/>
      <c r="F28" s="8"/>
      <c r="G28" s="8"/>
      <c r="H28" s="8">
        <v>300</v>
      </c>
      <c r="I28" s="3">
        <f>'NOVEMBER 21'!L28:L100</f>
        <v>300</v>
      </c>
      <c r="J28" s="7">
        <f t="shared" si="1"/>
        <v>12200</v>
      </c>
      <c r="K28" s="9"/>
      <c r="L28" s="3">
        <f t="shared" si="0"/>
        <v>12200</v>
      </c>
    </row>
    <row r="29" spans="1:12" ht="15.75" x14ac:dyDescent="0.25">
      <c r="A29" s="3" t="s">
        <v>51</v>
      </c>
      <c r="B29" s="3"/>
      <c r="C29" s="4" t="s">
        <v>71</v>
      </c>
      <c r="D29" s="4"/>
      <c r="E29" s="4"/>
      <c r="F29" s="4"/>
      <c r="G29" s="4"/>
      <c r="H29" s="4"/>
      <c r="I29" s="3">
        <f>'NOVEMBER 21'!L29:L101</f>
        <v>0</v>
      </c>
      <c r="J29" s="3">
        <f t="shared" si="1"/>
        <v>0</v>
      </c>
      <c r="K29" s="3"/>
      <c r="L29" s="3">
        <f t="shared" si="0"/>
        <v>0</v>
      </c>
    </row>
    <row r="30" spans="1:12" ht="15.75" x14ac:dyDescent="0.25">
      <c r="A30" s="7" t="s">
        <v>102</v>
      </c>
      <c r="B30" s="7"/>
      <c r="C30" s="8" t="s">
        <v>69</v>
      </c>
      <c r="D30" s="4"/>
      <c r="E30" s="4"/>
      <c r="F30" s="4"/>
      <c r="G30" s="4"/>
      <c r="H30" s="4"/>
      <c r="I30" s="3">
        <f>'NOVEMBER 21'!L30:L102</f>
        <v>0</v>
      </c>
      <c r="J30" s="3">
        <f t="shared" si="1"/>
        <v>0</v>
      </c>
      <c r="K30" s="3"/>
      <c r="L30" s="3">
        <f>J30-K30</f>
        <v>0</v>
      </c>
    </row>
    <row r="31" spans="1:12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4"/>
      <c r="F31" s="4"/>
      <c r="G31" s="4"/>
      <c r="H31" s="4">
        <v>300</v>
      </c>
      <c r="I31" s="3">
        <f>'NOVEMBER 21'!L31:L103</f>
        <v>5600</v>
      </c>
      <c r="J31" s="3">
        <f t="shared" si="1"/>
        <v>14900</v>
      </c>
      <c r="K31" s="3"/>
      <c r="L31" s="3">
        <f>J31-K31</f>
        <v>14900</v>
      </c>
    </row>
    <row r="32" spans="1:12" ht="15.75" x14ac:dyDescent="0.25">
      <c r="A32" s="3" t="s">
        <v>104</v>
      </c>
      <c r="B32" s="9" t="s">
        <v>240</v>
      </c>
      <c r="C32" s="10"/>
      <c r="D32" s="4">
        <v>11600</v>
      </c>
      <c r="E32" s="4"/>
      <c r="F32" s="4"/>
      <c r="G32" s="4"/>
      <c r="H32" s="4">
        <v>300</v>
      </c>
      <c r="I32" s="3">
        <f>'NOVEMBER 21'!L32:L104</f>
        <v>0</v>
      </c>
      <c r="J32" s="3">
        <f t="shared" si="1"/>
        <v>11900</v>
      </c>
      <c r="K32" s="3"/>
      <c r="L32" s="3">
        <f t="shared" si="0"/>
        <v>11900</v>
      </c>
    </row>
    <row r="33" spans="1:12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4"/>
      <c r="F33" s="4"/>
      <c r="G33" s="4"/>
      <c r="H33" s="4">
        <v>300</v>
      </c>
      <c r="I33" s="3">
        <f>'NOVEMBER 21'!L33:L105</f>
        <v>15600</v>
      </c>
      <c r="J33" s="3">
        <f t="shared" si="1"/>
        <v>27900</v>
      </c>
      <c r="K33" s="3"/>
      <c r="L33" s="3">
        <f>J33-K33</f>
        <v>27900</v>
      </c>
    </row>
    <row r="34" spans="1:12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4"/>
      <c r="F34" s="4"/>
      <c r="G34" s="4"/>
      <c r="H34" s="4">
        <v>300</v>
      </c>
      <c r="I34" s="3">
        <f>'NOVEMBER 21'!L34:L106</f>
        <v>1200</v>
      </c>
      <c r="J34" s="3">
        <f t="shared" si="1"/>
        <v>13500</v>
      </c>
      <c r="K34" s="3"/>
      <c r="L34" s="3">
        <f t="shared" si="0"/>
        <v>13500</v>
      </c>
    </row>
    <row r="35" spans="1:12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4"/>
      <c r="F35" s="4"/>
      <c r="G35" s="4"/>
      <c r="H35" s="4">
        <v>300</v>
      </c>
      <c r="I35" s="3">
        <f>'NOVEMBER 21'!L35:L107</f>
        <v>33600</v>
      </c>
      <c r="J35" s="3">
        <f t="shared" si="1"/>
        <v>43900</v>
      </c>
      <c r="K35" s="7"/>
      <c r="L35" s="3">
        <f t="shared" si="0"/>
        <v>43900</v>
      </c>
    </row>
    <row r="36" spans="1:12" ht="15.75" x14ac:dyDescent="0.25">
      <c r="A36" s="3" t="s">
        <v>108</v>
      </c>
      <c r="B36" s="7" t="s">
        <v>209</v>
      </c>
      <c r="C36" s="8"/>
      <c r="D36" s="12">
        <v>10000</v>
      </c>
      <c r="E36" s="12"/>
      <c r="F36" s="4"/>
      <c r="G36" s="12"/>
      <c r="H36" s="4">
        <v>300</v>
      </c>
      <c r="I36" s="3">
        <f>'NOVEMBER 21'!L36:L108</f>
        <v>11500</v>
      </c>
      <c r="J36" s="3">
        <f t="shared" si="1"/>
        <v>21800</v>
      </c>
      <c r="K36" s="3"/>
      <c r="L36" s="3">
        <f t="shared" si="0"/>
        <v>21800</v>
      </c>
    </row>
    <row r="37" spans="1:12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8"/>
      <c r="F37" s="4"/>
      <c r="G37" s="8"/>
      <c r="H37" s="4">
        <v>300</v>
      </c>
      <c r="I37" s="3">
        <f>'NOVEMBER 21'!L37:L109</f>
        <v>-11654</v>
      </c>
      <c r="J37" s="3">
        <f t="shared" si="1"/>
        <v>1646</v>
      </c>
      <c r="K37" s="3"/>
      <c r="L37" s="3">
        <f t="shared" si="0"/>
        <v>1646</v>
      </c>
    </row>
    <row r="38" spans="1:12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8"/>
      <c r="F38" s="4"/>
      <c r="G38" s="8"/>
      <c r="H38" s="4">
        <v>300</v>
      </c>
      <c r="I38" s="3">
        <f>'NOVEMBER 21'!L38:L110</f>
        <v>1500</v>
      </c>
      <c r="J38" s="3">
        <f t="shared" si="1"/>
        <v>11800</v>
      </c>
      <c r="K38" s="3"/>
      <c r="L38" s="3">
        <f t="shared" si="0"/>
        <v>11800</v>
      </c>
    </row>
    <row r="39" spans="1:12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4"/>
      <c r="F39" s="4"/>
      <c r="G39" s="4"/>
      <c r="H39" s="4">
        <v>300</v>
      </c>
      <c r="I39" s="3">
        <f>'NOVEMBER 21'!L39:L111</f>
        <v>5500</v>
      </c>
      <c r="J39" s="3">
        <f t="shared" si="1"/>
        <v>17800</v>
      </c>
      <c r="K39" s="3"/>
      <c r="L39" s="3">
        <f t="shared" si="0"/>
        <v>17800</v>
      </c>
    </row>
    <row r="40" spans="1:12" ht="15.75" x14ac:dyDescent="0.25">
      <c r="A40" s="3" t="s">
        <v>112</v>
      </c>
      <c r="B40" s="3" t="s">
        <v>248</v>
      </c>
      <c r="C40" s="4" t="s">
        <v>57</v>
      </c>
      <c r="D40" s="4">
        <v>12000</v>
      </c>
      <c r="E40" s="4"/>
      <c r="F40" s="4"/>
      <c r="G40" s="4"/>
      <c r="H40" s="4">
        <v>300</v>
      </c>
      <c r="I40" s="3">
        <f>'NOVEMBER 21'!L40:L112</f>
        <v>300</v>
      </c>
      <c r="J40" s="3">
        <f t="shared" si="1"/>
        <v>12600</v>
      </c>
      <c r="K40" s="3">
        <v>12300</v>
      </c>
      <c r="L40" s="3">
        <f t="shared" si="0"/>
        <v>300</v>
      </c>
    </row>
    <row r="41" spans="1:12" ht="15.75" x14ac:dyDescent="0.25">
      <c r="A41" s="7" t="s">
        <v>113</v>
      </c>
      <c r="B41" s="7" t="s">
        <v>229</v>
      </c>
      <c r="C41" s="10"/>
      <c r="D41" s="4">
        <v>13920</v>
      </c>
      <c r="E41" s="4"/>
      <c r="F41" s="4"/>
      <c r="G41" s="4"/>
      <c r="H41" s="4">
        <v>300</v>
      </c>
      <c r="I41" s="3">
        <f>'NOVEMBER 21'!L41:L113</f>
        <v>14220</v>
      </c>
      <c r="J41" s="3">
        <f t="shared" si="1"/>
        <v>28440</v>
      </c>
      <c r="K41" s="3"/>
      <c r="L41" s="3">
        <f t="shared" si="0"/>
        <v>28440</v>
      </c>
    </row>
    <row r="42" spans="1:12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8"/>
      <c r="F42" s="4"/>
      <c r="G42" s="8"/>
      <c r="H42" s="4">
        <v>300</v>
      </c>
      <c r="I42" s="3">
        <f>'NOVEMBER 21'!L42:L114</f>
        <v>600</v>
      </c>
      <c r="J42" s="3">
        <f t="shared" si="1"/>
        <v>12900</v>
      </c>
      <c r="K42" s="3"/>
      <c r="L42" s="3">
        <f t="shared" si="0"/>
        <v>12900</v>
      </c>
    </row>
    <row r="43" spans="1:12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4"/>
      <c r="F43" s="4"/>
      <c r="G43" s="4"/>
      <c r="H43" s="4">
        <v>300</v>
      </c>
      <c r="I43" s="3">
        <f>'NOVEMBER 21'!L43:L115</f>
        <v>0</v>
      </c>
      <c r="J43" s="3">
        <f t="shared" si="1"/>
        <v>12300</v>
      </c>
      <c r="K43" s="3">
        <v>12300</v>
      </c>
      <c r="L43" s="3">
        <f t="shared" si="0"/>
        <v>0</v>
      </c>
    </row>
    <row r="44" spans="1:12" ht="15.75" x14ac:dyDescent="0.25">
      <c r="A44" s="3" t="s">
        <v>116</v>
      </c>
      <c r="B44" s="9" t="s">
        <v>172</v>
      </c>
      <c r="C44" s="8"/>
      <c r="D44" s="4">
        <f>10000+1600</f>
        <v>11600</v>
      </c>
      <c r="E44" s="4"/>
      <c r="F44" s="4"/>
      <c r="G44" s="4"/>
      <c r="H44" s="4">
        <v>300</v>
      </c>
      <c r="I44" s="3">
        <f>'NOVEMBER 21'!L44:L116</f>
        <v>0</v>
      </c>
      <c r="J44" s="3">
        <f t="shared" si="1"/>
        <v>11900</v>
      </c>
      <c r="K44" s="3">
        <v>11900</v>
      </c>
      <c r="L44" s="3">
        <f t="shared" si="0"/>
        <v>0</v>
      </c>
    </row>
    <row r="45" spans="1:12" ht="15.75" x14ac:dyDescent="0.25">
      <c r="A45" s="3" t="s">
        <v>117</v>
      </c>
      <c r="B45" s="5" t="s">
        <v>13</v>
      </c>
      <c r="C45" s="4"/>
      <c r="D45" s="4"/>
      <c r="E45" s="4"/>
      <c r="F45" s="4"/>
      <c r="G45" s="4"/>
      <c r="H45" s="4"/>
      <c r="I45" s="3">
        <f>'NOVEMBER 21'!L45:L117</f>
        <v>0</v>
      </c>
      <c r="J45" s="3">
        <f t="shared" si="1"/>
        <v>0</v>
      </c>
      <c r="K45" s="3"/>
      <c r="L45" s="3">
        <f t="shared" si="0"/>
        <v>0</v>
      </c>
    </row>
    <row r="46" spans="1:12" ht="15.75" x14ac:dyDescent="0.25">
      <c r="A46" s="3" t="s">
        <v>118</v>
      </c>
      <c r="B46" s="5" t="s">
        <v>13</v>
      </c>
      <c r="C46" s="4"/>
      <c r="D46" s="4"/>
      <c r="E46" s="4"/>
      <c r="F46" s="4"/>
      <c r="G46" s="4"/>
      <c r="H46" s="4"/>
      <c r="I46" s="3">
        <f>'NOVEMBER 21'!L46:L118</f>
        <v>0</v>
      </c>
      <c r="J46" s="3">
        <f t="shared" si="1"/>
        <v>0</v>
      </c>
      <c r="K46" s="3"/>
      <c r="L46" s="3">
        <f t="shared" si="0"/>
        <v>0</v>
      </c>
    </row>
    <row r="47" spans="1:12" ht="15.75" x14ac:dyDescent="0.25">
      <c r="A47" s="3" t="s">
        <v>119</v>
      </c>
      <c r="B47" s="5" t="s">
        <v>13</v>
      </c>
      <c r="C47" s="4"/>
      <c r="D47" s="4"/>
      <c r="E47" s="4"/>
      <c r="F47" s="4"/>
      <c r="G47" s="4"/>
      <c r="H47" s="4"/>
      <c r="I47" s="3">
        <f>'NOVEMBER 21'!L47:L119</f>
        <v>0</v>
      </c>
      <c r="J47" s="3">
        <f t="shared" si="1"/>
        <v>0</v>
      </c>
      <c r="K47" s="3"/>
      <c r="L47" s="3">
        <f t="shared" si="0"/>
        <v>0</v>
      </c>
    </row>
    <row r="48" spans="1:12" ht="15.75" x14ac:dyDescent="0.25">
      <c r="A48" s="3" t="s">
        <v>120</v>
      </c>
      <c r="B48" s="7" t="s">
        <v>168</v>
      </c>
      <c r="C48" s="4" t="s">
        <v>80</v>
      </c>
      <c r="D48" s="4"/>
      <c r="E48" s="4"/>
      <c r="F48" s="4"/>
      <c r="G48" s="4"/>
      <c r="H48" s="4"/>
      <c r="I48" s="3">
        <f>'NOVEMBER 21'!L48:L120</f>
        <v>0</v>
      </c>
      <c r="J48" s="3">
        <f t="shared" si="1"/>
        <v>0</v>
      </c>
      <c r="K48" s="3"/>
      <c r="L48" s="3">
        <f t="shared" si="0"/>
        <v>0</v>
      </c>
    </row>
    <row r="49" spans="1:12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4"/>
      <c r="F49" s="4"/>
      <c r="G49" s="4"/>
      <c r="H49" s="4">
        <v>300</v>
      </c>
      <c r="I49" s="3">
        <f>'NOVEMBER 21'!L49:L121</f>
        <v>1500</v>
      </c>
      <c r="J49" s="3">
        <f t="shared" si="1"/>
        <v>13800</v>
      </c>
      <c r="K49" s="3"/>
      <c r="L49" s="3">
        <f t="shared" si="0"/>
        <v>13800</v>
      </c>
    </row>
    <row r="50" spans="1:12" ht="15.75" x14ac:dyDescent="0.25">
      <c r="A50" s="3" t="s">
        <v>122</v>
      </c>
      <c r="B50" s="13" t="s">
        <v>13</v>
      </c>
      <c r="C50" s="4"/>
      <c r="D50" s="4"/>
      <c r="E50" s="4"/>
      <c r="F50" s="4"/>
      <c r="G50" s="4"/>
      <c r="H50" s="4"/>
      <c r="I50" s="3">
        <f>'NOVEMBER 21'!L50:L122</f>
        <v>0</v>
      </c>
      <c r="J50" s="3">
        <f t="shared" si="1"/>
        <v>0</v>
      </c>
      <c r="K50" s="3"/>
      <c r="L50" s="3">
        <f t="shared" si="0"/>
        <v>0</v>
      </c>
    </row>
    <row r="51" spans="1:12" ht="15.75" x14ac:dyDescent="0.25">
      <c r="A51" s="3" t="s">
        <v>123</v>
      </c>
      <c r="B51" s="5" t="s">
        <v>13</v>
      </c>
      <c r="C51" s="4"/>
      <c r="D51" s="4"/>
      <c r="E51" s="4"/>
      <c r="F51" s="4"/>
      <c r="G51" s="4"/>
      <c r="H51" s="4"/>
      <c r="I51" s="3">
        <f>'NOVEMBER 21'!L51:L123</f>
        <v>0</v>
      </c>
      <c r="J51" s="3">
        <f t="shared" si="1"/>
        <v>0</v>
      </c>
      <c r="K51" s="3"/>
      <c r="L51" s="3">
        <f t="shared" si="0"/>
        <v>0</v>
      </c>
    </row>
    <row r="52" spans="1:12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4"/>
      <c r="F52" s="4"/>
      <c r="G52" s="4"/>
      <c r="H52" s="4">
        <v>300</v>
      </c>
      <c r="I52" s="3">
        <f>'NOVEMBER 21'!L52:L124</f>
        <v>5090</v>
      </c>
      <c r="J52" s="3">
        <f t="shared" si="1"/>
        <v>15260</v>
      </c>
      <c r="K52" s="3"/>
      <c r="L52" s="3">
        <f t="shared" si="0"/>
        <v>15260</v>
      </c>
    </row>
    <row r="53" spans="1:12" ht="15.75" x14ac:dyDescent="0.25">
      <c r="A53" s="3" t="s">
        <v>125</v>
      </c>
      <c r="B53" s="13" t="s">
        <v>13</v>
      </c>
      <c r="C53" s="4"/>
      <c r="D53" s="4"/>
      <c r="E53" s="4"/>
      <c r="F53" s="4"/>
      <c r="G53" s="4"/>
      <c r="H53" s="4"/>
      <c r="I53" s="3">
        <f>'NOVEMBER 21'!L53:L125</f>
        <v>0</v>
      </c>
      <c r="J53" s="3">
        <f t="shared" si="1"/>
        <v>0</v>
      </c>
      <c r="K53" s="3"/>
      <c r="L53" s="3">
        <f t="shared" si="0"/>
        <v>0</v>
      </c>
    </row>
    <row r="54" spans="1:12" ht="15.75" x14ac:dyDescent="0.25">
      <c r="A54" s="3" t="s">
        <v>126</v>
      </c>
      <c r="B54" s="5" t="s">
        <v>13</v>
      </c>
      <c r="C54" s="4"/>
      <c r="D54" s="4"/>
      <c r="E54" s="4"/>
      <c r="F54" s="4"/>
      <c r="G54" s="4"/>
      <c r="H54" s="4"/>
      <c r="I54" s="3">
        <f>'NOVEMBER 21'!L54:L126</f>
        <v>0</v>
      </c>
      <c r="J54" s="3">
        <f t="shared" si="1"/>
        <v>0</v>
      </c>
      <c r="K54" s="3"/>
      <c r="L54" s="3">
        <f t="shared" si="0"/>
        <v>0</v>
      </c>
    </row>
    <row r="55" spans="1:12" ht="15.75" x14ac:dyDescent="0.25">
      <c r="A55" s="3" t="s">
        <v>127</v>
      </c>
      <c r="B55" s="13" t="s">
        <v>13</v>
      </c>
      <c r="C55" s="4"/>
      <c r="D55" s="4"/>
      <c r="E55" s="4"/>
      <c r="F55" s="4"/>
      <c r="G55" s="4"/>
      <c r="H55" s="4"/>
      <c r="I55" s="3">
        <f>'NOVEMBER 21'!L55:L127</f>
        <v>0</v>
      </c>
      <c r="J55" s="3">
        <f t="shared" si="1"/>
        <v>0</v>
      </c>
      <c r="K55" s="3"/>
      <c r="L55" s="3">
        <f t="shared" si="0"/>
        <v>0</v>
      </c>
    </row>
    <row r="56" spans="1:12" ht="15.75" x14ac:dyDescent="0.25">
      <c r="A56" s="3" t="s">
        <v>128</v>
      </c>
      <c r="B56" s="13" t="s">
        <v>13</v>
      </c>
      <c r="C56" s="4"/>
      <c r="D56" s="4"/>
      <c r="E56" s="4"/>
      <c r="F56" s="4"/>
      <c r="G56" s="4"/>
      <c r="H56" s="4"/>
      <c r="I56" s="3">
        <f>'NOVEMBER 21'!L56:L128</f>
        <v>0</v>
      </c>
      <c r="J56" s="3">
        <f t="shared" si="1"/>
        <v>0</v>
      </c>
      <c r="K56" s="3"/>
      <c r="L56" s="3">
        <f t="shared" si="0"/>
        <v>0</v>
      </c>
    </row>
    <row r="57" spans="1:12" ht="15.75" x14ac:dyDescent="0.25">
      <c r="A57" s="3" t="s">
        <v>129</v>
      </c>
      <c r="B57" s="13" t="s">
        <v>13</v>
      </c>
      <c r="C57" s="4"/>
      <c r="D57" s="4"/>
      <c r="E57" s="4"/>
      <c r="F57" s="4"/>
      <c r="G57" s="4"/>
      <c r="H57" s="4"/>
      <c r="I57" s="3">
        <f>'NOVEMBER 21'!L57:L129</f>
        <v>0</v>
      </c>
      <c r="J57" s="3">
        <f t="shared" si="1"/>
        <v>0</v>
      </c>
      <c r="K57" s="3"/>
      <c r="L57" s="3">
        <f t="shared" si="0"/>
        <v>0</v>
      </c>
    </row>
    <row r="58" spans="1:12" ht="15.75" x14ac:dyDescent="0.25">
      <c r="A58" s="3" t="s">
        <v>130</v>
      </c>
      <c r="B58" s="5" t="s">
        <v>13</v>
      </c>
      <c r="C58" s="4"/>
      <c r="D58" s="4"/>
      <c r="E58" s="4"/>
      <c r="F58" s="4"/>
      <c r="G58" s="4"/>
      <c r="H58" s="4"/>
      <c r="I58" s="3">
        <f>'NOVEMBER 21'!L58:L130</f>
        <v>0</v>
      </c>
      <c r="J58" s="3">
        <f t="shared" si="1"/>
        <v>0</v>
      </c>
      <c r="K58" s="3"/>
      <c r="L58" s="3">
        <f t="shared" si="0"/>
        <v>0</v>
      </c>
    </row>
    <row r="59" spans="1:12" ht="15.75" x14ac:dyDescent="0.25">
      <c r="A59" s="3" t="s">
        <v>131</v>
      </c>
      <c r="B59" s="13" t="s">
        <v>13</v>
      </c>
      <c r="C59" s="4"/>
      <c r="D59" s="4"/>
      <c r="E59" s="4"/>
      <c r="F59" s="4"/>
      <c r="G59" s="4"/>
      <c r="H59" s="4"/>
      <c r="I59" s="3">
        <f>'NOVEMBER 21'!L59:L131</f>
        <v>0</v>
      </c>
      <c r="J59" s="3">
        <f t="shared" si="1"/>
        <v>0</v>
      </c>
      <c r="K59" s="3"/>
      <c r="L59" s="3">
        <f t="shared" si="0"/>
        <v>0</v>
      </c>
    </row>
    <row r="60" spans="1:12" ht="15.75" x14ac:dyDescent="0.25">
      <c r="A60" s="3" t="s">
        <v>132</v>
      </c>
      <c r="B60" s="7" t="s">
        <v>184</v>
      </c>
      <c r="C60" s="4"/>
      <c r="D60" s="4"/>
      <c r="E60" s="4"/>
      <c r="F60" s="4"/>
      <c r="G60" s="4"/>
      <c r="H60" s="4"/>
      <c r="I60" s="3">
        <f>'NOVEMBER 21'!L60:L132</f>
        <v>4140</v>
      </c>
      <c r="J60" s="3">
        <f t="shared" si="1"/>
        <v>4140</v>
      </c>
      <c r="K60" s="3"/>
      <c r="L60" s="3">
        <f t="shared" si="0"/>
        <v>4140</v>
      </c>
    </row>
    <row r="61" spans="1:12" ht="15.75" x14ac:dyDescent="0.25">
      <c r="A61" s="3" t="s">
        <v>133</v>
      </c>
      <c r="B61" s="13" t="s">
        <v>13</v>
      </c>
      <c r="C61" s="4"/>
      <c r="D61" s="4"/>
      <c r="E61" s="4"/>
      <c r="F61" s="4"/>
      <c r="G61" s="4"/>
      <c r="H61" s="4"/>
      <c r="I61" s="3">
        <f>'NOVEMBER 21'!L61:L133</f>
        <v>0</v>
      </c>
      <c r="J61" s="3">
        <f t="shared" si="1"/>
        <v>0</v>
      </c>
      <c r="K61" s="3"/>
      <c r="L61" s="3">
        <f t="shared" si="0"/>
        <v>0</v>
      </c>
    </row>
    <row r="62" spans="1:12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4"/>
      <c r="F62" s="4"/>
      <c r="G62" s="4"/>
      <c r="H62" s="4">
        <v>300</v>
      </c>
      <c r="I62" s="3">
        <f>'NOVEMBER 21'!L62:L134</f>
        <v>1500</v>
      </c>
      <c r="J62" s="3">
        <f t="shared" si="1"/>
        <v>9800</v>
      </c>
      <c r="K62" s="3"/>
      <c r="L62" s="3">
        <f t="shared" si="0"/>
        <v>9800</v>
      </c>
    </row>
    <row r="63" spans="1:12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4"/>
      <c r="F63" s="4"/>
      <c r="G63" s="4"/>
      <c r="H63" s="4">
        <v>300</v>
      </c>
      <c r="I63" s="3">
        <f>'NOVEMBER 21'!L63:L135</f>
        <v>14100</v>
      </c>
      <c r="J63" s="3">
        <f t="shared" si="1"/>
        <v>22400</v>
      </c>
      <c r="K63" s="3"/>
      <c r="L63" s="3">
        <f t="shared" si="0"/>
        <v>22400</v>
      </c>
    </row>
    <row r="64" spans="1:12" ht="15.75" x14ac:dyDescent="0.25">
      <c r="A64" s="3" t="s">
        <v>136</v>
      </c>
      <c r="B64" s="3" t="s">
        <v>74</v>
      </c>
      <c r="C64" s="4" t="s">
        <v>75</v>
      </c>
      <c r="D64" s="4">
        <v>8000</v>
      </c>
      <c r="E64" s="4"/>
      <c r="F64" s="4"/>
      <c r="G64" s="4"/>
      <c r="H64" s="4">
        <v>300</v>
      </c>
      <c r="I64" s="3">
        <f>'NOVEMBER 21'!L64:L136</f>
        <v>8100</v>
      </c>
      <c r="J64" s="3">
        <f t="shared" si="1"/>
        <v>16400</v>
      </c>
      <c r="K64" s="3"/>
      <c r="L64" s="3">
        <f t="shared" si="0"/>
        <v>16400</v>
      </c>
    </row>
    <row r="65" spans="1:12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4"/>
      <c r="F65" s="4"/>
      <c r="G65" s="4"/>
      <c r="H65" s="4">
        <v>300</v>
      </c>
      <c r="I65" s="3">
        <f>'NOVEMBER 21'!L65:L137</f>
        <v>33600</v>
      </c>
      <c r="J65" s="3">
        <f t="shared" si="1"/>
        <v>41900</v>
      </c>
      <c r="K65" s="3"/>
      <c r="L65" s="3">
        <f t="shared" si="0"/>
        <v>41900</v>
      </c>
    </row>
    <row r="66" spans="1:12" ht="15.75" x14ac:dyDescent="0.25">
      <c r="A66" s="3" t="s">
        <v>138</v>
      </c>
      <c r="B66" s="7" t="s">
        <v>173</v>
      </c>
      <c r="C66" s="15"/>
      <c r="D66" s="4">
        <v>6500</v>
      </c>
      <c r="E66" s="4"/>
      <c r="F66" s="4"/>
      <c r="G66" s="4"/>
      <c r="H66" s="4">
        <v>300</v>
      </c>
      <c r="I66" s="3">
        <f>'NOVEMBER 21'!L66:L138</f>
        <v>29600</v>
      </c>
      <c r="J66" s="3">
        <f t="shared" si="1"/>
        <v>36400</v>
      </c>
      <c r="K66" s="3"/>
      <c r="L66" s="3">
        <f t="shared" si="0"/>
        <v>36400</v>
      </c>
    </row>
    <row r="67" spans="1:12" ht="15.75" x14ac:dyDescent="0.25">
      <c r="A67" s="3" t="s">
        <v>139</v>
      </c>
      <c r="B67" s="7" t="s">
        <v>173</v>
      </c>
      <c r="C67" s="15"/>
      <c r="D67" s="4">
        <v>6500</v>
      </c>
      <c r="E67" s="4"/>
      <c r="F67" s="4"/>
      <c r="G67" s="4"/>
      <c r="H67" s="4"/>
      <c r="I67" s="3">
        <f>'NOVEMBER 21'!L67:L139</f>
        <v>22000</v>
      </c>
      <c r="J67" s="3">
        <f t="shared" si="1"/>
        <v>28500</v>
      </c>
      <c r="K67" s="3"/>
      <c r="L67" s="3">
        <f t="shared" si="0"/>
        <v>28500</v>
      </c>
    </row>
    <row r="68" spans="1:12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4"/>
      <c r="F68" s="4"/>
      <c r="G68" s="4"/>
      <c r="H68" s="4">
        <v>300</v>
      </c>
      <c r="I68" s="3">
        <f>'NOVEMBER 21'!L68:L140</f>
        <v>3600</v>
      </c>
      <c r="J68" s="3">
        <f t="shared" si="1"/>
        <v>18900</v>
      </c>
      <c r="K68" s="3">
        <v>15600</v>
      </c>
      <c r="L68" s="3">
        <f t="shared" si="0"/>
        <v>3300</v>
      </c>
    </row>
    <row r="69" spans="1:12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4"/>
      <c r="F69" s="4"/>
      <c r="G69" s="4"/>
      <c r="H69" s="4">
        <v>300</v>
      </c>
      <c r="I69" s="3">
        <f>'NOVEMBER 21'!L69:L141</f>
        <v>2700</v>
      </c>
      <c r="J69" s="3">
        <f t="shared" si="1"/>
        <v>18000</v>
      </c>
      <c r="K69" s="3"/>
      <c r="L69" s="3">
        <f t="shared" ref="L69:L74" si="2">J69-K69</f>
        <v>18000</v>
      </c>
    </row>
    <row r="70" spans="1:12" ht="15.75" x14ac:dyDescent="0.25">
      <c r="A70" s="3" t="s">
        <v>142</v>
      </c>
      <c r="B70" s="7" t="s">
        <v>87</v>
      </c>
      <c r="C70" s="8" t="s">
        <v>86</v>
      </c>
      <c r="D70" s="4">
        <v>20000</v>
      </c>
      <c r="E70" s="15"/>
      <c r="F70" s="4"/>
      <c r="G70" s="4"/>
      <c r="H70" s="4">
        <v>300</v>
      </c>
      <c r="I70" s="3">
        <f>'NOVEMBER 21'!L70:L142</f>
        <v>23900</v>
      </c>
      <c r="J70" s="7">
        <f>D70+E70+F70+G70+H70+I70</f>
        <v>44200</v>
      </c>
      <c r="K70" s="7"/>
      <c r="L70" s="3">
        <f t="shared" si="2"/>
        <v>44200</v>
      </c>
    </row>
    <row r="71" spans="1:12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4"/>
      <c r="F71" s="4"/>
      <c r="G71" s="4"/>
      <c r="H71" s="4"/>
      <c r="I71" s="3">
        <f>'NOVEMBER 21'!L71:L143</f>
        <v>0</v>
      </c>
      <c r="J71" s="3">
        <f t="shared" ref="J71:J77" si="3">D71+E71+F71+G71+H71+I71</f>
        <v>20000</v>
      </c>
      <c r="K71" s="3"/>
      <c r="L71" s="3">
        <f t="shared" si="2"/>
        <v>20000</v>
      </c>
    </row>
    <row r="72" spans="1:12" ht="15.75" x14ac:dyDescent="0.25">
      <c r="A72" s="3" t="s">
        <v>144</v>
      </c>
      <c r="B72" s="27" t="s">
        <v>89</v>
      </c>
      <c r="C72" s="28" t="s">
        <v>164</v>
      </c>
      <c r="D72" s="4"/>
      <c r="E72" s="4"/>
      <c r="F72" s="4"/>
      <c r="G72" s="4"/>
      <c r="H72" s="4"/>
      <c r="I72" s="3">
        <f>'NOVEMBER 21'!L72:L144</f>
        <v>0</v>
      </c>
      <c r="J72" s="3">
        <f t="shared" si="3"/>
        <v>0</v>
      </c>
      <c r="K72" s="3"/>
      <c r="L72" s="3">
        <f t="shared" si="2"/>
        <v>0</v>
      </c>
    </row>
    <row r="73" spans="1:12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4"/>
      <c r="F73" s="4"/>
      <c r="G73" s="4"/>
      <c r="H73" s="4">
        <v>300</v>
      </c>
      <c r="I73" s="3">
        <f>'NOVEMBER 21'!L73:L145</f>
        <v>43600</v>
      </c>
      <c r="J73" s="3">
        <f t="shared" si="3"/>
        <v>58900</v>
      </c>
      <c r="K73" s="3"/>
      <c r="L73" s="3">
        <f t="shared" si="2"/>
        <v>58900</v>
      </c>
    </row>
    <row r="74" spans="1:12" ht="15.75" x14ac:dyDescent="0.25">
      <c r="A74" s="3" t="s">
        <v>146</v>
      </c>
      <c r="B74" s="3" t="s">
        <v>90</v>
      </c>
      <c r="C74" s="4"/>
      <c r="D74" s="4"/>
      <c r="E74" s="4"/>
      <c r="F74" s="4"/>
      <c r="G74" s="4"/>
      <c r="H74" s="4"/>
      <c r="I74" s="3">
        <f>'NOVEMBER 21'!L74:L146</f>
        <v>0</v>
      </c>
      <c r="J74" s="3">
        <f t="shared" si="3"/>
        <v>0</v>
      </c>
      <c r="K74" s="3"/>
      <c r="L74" s="3">
        <f t="shared" si="2"/>
        <v>0</v>
      </c>
    </row>
    <row r="75" spans="1:12" ht="15.75" x14ac:dyDescent="0.25">
      <c r="A75" s="3" t="s">
        <v>179</v>
      </c>
      <c r="B75" s="7" t="s">
        <v>243</v>
      </c>
      <c r="D75" s="4">
        <v>23200</v>
      </c>
      <c r="E75" s="4"/>
      <c r="F75" s="4"/>
      <c r="G75" s="4"/>
      <c r="H75" s="4">
        <v>300</v>
      </c>
      <c r="I75" s="3">
        <f>'NOVEMBER 21'!L75:L147</f>
        <v>0</v>
      </c>
      <c r="J75" s="3">
        <f t="shared" si="3"/>
        <v>23500</v>
      </c>
      <c r="K75" s="3"/>
      <c r="L75" s="3"/>
    </row>
    <row r="76" spans="1:12" ht="15.75" x14ac:dyDescent="0.25">
      <c r="A76" s="3" t="s">
        <v>180</v>
      </c>
      <c r="B76" s="7" t="s">
        <v>223</v>
      </c>
      <c r="C76" s="4"/>
      <c r="D76" s="4">
        <v>23200</v>
      </c>
      <c r="E76" s="4"/>
      <c r="F76" s="4"/>
      <c r="G76" s="4"/>
      <c r="H76" s="4">
        <v>300</v>
      </c>
      <c r="I76" s="3">
        <f>'NOVEMBER 21'!L76:L148</f>
        <v>3800</v>
      </c>
      <c r="J76" s="3">
        <f t="shared" si="3"/>
        <v>27300</v>
      </c>
      <c r="K76" s="3"/>
      <c r="L76" s="3">
        <f>J76-K76</f>
        <v>27300</v>
      </c>
    </row>
    <row r="77" spans="1:12" ht="15.75" x14ac:dyDescent="0.25">
      <c r="A77" s="3" t="s">
        <v>181</v>
      </c>
      <c r="B77" s="5" t="s">
        <v>13</v>
      </c>
      <c r="C77" s="8"/>
      <c r="D77" s="4"/>
      <c r="E77" s="4"/>
      <c r="F77" s="4"/>
      <c r="G77" s="4"/>
      <c r="H77" s="4"/>
      <c r="I77" s="3">
        <f>'NOVEMBER 21'!L77:L149</f>
        <v>0</v>
      </c>
      <c r="J77" s="3">
        <f t="shared" si="3"/>
        <v>0</v>
      </c>
      <c r="K77" s="7"/>
      <c r="L77" s="3">
        <f>J77-K77</f>
        <v>0</v>
      </c>
    </row>
    <row r="78" spans="1:12" ht="15.75" x14ac:dyDescent="0.25">
      <c r="A78" s="3"/>
      <c r="B78" s="3" t="s">
        <v>91</v>
      </c>
      <c r="C78" s="4"/>
      <c r="D78" s="4">
        <f t="shared" ref="D78:L78" si="4">SUM(D5:D77)</f>
        <v>975670</v>
      </c>
      <c r="E78" s="4">
        <f t="shared" si="4"/>
        <v>0</v>
      </c>
      <c r="F78" s="4">
        <f t="shared" si="4"/>
        <v>0</v>
      </c>
      <c r="G78" s="4">
        <f t="shared" si="4"/>
        <v>0</v>
      </c>
      <c r="H78" s="4">
        <f t="shared" si="4"/>
        <v>13500</v>
      </c>
      <c r="I78" s="3">
        <f>SUM(I5:I77)</f>
        <v>494146</v>
      </c>
      <c r="J78" s="3">
        <f t="shared" si="4"/>
        <v>1483316</v>
      </c>
      <c r="K78" s="3">
        <f t="shared" si="4"/>
        <v>87400</v>
      </c>
      <c r="L78" s="3">
        <f t="shared" si="4"/>
        <v>1372416</v>
      </c>
    </row>
    <row r="79" spans="1:12" ht="15.75" x14ac:dyDescent="0.25">
      <c r="B79" s="1" t="s">
        <v>206</v>
      </c>
      <c r="C79" s="16"/>
      <c r="D79" s="17">
        <f>100/116*D78</f>
        <v>841094.82758620684</v>
      </c>
      <c r="E79" s="17"/>
      <c r="F79" s="17"/>
      <c r="G79" s="17"/>
      <c r="H79" s="17"/>
      <c r="I79" s="3">
        <f>'SEPT 21'!K79:K152</f>
        <v>0</v>
      </c>
      <c r="J79" s="18"/>
      <c r="K79" s="18"/>
      <c r="L79" s="17"/>
    </row>
    <row r="80" spans="1:12" x14ac:dyDescent="0.25">
      <c r="D80" s="25"/>
      <c r="K80" s="34"/>
    </row>
    <row r="81" spans="2:11" ht="15.75" x14ac:dyDescent="0.25">
      <c r="B81" s="2" t="s">
        <v>185</v>
      </c>
      <c r="C81" s="2"/>
      <c r="D81" s="2"/>
      <c r="E81" s="2"/>
      <c r="F81" s="2"/>
      <c r="G81" s="2"/>
      <c r="H81" s="19"/>
      <c r="I81" s="2" t="s">
        <v>177</v>
      </c>
      <c r="J81" s="1"/>
      <c r="K81" s="2"/>
    </row>
    <row r="82" spans="2:11" ht="15.75" x14ac:dyDescent="0.25">
      <c r="B82" s="3" t="s">
        <v>186</v>
      </c>
      <c r="C82" s="3" t="s">
        <v>187</v>
      </c>
      <c r="D82" s="3"/>
      <c r="E82" s="3" t="s">
        <v>188</v>
      </c>
      <c r="F82" s="3" t="s">
        <v>189</v>
      </c>
      <c r="G82" s="3" t="s">
        <v>186</v>
      </c>
      <c r="H82" s="3" t="s">
        <v>187</v>
      </c>
      <c r="I82" s="3" t="s">
        <v>188</v>
      </c>
      <c r="J82" s="3" t="s">
        <v>8</v>
      </c>
      <c r="K82" s="2"/>
    </row>
    <row r="83" spans="2:11" ht="15.75" x14ac:dyDescent="0.25">
      <c r="B83" s="3" t="s">
        <v>246</v>
      </c>
      <c r="C83" s="22">
        <f>D79</f>
        <v>841094.82758620684</v>
      </c>
      <c r="D83" s="22"/>
      <c r="E83" s="3"/>
      <c r="F83" s="3"/>
      <c r="G83" s="3" t="s">
        <v>246</v>
      </c>
      <c r="H83" s="22">
        <f>K78</f>
        <v>87400</v>
      </c>
      <c r="I83" s="3"/>
      <c r="J83" s="11"/>
      <c r="K83" s="2"/>
    </row>
    <row r="84" spans="2:11" ht="15.75" x14ac:dyDescent="0.25">
      <c r="B84" s="3" t="s">
        <v>175</v>
      </c>
      <c r="C84" s="22">
        <f>H78</f>
        <v>13500</v>
      </c>
      <c r="D84" s="22"/>
      <c r="E84" s="3"/>
      <c r="F84" s="3"/>
      <c r="G84" s="3"/>
      <c r="H84" s="22"/>
      <c r="I84" s="3"/>
      <c r="J84" s="11"/>
      <c r="K84" s="33"/>
    </row>
    <row r="85" spans="2:11" ht="15.75" x14ac:dyDescent="0.25">
      <c r="B85" s="3" t="s">
        <v>191</v>
      </c>
      <c r="C85" s="22">
        <f>D78-D79</f>
        <v>134575.17241379316</v>
      </c>
      <c r="D85" s="22"/>
      <c r="E85" s="3"/>
      <c r="F85" s="3"/>
      <c r="G85" s="3" t="s">
        <v>192</v>
      </c>
      <c r="H85" s="22">
        <f>'NOVEMBER 21'!J96</f>
        <v>-41046.724137931131</v>
      </c>
      <c r="I85" s="3"/>
      <c r="J85" s="11"/>
      <c r="K85" s="2"/>
    </row>
    <row r="86" spans="2:11" ht="15.75" x14ac:dyDescent="0.25">
      <c r="B86" s="29" t="s">
        <v>174</v>
      </c>
      <c r="C86" s="3">
        <f>E78</f>
        <v>0</v>
      </c>
      <c r="D86" s="3"/>
      <c r="E86" s="3"/>
      <c r="F86" s="3"/>
      <c r="G86" s="29"/>
      <c r="H86" s="3"/>
      <c r="I86" s="3"/>
      <c r="J86" s="11"/>
      <c r="K86" s="2"/>
    </row>
    <row r="87" spans="2:11" ht="15.75" x14ac:dyDescent="0.25">
      <c r="B87" s="29" t="s">
        <v>183</v>
      </c>
      <c r="C87" s="3">
        <f>F78</f>
        <v>0</v>
      </c>
      <c r="D87" s="3"/>
      <c r="E87" s="3"/>
      <c r="F87" s="3"/>
      <c r="G87" s="29"/>
      <c r="H87" s="3"/>
      <c r="I87" s="3"/>
      <c r="J87" s="11"/>
      <c r="K87" s="2"/>
    </row>
    <row r="88" spans="2:11" ht="15.75" x14ac:dyDescent="0.25">
      <c r="B88" s="29" t="s">
        <v>193</v>
      </c>
      <c r="C88" s="3">
        <f>G78</f>
        <v>0</v>
      </c>
      <c r="D88" s="3"/>
      <c r="E88" s="3"/>
      <c r="F88" s="3"/>
      <c r="G88" s="29"/>
      <c r="H88" s="3"/>
      <c r="I88" s="3"/>
      <c r="J88" s="11"/>
      <c r="K88" s="2"/>
    </row>
    <row r="89" spans="2:11" ht="15.75" x14ac:dyDescent="0.25">
      <c r="B89" s="29" t="s">
        <v>192</v>
      </c>
      <c r="C89" s="30">
        <f>'NOVEMBER 21'!F96</f>
        <v>493549.27586206887</v>
      </c>
      <c r="D89" s="3"/>
      <c r="E89" s="3"/>
      <c r="F89" s="3"/>
      <c r="G89" s="29"/>
      <c r="H89" s="3"/>
      <c r="I89" s="3"/>
      <c r="J89" s="11"/>
      <c r="K89" s="2"/>
    </row>
    <row r="90" spans="2:11" ht="15.75" x14ac:dyDescent="0.25">
      <c r="B90" s="29" t="s">
        <v>194</v>
      </c>
      <c r="C90" s="3"/>
      <c r="D90" s="3"/>
      <c r="E90" s="3"/>
      <c r="F90" s="3"/>
      <c r="G90" s="29" t="s">
        <v>194</v>
      </c>
      <c r="H90" s="3">
        <v>0</v>
      </c>
      <c r="I90" s="3"/>
      <c r="J90" s="11"/>
      <c r="K90" s="2"/>
    </row>
    <row r="91" spans="2:11" ht="15.75" x14ac:dyDescent="0.25">
      <c r="B91" s="3" t="s">
        <v>195</v>
      </c>
      <c r="C91" s="31">
        <v>0.05</v>
      </c>
      <c r="D91" s="31"/>
      <c r="E91" s="22">
        <f>C91*C83</f>
        <v>42054.741379310348</v>
      </c>
      <c r="F91" s="3"/>
      <c r="G91" s="3" t="s">
        <v>195</v>
      </c>
      <c r="H91" s="31">
        <v>0.05</v>
      </c>
      <c r="I91" s="22">
        <f>H91*C83</f>
        <v>42054.741379310348</v>
      </c>
      <c r="J91" s="20"/>
      <c r="K91" s="33"/>
    </row>
    <row r="92" spans="2:11" ht="15.75" x14ac:dyDescent="0.25">
      <c r="B92" s="5" t="s">
        <v>196</v>
      </c>
      <c r="C92" s="3" t="s">
        <v>197</v>
      </c>
      <c r="D92" s="3"/>
      <c r="E92" s="3"/>
      <c r="F92" s="3"/>
      <c r="G92" s="5" t="s">
        <v>196</v>
      </c>
      <c r="H92" s="22"/>
      <c r="I92" s="3"/>
      <c r="J92" s="3"/>
      <c r="K92" s="2"/>
    </row>
    <row r="93" spans="2:11" ht="15.75" x14ac:dyDescent="0.25">
      <c r="B93" s="23"/>
      <c r="C93" s="31"/>
      <c r="D93" s="31"/>
      <c r="E93" s="3"/>
      <c r="F93" s="3"/>
      <c r="G93" s="23"/>
      <c r="H93" s="31"/>
      <c r="I93" s="3"/>
      <c r="J93" s="11"/>
      <c r="K93" s="2"/>
    </row>
    <row r="94" spans="2:11" ht="15.75" x14ac:dyDescent="0.25">
      <c r="B94" s="32" t="s">
        <v>198</v>
      </c>
      <c r="C94" s="3"/>
      <c r="D94" s="3"/>
      <c r="E94" s="3">
        <f>K78</f>
        <v>87400</v>
      </c>
      <c r="F94" s="23"/>
      <c r="G94" s="32" t="s">
        <v>198</v>
      </c>
      <c r="H94" s="3"/>
      <c r="I94" s="3">
        <f>K78</f>
        <v>87400</v>
      </c>
      <c r="J94" s="11"/>
      <c r="K94" s="2"/>
    </row>
    <row r="95" spans="2:11" ht="15.75" x14ac:dyDescent="0.25">
      <c r="B95" s="3"/>
      <c r="C95" s="31"/>
      <c r="D95" s="31"/>
      <c r="E95" s="3"/>
      <c r="F95" s="3"/>
      <c r="G95" s="3"/>
      <c r="H95" s="31"/>
      <c r="I95" s="3"/>
      <c r="J95" s="11"/>
      <c r="K95" s="2"/>
    </row>
    <row r="96" spans="2:11" ht="15.75" x14ac:dyDescent="0.25">
      <c r="B96" s="23" t="s">
        <v>199</v>
      </c>
      <c r="C96" s="22">
        <f>C83+C84+C85+C86+C87+C88+C89+C90</f>
        <v>1482719.2758620689</v>
      </c>
      <c r="D96" s="22"/>
      <c r="E96" s="24">
        <f>SUM(E91:E95)</f>
        <v>129454.74137931035</v>
      </c>
      <c r="F96" s="22">
        <f>C96-E96</f>
        <v>1353264.5344827585</v>
      </c>
      <c r="G96" s="23" t="s">
        <v>199</v>
      </c>
      <c r="H96" s="22">
        <f>H83+H84+H85+H86+H87+H88+H89+H90</f>
        <v>46353.275862068869</v>
      </c>
      <c r="I96" s="22">
        <f>SUM(I91:I95)</f>
        <v>129454.74137931035</v>
      </c>
      <c r="J96" s="22">
        <f>H96-I96</f>
        <v>-83101.465517241479</v>
      </c>
      <c r="K96" s="2"/>
    </row>
    <row r="97" spans="2:11" ht="15.75" x14ac:dyDescent="0.25">
      <c r="B97" s="2" t="s">
        <v>200</v>
      </c>
      <c r="C97" s="2"/>
      <c r="D97" s="2"/>
      <c r="E97" s="33"/>
      <c r="F97" s="2" t="s">
        <v>201</v>
      </c>
      <c r="G97" s="2"/>
      <c r="H97" s="2"/>
      <c r="I97" s="33">
        <f>I96-I91</f>
        <v>87400</v>
      </c>
      <c r="J97" s="2" t="s">
        <v>202</v>
      </c>
      <c r="K97" s="2"/>
    </row>
    <row r="98" spans="2:11" ht="15.75" x14ac:dyDescent="0.25">
      <c r="B98" s="2" t="s">
        <v>203</v>
      </c>
      <c r="C98" s="2"/>
      <c r="D98" s="2"/>
      <c r="E98" s="2"/>
      <c r="F98" s="2" t="s">
        <v>204</v>
      </c>
      <c r="G98" s="2"/>
      <c r="H98" s="2"/>
      <c r="I98" s="33"/>
      <c r="J98" s="2" t="s">
        <v>205</v>
      </c>
      <c r="K9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K70" sqref="K70"/>
    </sheetView>
  </sheetViews>
  <sheetFormatPr defaultRowHeight="15" x14ac:dyDescent="0.25"/>
  <cols>
    <col min="2" max="2" width="31.85546875" customWidth="1"/>
    <col min="3" max="3" width="26.7109375" customWidth="1"/>
    <col min="4" max="4" width="11.28515625" bestFit="1" customWidth="1"/>
    <col min="5" max="5" width="12.140625" customWidth="1"/>
    <col min="6" max="6" width="12.5703125" customWidth="1"/>
    <col min="7" max="7" width="12.85546875" customWidth="1"/>
    <col min="8" max="8" width="17" customWidth="1"/>
    <col min="9" max="9" width="11.5703125" customWidth="1"/>
    <col min="10" max="11" width="12.28515625" customWidth="1"/>
  </cols>
  <sheetData>
    <row r="1" spans="1:13" ht="15.75" x14ac:dyDescent="0.25">
      <c r="C1" s="2" t="s">
        <v>92</v>
      </c>
      <c r="D1" s="2"/>
      <c r="E1" s="2"/>
      <c r="F1" s="2"/>
      <c r="G1" s="2"/>
      <c r="H1" s="2"/>
    </row>
    <row r="2" spans="1:13" ht="15.75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1"/>
      <c r="M2" s="1"/>
    </row>
    <row r="3" spans="1:13" ht="15.75" x14ac:dyDescent="0.25">
      <c r="A3" s="1"/>
      <c r="B3" s="1"/>
      <c r="C3" s="2" t="s">
        <v>1</v>
      </c>
      <c r="D3" s="2"/>
      <c r="E3" s="2"/>
      <c r="F3" s="2"/>
      <c r="G3" s="2"/>
      <c r="H3" s="2"/>
      <c r="I3" s="2"/>
      <c r="J3" s="2"/>
      <c r="K3" s="2"/>
      <c r="L3" s="1"/>
      <c r="M3" s="1"/>
    </row>
    <row r="4" spans="1:13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174</v>
      </c>
      <c r="F4" s="4" t="s">
        <v>183</v>
      </c>
      <c r="G4" s="4" t="s">
        <v>178</v>
      </c>
      <c r="H4" s="4" t="s">
        <v>175</v>
      </c>
      <c r="I4" s="3" t="s">
        <v>176</v>
      </c>
      <c r="J4" s="3" t="s">
        <v>6</v>
      </c>
      <c r="K4" s="3" t="s">
        <v>177</v>
      </c>
      <c r="L4" s="3" t="s">
        <v>8</v>
      </c>
    </row>
    <row r="5" spans="1:13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4"/>
      <c r="F5" s="4">
        <v>1500</v>
      </c>
      <c r="G5" s="4"/>
      <c r="H5" s="4">
        <v>300</v>
      </c>
      <c r="I5" s="3"/>
      <c r="J5" s="3">
        <f>D5+E5+F5+G5+H5+I5</f>
        <v>81800</v>
      </c>
      <c r="K5" s="3">
        <f>60000</f>
        <v>60000</v>
      </c>
      <c r="L5" s="3">
        <f t="shared" ref="L5:L14" si="0">J5-K5</f>
        <v>21800</v>
      </c>
      <c r="M5" s="1"/>
    </row>
    <row r="6" spans="1:13" ht="15.75" x14ac:dyDescent="0.25">
      <c r="A6" s="3" t="s">
        <v>12</v>
      </c>
      <c r="B6" s="7" t="s">
        <v>147</v>
      </c>
      <c r="C6" s="4"/>
      <c r="D6" s="4">
        <v>64670</v>
      </c>
      <c r="E6" s="4"/>
      <c r="F6" s="4"/>
      <c r="G6" s="4"/>
      <c r="H6" s="4"/>
      <c r="I6" s="3"/>
      <c r="J6" s="3">
        <f t="shared" ref="J6:J69" si="1">D6+E6+F6+G6+H6+I6</f>
        <v>64670</v>
      </c>
      <c r="K6" s="3">
        <f>64670</f>
        <v>64670</v>
      </c>
      <c r="L6" s="3">
        <f t="shared" si="0"/>
        <v>0</v>
      </c>
      <c r="M6" s="1"/>
    </row>
    <row r="7" spans="1:13" ht="15.75" x14ac:dyDescent="0.25">
      <c r="A7" s="3" t="s">
        <v>14</v>
      </c>
      <c r="B7" s="3" t="s">
        <v>16</v>
      </c>
      <c r="C7" s="4" t="s">
        <v>17</v>
      </c>
      <c r="D7" s="4">
        <v>122000</v>
      </c>
      <c r="E7" s="4"/>
      <c r="F7" s="4">
        <v>1500</v>
      </c>
      <c r="G7" s="4"/>
      <c r="H7" s="4">
        <v>300</v>
      </c>
      <c r="I7" s="3"/>
      <c r="J7" s="3">
        <f t="shared" si="1"/>
        <v>123800</v>
      </c>
      <c r="K7" s="3">
        <f>122000</f>
        <v>122000</v>
      </c>
      <c r="L7" s="3">
        <f t="shared" si="0"/>
        <v>1800</v>
      </c>
      <c r="M7" s="1"/>
    </row>
    <row r="8" spans="1:13" ht="15.75" x14ac:dyDescent="0.25">
      <c r="A8" s="3" t="s">
        <v>15</v>
      </c>
      <c r="B8" s="3" t="s">
        <v>16</v>
      </c>
      <c r="C8" s="4" t="s">
        <v>149</v>
      </c>
      <c r="D8" s="4"/>
      <c r="E8" s="4"/>
      <c r="F8" s="4"/>
      <c r="G8" s="4"/>
      <c r="H8" s="4"/>
      <c r="I8" s="3"/>
      <c r="J8" s="3">
        <f t="shared" si="1"/>
        <v>0</v>
      </c>
      <c r="K8" s="3"/>
      <c r="L8" s="3">
        <f t="shared" si="0"/>
        <v>0</v>
      </c>
      <c r="M8" s="1"/>
    </row>
    <row r="9" spans="1:13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4">
        <v>32000</v>
      </c>
      <c r="F9" s="4">
        <v>1500</v>
      </c>
      <c r="G9" s="4"/>
      <c r="H9" s="4">
        <v>300</v>
      </c>
      <c r="I9" s="3"/>
      <c r="J9" s="3">
        <f t="shared" si="1"/>
        <v>73800</v>
      </c>
      <c r="K9" s="3">
        <f>32000+40000</f>
        <v>72000</v>
      </c>
      <c r="L9" s="3">
        <f t="shared" si="0"/>
        <v>1800</v>
      </c>
      <c r="M9" s="1"/>
    </row>
    <row r="10" spans="1:13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4"/>
      <c r="F10" s="4">
        <v>1500</v>
      </c>
      <c r="G10" s="4"/>
      <c r="H10" s="4">
        <v>300</v>
      </c>
      <c r="I10" s="3"/>
      <c r="J10" s="3">
        <f t="shared" si="1"/>
        <v>51800</v>
      </c>
      <c r="K10" s="3">
        <f>50000</f>
        <v>50000</v>
      </c>
      <c r="L10" s="3">
        <f t="shared" si="0"/>
        <v>1800</v>
      </c>
      <c r="M10" s="1"/>
    </row>
    <row r="11" spans="1:13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4"/>
      <c r="F11" s="4">
        <v>1500</v>
      </c>
      <c r="G11" s="4"/>
      <c r="H11" s="4">
        <v>300</v>
      </c>
      <c r="I11" s="3"/>
      <c r="J11" s="3">
        <f t="shared" si="1"/>
        <v>21800</v>
      </c>
      <c r="K11" s="3">
        <v>20000</v>
      </c>
      <c r="L11" s="3">
        <f t="shared" si="0"/>
        <v>1800</v>
      </c>
      <c r="M11" s="1"/>
    </row>
    <row r="12" spans="1:13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4"/>
      <c r="F12" s="4">
        <v>1500</v>
      </c>
      <c r="G12" s="4"/>
      <c r="H12" s="4">
        <v>300</v>
      </c>
      <c r="I12" s="3"/>
      <c r="J12" s="3">
        <f t="shared" si="1"/>
        <v>21800</v>
      </c>
      <c r="K12" s="3">
        <v>20000</v>
      </c>
      <c r="L12" s="3">
        <f t="shared" si="0"/>
        <v>1800</v>
      </c>
      <c r="M12" s="1"/>
    </row>
    <row r="13" spans="1:13" ht="15.75" x14ac:dyDescent="0.25">
      <c r="A13" s="3" t="s">
        <v>96</v>
      </c>
      <c r="B13" s="5" t="s">
        <v>13</v>
      </c>
      <c r="C13" s="4"/>
      <c r="D13" s="4"/>
      <c r="E13" s="4"/>
      <c r="F13" s="4"/>
      <c r="G13" s="4"/>
      <c r="H13" s="4"/>
      <c r="I13" s="3"/>
      <c r="J13" s="3">
        <f t="shared" si="1"/>
        <v>0</v>
      </c>
      <c r="K13" s="3"/>
      <c r="L13" s="3">
        <f t="shared" si="0"/>
        <v>0</v>
      </c>
      <c r="M13" s="1"/>
    </row>
    <row r="14" spans="1:13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4">
        <v>14000</v>
      </c>
      <c r="F14" s="4">
        <v>1500</v>
      </c>
      <c r="G14" s="4">
        <v>3000</v>
      </c>
      <c r="H14" s="4">
        <v>300</v>
      </c>
      <c r="I14" s="3"/>
      <c r="J14" s="3">
        <f t="shared" si="1"/>
        <v>30800</v>
      </c>
      <c r="K14" s="3">
        <f>20000</f>
        <v>20000</v>
      </c>
      <c r="L14" s="3">
        <f t="shared" si="0"/>
        <v>10800</v>
      </c>
      <c r="M14" s="1"/>
    </row>
    <row r="15" spans="1:13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4"/>
      <c r="F15" s="4">
        <v>1500</v>
      </c>
      <c r="G15" s="4"/>
      <c r="H15" s="4">
        <v>300</v>
      </c>
      <c r="I15" s="3"/>
      <c r="J15" s="3">
        <f t="shared" si="1"/>
        <v>66800</v>
      </c>
      <c r="K15" s="3">
        <f>65000</f>
        <v>65000</v>
      </c>
      <c r="L15" s="3">
        <f t="shared" ref="L15:L72" si="2">J15-K15</f>
        <v>1800</v>
      </c>
      <c r="M15" s="1"/>
    </row>
    <row r="16" spans="1:13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4"/>
      <c r="F16" s="4">
        <v>1500</v>
      </c>
      <c r="G16" s="4"/>
      <c r="H16" s="4">
        <v>300</v>
      </c>
      <c r="I16" s="3"/>
      <c r="J16" s="3">
        <f t="shared" si="1"/>
        <v>61800</v>
      </c>
      <c r="K16" s="3">
        <f>30000+31800</f>
        <v>61800</v>
      </c>
      <c r="L16" s="3">
        <f t="shared" si="2"/>
        <v>0</v>
      </c>
      <c r="M16" s="1"/>
    </row>
    <row r="17" spans="1:13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4"/>
      <c r="F17" s="4">
        <v>1500</v>
      </c>
      <c r="G17" s="4"/>
      <c r="H17" s="4">
        <v>300</v>
      </c>
      <c r="I17" s="3"/>
      <c r="J17" s="3">
        <f t="shared" si="1"/>
        <v>16800</v>
      </c>
      <c r="K17" s="3">
        <f>5000+4500</f>
        <v>9500</v>
      </c>
      <c r="L17" s="3">
        <f t="shared" si="2"/>
        <v>7300</v>
      </c>
      <c r="M17" s="1"/>
    </row>
    <row r="18" spans="1:13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4"/>
      <c r="F18" s="4">
        <v>1500</v>
      </c>
      <c r="G18" s="4"/>
      <c r="H18" s="4">
        <v>300</v>
      </c>
      <c r="I18" s="3"/>
      <c r="J18" s="3">
        <f t="shared" si="1"/>
        <v>16800</v>
      </c>
      <c r="K18" s="3">
        <f>10000</f>
        <v>10000</v>
      </c>
      <c r="L18" s="3">
        <f t="shared" si="2"/>
        <v>6800</v>
      </c>
      <c r="M18" s="1"/>
    </row>
    <row r="19" spans="1:13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4"/>
      <c r="F19" s="4">
        <v>1500</v>
      </c>
      <c r="G19" s="4"/>
      <c r="H19" s="4">
        <v>300</v>
      </c>
      <c r="I19" s="3"/>
      <c r="J19" s="3">
        <f t="shared" si="1"/>
        <v>16800</v>
      </c>
      <c r="K19" s="3">
        <f>15500</f>
        <v>15500</v>
      </c>
      <c r="L19" s="3">
        <f t="shared" si="2"/>
        <v>1300</v>
      </c>
      <c r="M19" s="1"/>
    </row>
    <row r="20" spans="1:13" ht="15.75" x14ac:dyDescent="0.25">
      <c r="A20" s="3" t="s">
        <v>29</v>
      </c>
      <c r="B20" s="7" t="s">
        <v>167</v>
      </c>
      <c r="C20" s="8" t="s">
        <v>38</v>
      </c>
      <c r="D20" s="4">
        <v>10000</v>
      </c>
      <c r="E20" s="4"/>
      <c r="F20" s="4">
        <v>1500</v>
      </c>
      <c r="G20" s="4"/>
      <c r="H20" s="4">
        <v>300</v>
      </c>
      <c r="I20" s="3"/>
      <c r="J20" s="3">
        <f t="shared" si="1"/>
        <v>11800</v>
      </c>
      <c r="K20" s="3">
        <v>10000</v>
      </c>
      <c r="L20" s="3">
        <f t="shared" si="2"/>
        <v>1800</v>
      </c>
      <c r="M20" s="1"/>
    </row>
    <row r="21" spans="1:13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4"/>
      <c r="F21" s="4"/>
      <c r="G21" s="4"/>
      <c r="H21" s="4"/>
      <c r="I21" s="3"/>
      <c r="J21" s="3">
        <f t="shared" si="1"/>
        <v>10000</v>
      </c>
      <c r="K21" s="3">
        <f>10000</f>
        <v>10000</v>
      </c>
      <c r="L21" s="3">
        <f t="shared" si="2"/>
        <v>0</v>
      </c>
      <c r="M21" s="1"/>
    </row>
    <row r="22" spans="1:13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4"/>
      <c r="F22" s="4">
        <v>1500</v>
      </c>
      <c r="G22" s="4"/>
      <c r="H22" s="4">
        <v>300</v>
      </c>
      <c r="I22" s="3"/>
      <c r="J22" s="3">
        <f t="shared" si="1"/>
        <v>11800</v>
      </c>
      <c r="K22" s="3">
        <f>10000</f>
        <v>10000</v>
      </c>
      <c r="L22" s="3">
        <f t="shared" si="2"/>
        <v>1800</v>
      </c>
      <c r="M22" s="1"/>
    </row>
    <row r="23" spans="1:13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4"/>
      <c r="F23" s="4">
        <v>1500</v>
      </c>
      <c r="G23" s="4"/>
      <c r="H23" s="4">
        <v>300</v>
      </c>
      <c r="I23" s="3"/>
      <c r="J23" s="3">
        <f t="shared" si="1"/>
        <v>13800</v>
      </c>
      <c r="K23" s="3">
        <v>10000</v>
      </c>
      <c r="L23" s="3">
        <f t="shared" si="2"/>
        <v>3800</v>
      </c>
      <c r="M23" s="1"/>
    </row>
    <row r="24" spans="1:13" ht="15.75" x14ac:dyDescent="0.25">
      <c r="A24" s="3" t="s">
        <v>39</v>
      </c>
      <c r="B24" s="3" t="s">
        <v>43</v>
      </c>
      <c r="C24" s="4" t="s">
        <v>44</v>
      </c>
      <c r="D24" s="4">
        <v>12000</v>
      </c>
      <c r="E24" s="4"/>
      <c r="F24" s="4">
        <v>1500</v>
      </c>
      <c r="G24" s="4"/>
      <c r="H24" s="4">
        <v>300</v>
      </c>
      <c r="I24" s="3"/>
      <c r="J24" s="3">
        <f t="shared" si="1"/>
        <v>13800</v>
      </c>
      <c r="K24" s="3">
        <f>10000</f>
        <v>10000</v>
      </c>
      <c r="L24" s="3">
        <f t="shared" si="2"/>
        <v>3800</v>
      </c>
      <c r="M24" s="1"/>
    </row>
    <row r="25" spans="1:13" ht="15.75" x14ac:dyDescent="0.25">
      <c r="A25" s="3" t="s">
        <v>42</v>
      </c>
      <c r="B25" s="5" t="s">
        <v>13</v>
      </c>
      <c r="C25" s="4"/>
      <c r="D25" s="4"/>
      <c r="E25" s="4"/>
      <c r="F25" s="4"/>
      <c r="G25" s="4"/>
      <c r="H25" s="4"/>
      <c r="I25" s="3"/>
      <c r="J25" s="3">
        <f t="shared" si="1"/>
        <v>0</v>
      </c>
      <c r="K25" s="3"/>
      <c r="L25" s="3">
        <f t="shared" si="2"/>
        <v>0</v>
      </c>
      <c r="M25" s="1"/>
    </row>
    <row r="26" spans="1:13" ht="15.75" x14ac:dyDescent="0.25">
      <c r="A26" s="3" t="s">
        <v>45</v>
      </c>
      <c r="B26" s="5" t="s">
        <v>13</v>
      </c>
      <c r="C26" s="4"/>
      <c r="D26" s="4"/>
      <c r="E26" s="4"/>
      <c r="F26" s="4"/>
      <c r="G26" s="4"/>
      <c r="H26" s="4"/>
      <c r="I26" s="3"/>
      <c r="J26" s="3">
        <f t="shared" si="1"/>
        <v>0</v>
      </c>
      <c r="K26" s="3"/>
      <c r="L26" s="3">
        <f t="shared" si="2"/>
        <v>0</v>
      </c>
      <c r="M26" s="1"/>
    </row>
    <row r="27" spans="1:13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4"/>
      <c r="F27" s="4">
        <v>1500</v>
      </c>
      <c r="G27" s="4"/>
      <c r="H27" s="4">
        <v>300</v>
      </c>
      <c r="I27" s="3"/>
      <c r="J27" s="3">
        <f t="shared" si="1"/>
        <v>11800</v>
      </c>
      <c r="K27" s="3">
        <f>10300</f>
        <v>10300</v>
      </c>
      <c r="L27" s="3">
        <f t="shared" si="2"/>
        <v>1500</v>
      </c>
      <c r="M27" s="1"/>
    </row>
    <row r="28" spans="1:13" ht="15.75" x14ac:dyDescent="0.25">
      <c r="A28" s="3" t="s">
        <v>50</v>
      </c>
      <c r="B28" s="13" t="s">
        <v>207</v>
      </c>
      <c r="C28" s="15" t="s">
        <v>208</v>
      </c>
      <c r="D28" s="15">
        <v>11600</v>
      </c>
      <c r="E28" s="15">
        <v>20000</v>
      </c>
      <c r="F28" s="15">
        <v>1500</v>
      </c>
      <c r="G28" s="15">
        <v>3000</v>
      </c>
      <c r="H28" s="15">
        <v>300</v>
      </c>
      <c r="I28" s="13"/>
      <c r="J28" s="13">
        <f t="shared" si="1"/>
        <v>36400</v>
      </c>
      <c r="K28" s="26">
        <v>36400</v>
      </c>
      <c r="L28" s="3">
        <f t="shared" si="2"/>
        <v>0</v>
      </c>
      <c r="M28" s="1"/>
    </row>
    <row r="29" spans="1:13" ht="15.75" x14ac:dyDescent="0.25">
      <c r="A29" s="3" t="s">
        <v>51</v>
      </c>
      <c r="B29" s="3" t="s">
        <v>70</v>
      </c>
      <c r="C29" s="4" t="s">
        <v>71</v>
      </c>
      <c r="D29" s="4">
        <v>6500</v>
      </c>
      <c r="E29" s="4"/>
      <c r="F29" s="4">
        <v>1500</v>
      </c>
      <c r="G29" s="4"/>
      <c r="H29" s="4">
        <v>300</v>
      </c>
      <c r="I29" s="3"/>
      <c r="J29" s="3">
        <f t="shared" si="1"/>
        <v>8300</v>
      </c>
      <c r="K29" s="3">
        <v>6500</v>
      </c>
      <c r="L29" s="3">
        <f t="shared" si="2"/>
        <v>1800</v>
      </c>
      <c r="M29" s="1"/>
    </row>
    <row r="30" spans="1:13" ht="15.75" x14ac:dyDescent="0.25">
      <c r="A30" s="7" t="s">
        <v>102</v>
      </c>
      <c r="B30" s="7" t="s">
        <v>171</v>
      </c>
      <c r="C30" s="8" t="s">
        <v>69</v>
      </c>
      <c r="D30" s="4">
        <v>9500</v>
      </c>
      <c r="E30" s="4"/>
      <c r="F30" s="4">
        <v>1500</v>
      </c>
      <c r="G30" s="4"/>
      <c r="H30" s="4">
        <v>300</v>
      </c>
      <c r="I30" s="3"/>
      <c r="J30" s="3">
        <f t="shared" si="1"/>
        <v>11300</v>
      </c>
      <c r="K30" s="3">
        <f>9500</f>
        <v>9500</v>
      </c>
      <c r="L30" s="3">
        <f>J30-K30</f>
        <v>1800</v>
      </c>
      <c r="M30" s="1"/>
    </row>
    <row r="31" spans="1:13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4"/>
      <c r="F31" s="4">
        <v>1500</v>
      </c>
      <c r="G31" s="4"/>
      <c r="H31" s="4">
        <v>300</v>
      </c>
      <c r="I31" s="3"/>
      <c r="J31" s="3">
        <f t="shared" si="1"/>
        <v>10800</v>
      </c>
      <c r="K31" s="3">
        <f>9000</f>
        <v>9000</v>
      </c>
      <c r="L31" s="3">
        <f>J31-K31</f>
        <v>1800</v>
      </c>
      <c r="M31" s="1"/>
    </row>
    <row r="32" spans="1:13" ht="15.75" x14ac:dyDescent="0.25">
      <c r="A32" s="3" t="s">
        <v>104</v>
      </c>
      <c r="B32" s="14" t="s">
        <v>13</v>
      </c>
      <c r="C32" s="10"/>
      <c r="D32" s="4"/>
      <c r="E32" s="4"/>
      <c r="F32" s="4"/>
      <c r="G32" s="4"/>
      <c r="H32" s="4"/>
      <c r="I32" s="3"/>
      <c r="J32" s="3">
        <f t="shared" si="1"/>
        <v>0</v>
      </c>
      <c r="K32" s="11"/>
      <c r="L32" s="3">
        <f t="shared" si="2"/>
        <v>0</v>
      </c>
      <c r="M32" s="1"/>
    </row>
    <row r="33" spans="1:13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4"/>
      <c r="F33" s="4">
        <v>1500</v>
      </c>
      <c r="G33" s="4"/>
      <c r="H33" s="4">
        <v>300</v>
      </c>
      <c r="I33" s="3"/>
      <c r="J33" s="3">
        <f t="shared" si="1"/>
        <v>13800</v>
      </c>
      <c r="K33" s="3">
        <v>12000</v>
      </c>
      <c r="L33" s="3">
        <f>J33-K33</f>
        <v>1800</v>
      </c>
      <c r="M33" s="1"/>
    </row>
    <row r="34" spans="1:13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4"/>
      <c r="F34" s="4">
        <v>1500</v>
      </c>
      <c r="G34" s="4"/>
      <c r="H34" s="4">
        <v>300</v>
      </c>
      <c r="I34" s="3"/>
      <c r="J34" s="3">
        <f t="shared" si="1"/>
        <v>13800</v>
      </c>
      <c r="K34" s="3">
        <v>12000</v>
      </c>
      <c r="L34" s="3">
        <f t="shared" si="2"/>
        <v>1800</v>
      </c>
      <c r="M34" s="1"/>
    </row>
    <row r="35" spans="1:13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4"/>
      <c r="F35" s="4">
        <v>1500</v>
      </c>
      <c r="G35" s="4"/>
      <c r="H35" s="4">
        <v>300</v>
      </c>
      <c r="I35" s="3"/>
      <c r="J35" s="3">
        <f t="shared" si="1"/>
        <v>11800</v>
      </c>
      <c r="K35" s="7">
        <f>10000</f>
        <v>10000</v>
      </c>
      <c r="L35" s="3">
        <f t="shared" si="2"/>
        <v>1800</v>
      </c>
      <c r="M35" s="1"/>
    </row>
    <row r="36" spans="1:13" ht="15.75" x14ac:dyDescent="0.25">
      <c r="A36" s="3" t="s">
        <v>108</v>
      </c>
      <c r="B36" s="7" t="s">
        <v>209</v>
      </c>
      <c r="C36" s="8"/>
      <c r="D36" s="12">
        <v>10000</v>
      </c>
      <c r="E36" s="12">
        <v>20000</v>
      </c>
      <c r="F36" s="4">
        <v>1500</v>
      </c>
      <c r="G36" s="12">
        <v>3000</v>
      </c>
      <c r="H36" s="4">
        <v>300</v>
      </c>
      <c r="I36" s="3"/>
      <c r="J36" s="3">
        <f t="shared" si="1"/>
        <v>34800</v>
      </c>
      <c r="K36" s="3">
        <v>34800</v>
      </c>
      <c r="L36" s="3">
        <f t="shared" si="2"/>
        <v>0</v>
      </c>
      <c r="M36" s="1"/>
    </row>
    <row r="37" spans="1:13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8"/>
      <c r="F37" s="4">
        <v>1500</v>
      </c>
      <c r="G37" s="8"/>
      <c r="H37" s="4">
        <v>300</v>
      </c>
      <c r="I37" s="3"/>
      <c r="J37" s="3">
        <f t="shared" si="1"/>
        <v>14800</v>
      </c>
      <c r="K37" s="3">
        <f>13000</f>
        <v>13000</v>
      </c>
      <c r="L37" s="3">
        <f t="shared" si="2"/>
        <v>1800</v>
      </c>
      <c r="M37" s="1"/>
    </row>
    <row r="38" spans="1:13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8"/>
      <c r="F38" s="4">
        <v>1500</v>
      </c>
      <c r="G38" s="8"/>
      <c r="H38" s="4">
        <v>300</v>
      </c>
      <c r="I38" s="3"/>
      <c r="J38" s="3">
        <f t="shared" si="1"/>
        <v>11800</v>
      </c>
      <c r="K38" s="3">
        <f>10300</f>
        <v>10300</v>
      </c>
      <c r="L38" s="3">
        <f t="shared" si="2"/>
        <v>1500</v>
      </c>
      <c r="M38" s="1"/>
    </row>
    <row r="39" spans="1:13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4"/>
      <c r="F39" s="4">
        <v>1500</v>
      </c>
      <c r="G39" s="4"/>
      <c r="H39" s="4">
        <v>300</v>
      </c>
      <c r="I39" s="3"/>
      <c r="J39" s="3">
        <f t="shared" si="1"/>
        <v>13800</v>
      </c>
      <c r="K39" s="3">
        <v>12300</v>
      </c>
      <c r="L39" s="3">
        <f t="shared" si="2"/>
        <v>1500</v>
      </c>
      <c r="M39" s="1"/>
    </row>
    <row r="40" spans="1:13" ht="15.75" x14ac:dyDescent="0.25">
      <c r="A40" s="3" t="s">
        <v>112</v>
      </c>
      <c r="B40" s="3" t="s">
        <v>56</v>
      </c>
      <c r="C40" s="4" t="s">
        <v>57</v>
      </c>
      <c r="D40" s="4">
        <v>12000</v>
      </c>
      <c r="E40" s="4"/>
      <c r="F40" s="4">
        <v>1500</v>
      </c>
      <c r="G40" s="4"/>
      <c r="H40" s="4">
        <v>300</v>
      </c>
      <c r="I40" s="3"/>
      <c r="J40" s="3">
        <f t="shared" si="1"/>
        <v>13800</v>
      </c>
      <c r="K40" s="3">
        <f>12000</f>
        <v>12000</v>
      </c>
      <c r="L40" s="3">
        <f t="shared" si="2"/>
        <v>1800</v>
      </c>
      <c r="M40" s="1"/>
    </row>
    <row r="41" spans="1:13" ht="15.75" x14ac:dyDescent="0.25">
      <c r="A41" s="7" t="s">
        <v>113</v>
      </c>
      <c r="B41" s="7" t="s">
        <v>82</v>
      </c>
      <c r="C41" s="10" t="s">
        <v>169</v>
      </c>
      <c r="D41" s="4">
        <v>6500</v>
      </c>
      <c r="E41" s="4"/>
      <c r="F41" s="4"/>
      <c r="G41" s="4"/>
      <c r="H41" s="4"/>
      <c r="I41" s="3"/>
      <c r="J41" s="3">
        <f t="shared" si="1"/>
        <v>6500</v>
      </c>
      <c r="K41" s="3">
        <v>6500</v>
      </c>
      <c r="L41" s="3">
        <f t="shared" si="2"/>
        <v>0</v>
      </c>
      <c r="M41" s="1"/>
    </row>
    <row r="42" spans="1:13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8"/>
      <c r="F42" s="4">
        <v>1500</v>
      </c>
      <c r="G42" s="8"/>
      <c r="H42" s="4">
        <v>300</v>
      </c>
      <c r="I42" s="3"/>
      <c r="J42" s="3">
        <f t="shared" si="1"/>
        <v>13800</v>
      </c>
      <c r="K42" s="3">
        <f>6000+7800</f>
        <v>13800</v>
      </c>
      <c r="L42" s="3">
        <f t="shared" si="2"/>
        <v>0</v>
      </c>
      <c r="M42" s="1"/>
    </row>
    <row r="43" spans="1:13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4"/>
      <c r="F43" s="4">
        <v>1500</v>
      </c>
      <c r="G43" s="4"/>
      <c r="H43" s="4">
        <v>300</v>
      </c>
      <c r="I43" s="3"/>
      <c r="J43" s="3">
        <f t="shared" si="1"/>
        <v>13800</v>
      </c>
      <c r="K43" s="3">
        <f>12000</f>
        <v>12000</v>
      </c>
      <c r="L43" s="3">
        <f t="shared" si="2"/>
        <v>1800</v>
      </c>
      <c r="M43" s="1"/>
    </row>
    <row r="44" spans="1:13" ht="15.75" x14ac:dyDescent="0.25">
      <c r="A44" s="3" t="s">
        <v>116</v>
      </c>
      <c r="B44" s="9" t="s">
        <v>172</v>
      </c>
      <c r="C44" s="8"/>
      <c r="D44" s="4">
        <f>10000+1600</f>
        <v>11600</v>
      </c>
      <c r="E44" s="4">
        <v>20000</v>
      </c>
      <c r="F44" s="4">
        <v>1500</v>
      </c>
      <c r="G44" s="4">
        <v>3000</v>
      </c>
      <c r="H44" s="4">
        <v>300</v>
      </c>
      <c r="I44" s="3"/>
      <c r="J44" s="3">
        <f t="shared" si="1"/>
        <v>36400</v>
      </c>
      <c r="K44" s="3">
        <v>36400</v>
      </c>
      <c r="L44" s="3">
        <f t="shared" si="2"/>
        <v>0</v>
      </c>
      <c r="M44" s="1"/>
    </row>
    <row r="45" spans="1:13" ht="15.75" x14ac:dyDescent="0.25">
      <c r="A45" s="3" t="s">
        <v>117</v>
      </c>
      <c r="B45" s="5" t="s">
        <v>13</v>
      </c>
      <c r="C45" s="4"/>
      <c r="D45" s="4"/>
      <c r="E45" s="4"/>
      <c r="F45" s="4"/>
      <c r="G45" s="4"/>
      <c r="H45" s="4"/>
      <c r="I45" s="3"/>
      <c r="J45" s="3">
        <f t="shared" si="1"/>
        <v>0</v>
      </c>
      <c r="K45" s="3"/>
      <c r="L45" s="3">
        <f t="shared" si="2"/>
        <v>0</v>
      </c>
      <c r="M45" s="1"/>
    </row>
    <row r="46" spans="1:13" ht="15.75" x14ac:dyDescent="0.25">
      <c r="A46" s="3" t="s">
        <v>118</v>
      </c>
      <c r="B46" s="5" t="s">
        <v>13</v>
      </c>
      <c r="C46" s="4"/>
      <c r="D46" s="4"/>
      <c r="E46" s="4"/>
      <c r="F46" s="4"/>
      <c r="G46" s="4"/>
      <c r="H46" s="4"/>
      <c r="I46" s="3"/>
      <c r="J46" s="3">
        <f t="shared" si="1"/>
        <v>0</v>
      </c>
      <c r="K46" s="3"/>
      <c r="L46" s="3">
        <f t="shared" si="2"/>
        <v>0</v>
      </c>
      <c r="M46" s="1"/>
    </row>
    <row r="47" spans="1:13" ht="15.75" x14ac:dyDescent="0.25">
      <c r="A47" s="3" t="s">
        <v>119</v>
      </c>
      <c r="B47" s="5" t="s">
        <v>13</v>
      </c>
      <c r="C47" s="4"/>
      <c r="D47" s="4"/>
      <c r="E47" s="4"/>
      <c r="F47" s="4"/>
      <c r="G47" s="4"/>
      <c r="H47" s="4"/>
      <c r="I47" s="3"/>
      <c r="J47" s="3">
        <f t="shared" si="1"/>
        <v>0</v>
      </c>
      <c r="K47" s="3"/>
      <c r="L47" s="3">
        <f t="shared" si="2"/>
        <v>0</v>
      </c>
      <c r="M47" s="1"/>
    </row>
    <row r="48" spans="1:13" ht="15.75" x14ac:dyDescent="0.25">
      <c r="A48" s="3" t="s">
        <v>120</v>
      </c>
      <c r="B48" s="7" t="s">
        <v>168</v>
      </c>
      <c r="C48" s="4" t="s">
        <v>80</v>
      </c>
      <c r="D48" s="4"/>
      <c r="E48" s="4"/>
      <c r="F48" s="4"/>
      <c r="G48" s="4"/>
      <c r="H48" s="4"/>
      <c r="I48" s="3"/>
      <c r="J48" s="3">
        <f t="shared" si="1"/>
        <v>0</v>
      </c>
      <c r="K48" s="3"/>
      <c r="L48" s="3">
        <f t="shared" si="2"/>
        <v>0</v>
      </c>
      <c r="M48" s="1"/>
    </row>
    <row r="49" spans="1:13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4"/>
      <c r="F49" s="4">
        <v>1500</v>
      </c>
      <c r="G49" s="4">
        <v>3000</v>
      </c>
      <c r="H49" s="4">
        <v>300</v>
      </c>
      <c r="I49" s="3"/>
      <c r="J49" s="3">
        <f t="shared" si="1"/>
        <v>16800</v>
      </c>
      <c r="K49" s="3">
        <f>15000</f>
        <v>15000</v>
      </c>
      <c r="L49" s="3">
        <f t="shared" si="2"/>
        <v>1800</v>
      </c>
      <c r="M49" s="1"/>
    </row>
    <row r="50" spans="1:13" ht="15.75" x14ac:dyDescent="0.25">
      <c r="A50" s="3" t="s">
        <v>122</v>
      </c>
      <c r="B50" s="13" t="s">
        <v>13</v>
      </c>
      <c r="C50" s="4"/>
      <c r="D50" s="4"/>
      <c r="E50" s="4"/>
      <c r="F50" s="4"/>
      <c r="G50" s="4"/>
      <c r="H50" s="4"/>
      <c r="I50" s="3"/>
      <c r="J50" s="3">
        <f t="shared" si="1"/>
        <v>0</v>
      </c>
      <c r="K50" s="3"/>
      <c r="L50" s="3">
        <f t="shared" si="2"/>
        <v>0</v>
      </c>
      <c r="M50" s="1"/>
    </row>
    <row r="51" spans="1:13" ht="15.75" x14ac:dyDescent="0.25">
      <c r="A51" s="3" t="s">
        <v>123</v>
      </c>
      <c r="B51" s="5" t="s">
        <v>13</v>
      </c>
      <c r="C51" s="4"/>
      <c r="D51" s="4"/>
      <c r="E51" s="4"/>
      <c r="F51" s="4"/>
      <c r="G51" s="4"/>
      <c r="H51" s="4"/>
      <c r="I51" s="3"/>
      <c r="J51" s="3">
        <f t="shared" si="1"/>
        <v>0</v>
      </c>
      <c r="K51" s="3"/>
      <c r="L51" s="3">
        <f t="shared" si="2"/>
        <v>0</v>
      </c>
      <c r="M51" s="1"/>
    </row>
    <row r="52" spans="1:13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4"/>
      <c r="F52" s="4">
        <v>1500</v>
      </c>
      <c r="G52" s="4"/>
      <c r="H52" s="4">
        <v>300</v>
      </c>
      <c r="I52" s="3"/>
      <c r="J52" s="3">
        <f t="shared" si="1"/>
        <v>11670</v>
      </c>
      <c r="K52" s="3">
        <f>9000</f>
        <v>9000</v>
      </c>
      <c r="L52" s="3">
        <f t="shared" si="2"/>
        <v>2670</v>
      </c>
      <c r="M52" s="1"/>
    </row>
    <row r="53" spans="1:13" ht="15.75" x14ac:dyDescent="0.25">
      <c r="A53" s="3" t="s">
        <v>125</v>
      </c>
      <c r="B53" s="13" t="s">
        <v>13</v>
      </c>
      <c r="C53" s="4"/>
      <c r="D53" s="4"/>
      <c r="E53" s="4"/>
      <c r="F53" s="4"/>
      <c r="G53" s="4"/>
      <c r="H53" s="4"/>
      <c r="I53" s="3"/>
      <c r="J53" s="3">
        <f t="shared" si="1"/>
        <v>0</v>
      </c>
      <c r="K53" s="3"/>
      <c r="L53" s="3">
        <f t="shared" si="2"/>
        <v>0</v>
      </c>
      <c r="M53" s="1"/>
    </row>
    <row r="54" spans="1:13" ht="15.75" x14ac:dyDescent="0.25">
      <c r="A54" s="3" t="s">
        <v>126</v>
      </c>
      <c r="B54" s="5" t="s">
        <v>13</v>
      </c>
      <c r="C54" s="4"/>
      <c r="D54" s="4"/>
      <c r="E54" s="4"/>
      <c r="F54" s="4"/>
      <c r="G54" s="4"/>
      <c r="H54" s="4"/>
      <c r="I54" s="3"/>
      <c r="J54" s="3">
        <f t="shared" si="1"/>
        <v>0</v>
      </c>
      <c r="K54" s="3"/>
      <c r="L54" s="3">
        <f t="shared" si="2"/>
        <v>0</v>
      </c>
      <c r="M54" s="1"/>
    </row>
    <row r="55" spans="1:13" ht="15.75" x14ac:dyDescent="0.25">
      <c r="A55" s="3" t="s">
        <v>127</v>
      </c>
      <c r="B55" s="13" t="s">
        <v>13</v>
      </c>
      <c r="C55" s="4"/>
      <c r="D55" s="4"/>
      <c r="E55" s="4"/>
      <c r="F55" s="4"/>
      <c r="G55" s="4"/>
      <c r="H55" s="4"/>
      <c r="I55" s="3"/>
      <c r="J55" s="3">
        <f t="shared" si="1"/>
        <v>0</v>
      </c>
      <c r="K55" s="3"/>
      <c r="L55" s="3">
        <f t="shared" si="2"/>
        <v>0</v>
      </c>
      <c r="M55" s="1"/>
    </row>
    <row r="56" spans="1:13" ht="15.75" x14ac:dyDescent="0.25">
      <c r="A56" s="3" t="s">
        <v>128</v>
      </c>
      <c r="B56" s="13" t="s">
        <v>13</v>
      </c>
      <c r="C56" s="4"/>
      <c r="D56" s="4"/>
      <c r="E56" s="4"/>
      <c r="F56" s="4"/>
      <c r="G56" s="4"/>
      <c r="H56" s="4"/>
      <c r="I56" s="3"/>
      <c r="J56" s="3">
        <f t="shared" si="1"/>
        <v>0</v>
      </c>
      <c r="K56" s="3"/>
      <c r="L56" s="3">
        <f t="shared" si="2"/>
        <v>0</v>
      </c>
      <c r="M56" s="1"/>
    </row>
    <row r="57" spans="1:13" ht="15.75" x14ac:dyDescent="0.25">
      <c r="A57" s="3" t="s">
        <v>129</v>
      </c>
      <c r="B57" s="13" t="s">
        <v>13</v>
      </c>
      <c r="C57" s="4"/>
      <c r="D57" s="4"/>
      <c r="E57" s="4"/>
      <c r="F57" s="4"/>
      <c r="G57" s="4"/>
      <c r="H57" s="4"/>
      <c r="I57" s="3"/>
      <c r="J57" s="3">
        <f t="shared" si="1"/>
        <v>0</v>
      </c>
      <c r="K57" s="3"/>
      <c r="L57" s="3">
        <f t="shared" si="2"/>
        <v>0</v>
      </c>
      <c r="M57" s="1"/>
    </row>
    <row r="58" spans="1:13" ht="15.75" x14ac:dyDescent="0.25">
      <c r="A58" s="3" t="s">
        <v>130</v>
      </c>
      <c r="B58" s="5" t="s">
        <v>13</v>
      </c>
      <c r="C58" s="4"/>
      <c r="D58" s="4"/>
      <c r="E58" s="4"/>
      <c r="F58" s="4"/>
      <c r="G58" s="4"/>
      <c r="H58" s="4"/>
      <c r="I58" s="3"/>
      <c r="J58" s="3">
        <f t="shared" si="1"/>
        <v>0</v>
      </c>
      <c r="K58" s="3"/>
      <c r="L58" s="3">
        <f t="shared" si="2"/>
        <v>0</v>
      </c>
      <c r="M58" s="1"/>
    </row>
    <row r="59" spans="1:13" ht="15.75" x14ac:dyDescent="0.25">
      <c r="A59" s="3" t="s">
        <v>131</v>
      </c>
      <c r="B59" s="13" t="s">
        <v>13</v>
      </c>
      <c r="C59" s="4"/>
      <c r="D59" s="4"/>
      <c r="E59" s="4"/>
      <c r="F59" s="4"/>
      <c r="G59" s="4"/>
      <c r="H59" s="4"/>
      <c r="I59" s="3"/>
      <c r="J59" s="3">
        <f t="shared" si="1"/>
        <v>0</v>
      </c>
      <c r="K59" s="3"/>
      <c r="L59" s="3">
        <f t="shared" si="2"/>
        <v>0</v>
      </c>
      <c r="M59" s="1"/>
    </row>
    <row r="60" spans="1:13" ht="15.75" x14ac:dyDescent="0.25">
      <c r="A60" s="3" t="s">
        <v>132</v>
      </c>
      <c r="B60" s="7" t="s">
        <v>184</v>
      </c>
      <c r="C60" s="4"/>
      <c r="D60" s="4">
        <f>8000+1280</f>
        <v>9280</v>
      </c>
      <c r="E60" s="4">
        <v>16000</v>
      </c>
      <c r="F60" s="4"/>
      <c r="G60" s="4">
        <v>3000</v>
      </c>
      <c r="H60" s="4">
        <v>600</v>
      </c>
      <c r="I60" s="3"/>
      <c r="J60" s="3">
        <f t="shared" si="1"/>
        <v>28880</v>
      </c>
      <c r="K60" s="3">
        <v>28880</v>
      </c>
      <c r="L60" s="3">
        <f t="shared" si="2"/>
        <v>0</v>
      </c>
      <c r="M60" s="1"/>
    </row>
    <row r="61" spans="1:13" ht="15.75" x14ac:dyDescent="0.25">
      <c r="A61" s="3" t="s">
        <v>133</v>
      </c>
      <c r="B61" s="13" t="s">
        <v>13</v>
      </c>
      <c r="C61" s="4"/>
      <c r="D61" s="4"/>
      <c r="E61" s="4"/>
      <c r="F61" s="4"/>
      <c r="G61" s="4"/>
      <c r="H61" s="4"/>
      <c r="I61" s="3"/>
      <c r="J61" s="3">
        <f t="shared" si="1"/>
        <v>0</v>
      </c>
      <c r="K61" s="3"/>
      <c r="L61" s="3">
        <f t="shared" si="2"/>
        <v>0</v>
      </c>
      <c r="M61" s="1"/>
    </row>
    <row r="62" spans="1:13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4"/>
      <c r="F62" s="4">
        <v>1500</v>
      </c>
      <c r="G62" s="4"/>
      <c r="H62" s="4">
        <v>300</v>
      </c>
      <c r="I62" s="3"/>
      <c r="J62" s="3">
        <f t="shared" si="1"/>
        <v>9800</v>
      </c>
      <c r="K62" s="3">
        <f>8300</f>
        <v>8300</v>
      </c>
      <c r="L62" s="3">
        <f t="shared" si="2"/>
        <v>1500</v>
      </c>
      <c r="M62" s="1"/>
    </row>
    <row r="63" spans="1:13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4"/>
      <c r="F63" s="4">
        <v>1500</v>
      </c>
      <c r="G63" s="4"/>
      <c r="H63" s="4">
        <v>300</v>
      </c>
      <c r="I63" s="3"/>
      <c r="J63" s="3">
        <f t="shared" si="1"/>
        <v>9800</v>
      </c>
      <c r="K63" s="3">
        <f>8300</f>
        <v>8300</v>
      </c>
      <c r="L63" s="3">
        <f t="shared" si="2"/>
        <v>1500</v>
      </c>
      <c r="M63" s="1"/>
    </row>
    <row r="64" spans="1:13" ht="15.75" x14ac:dyDescent="0.25">
      <c r="A64" s="3" t="s">
        <v>136</v>
      </c>
      <c r="B64" s="3" t="s">
        <v>74</v>
      </c>
      <c r="C64" s="4" t="s">
        <v>75</v>
      </c>
      <c r="D64" s="4">
        <v>8000</v>
      </c>
      <c r="E64" s="4"/>
      <c r="F64" s="4">
        <v>1500</v>
      </c>
      <c r="G64" s="4"/>
      <c r="H64" s="4">
        <v>300</v>
      </c>
      <c r="I64" s="3"/>
      <c r="J64" s="3">
        <f t="shared" si="1"/>
        <v>9800</v>
      </c>
      <c r="K64" s="3">
        <f>8000+300</f>
        <v>8300</v>
      </c>
      <c r="L64" s="3">
        <f t="shared" si="2"/>
        <v>1500</v>
      </c>
      <c r="M64" s="1"/>
    </row>
    <row r="65" spans="1:13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4"/>
      <c r="F65" s="4">
        <v>1500</v>
      </c>
      <c r="G65" s="4"/>
      <c r="H65" s="4">
        <v>300</v>
      </c>
      <c r="I65" s="3"/>
      <c r="J65" s="3">
        <f t="shared" si="1"/>
        <v>9800</v>
      </c>
      <c r="K65" s="3"/>
      <c r="L65" s="3">
        <f t="shared" si="2"/>
        <v>9800</v>
      </c>
      <c r="M65" s="1"/>
    </row>
    <row r="66" spans="1:13" ht="15.75" x14ac:dyDescent="0.25">
      <c r="A66" s="3" t="s">
        <v>138</v>
      </c>
      <c r="B66" s="7" t="s">
        <v>173</v>
      </c>
      <c r="C66" s="15"/>
      <c r="D66" s="4">
        <v>6500</v>
      </c>
      <c r="E66" s="4"/>
      <c r="F66" s="4">
        <v>1500</v>
      </c>
      <c r="G66" s="4"/>
      <c r="H66" s="4">
        <v>300</v>
      </c>
      <c r="I66" s="3"/>
      <c r="J66" s="3">
        <f t="shared" si="1"/>
        <v>8300</v>
      </c>
      <c r="K66" s="3">
        <f>6500</f>
        <v>6500</v>
      </c>
      <c r="L66" s="3">
        <f t="shared" si="2"/>
        <v>1800</v>
      </c>
      <c r="M66" s="1"/>
    </row>
    <row r="67" spans="1:13" ht="15.75" x14ac:dyDescent="0.25">
      <c r="A67" s="3" t="s">
        <v>139</v>
      </c>
      <c r="B67" s="7" t="s">
        <v>173</v>
      </c>
      <c r="C67" s="15"/>
      <c r="D67" s="4">
        <v>6500</v>
      </c>
      <c r="E67" s="4"/>
      <c r="F67" s="4"/>
      <c r="G67" s="4"/>
      <c r="H67" s="4"/>
      <c r="I67" s="3"/>
      <c r="J67" s="3">
        <f t="shared" si="1"/>
        <v>6500</v>
      </c>
      <c r="K67" s="3">
        <v>6500</v>
      </c>
      <c r="L67" s="3">
        <f t="shared" si="2"/>
        <v>0</v>
      </c>
      <c r="M67" s="1"/>
    </row>
    <row r="68" spans="1:13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4"/>
      <c r="F68" s="4">
        <v>1500</v>
      </c>
      <c r="G68" s="4"/>
      <c r="H68" s="4">
        <v>300</v>
      </c>
      <c r="I68" s="3"/>
      <c r="J68" s="3">
        <f t="shared" si="1"/>
        <v>16800</v>
      </c>
      <c r="K68" s="3">
        <f>15000</f>
        <v>15000</v>
      </c>
      <c r="L68" s="3">
        <f t="shared" si="2"/>
        <v>1800</v>
      </c>
      <c r="M68" s="1"/>
    </row>
    <row r="69" spans="1:13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4"/>
      <c r="F69" s="4">
        <v>1500</v>
      </c>
      <c r="G69" s="4"/>
      <c r="H69" s="4">
        <v>300</v>
      </c>
      <c r="I69" s="3"/>
      <c r="J69" s="3">
        <f t="shared" si="1"/>
        <v>16800</v>
      </c>
      <c r="K69" s="3">
        <f>15000</f>
        <v>15000</v>
      </c>
      <c r="L69" s="3">
        <f t="shared" si="2"/>
        <v>1800</v>
      </c>
      <c r="M69" s="1"/>
    </row>
    <row r="70" spans="1:13" ht="15.75" x14ac:dyDescent="0.25">
      <c r="A70" s="3" t="s">
        <v>142</v>
      </c>
      <c r="B70" s="13" t="s">
        <v>87</v>
      </c>
      <c r="C70" s="15" t="s">
        <v>86</v>
      </c>
      <c r="D70" s="4"/>
      <c r="E70" s="15">
        <v>40000</v>
      </c>
      <c r="F70" s="4"/>
      <c r="G70" s="4"/>
      <c r="H70" s="4"/>
      <c r="I70" s="3"/>
      <c r="J70" s="13">
        <f>D70+E70+F70+G70+H70+I70</f>
        <v>40000</v>
      </c>
      <c r="K70" s="13">
        <v>25000</v>
      </c>
      <c r="L70" s="3">
        <f t="shared" si="2"/>
        <v>15000</v>
      </c>
      <c r="M70" s="1"/>
    </row>
    <row r="71" spans="1:13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4"/>
      <c r="F71" s="4">
        <v>1500</v>
      </c>
      <c r="G71" s="4"/>
      <c r="H71" s="4">
        <v>300</v>
      </c>
      <c r="I71" s="3"/>
      <c r="J71" s="3">
        <f t="shared" ref="J71:J77" si="3">D71+E71+F71+G71+H71+I71</f>
        <v>21800</v>
      </c>
      <c r="K71" s="3">
        <v>20000</v>
      </c>
      <c r="L71" s="3">
        <f t="shared" si="2"/>
        <v>1800</v>
      </c>
      <c r="M71" s="1"/>
    </row>
    <row r="72" spans="1:13" ht="15.75" x14ac:dyDescent="0.25">
      <c r="A72" s="3" t="s">
        <v>144</v>
      </c>
      <c r="B72" s="27" t="s">
        <v>89</v>
      </c>
      <c r="C72" s="28" t="s">
        <v>164</v>
      </c>
      <c r="D72" s="4"/>
      <c r="E72" s="4"/>
      <c r="F72" s="4"/>
      <c r="G72" s="4"/>
      <c r="H72" s="4"/>
      <c r="I72" s="3"/>
      <c r="J72" s="3">
        <f t="shared" si="3"/>
        <v>0</v>
      </c>
      <c r="K72" s="3"/>
      <c r="L72" s="3">
        <f t="shared" si="2"/>
        <v>0</v>
      </c>
      <c r="M72" s="1"/>
    </row>
    <row r="73" spans="1:13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4"/>
      <c r="F73" s="4">
        <v>1500</v>
      </c>
      <c r="G73" s="4"/>
      <c r="H73" s="4">
        <v>300</v>
      </c>
      <c r="I73" s="3"/>
      <c r="J73" s="3">
        <f t="shared" si="3"/>
        <v>16800</v>
      </c>
      <c r="K73" s="3">
        <f>5000+4000</f>
        <v>9000</v>
      </c>
      <c r="L73" s="3">
        <f>J73-K73</f>
        <v>7800</v>
      </c>
      <c r="M73" s="1"/>
    </row>
    <row r="74" spans="1:13" ht="15.75" x14ac:dyDescent="0.25">
      <c r="A74" s="3" t="s">
        <v>146</v>
      </c>
      <c r="B74" s="3" t="s">
        <v>90</v>
      </c>
      <c r="C74" s="4"/>
      <c r="D74" s="4"/>
      <c r="E74" s="4"/>
      <c r="F74" s="4"/>
      <c r="G74" s="4"/>
      <c r="H74" s="4"/>
      <c r="I74" s="3"/>
      <c r="J74" s="3">
        <f t="shared" si="3"/>
        <v>0</v>
      </c>
      <c r="K74" s="3"/>
      <c r="L74" s="3">
        <f>J74-K74</f>
        <v>0</v>
      </c>
      <c r="M74" s="1"/>
    </row>
    <row r="75" spans="1:13" ht="15.75" x14ac:dyDescent="0.25">
      <c r="A75" s="3" t="s">
        <v>179</v>
      </c>
      <c r="B75" s="3" t="s">
        <v>13</v>
      </c>
      <c r="C75" s="4" t="s">
        <v>182</v>
      </c>
      <c r="D75" s="4"/>
      <c r="E75" s="4"/>
      <c r="F75" s="4"/>
      <c r="G75" s="4"/>
      <c r="H75" s="4"/>
      <c r="I75" s="3"/>
      <c r="J75" s="3">
        <f t="shared" si="3"/>
        <v>0</v>
      </c>
      <c r="K75" s="3"/>
      <c r="L75" s="3">
        <f>J75-K75</f>
        <v>0</v>
      </c>
      <c r="M75" s="1"/>
    </row>
    <row r="76" spans="1:13" ht="15.75" x14ac:dyDescent="0.25">
      <c r="A76" s="3" t="s">
        <v>180</v>
      </c>
      <c r="B76" s="5" t="s">
        <v>13</v>
      </c>
      <c r="C76" s="4"/>
      <c r="D76" s="4"/>
      <c r="E76" s="4"/>
      <c r="F76" s="4"/>
      <c r="G76" s="4"/>
      <c r="H76" s="4"/>
      <c r="I76" s="3"/>
      <c r="J76" s="3">
        <f t="shared" si="3"/>
        <v>0</v>
      </c>
      <c r="K76" s="3"/>
      <c r="L76" s="3">
        <f>J76-K76</f>
        <v>0</v>
      </c>
      <c r="M76" s="1"/>
    </row>
    <row r="77" spans="1:13" ht="15.75" x14ac:dyDescent="0.25">
      <c r="A77" s="3" t="s">
        <v>181</v>
      </c>
      <c r="B77" s="5" t="s">
        <v>13</v>
      </c>
      <c r="C77" s="8"/>
      <c r="D77" s="4"/>
      <c r="E77" s="4"/>
      <c r="F77" s="4"/>
      <c r="G77" s="4"/>
      <c r="H77" s="4"/>
      <c r="I77" s="3"/>
      <c r="J77" s="3">
        <f t="shared" si="3"/>
        <v>0</v>
      </c>
      <c r="K77" s="7"/>
      <c r="L77" s="3">
        <f>J77-K77</f>
        <v>0</v>
      </c>
      <c r="M77" s="1"/>
    </row>
    <row r="78" spans="1:13" ht="15.75" x14ac:dyDescent="0.25">
      <c r="A78" s="3"/>
      <c r="B78" s="3" t="s">
        <v>91</v>
      </c>
      <c r="C78" s="4"/>
      <c r="D78" s="4">
        <f t="shared" ref="D78:L78" si="4">SUM(D5:D77)</f>
        <v>953520</v>
      </c>
      <c r="E78" s="4">
        <f t="shared" si="4"/>
        <v>162000</v>
      </c>
      <c r="F78" s="4">
        <f t="shared" si="4"/>
        <v>64500</v>
      </c>
      <c r="G78" s="4">
        <f t="shared" si="4"/>
        <v>18000</v>
      </c>
      <c r="H78" s="4">
        <f t="shared" si="4"/>
        <v>13500</v>
      </c>
      <c r="I78" s="3">
        <f t="shared" si="4"/>
        <v>0</v>
      </c>
      <c r="J78" s="3">
        <f t="shared" si="4"/>
        <v>1211520</v>
      </c>
      <c r="K78" s="3">
        <f t="shared" si="4"/>
        <v>1072050</v>
      </c>
      <c r="L78" s="3">
        <f t="shared" si="4"/>
        <v>139470</v>
      </c>
      <c r="M78" s="1"/>
    </row>
    <row r="79" spans="1:13" ht="15.75" x14ac:dyDescent="0.25">
      <c r="A79" s="1"/>
      <c r="B79" s="1" t="s">
        <v>206</v>
      </c>
      <c r="C79" s="16"/>
      <c r="D79" s="17">
        <f>100/116*D78</f>
        <v>822000</v>
      </c>
      <c r="E79" s="17"/>
      <c r="F79" s="17"/>
      <c r="G79" s="17"/>
      <c r="H79" s="17"/>
      <c r="J79" s="18"/>
      <c r="K79" s="18"/>
      <c r="L79" s="17"/>
      <c r="M79" s="1"/>
    </row>
    <row r="80" spans="1:13" x14ac:dyDescent="0.25">
      <c r="D80" s="25"/>
    </row>
    <row r="81" spans="2:11" ht="15.75" x14ac:dyDescent="0.25">
      <c r="B81" s="2" t="s">
        <v>185</v>
      </c>
      <c r="C81" s="2"/>
      <c r="D81" s="2"/>
      <c r="E81" s="2"/>
      <c r="F81" s="2"/>
      <c r="G81" s="2"/>
      <c r="H81" s="19"/>
      <c r="I81" s="2" t="s">
        <v>177</v>
      </c>
      <c r="J81" s="1"/>
      <c r="K81" s="1"/>
    </row>
    <row r="82" spans="2:11" ht="15.75" x14ac:dyDescent="0.25">
      <c r="B82" s="3" t="s">
        <v>186</v>
      </c>
      <c r="C82" s="3" t="s">
        <v>187</v>
      </c>
      <c r="D82" s="3"/>
      <c r="E82" s="3" t="s">
        <v>188</v>
      </c>
      <c r="F82" s="3" t="s">
        <v>189</v>
      </c>
      <c r="G82" s="3" t="s">
        <v>186</v>
      </c>
      <c r="H82" s="3" t="s">
        <v>187</v>
      </c>
      <c r="I82" s="3" t="s">
        <v>188</v>
      </c>
      <c r="J82" s="3" t="s">
        <v>8</v>
      </c>
      <c r="K82" s="1"/>
    </row>
    <row r="83" spans="2:11" ht="15.75" x14ac:dyDescent="0.25">
      <c r="B83" s="3" t="s">
        <v>190</v>
      </c>
      <c r="C83" s="22">
        <f>D79</f>
        <v>822000</v>
      </c>
      <c r="D83" s="22"/>
      <c r="E83" s="3"/>
      <c r="F83" s="3"/>
      <c r="G83" s="3" t="s">
        <v>190</v>
      </c>
      <c r="H83" s="22">
        <f>K78</f>
        <v>1072050</v>
      </c>
      <c r="I83" s="3"/>
      <c r="J83" s="11"/>
      <c r="K83" s="1"/>
    </row>
    <row r="84" spans="2:11" ht="15.75" x14ac:dyDescent="0.25">
      <c r="B84" s="3" t="s">
        <v>175</v>
      </c>
      <c r="C84" s="22">
        <f>H78</f>
        <v>13500</v>
      </c>
      <c r="D84" s="22"/>
      <c r="E84" s="3"/>
      <c r="F84" s="3"/>
      <c r="G84" s="3"/>
      <c r="H84" s="22"/>
      <c r="I84" s="3"/>
      <c r="J84" s="11"/>
      <c r="K84" s="21"/>
    </row>
    <row r="85" spans="2:11" ht="15.75" x14ac:dyDescent="0.25">
      <c r="B85" s="3" t="s">
        <v>191</v>
      </c>
      <c r="C85" s="22">
        <f>D78-D79</f>
        <v>131520</v>
      </c>
      <c r="D85" s="22"/>
      <c r="E85" s="3"/>
      <c r="F85" s="3"/>
      <c r="G85" s="3" t="s">
        <v>192</v>
      </c>
      <c r="H85" s="22">
        <f>'[1]APRIL 21'!L98</f>
        <v>0</v>
      </c>
      <c r="I85" s="3"/>
      <c r="J85" s="11"/>
      <c r="K85" s="1"/>
    </row>
    <row r="86" spans="2:11" ht="15.75" x14ac:dyDescent="0.25">
      <c r="B86" s="29" t="s">
        <v>174</v>
      </c>
      <c r="C86" s="3">
        <f>E78</f>
        <v>162000</v>
      </c>
      <c r="D86" s="3"/>
      <c r="E86" s="3"/>
      <c r="F86" s="3"/>
      <c r="G86" s="29"/>
      <c r="H86" s="3"/>
      <c r="I86" s="3"/>
      <c r="J86" s="11"/>
      <c r="K86" s="1"/>
    </row>
    <row r="87" spans="2:11" ht="15.75" x14ac:dyDescent="0.25">
      <c r="B87" s="29" t="s">
        <v>183</v>
      </c>
      <c r="C87" s="3">
        <f>F78</f>
        <v>64500</v>
      </c>
      <c r="D87" s="3"/>
      <c r="E87" s="3"/>
      <c r="F87" s="3"/>
      <c r="G87" s="29"/>
      <c r="H87" s="3"/>
      <c r="I87" s="3"/>
      <c r="J87" s="11"/>
      <c r="K87" s="1"/>
    </row>
    <row r="88" spans="2:11" ht="15.75" x14ac:dyDescent="0.25">
      <c r="B88" s="29" t="s">
        <v>193</v>
      </c>
      <c r="C88" s="3">
        <f>G78</f>
        <v>18000</v>
      </c>
      <c r="D88" s="3"/>
      <c r="E88" s="3"/>
      <c r="F88" s="3"/>
      <c r="G88" s="29"/>
      <c r="H88" s="3"/>
      <c r="I88" s="3"/>
      <c r="J88" s="11"/>
      <c r="K88" s="1"/>
    </row>
    <row r="89" spans="2:11" ht="15.75" x14ac:dyDescent="0.25">
      <c r="B89" s="29" t="s">
        <v>192</v>
      </c>
      <c r="C89" s="30"/>
      <c r="D89" s="3"/>
      <c r="E89" s="3"/>
      <c r="F89" s="3"/>
      <c r="G89" s="29"/>
      <c r="H89" s="3"/>
      <c r="I89" s="3"/>
      <c r="J89" s="11"/>
      <c r="K89" s="1"/>
    </row>
    <row r="90" spans="2:11" ht="15.75" x14ac:dyDescent="0.25">
      <c r="B90" s="29" t="s">
        <v>194</v>
      </c>
      <c r="C90" s="3">
        <v>41100</v>
      </c>
      <c r="D90" s="3"/>
      <c r="E90" s="3"/>
      <c r="F90" s="3"/>
      <c r="G90" s="29" t="s">
        <v>194</v>
      </c>
      <c r="H90" s="3">
        <v>41100</v>
      </c>
      <c r="I90" s="3"/>
      <c r="J90" s="11"/>
      <c r="K90" s="1"/>
    </row>
    <row r="91" spans="2:11" ht="15.75" x14ac:dyDescent="0.25">
      <c r="B91" s="3" t="s">
        <v>195</v>
      </c>
      <c r="C91" s="31">
        <v>0.05</v>
      </c>
      <c r="D91" s="31"/>
      <c r="E91" s="22">
        <f>C91*C83</f>
        <v>41100</v>
      </c>
      <c r="F91" s="3"/>
      <c r="G91" s="3" t="s">
        <v>195</v>
      </c>
      <c r="H91" s="31">
        <v>0.05</v>
      </c>
      <c r="I91" s="22">
        <f>H91*C83</f>
        <v>41100</v>
      </c>
      <c r="J91" s="20"/>
      <c r="K91" s="21"/>
    </row>
    <row r="92" spans="2:11" ht="15.75" x14ac:dyDescent="0.25">
      <c r="B92" s="5" t="s">
        <v>196</v>
      </c>
      <c r="C92" s="3" t="s">
        <v>197</v>
      </c>
      <c r="D92" s="3"/>
      <c r="E92" s="3"/>
      <c r="F92" s="3"/>
      <c r="G92" s="5" t="s">
        <v>196</v>
      </c>
      <c r="H92" s="22"/>
      <c r="I92" s="3"/>
      <c r="J92" s="3"/>
      <c r="K92" s="1"/>
    </row>
    <row r="93" spans="2:11" ht="15.75" x14ac:dyDescent="0.25">
      <c r="B93" s="23"/>
      <c r="C93" s="31"/>
      <c r="D93" s="31"/>
      <c r="E93" s="3"/>
      <c r="F93" s="3"/>
      <c r="G93" s="23"/>
      <c r="H93" s="31"/>
      <c r="I93" s="3"/>
      <c r="J93" s="11"/>
      <c r="K93" s="1"/>
    </row>
    <row r="94" spans="2:11" ht="15.75" x14ac:dyDescent="0.25">
      <c r="B94" s="32" t="s">
        <v>198</v>
      </c>
      <c r="C94" s="3"/>
      <c r="D94" s="3"/>
      <c r="E94" s="3">
        <f>K78</f>
        <v>1072050</v>
      </c>
      <c r="F94" s="23"/>
      <c r="G94" s="32" t="s">
        <v>198</v>
      </c>
      <c r="H94" s="3"/>
      <c r="I94" s="3">
        <f>K78</f>
        <v>1072050</v>
      </c>
      <c r="J94" s="11"/>
      <c r="K94" s="1"/>
    </row>
    <row r="95" spans="2:11" ht="15.75" x14ac:dyDescent="0.25">
      <c r="B95" s="3"/>
      <c r="C95" s="31"/>
      <c r="D95" s="31"/>
      <c r="E95" s="3"/>
      <c r="F95" s="3"/>
      <c r="G95" s="3"/>
      <c r="H95" s="31"/>
      <c r="I95" s="3"/>
      <c r="J95" s="11"/>
      <c r="K95" s="1"/>
    </row>
    <row r="96" spans="2:11" ht="15.75" x14ac:dyDescent="0.25">
      <c r="B96" s="23" t="s">
        <v>199</v>
      </c>
      <c r="C96" s="22">
        <f>C83+C84+C85+C86+C87+C88+C89+C90</f>
        <v>1252620</v>
      </c>
      <c r="D96" s="22"/>
      <c r="E96" s="24">
        <f>SUM(E91:E95)</f>
        <v>1113150</v>
      </c>
      <c r="F96" s="22">
        <f>C96-E96</f>
        <v>139470</v>
      </c>
      <c r="G96" s="23" t="s">
        <v>199</v>
      </c>
      <c r="H96" s="22">
        <f>H83+H84+H85+H86+H87+H88+H89+H90</f>
        <v>1113150</v>
      </c>
      <c r="I96" s="22">
        <f>SUM(I91:I95)</f>
        <v>1113150</v>
      </c>
      <c r="J96" s="22">
        <f>H96-I96</f>
        <v>0</v>
      </c>
      <c r="K96" s="1"/>
    </row>
    <row r="97" spans="2:11" ht="15.75" x14ac:dyDescent="0.25">
      <c r="B97" s="2" t="s">
        <v>200</v>
      </c>
      <c r="C97" s="2"/>
      <c r="D97" s="2"/>
      <c r="E97" s="33"/>
      <c r="F97" s="2" t="s">
        <v>201</v>
      </c>
      <c r="G97" s="2"/>
      <c r="H97" s="2"/>
      <c r="I97" s="33">
        <f>I96-I91</f>
        <v>1072050</v>
      </c>
      <c r="J97" s="2" t="s">
        <v>202</v>
      </c>
      <c r="K97" s="2"/>
    </row>
    <row r="98" spans="2:11" ht="15.75" x14ac:dyDescent="0.25">
      <c r="B98" s="2" t="s">
        <v>203</v>
      </c>
      <c r="C98" s="2"/>
      <c r="D98" s="2"/>
      <c r="E98" s="2"/>
      <c r="F98" s="2" t="s">
        <v>204</v>
      </c>
      <c r="G98" s="2"/>
      <c r="H98" s="2"/>
      <c r="I98" s="33"/>
      <c r="J98" s="2" t="s">
        <v>205</v>
      </c>
      <c r="K98" s="2"/>
    </row>
    <row r="99" spans="2:11" x14ac:dyDescent="0.25"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2:11" x14ac:dyDescent="0.25"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2" workbookViewId="0">
      <selection activeCell="M70" sqref="M70"/>
    </sheetView>
  </sheetViews>
  <sheetFormatPr defaultRowHeight="15" x14ac:dyDescent="0.25"/>
  <cols>
    <col min="2" max="2" width="29.140625" customWidth="1"/>
    <col min="3" max="3" width="26.85546875" customWidth="1"/>
    <col min="4" max="4" width="11.28515625" bestFit="1" customWidth="1"/>
    <col min="5" max="5" width="12.140625" customWidth="1"/>
    <col min="6" max="7" width="9.140625" customWidth="1"/>
    <col min="8" max="8" width="13" customWidth="1"/>
    <col min="9" max="9" width="11.42578125" customWidth="1"/>
  </cols>
  <sheetData>
    <row r="1" spans="1:13" ht="15.75" x14ac:dyDescent="0.25">
      <c r="C1" s="2" t="s">
        <v>92</v>
      </c>
      <c r="D1" s="2"/>
      <c r="E1" s="2"/>
      <c r="F1" s="2"/>
      <c r="G1" s="2"/>
      <c r="H1" s="2"/>
    </row>
    <row r="2" spans="1:13" ht="15.75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1"/>
      <c r="M2" s="1"/>
    </row>
    <row r="3" spans="1:13" ht="15.75" x14ac:dyDescent="0.25">
      <c r="A3" s="1"/>
      <c r="B3" s="1"/>
      <c r="C3" s="2" t="s">
        <v>210</v>
      </c>
      <c r="D3" s="2"/>
      <c r="E3" s="2"/>
      <c r="F3" s="2"/>
      <c r="G3" s="2"/>
      <c r="H3" s="2"/>
      <c r="I3" s="2"/>
      <c r="J3" s="2"/>
      <c r="K3" s="2"/>
      <c r="L3" s="1"/>
      <c r="M3" s="1"/>
    </row>
    <row r="4" spans="1:13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174</v>
      </c>
      <c r="F4" s="4" t="s">
        <v>183</v>
      </c>
      <c r="G4" s="4" t="s">
        <v>178</v>
      </c>
      <c r="H4" s="4" t="s">
        <v>175</v>
      </c>
      <c r="I4" s="3" t="s">
        <v>192</v>
      </c>
      <c r="J4" s="3" t="s">
        <v>6</v>
      </c>
      <c r="K4" s="3" t="s">
        <v>177</v>
      </c>
      <c r="L4" s="3" t="s">
        <v>8</v>
      </c>
    </row>
    <row r="5" spans="1:13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4"/>
      <c r="F5" s="4"/>
      <c r="G5" s="4"/>
      <c r="H5" s="4">
        <v>300</v>
      </c>
      <c r="I5" s="3">
        <f>'MAY 21 '!L5:L78</f>
        <v>21800</v>
      </c>
      <c r="J5" s="3">
        <f>D5+E5+F5+G5+H5+I5</f>
        <v>102100</v>
      </c>
      <c r="K5" s="3">
        <f>66000</f>
        <v>66000</v>
      </c>
      <c r="L5" s="3">
        <f t="shared" ref="L5:L14" si="0">J5-K5</f>
        <v>36100</v>
      </c>
      <c r="M5" s="1"/>
    </row>
    <row r="6" spans="1:13" ht="15.75" x14ac:dyDescent="0.25">
      <c r="A6" s="3" t="s">
        <v>12</v>
      </c>
      <c r="B6" s="7" t="s">
        <v>147</v>
      </c>
      <c r="C6" s="4"/>
      <c r="D6" s="4">
        <v>64670</v>
      </c>
      <c r="E6" s="4"/>
      <c r="F6" s="4"/>
      <c r="G6" s="4"/>
      <c r="H6" s="4"/>
      <c r="I6" s="3">
        <f>'MAY 21 '!L6:L79</f>
        <v>0</v>
      </c>
      <c r="J6" s="3">
        <f t="shared" ref="J6:J69" si="1">D6+E6+F6+G6+H6+I6</f>
        <v>64670</v>
      </c>
      <c r="K6" s="3">
        <v>64670</v>
      </c>
      <c r="L6" s="3">
        <f t="shared" si="0"/>
        <v>0</v>
      </c>
      <c r="M6" s="1"/>
    </row>
    <row r="7" spans="1:13" ht="15.75" x14ac:dyDescent="0.25">
      <c r="A7" s="3" t="s">
        <v>14</v>
      </c>
      <c r="B7" s="3" t="s">
        <v>16</v>
      </c>
      <c r="C7" s="4" t="s">
        <v>17</v>
      </c>
      <c r="D7" s="4">
        <v>122000</v>
      </c>
      <c r="E7" s="4"/>
      <c r="F7" s="4"/>
      <c r="G7" s="4"/>
      <c r="H7" s="4"/>
      <c r="I7" s="3">
        <f>'MAY 21 '!L7:L80</f>
        <v>1800</v>
      </c>
      <c r="J7" s="3">
        <f t="shared" si="1"/>
        <v>123800</v>
      </c>
      <c r="K7" s="3">
        <v>122000</v>
      </c>
      <c r="L7" s="3">
        <f t="shared" si="0"/>
        <v>1800</v>
      </c>
      <c r="M7" s="1"/>
    </row>
    <row r="8" spans="1:13" ht="15.75" x14ac:dyDescent="0.25">
      <c r="A8" s="3" t="s">
        <v>15</v>
      </c>
      <c r="B8" s="3" t="s">
        <v>16</v>
      </c>
      <c r="C8" s="4" t="s">
        <v>149</v>
      </c>
      <c r="D8" s="4"/>
      <c r="E8" s="4"/>
      <c r="F8" s="4"/>
      <c r="G8" s="4"/>
      <c r="H8" s="4"/>
      <c r="I8" s="3">
        <f>'MAY 21 '!L8:L81</f>
        <v>0</v>
      </c>
      <c r="J8" s="3">
        <f t="shared" si="1"/>
        <v>0</v>
      </c>
      <c r="K8" s="3"/>
      <c r="L8" s="3">
        <f t="shared" si="0"/>
        <v>0</v>
      </c>
      <c r="M8" s="1"/>
    </row>
    <row r="9" spans="1:13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4"/>
      <c r="F9" s="4"/>
      <c r="G9" s="4"/>
      <c r="H9" s="4">
        <v>300</v>
      </c>
      <c r="I9" s="3">
        <f>'MAY 21 '!L9:L82</f>
        <v>1800</v>
      </c>
      <c r="J9" s="3">
        <f t="shared" si="1"/>
        <v>42100</v>
      </c>
      <c r="K9" s="3">
        <f>26700+10000+5400</f>
        <v>42100</v>
      </c>
      <c r="L9" s="3">
        <f t="shared" si="0"/>
        <v>0</v>
      </c>
      <c r="M9" s="1"/>
    </row>
    <row r="10" spans="1:13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4"/>
      <c r="F10" s="4"/>
      <c r="G10" s="4"/>
      <c r="H10" s="4">
        <v>300</v>
      </c>
      <c r="I10" s="3">
        <f>'MAY 21 '!L10:L83</f>
        <v>1800</v>
      </c>
      <c r="J10" s="3">
        <f t="shared" si="1"/>
        <v>52100</v>
      </c>
      <c r="K10" s="3">
        <f>50000</f>
        <v>50000</v>
      </c>
      <c r="L10" s="3">
        <f t="shared" si="0"/>
        <v>2100</v>
      </c>
      <c r="M10" s="1"/>
    </row>
    <row r="11" spans="1:13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4"/>
      <c r="F11" s="4"/>
      <c r="G11" s="4"/>
      <c r="H11" s="4">
        <v>300</v>
      </c>
      <c r="I11" s="3">
        <f>'MAY 21 '!L11:L84</f>
        <v>1800</v>
      </c>
      <c r="J11" s="3">
        <f t="shared" si="1"/>
        <v>22100</v>
      </c>
      <c r="K11" s="3">
        <f>20000</f>
        <v>20000</v>
      </c>
      <c r="L11" s="3">
        <f t="shared" si="0"/>
        <v>2100</v>
      </c>
      <c r="M11" s="1"/>
    </row>
    <row r="12" spans="1:13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4"/>
      <c r="F12" s="4"/>
      <c r="G12" s="4"/>
      <c r="H12" s="4">
        <v>300</v>
      </c>
      <c r="I12" s="3">
        <f>'MAY 21 '!L12:L85</f>
        <v>1800</v>
      </c>
      <c r="J12" s="3">
        <f t="shared" si="1"/>
        <v>22100</v>
      </c>
      <c r="K12" s="3">
        <v>20000</v>
      </c>
      <c r="L12" s="3">
        <f t="shared" si="0"/>
        <v>2100</v>
      </c>
      <c r="M12" s="1"/>
    </row>
    <row r="13" spans="1:13" ht="15.75" x14ac:dyDescent="0.25">
      <c r="A13" s="3" t="s">
        <v>96</v>
      </c>
      <c r="B13" s="5" t="s">
        <v>13</v>
      </c>
      <c r="C13" s="4"/>
      <c r="D13" s="4"/>
      <c r="E13" s="4"/>
      <c r="F13" s="4"/>
      <c r="G13" s="4"/>
      <c r="H13" s="4"/>
      <c r="I13" s="3">
        <f>'MAY 21 '!L13:L86</f>
        <v>0</v>
      </c>
      <c r="J13" s="3">
        <f t="shared" si="1"/>
        <v>0</v>
      </c>
      <c r="K13" s="3"/>
      <c r="L13" s="3">
        <f t="shared" si="0"/>
        <v>0</v>
      </c>
      <c r="M13" s="1"/>
    </row>
    <row r="14" spans="1:13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4"/>
      <c r="F14" s="4"/>
      <c r="G14" s="4"/>
      <c r="H14" s="4">
        <v>300</v>
      </c>
      <c r="I14" s="3">
        <f>'MAY 21 '!L14:L87</f>
        <v>10800</v>
      </c>
      <c r="J14" s="3">
        <f t="shared" si="1"/>
        <v>23100</v>
      </c>
      <c r="K14" s="3"/>
      <c r="L14" s="3">
        <f t="shared" si="0"/>
        <v>23100</v>
      </c>
      <c r="M14" s="1" t="s">
        <v>215</v>
      </c>
    </row>
    <row r="15" spans="1:13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4"/>
      <c r="F15" s="4"/>
      <c r="G15" s="4"/>
      <c r="H15" s="4">
        <v>300</v>
      </c>
      <c r="I15" s="3">
        <f>'MAY 21 '!L15:L88</f>
        <v>1800</v>
      </c>
      <c r="J15" s="3">
        <f t="shared" si="1"/>
        <v>67100</v>
      </c>
      <c r="K15" s="3">
        <f>65000</f>
        <v>65000</v>
      </c>
      <c r="L15" s="3">
        <f t="shared" ref="L15:L72" si="2">J15-K15</f>
        <v>2100</v>
      </c>
      <c r="M15" s="1"/>
    </row>
    <row r="16" spans="1:13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4"/>
      <c r="F16" s="4"/>
      <c r="G16" s="4"/>
      <c r="H16" s="4">
        <v>300</v>
      </c>
      <c r="I16" s="3">
        <f>'MAY 21 '!L16:L89</f>
        <v>0</v>
      </c>
      <c r="J16" s="3">
        <f t="shared" si="1"/>
        <v>60300</v>
      </c>
      <c r="K16" s="3">
        <v>60000</v>
      </c>
      <c r="L16" s="3">
        <f t="shared" si="2"/>
        <v>300</v>
      </c>
      <c r="M16" s="1"/>
    </row>
    <row r="17" spans="1:13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4"/>
      <c r="F17" s="4"/>
      <c r="G17" s="4"/>
      <c r="H17" s="4">
        <v>300</v>
      </c>
      <c r="I17" s="3">
        <f>'MAY 21 '!L17:L90</f>
        <v>7300</v>
      </c>
      <c r="J17" s="3">
        <f t="shared" si="1"/>
        <v>22600</v>
      </c>
      <c r="K17" s="3">
        <f>8000</f>
        <v>8000</v>
      </c>
      <c r="L17" s="3">
        <f t="shared" si="2"/>
        <v>14600</v>
      </c>
      <c r="M17" s="1"/>
    </row>
    <row r="18" spans="1:13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4"/>
      <c r="F18" s="4"/>
      <c r="G18" s="4"/>
      <c r="H18" s="4">
        <v>300</v>
      </c>
      <c r="I18" s="3">
        <f>'MAY 21 '!L18:L91</f>
        <v>6800</v>
      </c>
      <c r="J18" s="3">
        <f t="shared" si="1"/>
        <v>22100</v>
      </c>
      <c r="K18" s="3">
        <f>5000+15000</f>
        <v>20000</v>
      </c>
      <c r="L18" s="3">
        <f t="shared" si="2"/>
        <v>2100</v>
      </c>
      <c r="M18" s="1"/>
    </row>
    <row r="19" spans="1:13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4"/>
      <c r="F19" s="4"/>
      <c r="G19" s="4"/>
      <c r="H19" s="4">
        <v>300</v>
      </c>
      <c r="I19" s="3">
        <f>'MAY 21 '!L19:L92</f>
        <v>1300</v>
      </c>
      <c r="J19" s="3">
        <f t="shared" si="1"/>
        <v>16600</v>
      </c>
      <c r="K19" s="3">
        <f>16600</f>
        <v>16600</v>
      </c>
      <c r="L19" s="3">
        <f t="shared" si="2"/>
        <v>0</v>
      </c>
      <c r="M19" s="1"/>
    </row>
    <row r="20" spans="1:13" ht="15.75" x14ac:dyDescent="0.25">
      <c r="A20" s="3" t="s">
        <v>29</v>
      </c>
      <c r="B20" s="7" t="s">
        <v>167</v>
      </c>
      <c r="C20" s="8" t="s">
        <v>38</v>
      </c>
      <c r="D20" s="4">
        <v>10000</v>
      </c>
      <c r="E20" s="4"/>
      <c r="F20" s="4"/>
      <c r="G20" s="4"/>
      <c r="H20" s="4">
        <v>300</v>
      </c>
      <c r="I20" s="3">
        <f>'MAY 21 '!L20:L93</f>
        <v>1800</v>
      </c>
      <c r="J20" s="3">
        <f t="shared" si="1"/>
        <v>12100</v>
      </c>
      <c r="K20" s="3">
        <v>9000</v>
      </c>
      <c r="L20" s="3">
        <f t="shared" si="2"/>
        <v>3100</v>
      </c>
      <c r="M20" s="1"/>
    </row>
    <row r="21" spans="1:13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4"/>
      <c r="F21" s="4"/>
      <c r="G21" s="4"/>
      <c r="H21" s="4"/>
      <c r="I21" s="3">
        <f>'MAY 21 '!L21:L94</f>
        <v>0</v>
      </c>
      <c r="J21" s="3">
        <f t="shared" si="1"/>
        <v>10000</v>
      </c>
      <c r="K21" s="3">
        <v>10000</v>
      </c>
      <c r="L21" s="3">
        <f t="shared" si="2"/>
        <v>0</v>
      </c>
      <c r="M21" s="1"/>
    </row>
    <row r="22" spans="1:13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4"/>
      <c r="F22" s="4"/>
      <c r="G22" s="4"/>
      <c r="H22" s="4">
        <v>300</v>
      </c>
      <c r="I22" s="3">
        <f>'MAY 21 '!L22:L95</f>
        <v>1800</v>
      </c>
      <c r="J22" s="3">
        <f t="shared" si="1"/>
        <v>12100</v>
      </c>
      <c r="K22" s="3">
        <v>10000</v>
      </c>
      <c r="L22" s="3">
        <f t="shared" si="2"/>
        <v>2100</v>
      </c>
      <c r="M22" s="1"/>
    </row>
    <row r="23" spans="1:13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4"/>
      <c r="F23" s="4"/>
      <c r="G23" s="4"/>
      <c r="H23" s="4">
        <v>300</v>
      </c>
      <c r="I23" s="3">
        <f>'MAY 21 '!L23:L96</f>
        <v>3800</v>
      </c>
      <c r="J23" s="3">
        <f t="shared" si="1"/>
        <v>16100</v>
      </c>
      <c r="K23" s="3">
        <f>8000</f>
        <v>8000</v>
      </c>
      <c r="L23" s="3">
        <f t="shared" si="2"/>
        <v>8100</v>
      </c>
      <c r="M23" s="1"/>
    </row>
    <row r="24" spans="1:13" ht="15.75" x14ac:dyDescent="0.25">
      <c r="A24" s="3" t="s">
        <v>39</v>
      </c>
      <c r="B24" s="3" t="s">
        <v>43</v>
      </c>
      <c r="C24" s="4" t="s">
        <v>44</v>
      </c>
      <c r="D24" s="4">
        <v>10000</v>
      </c>
      <c r="E24" s="4"/>
      <c r="F24" s="4"/>
      <c r="G24" s="4"/>
      <c r="H24" s="4">
        <v>300</v>
      </c>
      <c r="I24" s="3">
        <f>'MAY 21 '!L24:L97</f>
        <v>3800</v>
      </c>
      <c r="J24" s="3">
        <f t="shared" si="1"/>
        <v>14100</v>
      </c>
      <c r="K24" s="3">
        <v>10000</v>
      </c>
      <c r="L24" s="3">
        <f t="shared" si="2"/>
        <v>4100</v>
      </c>
      <c r="M24" s="1"/>
    </row>
    <row r="25" spans="1:13" ht="15.75" x14ac:dyDescent="0.25">
      <c r="A25" s="3" t="s">
        <v>42</v>
      </c>
      <c r="B25" s="5" t="s">
        <v>13</v>
      </c>
      <c r="C25" s="4"/>
      <c r="D25" s="4"/>
      <c r="E25" s="4"/>
      <c r="F25" s="4"/>
      <c r="G25" s="4"/>
      <c r="H25" s="4"/>
      <c r="I25" s="3">
        <f>'MAY 21 '!L25:L98</f>
        <v>0</v>
      </c>
      <c r="J25" s="3">
        <f t="shared" si="1"/>
        <v>0</v>
      </c>
      <c r="K25" s="3"/>
      <c r="L25" s="3">
        <f t="shared" si="2"/>
        <v>0</v>
      </c>
      <c r="M25" s="1"/>
    </row>
    <row r="26" spans="1:13" ht="15.75" x14ac:dyDescent="0.25">
      <c r="A26" s="3" t="s">
        <v>45</v>
      </c>
      <c r="B26" s="5" t="s">
        <v>13</v>
      </c>
      <c r="C26" s="4"/>
      <c r="D26" s="4"/>
      <c r="E26" s="4"/>
      <c r="F26" s="4"/>
      <c r="G26" s="4"/>
      <c r="H26" s="4"/>
      <c r="I26" s="3">
        <f>'MAY 21 '!L26:L99</f>
        <v>0</v>
      </c>
      <c r="J26" s="3">
        <f t="shared" si="1"/>
        <v>0</v>
      </c>
      <c r="K26" s="3"/>
      <c r="L26" s="3">
        <f t="shared" si="2"/>
        <v>0</v>
      </c>
      <c r="M26" s="1"/>
    </row>
    <row r="27" spans="1:13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4"/>
      <c r="F27" s="4"/>
      <c r="G27" s="4"/>
      <c r="H27" s="4">
        <v>300</v>
      </c>
      <c r="I27" s="3">
        <f>'MAY 21 '!L27:L100</f>
        <v>1500</v>
      </c>
      <c r="J27" s="3">
        <f t="shared" si="1"/>
        <v>11800</v>
      </c>
      <c r="K27" s="3">
        <f>10300</f>
        <v>10300</v>
      </c>
      <c r="L27" s="3">
        <f t="shared" si="2"/>
        <v>1500</v>
      </c>
      <c r="M27" s="1"/>
    </row>
    <row r="28" spans="1:13" ht="15.75" x14ac:dyDescent="0.25">
      <c r="A28" s="3" t="s">
        <v>50</v>
      </c>
      <c r="B28" s="13" t="s">
        <v>207</v>
      </c>
      <c r="C28" s="15" t="s">
        <v>208</v>
      </c>
      <c r="D28" s="15"/>
      <c r="E28" s="15"/>
      <c r="F28" s="15"/>
      <c r="G28" s="15"/>
      <c r="H28" s="15"/>
      <c r="I28" s="3">
        <f>'MAY 21 '!L28:L101</f>
        <v>0</v>
      </c>
      <c r="J28" s="13">
        <f t="shared" si="1"/>
        <v>0</v>
      </c>
      <c r="K28" s="26"/>
      <c r="L28" s="3">
        <f t="shared" si="2"/>
        <v>0</v>
      </c>
      <c r="M28" s="1"/>
    </row>
    <row r="29" spans="1:13" ht="15.75" x14ac:dyDescent="0.25">
      <c r="A29" s="3" t="s">
        <v>51</v>
      </c>
      <c r="B29" s="3" t="s">
        <v>70</v>
      </c>
      <c r="C29" s="4" t="s">
        <v>71</v>
      </c>
      <c r="D29" s="4">
        <v>6500</v>
      </c>
      <c r="E29" s="4"/>
      <c r="F29" s="4"/>
      <c r="G29" s="4"/>
      <c r="H29" s="4">
        <v>300</v>
      </c>
      <c r="I29" s="3">
        <f>'MAY 21 '!L29:L102</f>
        <v>1800</v>
      </c>
      <c r="J29" s="3">
        <f t="shared" si="1"/>
        <v>8600</v>
      </c>
      <c r="K29" s="3">
        <v>6500</v>
      </c>
      <c r="L29" s="3">
        <f t="shared" si="2"/>
        <v>2100</v>
      </c>
      <c r="M29" s="1"/>
    </row>
    <row r="30" spans="1:13" ht="15.75" x14ac:dyDescent="0.25">
      <c r="A30" s="7" t="s">
        <v>102</v>
      </c>
      <c r="B30" s="7" t="s">
        <v>171</v>
      </c>
      <c r="C30" s="8" t="s">
        <v>69</v>
      </c>
      <c r="D30" s="4">
        <v>9500</v>
      </c>
      <c r="E30" s="4"/>
      <c r="F30" s="4"/>
      <c r="G30" s="4"/>
      <c r="H30" s="4">
        <v>300</v>
      </c>
      <c r="I30" s="3">
        <f>'MAY 21 '!L30:L103</f>
        <v>1800</v>
      </c>
      <c r="J30" s="3">
        <f t="shared" si="1"/>
        <v>11600</v>
      </c>
      <c r="K30" s="3"/>
      <c r="L30" s="3">
        <f>J30-K30</f>
        <v>11600</v>
      </c>
      <c r="M30" s="1" t="s">
        <v>215</v>
      </c>
    </row>
    <row r="31" spans="1:13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4"/>
      <c r="F31" s="4"/>
      <c r="G31" s="4"/>
      <c r="H31" s="4">
        <v>300</v>
      </c>
      <c r="I31" s="3">
        <f>'MAY 21 '!L31:L104</f>
        <v>1800</v>
      </c>
      <c r="J31" s="3">
        <f t="shared" si="1"/>
        <v>11100</v>
      </c>
      <c r="K31" s="3">
        <f>9000</f>
        <v>9000</v>
      </c>
      <c r="L31" s="3">
        <f>J31-K31</f>
        <v>2100</v>
      </c>
      <c r="M31" s="1"/>
    </row>
    <row r="32" spans="1:13" ht="15.75" x14ac:dyDescent="0.25">
      <c r="A32" s="3" t="s">
        <v>104</v>
      </c>
      <c r="B32" s="14" t="s">
        <v>13</v>
      </c>
      <c r="C32" s="10"/>
      <c r="D32" s="4"/>
      <c r="E32" s="4"/>
      <c r="F32" s="4"/>
      <c r="G32" s="4"/>
      <c r="H32" s="4"/>
      <c r="I32" s="3">
        <f>'MAY 21 '!L32:L105</f>
        <v>0</v>
      </c>
      <c r="J32" s="3">
        <f t="shared" si="1"/>
        <v>0</v>
      </c>
      <c r="K32" s="11"/>
      <c r="L32" s="3">
        <f t="shared" si="2"/>
        <v>0</v>
      </c>
      <c r="M32" s="1"/>
    </row>
    <row r="33" spans="1:13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4"/>
      <c r="F33" s="4"/>
      <c r="G33" s="4"/>
      <c r="H33" s="4">
        <v>300</v>
      </c>
      <c r="I33" s="3">
        <f>'MAY 21 '!L33:L106</f>
        <v>1800</v>
      </c>
      <c r="J33" s="3">
        <f t="shared" si="1"/>
        <v>14100</v>
      </c>
      <c r="K33" s="3">
        <f>12000</f>
        <v>12000</v>
      </c>
      <c r="L33" s="3">
        <f>J33-K33</f>
        <v>2100</v>
      </c>
      <c r="M33" s="1"/>
    </row>
    <row r="34" spans="1:13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4"/>
      <c r="F34" s="4"/>
      <c r="G34" s="4"/>
      <c r="H34" s="4">
        <v>300</v>
      </c>
      <c r="I34" s="3">
        <f>'MAY 21 '!L34:L107</f>
        <v>1800</v>
      </c>
      <c r="J34" s="3">
        <f t="shared" si="1"/>
        <v>14100</v>
      </c>
      <c r="K34" s="3">
        <f>13000</f>
        <v>13000</v>
      </c>
      <c r="L34" s="3">
        <f t="shared" si="2"/>
        <v>1100</v>
      </c>
      <c r="M34" s="1"/>
    </row>
    <row r="35" spans="1:13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4"/>
      <c r="F35" s="4"/>
      <c r="G35" s="4"/>
      <c r="H35" s="4">
        <v>300</v>
      </c>
      <c r="I35" s="3">
        <f>'MAY 21 '!L35:L108</f>
        <v>1800</v>
      </c>
      <c r="J35" s="3">
        <f t="shared" si="1"/>
        <v>12100</v>
      </c>
      <c r="K35" s="7">
        <v>10000</v>
      </c>
      <c r="L35" s="3">
        <f t="shared" si="2"/>
        <v>2100</v>
      </c>
      <c r="M35" s="1"/>
    </row>
    <row r="36" spans="1:13" ht="15.75" x14ac:dyDescent="0.25">
      <c r="A36" s="3" t="s">
        <v>108</v>
      </c>
      <c r="B36" s="7" t="s">
        <v>209</v>
      </c>
      <c r="C36" s="8"/>
      <c r="D36" s="12"/>
      <c r="E36" s="12"/>
      <c r="F36" s="4"/>
      <c r="G36" s="12"/>
      <c r="H36" s="4"/>
      <c r="I36" s="3">
        <f>'MAY 21 '!L36:L109</f>
        <v>0</v>
      </c>
      <c r="J36" s="3">
        <f t="shared" si="1"/>
        <v>0</v>
      </c>
      <c r="K36" s="3"/>
      <c r="L36" s="3">
        <f t="shared" si="2"/>
        <v>0</v>
      </c>
      <c r="M36" s="1"/>
    </row>
    <row r="37" spans="1:13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8"/>
      <c r="F37" s="4"/>
      <c r="G37" s="8"/>
      <c r="H37" s="4">
        <v>300</v>
      </c>
      <c r="I37" s="3">
        <f>'MAY 21 '!L37:L110</f>
        <v>1800</v>
      </c>
      <c r="J37" s="3">
        <f t="shared" si="1"/>
        <v>15100</v>
      </c>
      <c r="K37" s="3">
        <v>14800</v>
      </c>
      <c r="L37" s="3">
        <f t="shared" si="2"/>
        <v>300</v>
      </c>
      <c r="M37" s="1"/>
    </row>
    <row r="38" spans="1:13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8"/>
      <c r="F38" s="4"/>
      <c r="G38" s="8"/>
      <c r="H38" s="4">
        <v>300</v>
      </c>
      <c r="I38" s="3">
        <f>'MAY 21 '!L38:L111</f>
        <v>1500</v>
      </c>
      <c r="J38" s="3">
        <f t="shared" si="1"/>
        <v>11800</v>
      </c>
      <c r="K38" s="3">
        <f>10300</f>
        <v>10300</v>
      </c>
      <c r="L38" s="3">
        <f t="shared" si="2"/>
        <v>1500</v>
      </c>
      <c r="M38" s="1"/>
    </row>
    <row r="39" spans="1:13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4"/>
      <c r="F39" s="4"/>
      <c r="G39" s="4"/>
      <c r="H39" s="4">
        <v>300</v>
      </c>
      <c r="I39" s="3">
        <f>'MAY 21 '!L39:L112</f>
        <v>1500</v>
      </c>
      <c r="J39" s="3">
        <f t="shared" si="1"/>
        <v>13800</v>
      </c>
      <c r="K39" s="3">
        <f>11300</f>
        <v>11300</v>
      </c>
      <c r="L39" s="3">
        <f t="shared" si="2"/>
        <v>2500</v>
      </c>
      <c r="M39" s="1"/>
    </row>
    <row r="40" spans="1:13" ht="15.75" x14ac:dyDescent="0.25">
      <c r="A40" s="3" t="s">
        <v>112</v>
      </c>
      <c r="B40" s="3" t="s">
        <v>56</v>
      </c>
      <c r="C40" s="4" t="s">
        <v>57</v>
      </c>
      <c r="D40" s="4">
        <v>12000</v>
      </c>
      <c r="E40" s="4"/>
      <c r="F40" s="4"/>
      <c r="G40" s="4"/>
      <c r="H40" s="4">
        <v>300</v>
      </c>
      <c r="I40" s="3">
        <f>'MAY 21 '!L40:L113</f>
        <v>1800</v>
      </c>
      <c r="J40" s="3">
        <f t="shared" si="1"/>
        <v>14100</v>
      </c>
      <c r="K40" s="3">
        <f>12300</f>
        <v>12300</v>
      </c>
      <c r="L40" s="3">
        <f t="shared" si="2"/>
        <v>1800</v>
      </c>
      <c r="M40" s="1"/>
    </row>
    <row r="41" spans="1:13" ht="15.75" x14ac:dyDescent="0.25">
      <c r="A41" s="7" t="s">
        <v>113</v>
      </c>
      <c r="B41" s="7" t="s">
        <v>82</v>
      </c>
      <c r="C41" s="10" t="s">
        <v>169</v>
      </c>
      <c r="D41" s="4">
        <v>6500</v>
      </c>
      <c r="E41" s="4"/>
      <c r="F41" s="4"/>
      <c r="G41" s="4"/>
      <c r="H41" s="4"/>
      <c r="I41" s="3">
        <f>'MAY 21 '!L41:L114</f>
        <v>0</v>
      </c>
      <c r="J41" s="3">
        <f t="shared" si="1"/>
        <v>6500</v>
      </c>
      <c r="K41" s="3">
        <v>6500</v>
      </c>
      <c r="L41" s="3">
        <f t="shared" si="2"/>
        <v>0</v>
      </c>
      <c r="M41" s="1"/>
    </row>
    <row r="42" spans="1:13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8"/>
      <c r="F42" s="4"/>
      <c r="G42" s="8"/>
      <c r="H42" s="4">
        <v>300</v>
      </c>
      <c r="I42" s="3">
        <f>'MAY 21 '!L42:L115</f>
        <v>0</v>
      </c>
      <c r="J42" s="3">
        <f t="shared" si="1"/>
        <v>12300</v>
      </c>
      <c r="K42" s="3">
        <v>12300</v>
      </c>
      <c r="L42" s="3">
        <f t="shared" si="2"/>
        <v>0</v>
      </c>
      <c r="M42" s="1"/>
    </row>
    <row r="43" spans="1:13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4"/>
      <c r="F43" s="4"/>
      <c r="G43" s="4"/>
      <c r="H43" s="4">
        <v>300</v>
      </c>
      <c r="I43" s="3">
        <f>'MAY 21 '!L43:L116</f>
        <v>1800</v>
      </c>
      <c r="J43" s="3">
        <f t="shared" si="1"/>
        <v>14100</v>
      </c>
      <c r="K43" s="3">
        <f>12000</f>
        <v>12000</v>
      </c>
      <c r="L43" s="3">
        <f t="shared" si="2"/>
        <v>2100</v>
      </c>
      <c r="M43" s="1"/>
    </row>
    <row r="44" spans="1:13" ht="15.75" x14ac:dyDescent="0.25">
      <c r="A44" s="3" t="s">
        <v>116</v>
      </c>
      <c r="B44" s="9" t="s">
        <v>217</v>
      </c>
      <c r="C44" s="8"/>
      <c r="D44" s="4">
        <f>10000+1600</f>
        <v>11600</v>
      </c>
      <c r="E44" s="4"/>
      <c r="F44" s="4"/>
      <c r="G44" s="4"/>
      <c r="H44" s="4">
        <v>300</v>
      </c>
      <c r="I44" s="3">
        <f>'MAY 21 '!L44:L117</f>
        <v>0</v>
      </c>
      <c r="J44" s="3">
        <f t="shared" si="1"/>
        <v>11900</v>
      </c>
      <c r="K44" s="3">
        <f>1600+300+10000</f>
        <v>11900</v>
      </c>
      <c r="L44" s="3">
        <f t="shared" si="2"/>
        <v>0</v>
      </c>
      <c r="M44" s="1"/>
    </row>
    <row r="45" spans="1:13" ht="15.75" x14ac:dyDescent="0.25">
      <c r="A45" s="3" t="s">
        <v>117</v>
      </c>
      <c r="B45" s="5" t="s">
        <v>13</v>
      </c>
      <c r="C45" s="4"/>
      <c r="D45" s="4"/>
      <c r="E45" s="4"/>
      <c r="F45" s="4"/>
      <c r="G45" s="4"/>
      <c r="H45" s="4"/>
      <c r="I45" s="3">
        <f>'MAY 21 '!L45:L118</f>
        <v>0</v>
      </c>
      <c r="J45" s="3">
        <f t="shared" si="1"/>
        <v>0</v>
      </c>
      <c r="K45" s="3"/>
      <c r="L45" s="3">
        <f t="shared" si="2"/>
        <v>0</v>
      </c>
      <c r="M45" s="1"/>
    </row>
    <row r="46" spans="1:13" ht="15.75" x14ac:dyDescent="0.25">
      <c r="A46" s="3" t="s">
        <v>118</v>
      </c>
      <c r="B46" s="5" t="s">
        <v>13</v>
      </c>
      <c r="C46" s="4"/>
      <c r="D46" s="4"/>
      <c r="E46" s="4"/>
      <c r="F46" s="4"/>
      <c r="G46" s="4"/>
      <c r="H46" s="4"/>
      <c r="I46" s="3">
        <f>'MAY 21 '!L46:L119</f>
        <v>0</v>
      </c>
      <c r="J46" s="3">
        <f t="shared" si="1"/>
        <v>0</v>
      </c>
      <c r="K46" s="3"/>
      <c r="L46" s="3">
        <f t="shared" si="2"/>
        <v>0</v>
      </c>
      <c r="M46" s="1"/>
    </row>
    <row r="47" spans="1:13" ht="15.75" x14ac:dyDescent="0.25">
      <c r="A47" s="3" t="s">
        <v>119</v>
      </c>
      <c r="B47" s="5" t="s">
        <v>13</v>
      </c>
      <c r="C47" s="4"/>
      <c r="D47" s="4"/>
      <c r="E47" s="4"/>
      <c r="F47" s="4"/>
      <c r="G47" s="4"/>
      <c r="H47" s="4"/>
      <c r="I47" s="3">
        <f>'MAY 21 '!L47:L120</f>
        <v>0</v>
      </c>
      <c r="J47" s="3">
        <f t="shared" si="1"/>
        <v>0</v>
      </c>
      <c r="K47" s="3"/>
      <c r="L47" s="3">
        <f t="shared" si="2"/>
        <v>0</v>
      </c>
      <c r="M47" s="1"/>
    </row>
    <row r="48" spans="1:13" ht="15.75" x14ac:dyDescent="0.25">
      <c r="A48" s="3" t="s">
        <v>120</v>
      </c>
      <c r="B48" s="7" t="s">
        <v>168</v>
      </c>
      <c r="C48" s="4" t="s">
        <v>80</v>
      </c>
      <c r="D48" s="4"/>
      <c r="E48" s="4"/>
      <c r="F48" s="4"/>
      <c r="G48" s="4"/>
      <c r="H48" s="4"/>
      <c r="I48" s="3">
        <f>'MAY 21 '!L48:L121</f>
        <v>0</v>
      </c>
      <c r="J48" s="3">
        <f t="shared" si="1"/>
        <v>0</v>
      </c>
      <c r="K48" s="3"/>
      <c r="L48" s="3">
        <f t="shared" si="2"/>
        <v>0</v>
      </c>
      <c r="M48" s="1"/>
    </row>
    <row r="49" spans="1:13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4"/>
      <c r="F49" s="4"/>
      <c r="G49" s="4"/>
      <c r="H49" s="4">
        <v>300</v>
      </c>
      <c r="I49" s="3">
        <f>'MAY 21 '!L49:L122</f>
        <v>1800</v>
      </c>
      <c r="J49" s="3">
        <f t="shared" si="1"/>
        <v>14100</v>
      </c>
      <c r="K49" s="3">
        <f>12000</f>
        <v>12000</v>
      </c>
      <c r="L49" s="3">
        <f t="shared" si="2"/>
        <v>2100</v>
      </c>
      <c r="M49" s="1"/>
    </row>
    <row r="50" spans="1:13" ht="15.75" x14ac:dyDescent="0.25">
      <c r="A50" s="3" t="s">
        <v>122</v>
      </c>
      <c r="B50" s="13" t="s">
        <v>13</v>
      </c>
      <c r="C50" s="4"/>
      <c r="D50" s="4"/>
      <c r="E50" s="4"/>
      <c r="F50" s="4"/>
      <c r="G50" s="4"/>
      <c r="H50" s="4"/>
      <c r="I50" s="3">
        <f>'MAY 21 '!L50:L123</f>
        <v>0</v>
      </c>
      <c r="J50" s="3">
        <f t="shared" si="1"/>
        <v>0</v>
      </c>
      <c r="K50" s="3"/>
      <c r="L50" s="3">
        <f t="shared" si="2"/>
        <v>0</v>
      </c>
      <c r="M50" s="1"/>
    </row>
    <row r="51" spans="1:13" ht="15.75" x14ac:dyDescent="0.25">
      <c r="A51" s="3" t="s">
        <v>123</v>
      </c>
      <c r="B51" s="5" t="s">
        <v>13</v>
      </c>
      <c r="C51" s="4"/>
      <c r="D51" s="4"/>
      <c r="E51" s="4"/>
      <c r="F51" s="4"/>
      <c r="G51" s="4"/>
      <c r="H51" s="4"/>
      <c r="I51" s="3">
        <f>'MAY 21 '!L51:L124</f>
        <v>0</v>
      </c>
      <c r="J51" s="3">
        <f t="shared" si="1"/>
        <v>0</v>
      </c>
      <c r="K51" s="3"/>
      <c r="L51" s="3">
        <f t="shared" si="2"/>
        <v>0</v>
      </c>
      <c r="M51" s="1"/>
    </row>
    <row r="52" spans="1:13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4"/>
      <c r="F52" s="4"/>
      <c r="G52" s="4"/>
      <c r="H52" s="4">
        <v>300</v>
      </c>
      <c r="I52" s="3">
        <f>'MAY 21 '!L52:L125</f>
        <v>2670</v>
      </c>
      <c r="J52" s="3">
        <f t="shared" si="1"/>
        <v>12840</v>
      </c>
      <c r="K52" s="3">
        <f>7000+2000</f>
        <v>9000</v>
      </c>
      <c r="L52" s="3">
        <f t="shared" si="2"/>
        <v>3840</v>
      </c>
      <c r="M52" s="1"/>
    </row>
    <row r="53" spans="1:13" ht="15.75" x14ac:dyDescent="0.25">
      <c r="A53" s="3" t="s">
        <v>125</v>
      </c>
      <c r="B53" s="13" t="s">
        <v>13</v>
      </c>
      <c r="C53" s="4"/>
      <c r="D53" s="4"/>
      <c r="E53" s="4"/>
      <c r="F53" s="4"/>
      <c r="G53" s="4"/>
      <c r="H53" s="4"/>
      <c r="I53" s="3">
        <f>'MAY 21 '!L53:L126</f>
        <v>0</v>
      </c>
      <c r="J53" s="3">
        <f t="shared" si="1"/>
        <v>0</v>
      </c>
      <c r="K53" s="3"/>
      <c r="L53" s="3">
        <f t="shared" si="2"/>
        <v>0</v>
      </c>
      <c r="M53" s="1"/>
    </row>
    <row r="54" spans="1:13" ht="15.75" x14ac:dyDescent="0.25">
      <c r="A54" s="3" t="s">
        <v>126</v>
      </c>
      <c r="B54" s="5" t="s">
        <v>13</v>
      </c>
      <c r="C54" s="4"/>
      <c r="D54" s="4"/>
      <c r="E54" s="4"/>
      <c r="F54" s="4"/>
      <c r="G54" s="4"/>
      <c r="H54" s="4"/>
      <c r="I54" s="3">
        <f>'MAY 21 '!L54:L127</f>
        <v>0</v>
      </c>
      <c r="J54" s="3">
        <f t="shared" si="1"/>
        <v>0</v>
      </c>
      <c r="K54" s="3"/>
      <c r="L54" s="3">
        <f t="shared" si="2"/>
        <v>0</v>
      </c>
      <c r="M54" s="1"/>
    </row>
    <row r="55" spans="1:13" ht="15.75" x14ac:dyDescent="0.25">
      <c r="A55" s="3" t="s">
        <v>127</v>
      </c>
      <c r="B55" s="13" t="s">
        <v>13</v>
      </c>
      <c r="C55" s="4"/>
      <c r="D55" s="4"/>
      <c r="E55" s="4"/>
      <c r="F55" s="4"/>
      <c r="G55" s="4"/>
      <c r="H55" s="4"/>
      <c r="I55" s="3">
        <f>'MAY 21 '!L55:L128</f>
        <v>0</v>
      </c>
      <c r="J55" s="3">
        <f t="shared" si="1"/>
        <v>0</v>
      </c>
      <c r="K55" s="3"/>
      <c r="L55" s="3">
        <f t="shared" si="2"/>
        <v>0</v>
      </c>
      <c r="M55" s="1"/>
    </row>
    <row r="56" spans="1:13" ht="15.75" x14ac:dyDescent="0.25">
      <c r="A56" s="3" t="s">
        <v>128</v>
      </c>
      <c r="B56" s="13" t="s">
        <v>13</v>
      </c>
      <c r="C56" s="4"/>
      <c r="D56" s="4"/>
      <c r="E56" s="4"/>
      <c r="F56" s="4"/>
      <c r="G56" s="4"/>
      <c r="H56" s="4"/>
      <c r="I56" s="3">
        <f>'MAY 21 '!L56:L129</f>
        <v>0</v>
      </c>
      <c r="J56" s="3">
        <f t="shared" si="1"/>
        <v>0</v>
      </c>
      <c r="K56" s="3"/>
      <c r="L56" s="3">
        <f t="shared" si="2"/>
        <v>0</v>
      </c>
      <c r="M56" s="1"/>
    </row>
    <row r="57" spans="1:13" ht="15.75" x14ac:dyDescent="0.25">
      <c r="A57" s="3" t="s">
        <v>129</v>
      </c>
      <c r="B57" s="13" t="s">
        <v>13</v>
      </c>
      <c r="C57" s="4"/>
      <c r="D57" s="4"/>
      <c r="E57" s="4"/>
      <c r="F57" s="4"/>
      <c r="G57" s="4"/>
      <c r="H57" s="4"/>
      <c r="I57" s="3">
        <f>'MAY 21 '!L57:L130</f>
        <v>0</v>
      </c>
      <c r="J57" s="3">
        <f t="shared" si="1"/>
        <v>0</v>
      </c>
      <c r="K57" s="3"/>
      <c r="L57" s="3">
        <f t="shared" si="2"/>
        <v>0</v>
      </c>
      <c r="M57" s="1"/>
    </row>
    <row r="58" spans="1:13" ht="15.75" x14ac:dyDescent="0.25">
      <c r="A58" s="3" t="s">
        <v>130</v>
      </c>
      <c r="B58" s="5" t="s">
        <v>13</v>
      </c>
      <c r="C58" s="4"/>
      <c r="D58" s="4"/>
      <c r="E58" s="4"/>
      <c r="F58" s="4"/>
      <c r="G58" s="4"/>
      <c r="H58" s="4"/>
      <c r="I58" s="3">
        <f>'MAY 21 '!L58:L131</f>
        <v>0</v>
      </c>
      <c r="J58" s="3">
        <f t="shared" si="1"/>
        <v>0</v>
      </c>
      <c r="K58" s="3"/>
      <c r="L58" s="3">
        <f t="shared" si="2"/>
        <v>0</v>
      </c>
      <c r="M58" s="1"/>
    </row>
    <row r="59" spans="1:13" ht="15.75" x14ac:dyDescent="0.25">
      <c r="A59" s="3" t="s">
        <v>131</v>
      </c>
      <c r="B59" s="13" t="s">
        <v>13</v>
      </c>
      <c r="C59" s="4"/>
      <c r="D59" s="4"/>
      <c r="E59" s="4"/>
      <c r="F59" s="4"/>
      <c r="G59" s="4"/>
      <c r="H59" s="4"/>
      <c r="I59" s="3">
        <f>'MAY 21 '!L59:L132</f>
        <v>0</v>
      </c>
      <c r="J59" s="3">
        <f t="shared" si="1"/>
        <v>0</v>
      </c>
      <c r="K59" s="3"/>
      <c r="L59" s="3">
        <f t="shared" si="2"/>
        <v>0</v>
      </c>
      <c r="M59" s="1"/>
    </row>
    <row r="60" spans="1:13" ht="15.75" x14ac:dyDescent="0.25">
      <c r="A60" s="3" t="s">
        <v>132</v>
      </c>
      <c r="B60" s="7" t="s">
        <v>184</v>
      </c>
      <c r="C60" s="4"/>
      <c r="D60" s="4">
        <f>8000+1280</f>
        <v>9280</v>
      </c>
      <c r="E60" s="4"/>
      <c r="F60" s="4"/>
      <c r="G60" s="4"/>
      <c r="H60" s="4">
        <v>600</v>
      </c>
      <c r="I60" s="3">
        <f>'MAY 21 '!L60:L133</f>
        <v>0</v>
      </c>
      <c r="J60" s="3">
        <f t="shared" si="1"/>
        <v>9880</v>
      </c>
      <c r="K60" s="3">
        <f>8000</f>
        <v>8000</v>
      </c>
      <c r="L60" s="3">
        <f t="shared" si="2"/>
        <v>1880</v>
      </c>
      <c r="M60" s="1"/>
    </row>
    <row r="61" spans="1:13" ht="15.75" x14ac:dyDescent="0.25">
      <c r="A61" s="3" t="s">
        <v>133</v>
      </c>
      <c r="B61" s="13" t="s">
        <v>13</v>
      </c>
      <c r="C61" s="4"/>
      <c r="D61" s="4"/>
      <c r="E61" s="4"/>
      <c r="F61" s="4"/>
      <c r="G61" s="4"/>
      <c r="H61" s="4"/>
      <c r="I61" s="3">
        <f>'MAY 21 '!L61:L134</f>
        <v>0</v>
      </c>
      <c r="J61" s="3">
        <f t="shared" si="1"/>
        <v>0</v>
      </c>
      <c r="K61" s="3"/>
      <c r="L61" s="3">
        <f t="shared" si="2"/>
        <v>0</v>
      </c>
      <c r="M61" s="1"/>
    </row>
    <row r="62" spans="1:13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4"/>
      <c r="F62" s="4"/>
      <c r="G62" s="4"/>
      <c r="H62" s="4">
        <v>300</v>
      </c>
      <c r="I62" s="3">
        <f>'MAY 21 '!L62:L135</f>
        <v>1500</v>
      </c>
      <c r="J62" s="3">
        <f t="shared" si="1"/>
        <v>9800</v>
      </c>
      <c r="K62" s="3">
        <v>8300</v>
      </c>
      <c r="L62" s="3">
        <f t="shared" si="2"/>
        <v>1500</v>
      </c>
      <c r="M62" s="1"/>
    </row>
    <row r="63" spans="1:13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4"/>
      <c r="F63" s="4"/>
      <c r="G63" s="4"/>
      <c r="H63" s="4">
        <v>300</v>
      </c>
      <c r="I63" s="3">
        <f>'MAY 21 '!L63:L136</f>
        <v>1500</v>
      </c>
      <c r="J63" s="3">
        <f t="shared" si="1"/>
        <v>9800</v>
      </c>
      <c r="K63" s="3">
        <f>8300</f>
        <v>8300</v>
      </c>
      <c r="L63" s="3">
        <f t="shared" si="2"/>
        <v>1500</v>
      </c>
      <c r="M63" s="1"/>
    </row>
    <row r="64" spans="1:13" ht="15.75" x14ac:dyDescent="0.25">
      <c r="A64" s="3" t="s">
        <v>136</v>
      </c>
      <c r="B64" s="3" t="s">
        <v>74</v>
      </c>
      <c r="C64" s="4" t="s">
        <v>75</v>
      </c>
      <c r="D64" s="4">
        <v>8000</v>
      </c>
      <c r="E64" s="4"/>
      <c r="F64" s="4"/>
      <c r="G64" s="4"/>
      <c r="H64" s="4">
        <v>300</v>
      </c>
      <c r="I64" s="3">
        <f>'MAY 21 '!L64:L137</f>
        <v>1500</v>
      </c>
      <c r="J64" s="3">
        <f t="shared" si="1"/>
        <v>9800</v>
      </c>
      <c r="K64" s="3">
        <f>5500+1800</f>
        <v>7300</v>
      </c>
      <c r="L64" s="3">
        <f t="shared" si="2"/>
        <v>2500</v>
      </c>
      <c r="M64" s="1"/>
    </row>
    <row r="65" spans="1:13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4"/>
      <c r="F65" s="4"/>
      <c r="G65" s="4"/>
      <c r="H65" s="4">
        <v>300</v>
      </c>
      <c r="I65" s="3">
        <f>'MAY 21 '!L65:L138</f>
        <v>9800</v>
      </c>
      <c r="J65" s="3">
        <f t="shared" si="1"/>
        <v>18100</v>
      </c>
      <c r="K65" s="3">
        <v>16000</v>
      </c>
      <c r="L65" s="3">
        <f t="shared" si="2"/>
        <v>2100</v>
      </c>
      <c r="M65" s="1"/>
    </row>
    <row r="66" spans="1:13" ht="15.75" x14ac:dyDescent="0.25">
      <c r="A66" s="3" t="s">
        <v>138</v>
      </c>
      <c r="B66" s="7" t="s">
        <v>173</v>
      </c>
      <c r="C66" s="15"/>
      <c r="D66" s="4">
        <v>6500</v>
      </c>
      <c r="E66" s="4"/>
      <c r="F66" s="4"/>
      <c r="G66" s="4"/>
      <c r="H66" s="4">
        <v>300</v>
      </c>
      <c r="I66" s="3">
        <f>'MAY 21 '!L66:L139</f>
        <v>1800</v>
      </c>
      <c r="J66" s="3">
        <f t="shared" si="1"/>
        <v>8600</v>
      </c>
      <c r="K66" s="3"/>
      <c r="L66" s="3">
        <f t="shared" si="2"/>
        <v>8600</v>
      </c>
      <c r="M66" s="1" t="s">
        <v>216</v>
      </c>
    </row>
    <row r="67" spans="1:13" ht="15.75" x14ac:dyDescent="0.25">
      <c r="A67" s="3" t="s">
        <v>139</v>
      </c>
      <c r="B67" s="7" t="s">
        <v>173</v>
      </c>
      <c r="C67" s="15"/>
      <c r="D67" s="4">
        <v>6500</v>
      </c>
      <c r="E67" s="4"/>
      <c r="F67" s="4"/>
      <c r="G67" s="4"/>
      <c r="H67" s="4"/>
      <c r="I67" s="3">
        <f>'MAY 21 '!L67:L140</f>
        <v>0</v>
      </c>
      <c r="J67" s="3">
        <f t="shared" si="1"/>
        <v>6500</v>
      </c>
      <c r="K67" s="3"/>
      <c r="L67" s="3">
        <f t="shared" si="2"/>
        <v>6500</v>
      </c>
      <c r="M67" s="1"/>
    </row>
    <row r="68" spans="1:13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4"/>
      <c r="F68" s="4"/>
      <c r="G68" s="4"/>
      <c r="H68" s="4">
        <v>300</v>
      </c>
      <c r="I68" s="3">
        <f>'MAY 21 '!L68:L141</f>
        <v>1800</v>
      </c>
      <c r="J68" s="3">
        <f t="shared" si="1"/>
        <v>17100</v>
      </c>
      <c r="K68" s="3">
        <f>15000+300</f>
        <v>15300</v>
      </c>
      <c r="L68" s="3">
        <f t="shared" si="2"/>
        <v>1800</v>
      </c>
      <c r="M68" s="1"/>
    </row>
    <row r="69" spans="1:13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4"/>
      <c r="F69" s="4"/>
      <c r="G69" s="4"/>
      <c r="H69" s="4">
        <v>300</v>
      </c>
      <c r="I69" s="3">
        <f>'MAY 21 '!L69:L142</f>
        <v>1800</v>
      </c>
      <c r="J69" s="3">
        <f t="shared" si="1"/>
        <v>17100</v>
      </c>
      <c r="K69" s="3">
        <f>15000</f>
        <v>15000</v>
      </c>
      <c r="L69" s="3">
        <f t="shared" si="2"/>
        <v>2100</v>
      </c>
      <c r="M69" s="1"/>
    </row>
    <row r="70" spans="1:13" ht="15.75" x14ac:dyDescent="0.25">
      <c r="A70" s="3" t="s">
        <v>142</v>
      </c>
      <c r="B70" s="13" t="s">
        <v>87</v>
      </c>
      <c r="C70" s="15" t="s">
        <v>86</v>
      </c>
      <c r="D70" s="4"/>
      <c r="E70" s="15"/>
      <c r="F70" s="4"/>
      <c r="G70" s="4"/>
      <c r="H70" s="4"/>
      <c r="I70" s="3">
        <f>'MAY 21 '!L70:L143</f>
        <v>15000</v>
      </c>
      <c r="J70" s="13">
        <f>D70+E70+F70+G70+H70+I70</f>
        <v>15000</v>
      </c>
      <c r="K70" s="13">
        <f>15000</f>
        <v>15000</v>
      </c>
      <c r="L70" s="3">
        <f t="shared" si="2"/>
        <v>0</v>
      </c>
      <c r="M70" s="1"/>
    </row>
    <row r="71" spans="1:13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4"/>
      <c r="F71" s="4"/>
      <c r="G71" s="4"/>
      <c r="H71" s="4">
        <v>300</v>
      </c>
      <c r="I71" s="3">
        <f>'MAY 21 '!L71:L144</f>
        <v>1800</v>
      </c>
      <c r="J71" s="3">
        <f t="shared" ref="J71:J77" si="3">D71+E71+F71+G71+H71+I71</f>
        <v>22100</v>
      </c>
      <c r="K71" s="3">
        <v>20600</v>
      </c>
      <c r="L71" s="3">
        <f t="shared" si="2"/>
        <v>1500</v>
      </c>
      <c r="M71" s="1"/>
    </row>
    <row r="72" spans="1:13" ht="15.75" x14ac:dyDescent="0.25">
      <c r="A72" s="3" t="s">
        <v>144</v>
      </c>
      <c r="B72" s="27" t="s">
        <v>89</v>
      </c>
      <c r="C72" s="28" t="s">
        <v>164</v>
      </c>
      <c r="D72" s="4"/>
      <c r="E72" s="4"/>
      <c r="F72" s="4"/>
      <c r="G72" s="4"/>
      <c r="H72" s="4"/>
      <c r="I72" s="3">
        <f>'MAY 21 '!L72:L145</f>
        <v>0</v>
      </c>
      <c r="J72" s="3">
        <f t="shared" si="3"/>
        <v>0</v>
      </c>
      <c r="K72" s="3"/>
      <c r="L72" s="3">
        <f t="shared" si="2"/>
        <v>0</v>
      </c>
      <c r="M72" s="1"/>
    </row>
    <row r="73" spans="1:13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4"/>
      <c r="F73" s="4"/>
      <c r="G73" s="4"/>
      <c r="H73" s="4">
        <v>300</v>
      </c>
      <c r="I73" s="3">
        <f>'MAY 21 '!L73:L146</f>
        <v>7800</v>
      </c>
      <c r="J73" s="3">
        <f t="shared" si="3"/>
        <v>23100</v>
      </c>
      <c r="K73" s="3">
        <f>12000</f>
        <v>12000</v>
      </c>
      <c r="L73" s="3">
        <f>J73-K73</f>
        <v>11100</v>
      </c>
      <c r="M73" s="1"/>
    </row>
    <row r="74" spans="1:13" ht="15.75" x14ac:dyDescent="0.25">
      <c r="A74" s="3" t="s">
        <v>146</v>
      </c>
      <c r="B74" s="3" t="s">
        <v>90</v>
      </c>
      <c r="C74" s="4"/>
      <c r="D74" s="4"/>
      <c r="E74" s="4"/>
      <c r="F74" s="4"/>
      <c r="G74" s="4"/>
      <c r="H74" s="4"/>
      <c r="I74" s="3">
        <f>'MAY 21 '!L74:L147</f>
        <v>0</v>
      </c>
      <c r="J74" s="3">
        <f t="shared" si="3"/>
        <v>0</v>
      </c>
      <c r="K74" s="3"/>
      <c r="L74" s="3">
        <f>J74-K74</f>
        <v>0</v>
      </c>
      <c r="M74" s="1"/>
    </row>
    <row r="75" spans="1:13" ht="15.75" x14ac:dyDescent="0.25">
      <c r="A75" s="3" t="s">
        <v>179</v>
      </c>
      <c r="B75" s="3" t="s">
        <v>212</v>
      </c>
      <c r="C75" s="4" t="s">
        <v>213</v>
      </c>
      <c r="D75" s="4">
        <v>23200</v>
      </c>
      <c r="E75" s="4">
        <v>40000</v>
      </c>
      <c r="F75" s="4">
        <v>1500</v>
      </c>
      <c r="G75" s="4">
        <v>3000</v>
      </c>
      <c r="H75" s="4">
        <v>300</v>
      </c>
      <c r="I75" s="3">
        <f>'MAY 21 '!L75:L148</f>
        <v>0</v>
      </c>
      <c r="J75" s="3">
        <f t="shared" si="3"/>
        <v>68000</v>
      </c>
      <c r="K75" s="3">
        <f>68000</f>
        <v>68000</v>
      </c>
      <c r="L75" s="3">
        <f>J75-K75</f>
        <v>0</v>
      </c>
      <c r="M75" s="1"/>
    </row>
    <row r="76" spans="1:13" ht="15.75" x14ac:dyDescent="0.25">
      <c r="A76" s="3" t="s">
        <v>180</v>
      </c>
      <c r="B76" s="5" t="s">
        <v>13</v>
      </c>
      <c r="C76" s="4"/>
      <c r="D76" s="4"/>
      <c r="E76" s="4"/>
      <c r="F76" s="4"/>
      <c r="G76" s="4"/>
      <c r="H76" s="4"/>
      <c r="I76" s="3">
        <f>'MAY 21 '!L76:L149</f>
        <v>0</v>
      </c>
      <c r="J76" s="3">
        <f t="shared" si="3"/>
        <v>0</v>
      </c>
      <c r="K76" s="3"/>
      <c r="L76" s="3">
        <f>J76-K76</f>
        <v>0</v>
      </c>
      <c r="M76" s="1"/>
    </row>
    <row r="77" spans="1:13" ht="15.75" x14ac:dyDescent="0.25">
      <c r="A77" s="3" t="s">
        <v>181</v>
      </c>
      <c r="B77" s="5" t="s">
        <v>13</v>
      </c>
      <c r="C77" s="8"/>
      <c r="D77" s="4"/>
      <c r="E77" s="4"/>
      <c r="F77" s="4"/>
      <c r="G77" s="4"/>
      <c r="H77" s="4"/>
      <c r="I77" s="3">
        <f>'MAY 21 '!L77:L150</f>
        <v>0</v>
      </c>
      <c r="J77" s="3">
        <f t="shared" si="3"/>
        <v>0</v>
      </c>
      <c r="K77" s="7"/>
      <c r="L77" s="3">
        <f>J77-K77</f>
        <v>0</v>
      </c>
      <c r="M77" s="1"/>
    </row>
    <row r="78" spans="1:13" ht="15.75" x14ac:dyDescent="0.25">
      <c r="A78" s="3"/>
      <c r="B78" s="3" t="s">
        <v>91</v>
      </c>
      <c r="C78" s="4"/>
      <c r="D78" s="4">
        <f t="shared" ref="D78:L78" si="4">SUM(D5:D77)</f>
        <v>953120</v>
      </c>
      <c r="E78" s="4">
        <f t="shared" si="4"/>
        <v>40000</v>
      </c>
      <c r="F78" s="4">
        <f t="shared" si="4"/>
        <v>1500</v>
      </c>
      <c r="G78" s="4">
        <f t="shared" si="4"/>
        <v>3000</v>
      </c>
      <c r="H78" s="4">
        <f t="shared" si="4"/>
        <v>12900</v>
      </c>
      <c r="I78" s="3">
        <f>SUM(I5:I77)</f>
        <v>139470</v>
      </c>
      <c r="J78" s="3">
        <f t="shared" si="4"/>
        <v>1149990</v>
      </c>
      <c r="K78" s="3">
        <f t="shared" si="4"/>
        <v>968370</v>
      </c>
      <c r="L78" s="3">
        <f t="shared" si="4"/>
        <v>181620</v>
      </c>
      <c r="M78" s="1"/>
    </row>
    <row r="79" spans="1:13" ht="15.75" x14ac:dyDescent="0.25">
      <c r="A79" s="1"/>
      <c r="B79" s="1" t="s">
        <v>206</v>
      </c>
      <c r="C79" s="16"/>
      <c r="D79" s="17">
        <f>100/116*D78</f>
        <v>821655.17241379304</v>
      </c>
      <c r="E79" s="17"/>
      <c r="F79" s="17"/>
      <c r="G79" s="17"/>
      <c r="H79" s="17"/>
      <c r="J79" s="18"/>
      <c r="K79" s="18"/>
      <c r="L79" s="17"/>
      <c r="M79" s="1"/>
    </row>
    <row r="80" spans="1:13" x14ac:dyDescent="0.25">
      <c r="D80" s="25"/>
    </row>
    <row r="81" spans="2:11" ht="15.75" x14ac:dyDescent="0.25">
      <c r="B81" s="2" t="s">
        <v>185</v>
      </c>
      <c r="C81" s="2"/>
      <c r="D81" s="2"/>
      <c r="E81" s="2"/>
      <c r="F81" s="2"/>
      <c r="G81" s="2"/>
      <c r="H81" s="19"/>
      <c r="I81" s="2" t="s">
        <v>177</v>
      </c>
      <c r="J81" s="1"/>
      <c r="K81" s="1"/>
    </row>
    <row r="82" spans="2:11" ht="15.75" x14ac:dyDescent="0.25">
      <c r="B82" s="3" t="s">
        <v>186</v>
      </c>
      <c r="C82" s="3" t="s">
        <v>187</v>
      </c>
      <c r="D82" s="3"/>
      <c r="E82" s="3" t="s">
        <v>188</v>
      </c>
      <c r="F82" s="3" t="s">
        <v>189</v>
      </c>
      <c r="G82" s="3" t="s">
        <v>186</v>
      </c>
      <c r="H82" s="3" t="s">
        <v>187</v>
      </c>
      <c r="I82" s="3" t="s">
        <v>188</v>
      </c>
      <c r="J82" s="3" t="s">
        <v>8</v>
      </c>
      <c r="K82" s="1"/>
    </row>
    <row r="83" spans="2:11" ht="15.75" x14ac:dyDescent="0.25">
      <c r="B83" s="3" t="s">
        <v>211</v>
      </c>
      <c r="C83" s="22">
        <f>D79</f>
        <v>821655.17241379304</v>
      </c>
      <c r="D83" s="22"/>
      <c r="E83" s="3"/>
      <c r="F83" s="3"/>
      <c r="G83" s="3" t="s">
        <v>211</v>
      </c>
      <c r="H83" s="22">
        <f>K78</f>
        <v>968370</v>
      </c>
      <c r="I83" s="3"/>
      <c r="J83" s="11"/>
      <c r="K83" s="1"/>
    </row>
    <row r="84" spans="2:11" ht="15.75" x14ac:dyDescent="0.25">
      <c r="B84" s="3" t="s">
        <v>175</v>
      </c>
      <c r="C84" s="22">
        <f>H78</f>
        <v>12900</v>
      </c>
      <c r="D84" s="22"/>
      <c r="E84" s="3"/>
      <c r="F84" s="3"/>
      <c r="G84" s="3"/>
      <c r="H84" s="22"/>
      <c r="I84" s="3"/>
      <c r="J84" s="11"/>
      <c r="K84" s="21"/>
    </row>
    <row r="85" spans="2:11" ht="15.75" x14ac:dyDescent="0.25">
      <c r="B85" s="3" t="s">
        <v>191</v>
      </c>
      <c r="C85" s="22">
        <f>D78-D79</f>
        <v>131464.82758620696</v>
      </c>
      <c r="D85" s="22"/>
      <c r="E85" s="3"/>
      <c r="F85" s="3"/>
      <c r="G85" s="3" t="s">
        <v>192</v>
      </c>
      <c r="H85" s="22">
        <f>'MAY 21 '!J96</f>
        <v>0</v>
      </c>
      <c r="I85" s="3"/>
      <c r="J85" s="11"/>
      <c r="K85" s="1"/>
    </row>
    <row r="86" spans="2:11" ht="15.75" x14ac:dyDescent="0.25">
      <c r="B86" s="29" t="s">
        <v>174</v>
      </c>
      <c r="C86" s="3">
        <f>E78</f>
        <v>40000</v>
      </c>
      <c r="D86" s="3"/>
      <c r="E86" s="3"/>
      <c r="F86" s="3"/>
      <c r="G86" s="29"/>
      <c r="H86" s="3"/>
      <c r="I86" s="3"/>
      <c r="J86" s="11"/>
      <c r="K86" s="1"/>
    </row>
    <row r="87" spans="2:11" ht="15.75" x14ac:dyDescent="0.25">
      <c r="B87" s="29" t="s">
        <v>183</v>
      </c>
      <c r="C87" s="3">
        <f>F78</f>
        <v>1500</v>
      </c>
      <c r="D87" s="3"/>
      <c r="E87" s="3"/>
      <c r="F87" s="3"/>
      <c r="G87" s="29"/>
      <c r="H87" s="3"/>
      <c r="I87" s="3"/>
      <c r="J87" s="11"/>
      <c r="K87" s="1"/>
    </row>
    <row r="88" spans="2:11" ht="15.75" x14ac:dyDescent="0.25">
      <c r="B88" s="29" t="s">
        <v>193</v>
      </c>
      <c r="C88" s="3">
        <f>G78</f>
        <v>3000</v>
      </c>
      <c r="D88" s="3"/>
      <c r="E88" s="3"/>
      <c r="F88" s="3"/>
      <c r="G88" s="29"/>
      <c r="H88" s="3"/>
      <c r="I88" s="3"/>
      <c r="J88" s="11"/>
      <c r="K88" s="1">
        <f>41083+6650+22425</f>
        <v>70158</v>
      </c>
    </row>
    <row r="89" spans="2:11" ht="15.75" x14ac:dyDescent="0.25">
      <c r="B89" s="29" t="s">
        <v>192</v>
      </c>
      <c r="C89" s="30">
        <f>'MAY 21 '!F96</f>
        <v>139470</v>
      </c>
      <c r="D89" s="3"/>
      <c r="E89" s="3"/>
      <c r="F89" s="3"/>
      <c r="G89" s="29"/>
      <c r="H89" s="3"/>
      <c r="I89" s="3"/>
      <c r="J89" s="11"/>
      <c r="K89" s="1"/>
    </row>
    <row r="90" spans="2:11" ht="15.75" x14ac:dyDescent="0.25">
      <c r="B90" s="29" t="s">
        <v>194</v>
      </c>
      <c r="C90" s="3">
        <v>41083</v>
      </c>
      <c r="D90" s="3"/>
      <c r="E90" s="3"/>
      <c r="F90" s="3"/>
      <c r="G90" s="29" t="s">
        <v>194</v>
      </c>
      <c r="H90" s="3">
        <v>41083</v>
      </c>
      <c r="I90" s="3"/>
      <c r="J90" s="11"/>
      <c r="K90" s="1"/>
    </row>
    <row r="91" spans="2:11" ht="15.75" x14ac:dyDescent="0.25">
      <c r="B91" s="3" t="s">
        <v>195</v>
      </c>
      <c r="C91" s="31">
        <v>0.05</v>
      </c>
      <c r="D91" s="31"/>
      <c r="E91" s="22">
        <f>C91*C83</f>
        <v>41082.758620689652</v>
      </c>
      <c r="F91" s="3"/>
      <c r="G91" s="3" t="s">
        <v>195</v>
      </c>
      <c r="H91" s="31">
        <v>0.05</v>
      </c>
      <c r="I91" s="22">
        <f>H91*C83</f>
        <v>41082.758620689652</v>
      </c>
      <c r="J91" s="20"/>
      <c r="K91" s="21"/>
    </row>
    <row r="92" spans="2:11" ht="15.75" x14ac:dyDescent="0.25">
      <c r="B92" s="5" t="s">
        <v>196</v>
      </c>
      <c r="C92" s="3" t="s">
        <v>197</v>
      </c>
      <c r="D92" s="3"/>
      <c r="E92" s="3"/>
      <c r="F92" s="3"/>
      <c r="G92" s="5" t="s">
        <v>196</v>
      </c>
      <c r="H92" s="22"/>
      <c r="I92" s="3"/>
      <c r="J92" s="3"/>
      <c r="K92" s="1"/>
    </row>
    <row r="93" spans="2:11" ht="15.75" x14ac:dyDescent="0.25">
      <c r="B93" s="23"/>
      <c r="C93" s="31"/>
      <c r="D93" s="31"/>
      <c r="E93" s="3"/>
      <c r="F93" s="3"/>
      <c r="G93" s="23"/>
      <c r="H93" s="31"/>
      <c r="I93" s="3"/>
      <c r="J93" s="11"/>
      <c r="K93" s="1"/>
    </row>
    <row r="94" spans="2:11" ht="15.75" x14ac:dyDescent="0.25">
      <c r="B94" s="32" t="s">
        <v>198</v>
      </c>
      <c r="C94" s="3"/>
      <c r="D94" s="3"/>
      <c r="E94" s="3">
        <f>K78</f>
        <v>968370</v>
      </c>
      <c r="F94" s="23"/>
      <c r="G94" s="32" t="s">
        <v>198</v>
      </c>
      <c r="H94" s="3"/>
      <c r="I94" s="3">
        <f>K78</f>
        <v>968370</v>
      </c>
      <c r="J94" s="11"/>
      <c r="K94" s="1"/>
    </row>
    <row r="95" spans="2:11" ht="15.75" x14ac:dyDescent="0.25">
      <c r="B95" s="3"/>
      <c r="C95" s="31"/>
      <c r="D95" s="31"/>
      <c r="E95" s="3"/>
      <c r="F95" s="3"/>
      <c r="G95" s="3"/>
      <c r="H95" s="31"/>
      <c r="I95" s="3"/>
      <c r="J95" s="11"/>
      <c r="K95" s="1"/>
    </row>
    <row r="96" spans="2:11" ht="15.75" x14ac:dyDescent="0.25">
      <c r="B96" s="23" t="s">
        <v>199</v>
      </c>
      <c r="C96" s="22">
        <f>C83+C84+C85+C86+C87+C88+C89+C90</f>
        <v>1191073</v>
      </c>
      <c r="D96" s="22"/>
      <c r="E96" s="24">
        <f>SUM(E91:E95)</f>
        <v>1009452.7586206896</v>
      </c>
      <c r="F96" s="22">
        <f>C96-E96</f>
        <v>181620.24137931038</v>
      </c>
      <c r="G96" s="23" t="s">
        <v>199</v>
      </c>
      <c r="H96" s="22">
        <f>H83+H84+H85+H86+H87+H88+H89+H90</f>
        <v>1009453</v>
      </c>
      <c r="I96" s="22">
        <f>SUM(I91:I95)</f>
        <v>1009452.7586206896</v>
      </c>
      <c r="J96" s="22">
        <f>H96-I96</f>
        <v>0.24137931037694216</v>
      </c>
      <c r="K96" s="1"/>
    </row>
    <row r="97" spans="2:11" ht="15.75" x14ac:dyDescent="0.25">
      <c r="B97" s="2" t="s">
        <v>200</v>
      </c>
      <c r="C97" s="2"/>
      <c r="D97" s="2"/>
      <c r="E97" s="33"/>
      <c r="F97" s="2" t="s">
        <v>201</v>
      </c>
      <c r="G97" s="2"/>
      <c r="H97" s="2"/>
      <c r="I97" s="33">
        <f>I96-I91</f>
        <v>968370</v>
      </c>
      <c r="J97" s="2" t="s">
        <v>202</v>
      </c>
      <c r="K97" s="2"/>
    </row>
    <row r="98" spans="2:11" ht="15.75" x14ac:dyDescent="0.25">
      <c r="B98" s="2" t="s">
        <v>203</v>
      </c>
      <c r="C98" s="2"/>
      <c r="D98" s="2"/>
      <c r="E98" s="2"/>
      <c r="F98" s="2" t="s">
        <v>204</v>
      </c>
      <c r="G98" s="2"/>
      <c r="H98" s="2"/>
      <c r="I98" s="33"/>
      <c r="J98" s="2" t="s">
        <v>205</v>
      </c>
      <c r="K98" s="2"/>
    </row>
    <row r="99" spans="2:11" x14ac:dyDescent="0.25"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2:11" x14ac:dyDescent="0.25"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3" workbookViewId="0">
      <selection activeCell="L83" sqref="L83"/>
    </sheetView>
  </sheetViews>
  <sheetFormatPr defaultRowHeight="15" x14ac:dyDescent="0.25"/>
  <cols>
    <col min="2" max="2" width="32.42578125" bestFit="1" customWidth="1"/>
    <col min="3" max="3" width="27.28515625" customWidth="1"/>
    <col min="4" max="4" width="11.7109375" customWidth="1"/>
    <col min="5" max="5" width="12" customWidth="1"/>
    <col min="6" max="6" width="14.140625" customWidth="1"/>
    <col min="8" max="8" width="11" customWidth="1"/>
    <col min="9" max="10" width="11.140625" customWidth="1"/>
  </cols>
  <sheetData>
    <row r="1" spans="1:13" ht="15.75" x14ac:dyDescent="0.25">
      <c r="C1" s="2" t="s">
        <v>92</v>
      </c>
      <c r="D1" s="2"/>
      <c r="E1" s="2"/>
      <c r="F1" s="2"/>
      <c r="G1" s="2"/>
      <c r="H1" s="2"/>
    </row>
    <row r="2" spans="1:13" ht="15.75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1"/>
      <c r="M2" s="1"/>
    </row>
    <row r="3" spans="1:13" ht="15.75" x14ac:dyDescent="0.25">
      <c r="A3" s="1"/>
      <c r="B3" s="1"/>
      <c r="C3" s="2" t="s">
        <v>221</v>
      </c>
      <c r="D3" s="2"/>
      <c r="E3" s="2"/>
      <c r="F3" s="2"/>
      <c r="G3" s="2"/>
      <c r="H3" s="2"/>
      <c r="I3" s="2"/>
      <c r="J3" s="2"/>
      <c r="K3" s="2"/>
      <c r="L3" s="1"/>
      <c r="M3" s="1"/>
    </row>
    <row r="4" spans="1:13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174</v>
      </c>
      <c r="F4" s="4" t="s">
        <v>183</v>
      </c>
      <c r="G4" s="4" t="s">
        <v>178</v>
      </c>
      <c r="H4" s="4" t="s">
        <v>175</v>
      </c>
      <c r="I4" s="3" t="s">
        <v>192</v>
      </c>
      <c r="J4" s="3" t="s">
        <v>6</v>
      </c>
      <c r="K4" s="3" t="s">
        <v>177</v>
      </c>
      <c r="L4" s="3" t="s">
        <v>8</v>
      </c>
    </row>
    <row r="5" spans="1:13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4"/>
      <c r="F5" s="4"/>
      <c r="G5" s="4"/>
      <c r="H5" s="4">
        <v>300</v>
      </c>
      <c r="I5" s="3">
        <f>'JUNE 21'!L5:L77</f>
        <v>36100</v>
      </c>
      <c r="J5" s="3">
        <f>D5+E5+F5+G5+H5+I5</f>
        <v>116400</v>
      </c>
      <c r="K5" s="3">
        <f>22000+50000+42900</f>
        <v>114900</v>
      </c>
      <c r="L5" s="3">
        <f t="shared" ref="L5:L14" si="0">J5-K5</f>
        <v>1500</v>
      </c>
      <c r="M5" s="1"/>
    </row>
    <row r="6" spans="1:13" ht="15.75" x14ac:dyDescent="0.25">
      <c r="A6" s="3" t="s">
        <v>12</v>
      </c>
      <c r="B6" s="7" t="s">
        <v>147</v>
      </c>
      <c r="C6" s="4"/>
      <c r="D6" s="4">
        <v>64670</v>
      </c>
      <c r="E6" s="4"/>
      <c r="F6" s="4"/>
      <c r="G6" s="4"/>
      <c r="H6" s="4"/>
      <c r="I6" s="3">
        <f>'JUNE 21'!L6:L78</f>
        <v>0</v>
      </c>
      <c r="J6" s="3">
        <f t="shared" ref="J6:J69" si="1">D6+E6+F6+G6+H6+I6</f>
        <v>64670</v>
      </c>
      <c r="K6" s="3">
        <v>64670</v>
      </c>
      <c r="L6" s="3">
        <f t="shared" si="0"/>
        <v>0</v>
      </c>
      <c r="M6" s="1"/>
    </row>
    <row r="7" spans="1:13" ht="15.75" x14ac:dyDescent="0.25">
      <c r="A7" s="3" t="s">
        <v>14</v>
      </c>
      <c r="B7" s="3" t="s">
        <v>16</v>
      </c>
      <c r="C7" s="4" t="s">
        <v>17</v>
      </c>
      <c r="D7" s="4">
        <v>122000</v>
      </c>
      <c r="E7" s="4"/>
      <c r="F7" s="4"/>
      <c r="G7" s="4"/>
      <c r="H7" s="4">
        <v>300</v>
      </c>
      <c r="I7" s="3">
        <f>'JUNE 21'!L7:L79</f>
        <v>1800</v>
      </c>
      <c r="J7" s="3">
        <f t="shared" si="1"/>
        <v>124100</v>
      </c>
      <c r="K7" s="3">
        <f>139270</f>
        <v>139270</v>
      </c>
      <c r="L7" s="3">
        <f t="shared" si="0"/>
        <v>-15170</v>
      </c>
      <c r="M7" s="1"/>
    </row>
    <row r="8" spans="1:13" ht="15.75" x14ac:dyDescent="0.25">
      <c r="A8" s="3" t="s">
        <v>15</v>
      </c>
      <c r="B8" s="3" t="s">
        <v>16</v>
      </c>
      <c r="C8" s="4" t="s">
        <v>149</v>
      </c>
      <c r="D8" s="4"/>
      <c r="E8" s="4"/>
      <c r="F8" s="4"/>
      <c r="G8" s="4"/>
      <c r="H8" s="4"/>
      <c r="I8" s="3">
        <f>'JUNE 21'!L8:L80</f>
        <v>0</v>
      </c>
      <c r="J8" s="3">
        <f t="shared" si="1"/>
        <v>0</v>
      </c>
      <c r="K8" s="3"/>
      <c r="L8" s="3">
        <f t="shared" si="0"/>
        <v>0</v>
      </c>
      <c r="M8" s="1"/>
    </row>
    <row r="9" spans="1:13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4"/>
      <c r="F9" s="4"/>
      <c r="G9" s="4"/>
      <c r="H9" s="4">
        <v>300</v>
      </c>
      <c r="I9" s="3">
        <f>'JUNE 21'!L9:L81</f>
        <v>0</v>
      </c>
      <c r="J9" s="3">
        <f t="shared" si="1"/>
        <v>40300</v>
      </c>
      <c r="K9" s="3">
        <f>33700+6600</f>
        <v>40300</v>
      </c>
      <c r="L9" s="3">
        <f t="shared" si="0"/>
        <v>0</v>
      </c>
      <c r="M9" s="1"/>
    </row>
    <row r="10" spans="1:13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4"/>
      <c r="F10" s="4"/>
      <c r="G10" s="4"/>
      <c r="H10" s="4">
        <v>300</v>
      </c>
      <c r="I10" s="3">
        <f>'JUNE 21'!L10:L82</f>
        <v>2100</v>
      </c>
      <c r="J10" s="3">
        <f t="shared" si="1"/>
        <v>52400</v>
      </c>
      <c r="K10" s="3">
        <f>2400+50000</f>
        <v>52400</v>
      </c>
      <c r="L10" s="3">
        <f t="shared" si="0"/>
        <v>0</v>
      </c>
      <c r="M10" s="1"/>
    </row>
    <row r="11" spans="1:13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4"/>
      <c r="F11" s="4"/>
      <c r="G11" s="4"/>
      <c r="H11" s="4">
        <v>300</v>
      </c>
      <c r="I11" s="3">
        <f>'JUNE 21'!L11:L83</f>
        <v>2100</v>
      </c>
      <c r="J11" s="3">
        <f t="shared" si="1"/>
        <v>22400</v>
      </c>
      <c r="K11" s="3">
        <f>20300</f>
        <v>20300</v>
      </c>
      <c r="L11" s="3">
        <f t="shared" si="0"/>
        <v>2100</v>
      </c>
      <c r="M11" s="1"/>
    </row>
    <row r="12" spans="1:13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4"/>
      <c r="F12" s="4"/>
      <c r="G12" s="4"/>
      <c r="H12" s="4">
        <v>300</v>
      </c>
      <c r="I12" s="3">
        <f>'JUNE 21'!L12:L84</f>
        <v>2100</v>
      </c>
      <c r="J12" s="3">
        <f t="shared" si="1"/>
        <v>22400</v>
      </c>
      <c r="K12" s="3">
        <f>20000</f>
        <v>20000</v>
      </c>
      <c r="L12" s="3">
        <f t="shared" si="0"/>
        <v>2400</v>
      </c>
      <c r="M12" s="1"/>
    </row>
    <row r="13" spans="1:13" ht="15.75" x14ac:dyDescent="0.25">
      <c r="A13" s="3" t="s">
        <v>96</v>
      </c>
      <c r="B13" s="5" t="s">
        <v>13</v>
      </c>
      <c r="C13" s="4"/>
      <c r="D13" s="4"/>
      <c r="E13" s="4"/>
      <c r="F13" s="4"/>
      <c r="G13" s="4"/>
      <c r="H13" s="4"/>
      <c r="I13" s="3">
        <f>'JUNE 21'!L13:L85</f>
        <v>0</v>
      </c>
      <c r="J13" s="3">
        <f t="shared" si="1"/>
        <v>0</v>
      </c>
      <c r="K13" s="3"/>
      <c r="L13" s="3">
        <f t="shared" si="0"/>
        <v>0</v>
      </c>
      <c r="M13" s="1"/>
    </row>
    <row r="14" spans="1:13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4"/>
      <c r="F14" s="4"/>
      <c r="G14" s="4"/>
      <c r="H14" s="4">
        <v>300</v>
      </c>
      <c r="I14" s="3">
        <f>'JUNE 21'!L14:L86</f>
        <v>23100</v>
      </c>
      <c r="J14" s="3">
        <f t="shared" si="1"/>
        <v>35400</v>
      </c>
      <c r="K14" s="3"/>
      <c r="L14" s="3">
        <f t="shared" si="0"/>
        <v>35400</v>
      </c>
      <c r="M14" s="1" t="s">
        <v>216</v>
      </c>
    </row>
    <row r="15" spans="1:13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4"/>
      <c r="F15" s="4"/>
      <c r="G15" s="4"/>
      <c r="H15" s="4">
        <v>300</v>
      </c>
      <c r="I15" s="3">
        <f>'JUNE 21'!L15:L87</f>
        <v>2100</v>
      </c>
      <c r="J15" s="3">
        <f t="shared" si="1"/>
        <v>67400</v>
      </c>
      <c r="K15" s="3">
        <f>65000</f>
        <v>65000</v>
      </c>
      <c r="L15" s="3">
        <f t="shared" ref="L15:L72" si="2">J15-K15</f>
        <v>2400</v>
      </c>
      <c r="M15" s="1"/>
    </row>
    <row r="16" spans="1:13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4"/>
      <c r="F16" s="4"/>
      <c r="G16" s="4"/>
      <c r="H16" s="4">
        <v>300</v>
      </c>
      <c r="I16" s="3">
        <f>'JUNE 21'!L16:L88</f>
        <v>300</v>
      </c>
      <c r="J16" s="3">
        <f t="shared" si="1"/>
        <v>60600</v>
      </c>
      <c r="K16" s="3">
        <f>60000</f>
        <v>60000</v>
      </c>
      <c r="L16" s="3">
        <f t="shared" si="2"/>
        <v>600</v>
      </c>
      <c r="M16" s="1"/>
    </row>
    <row r="17" spans="1:13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4"/>
      <c r="F17" s="4"/>
      <c r="G17" s="4"/>
      <c r="H17" s="4">
        <v>300</v>
      </c>
      <c r="I17" s="3">
        <f>'JUNE 21'!L17:L89</f>
        <v>14600</v>
      </c>
      <c r="J17" s="3">
        <f t="shared" si="1"/>
        <v>29900</v>
      </c>
      <c r="K17" s="3">
        <f>3000+8000</f>
        <v>11000</v>
      </c>
      <c r="L17" s="3">
        <f t="shared" si="2"/>
        <v>18900</v>
      </c>
      <c r="M17" s="1"/>
    </row>
    <row r="18" spans="1:13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4"/>
      <c r="F18" s="4"/>
      <c r="G18" s="4"/>
      <c r="H18" s="4">
        <v>300</v>
      </c>
      <c r="I18" s="3">
        <f>'JUNE 21'!L18:L90</f>
        <v>2100</v>
      </c>
      <c r="J18" s="3">
        <f t="shared" si="1"/>
        <v>17400</v>
      </c>
      <c r="K18" s="3">
        <f>15000</f>
        <v>15000</v>
      </c>
      <c r="L18" s="3">
        <f t="shared" si="2"/>
        <v>2400</v>
      </c>
      <c r="M18" s="1"/>
    </row>
    <row r="19" spans="1:13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4"/>
      <c r="F19" s="4"/>
      <c r="G19" s="4"/>
      <c r="H19" s="4">
        <v>300</v>
      </c>
      <c r="I19" s="3">
        <f>'JUNE 21'!L19:L91</f>
        <v>0</v>
      </c>
      <c r="J19" s="3">
        <f t="shared" si="1"/>
        <v>15300</v>
      </c>
      <c r="K19" s="3">
        <f>15300</f>
        <v>15300</v>
      </c>
      <c r="L19" s="3">
        <f t="shared" si="2"/>
        <v>0</v>
      </c>
      <c r="M19" s="1"/>
    </row>
    <row r="20" spans="1:13" ht="15.75" x14ac:dyDescent="0.25">
      <c r="A20" s="3" t="s">
        <v>29</v>
      </c>
      <c r="B20" s="7" t="s">
        <v>167</v>
      </c>
      <c r="C20" s="8" t="s">
        <v>38</v>
      </c>
      <c r="D20" s="4">
        <v>10000</v>
      </c>
      <c r="E20" s="4"/>
      <c r="F20" s="4"/>
      <c r="G20" s="4"/>
      <c r="H20" s="4">
        <v>300</v>
      </c>
      <c r="I20" s="3">
        <f>'JUNE 21'!L20:L92</f>
        <v>3100</v>
      </c>
      <c r="J20" s="3">
        <f t="shared" si="1"/>
        <v>13400</v>
      </c>
      <c r="K20" s="3"/>
      <c r="L20" s="3">
        <f t="shared" si="2"/>
        <v>13400</v>
      </c>
      <c r="M20" s="1"/>
    </row>
    <row r="21" spans="1:13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4"/>
      <c r="F21" s="4"/>
      <c r="G21" s="4"/>
      <c r="H21" s="4"/>
      <c r="I21" s="3">
        <f>'JUNE 21'!L21:L93</f>
        <v>0</v>
      </c>
      <c r="J21" s="3">
        <f t="shared" si="1"/>
        <v>10000</v>
      </c>
      <c r="K21" s="3">
        <f>10000</f>
        <v>10000</v>
      </c>
      <c r="L21" s="3">
        <f t="shared" si="2"/>
        <v>0</v>
      </c>
      <c r="M21" s="1"/>
    </row>
    <row r="22" spans="1:13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4"/>
      <c r="F22" s="4"/>
      <c r="G22" s="4"/>
      <c r="H22" s="4">
        <v>300</v>
      </c>
      <c r="I22" s="3">
        <f>'JUNE 21'!L22:L94</f>
        <v>2100</v>
      </c>
      <c r="J22" s="3">
        <f t="shared" si="1"/>
        <v>12400</v>
      </c>
      <c r="K22" s="3">
        <f>10000</f>
        <v>10000</v>
      </c>
      <c r="L22" s="3">
        <f t="shared" si="2"/>
        <v>2400</v>
      </c>
      <c r="M22" s="1"/>
    </row>
    <row r="23" spans="1:13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4"/>
      <c r="F23" s="4"/>
      <c r="G23" s="4"/>
      <c r="H23" s="4">
        <v>300</v>
      </c>
      <c r="I23" s="3">
        <f>'JUNE 21'!L23:L95</f>
        <v>8100</v>
      </c>
      <c r="J23" s="3">
        <f t="shared" si="1"/>
        <v>20400</v>
      </c>
      <c r="K23" s="3">
        <f>24000</f>
        <v>24000</v>
      </c>
      <c r="L23" s="3">
        <f t="shared" si="2"/>
        <v>-3600</v>
      </c>
      <c r="M23" s="1"/>
    </row>
    <row r="24" spans="1:13" ht="15.75" x14ac:dyDescent="0.25">
      <c r="A24" s="3" t="s">
        <v>39</v>
      </c>
      <c r="B24" s="3" t="s">
        <v>43</v>
      </c>
      <c r="C24" s="4" t="s">
        <v>44</v>
      </c>
      <c r="D24" s="4">
        <v>10000</v>
      </c>
      <c r="E24" s="4"/>
      <c r="F24" s="4"/>
      <c r="G24" s="4"/>
      <c r="H24" s="4">
        <v>300</v>
      </c>
      <c r="I24" s="3">
        <f>'JUNE 21'!L24:L96</f>
        <v>4100</v>
      </c>
      <c r="J24" s="3">
        <f t="shared" si="1"/>
        <v>14400</v>
      </c>
      <c r="K24" s="3">
        <f>10000</f>
        <v>10000</v>
      </c>
      <c r="L24" s="3">
        <f t="shared" si="2"/>
        <v>4400</v>
      </c>
      <c r="M24" s="1"/>
    </row>
    <row r="25" spans="1:13" ht="15.75" x14ac:dyDescent="0.25">
      <c r="A25" s="3" t="s">
        <v>42</v>
      </c>
      <c r="B25" s="5" t="s">
        <v>219</v>
      </c>
      <c r="C25" s="4"/>
      <c r="D25" s="4"/>
      <c r="E25" s="4">
        <v>20000</v>
      </c>
      <c r="F25" s="4"/>
      <c r="G25" s="4"/>
      <c r="H25" s="4"/>
      <c r="I25" s="3">
        <f>'JUNE 21'!L25:L97</f>
        <v>0</v>
      </c>
      <c r="J25" s="3">
        <f t="shared" si="1"/>
        <v>20000</v>
      </c>
      <c r="K25" s="3">
        <v>15000</v>
      </c>
      <c r="L25" s="3">
        <f t="shared" si="2"/>
        <v>5000</v>
      </c>
      <c r="M25" s="1"/>
    </row>
    <row r="26" spans="1:13" ht="15.75" x14ac:dyDescent="0.25">
      <c r="A26" s="3" t="s">
        <v>45</v>
      </c>
      <c r="B26" s="5" t="s">
        <v>218</v>
      </c>
      <c r="C26" s="4"/>
      <c r="D26" s="4">
        <v>11600</v>
      </c>
      <c r="E26" s="4">
        <v>20000</v>
      </c>
      <c r="F26" s="4">
        <v>1500</v>
      </c>
      <c r="G26" s="4">
        <v>3000</v>
      </c>
      <c r="H26" s="4">
        <v>300</v>
      </c>
      <c r="I26" s="3">
        <f>'JUNE 21'!L26:L98</f>
        <v>0</v>
      </c>
      <c r="J26" s="3">
        <f t="shared" si="1"/>
        <v>36400</v>
      </c>
      <c r="K26" s="3">
        <v>36400</v>
      </c>
      <c r="L26" s="3">
        <f t="shared" si="2"/>
        <v>0</v>
      </c>
      <c r="M26" s="1"/>
    </row>
    <row r="27" spans="1:13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4"/>
      <c r="F27" s="4"/>
      <c r="G27" s="4"/>
      <c r="H27" s="4">
        <v>300</v>
      </c>
      <c r="I27" s="3">
        <f>'JUNE 21'!L27:L99</f>
        <v>1500</v>
      </c>
      <c r="J27" s="3">
        <f t="shared" si="1"/>
        <v>11800</v>
      </c>
      <c r="K27" s="3">
        <f>10300</f>
        <v>10300</v>
      </c>
      <c r="L27" s="3">
        <f t="shared" si="2"/>
        <v>1500</v>
      </c>
      <c r="M27" s="1"/>
    </row>
    <row r="28" spans="1:13" ht="15.75" x14ac:dyDescent="0.25">
      <c r="A28" s="3" t="s">
        <v>50</v>
      </c>
      <c r="B28" s="7" t="s">
        <v>207</v>
      </c>
      <c r="C28" s="8" t="s">
        <v>208</v>
      </c>
      <c r="D28" s="8">
        <v>11600</v>
      </c>
      <c r="E28" s="8"/>
      <c r="F28" s="8"/>
      <c r="G28" s="8"/>
      <c r="H28" s="8">
        <v>300</v>
      </c>
      <c r="I28" s="7">
        <f>'JUNE 21'!L28:L100</f>
        <v>0</v>
      </c>
      <c r="J28" s="7">
        <f t="shared" si="1"/>
        <v>11900</v>
      </c>
      <c r="K28" s="9">
        <f>11900</f>
        <v>11900</v>
      </c>
      <c r="L28" s="3">
        <f t="shared" si="2"/>
        <v>0</v>
      </c>
      <c r="M28" s="1"/>
    </row>
    <row r="29" spans="1:13" ht="15.75" x14ac:dyDescent="0.25">
      <c r="A29" s="3" t="s">
        <v>51</v>
      </c>
      <c r="B29" s="3" t="s">
        <v>70</v>
      </c>
      <c r="C29" s="4" t="s">
        <v>71</v>
      </c>
      <c r="D29" s="4">
        <v>6500</v>
      </c>
      <c r="E29" s="4"/>
      <c r="F29" s="4"/>
      <c r="G29" s="4"/>
      <c r="H29" s="4">
        <v>300</v>
      </c>
      <c r="I29" s="3">
        <f>'JUNE 21'!L29:L101</f>
        <v>2100</v>
      </c>
      <c r="J29" s="3">
        <f t="shared" si="1"/>
        <v>8900</v>
      </c>
      <c r="K29" s="3"/>
      <c r="L29" s="3">
        <f t="shared" si="2"/>
        <v>8900</v>
      </c>
      <c r="M29" s="1"/>
    </row>
    <row r="30" spans="1:13" ht="15.75" x14ac:dyDescent="0.25">
      <c r="A30" s="7" t="s">
        <v>102</v>
      </c>
      <c r="B30" s="7" t="s">
        <v>171</v>
      </c>
      <c r="C30" s="8" t="s">
        <v>69</v>
      </c>
      <c r="D30" s="4">
        <v>9500</v>
      </c>
      <c r="E30" s="4"/>
      <c r="F30" s="4"/>
      <c r="G30" s="4"/>
      <c r="H30" s="4">
        <v>300</v>
      </c>
      <c r="I30" s="3">
        <f>'JUNE 21'!L30:L102</f>
        <v>11600</v>
      </c>
      <c r="J30" s="3">
        <f t="shared" si="1"/>
        <v>21400</v>
      </c>
      <c r="K30" s="3"/>
      <c r="L30" s="3">
        <f>J30-K30</f>
        <v>21400</v>
      </c>
      <c r="M30" s="1" t="s">
        <v>216</v>
      </c>
    </row>
    <row r="31" spans="1:13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4"/>
      <c r="F31" s="4"/>
      <c r="G31" s="4"/>
      <c r="H31" s="4">
        <v>300</v>
      </c>
      <c r="I31" s="3">
        <f>'JUNE 21'!L31:L103</f>
        <v>2100</v>
      </c>
      <c r="J31" s="3">
        <f t="shared" si="1"/>
        <v>11400</v>
      </c>
      <c r="K31" s="3">
        <f>9000</f>
        <v>9000</v>
      </c>
      <c r="L31" s="3">
        <f>J31-K31</f>
        <v>2400</v>
      </c>
      <c r="M31" s="1"/>
    </row>
    <row r="32" spans="1:13" ht="15.75" x14ac:dyDescent="0.25">
      <c r="A32" s="3" t="s">
        <v>104</v>
      </c>
      <c r="B32" s="9" t="s">
        <v>220</v>
      </c>
      <c r="C32" s="10"/>
      <c r="D32" s="4">
        <v>11600</v>
      </c>
      <c r="E32" s="4">
        <v>20000</v>
      </c>
      <c r="F32" s="4">
        <v>1500</v>
      </c>
      <c r="G32" s="4">
        <v>3000</v>
      </c>
      <c r="H32" s="4">
        <v>300</v>
      </c>
      <c r="I32" s="3">
        <f>'JUNE 21'!L32:L104</f>
        <v>0</v>
      </c>
      <c r="J32" s="3">
        <f t="shared" si="1"/>
        <v>36400</v>
      </c>
      <c r="K32" s="11">
        <v>36400</v>
      </c>
      <c r="L32" s="3">
        <f t="shared" si="2"/>
        <v>0</v>
      </c>
      <c r="M32" s="1"/>
    </row>
    <row r="33" spans="1:13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4"/>
      <c r="F33" s="4"/>
      <c r="G33" s="4"/>
      <c r="H33" s="4">
        <v>300</v>
      </c>
      <c r="I33" s="3">
        <f>'JUNE 21'!L33:L105</f>
        <v>2100</v>
      </c>
      <c r="J33" s="3">
        <f t="shared" si="1"/>
        <v>14400</v>
      </c>
      <c r="K33" s="3">
        <f>12000</f>
        <v>12000</v>
      </c>
      <c r="L33" s="3">
        <f>J33-K33</f>
        <v>2400</v>
      </c>
      <c r="M33" s="1"/>
    </row>
    <row r="34" spans="1:13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4"/>
      <c r="F34" s="4"/>
      <c r="G34" s="4"/>
      <c r="H34" s="4">
        <v>300</v>
      </c>
      <c r="I34" s="3">
        <f>'JUNE 21'!L34:L106</f>
        <v>1100</v>
      </c>
      <c r="J34" s="3">
        <f t="shared" si="1"/>
        <v>13400</v>
      </c>
      <c r="K34" s="3">
        <f>12400</f>
        <v>12400</v>
      </c>
      <c r="L34" s="3">
        <f t="shared" si="2"/>
        <v>1000</v>
      </c>
      <c r="M34" s="1"/>
    </row>
    <row r="35" spans="1:13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4"/>
      <c r="F35" s="4"/>
      <c r="G35" s="4"/>
      <c r="H35" s="4">
        <v>300</v>
      </c>
      <c r="I35" s="3">
        <f>'JUNE 21'!L35:L107</f>
        <v>2100</v>
      </c>
      <c r="J35" s="3">
        <f t="shared" si="1"/>
        <v>12400</v>
      </c>
      <c r="K35" s="7">
        <v>10000</v>
      </c>
      <c r="L35" s="3">
        <f t="shared" si="2"/>
        <v>2400</v>
      </c>
      <c r="M35" s="1"/>
    </row>
    <row r="36" spans="1:13" ht="15.75" x14ac:dyDescent="0.25">
      <c r="A36" s="3" t="s">
        <v>108</v>
      </c>
      <c r="B36" s="7" t="s">
        <v>209</v>
      </c>
      <c r="C36" s="8"/>
      <c r="D36" s="12">
        <v>10000</v>
      </c>
      <c r="E36" s="12"/>
      <c r="F36" s="4"/>
      <c r="G36" s="12"/>
      <c r="H36" s="4">
        <v>300</v>
      </c>
      <c r="I36" s="3">
        <f>'JUNE 21'!L36:L108</f>
        <v>0</v>
      </c>
      <c r="J36" s="3">
        <f t="shared" si="1"/>
        <v>10300</v>
      </c>
      <c r="K36" s="3">
        <v>30000</v>
      </c>
      <c r="L36" s="3">
        <f t="shared" si="2"/>
        <v>-19700</v>
      </c>
      <c r="M36" s="1"/>
    </row>
    <row r="37" spans="1:13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8"/>
      <c r="F37" s="4"/>
      <c r="G37" s="8"/>
      <c r="H37" s="4">
        <v>300</v>
      </c>
      <c r="I37" s="3">
        <f>'JUNE 21'!L37:L109</f>
        <v>300</v>
      </c>
      <c r="J37" s="3">
        <f t="shared" si="1"/>
        <v>13600</v>
      </c>
      <c r="K37" s="3">
        <v>39227</v>
      </c>
      <c r="L37" s="3">
        <f t="shared" si="2"/>
        <v>-25627</v>
      </c>
      <c r="M37" s="1"/>
    </row>
    <row r="38" spans="1:13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8"/>
      <c r="F38" s="4"/>
      <c r="G38" s="8"/>
      <c r="H38" s="4">
        <v>300</v>
      </c>
      <c r="I38" s="3">
        <f>'JUNE 21'!L38:L110</f>
        <v>1500</v>
      </c>
      <c r="J38" s="3">
        <f t="shared" si="1"/>
        <v>11800</v>
      </c>
      <c r="K38" s="3">
        <f>10300</f>
        <v>10300</v>
      </c>
      <c r="L38" s="3">
        <f t="shared" si="2"/>
        <v>1500</v>
      </c>
      <c r="M38" s="1"/>
    </row>
    <row r="39" spans="1:13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4"/>
      <c r="F39" s="4"/>
      <c r="G39" s="4"/>
      <c r="H39" s="4">
        <v>300</v>
      </c>
      <c r="I39" s="3">
        <f>'JUNE 21'!L39:L111</f>
        <v>2500</v>
      </c>
      <c r="J39" s="3">
        <f t="shared" si="1"/>
        <v>14800</v>
      </c>
      <c r="K39" s="3">
        <f>12000</f>
        <v>12000</v>
      </c>
      <c r="L39" s="3">
        <f t="shared" si="2"/>
        <v>2800</v>
      </c>
      <c r="M39" s="1"/>
    </row>
    <row r="40" spans="1:13" ht="15.75" x14ac:dyDescent="0.25">
      <c r="A40" s="3" t="s">
        <v>112</v>
      </c>
      <c r="B40" s="3" t="s">
        <v>56</v>
      </c>
      <c r="C40" s="4" t="s">
        <v>57</v>
      </c>
      <c r="D40" s="4">
        <v>12000</v>
      </c>
      <c r="E40" s="4"/>
      <c r="F40" s="4"/>
      <c r="G40" s="4"/>
      <c r="H40" s="4">
        <v>300</v>
      </c>
      <c r="I40" s="3">
        <f>'JUNE 21'!L40:L112</f>
        <v>1800</v>
      </c>
      <c r="J40" s="3">
        <f t="shared" si="1"/>
        <v>14100</v>
      </c>
      <c r="K40" s="3">
        <f>12300</f>
        <v>12300</v>
      </c>
      <c r="L40" s="3">
        <f t="shared" si="2"/>
        <v>1800</v>
      </c>
      <c r="M40" s="1"/>
    </row>
    <row r="41" spans="1:13" ht="15.75" x14ac:dyDescent="0.25">
      <c r="A41" s="7" t="s">
        <v>113</v>
      </c>
      <c r="B41" s="7" t="s">
        <v>82</v>
      </c>
      <c r="C41" s="10" t="s">
        <v>169</v>
      </c>
      <c r="D41" s="4">
        <v>6500</v>
      </c>
      <c r="E41" s="4"/>
      <c r="F41" s="4"/>
      <c r="G41" s="4"/>
      <c r="H41" s="4"/>
      <c r="I41" s="3"/>
      <c r="J41" s="3">
        <f t="shared" si="1"/>
        <v>6500</v>
      </c>
      <c r="K41" s="3">
        <f>6500</f>
        <v>6500</v>
      </c>
      <c r="L41" s="3">
        <f t="shared" si="2"/>
        <v>0</v>
      </c>
      <c r="M41" s="1"/>
    </row>
    <row r="42" spans="1:13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8"/>
      <c r="F42" s="4"/>
      <c r="G42" s="8"/>
      <c r="H42" s="4">
        <v>300</v>
      </c>
      <c r="I42" s="3">
        <f>'JUNE 21'!L42:L114</f>
        <v>0</v>
      </c>
      <c r="J42" s="3">
        <f t="shared" si="1"/>
        <v>12300</v>
      </c>
      <c r="K42" s="3">
        <f>12300</f>
        <v>12300</v>
      </c>
      <c r="L42" s="3">
        <f t="shared" si="2"/>
        <v>0</v>
      </c>
      <c r="M42" s="1"/>
    </row>
    <row r="43" spans="1:13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4"/>
      <c r="F43" s="4"/>
      <c r="G43" s="4"/>
      <c r="H43" s="4">
        <v>300</v>
      </c>
      <c r="I43" s="3">
        <f>'JUNE 21'!L43:L115</f>
        <v>2100</v>
      </c>
      <c r="J43" s="3">
        <f t="shared" si="1"/>
        <v>14400</v>
      </c>
      <c r="K43" s="3">
        <v>14400</v>
      </c>
      <c r="L43" s="3">
        <f t="shared" si="2"/>
        <v>0</v>
      </c>
      <c r="M43" s="1"/>
    </row>
    <row r="44" spans="1:13" ht="15.75" x14ac:dyDescent="0.25">
      <c r="A44" s="3" t="s">
        <v>116</v>
      </c>
      <c r="B44" s="9" t="s">
        <v>172</v>
      </c>
      <c r="C44" s="8"/>
      <c r="D44" s="4">
        <f>10000+1600</f>
        <v>11600</v>
      </c>
      <c r="E44" s="4"/>
      <c r="F44" s="4"/>
      <c r="G44" s="4"/>
      <c r="H44" s="4">
        <v>300</v>
      </c>
      <c r="I44" s="3">
        <f>'JUNE 21'!L44:L116</f>
        <v>0</v>
      </c>
      <c r="J44" s="3">
        <f t="shared" si="1"/>
        <v>11900</v>
      </c>
      <c r="K44" s="3">
        <v>11900</v>
      </c>
      <c r="L44" s="3">
        <f t="shared" si="2"/>
        <v>0</v>
      </c>
      <c r="M44" s="1"/>
    </row>
    <row r="45" spans="1:13" ht="15.75" x14ac:dyDescent="0.25">
      <c r="A45" s="3" t="s">
        <v>117</v>
      </c>
      <c r="B45" s="5" t="s">
        <v>13</v>
      </c>
      <c r="C45" s="4"/>
      <c r="D45" s="4"/>
      <c r="E45" s="4"/>
      <c r="F45" s="4"/>
      <c r="G45" s="4"/>
      <c r="H45" s="4"/>
      <c r="I45" s="3">
        <f>'JUNE 21'!L45:L117</f>
        <v>0</v>
      </c>
      <c r="J45" s="3">
        <f t="shared" si="1"/>
        <v>0</v>
      </c>
      <c r="K45" s="3"/>
      <c r="L45" s="3">
        <f t="shared" si="2"/>
        <v>0</v>
      </c>
      <c r="M45" s="1"/>
    </row>
    <row r="46" spans="1:13" ht="15.75" x14ac:dyDescent="0.25">
      <c r="A46" s="3" t="s">
        <v>118</v>
      </c>
      <c r="B46" s="5" t="s">
        <v>13</v>
      </c>
      <c r="C46" s="4"/>
      <c r="D46" s="4"/>
      <c r="E46" s="4"/>
      <c r="F46" s="4"/>
      <c r="G46" s="4"/>
      <c r="H46" s="4"/>
      <c r="I46" s="3">
        <f>'JUNE 21'!L46:L118</f>
        <v>0</v>
      </c>
      <c r="J46" s="3">
        <f t="shared" si="1"/>
        <v>0</v>
      </c>
      <c r="K46" s="3"/>
      <c r="L46" s="3">
        <f t="shared" si="2"/>
        <v>0</v>
      </c>
      <c r="M46" s="1"/>
    </row>
    <row r="47" spans="1:13" ht="15.75" x14ac:dyDescent="0.25">
      <c r="A47" s="3" t="s">
        <v>119</v>
      </c>
      <c r="B47" s="5" t="s">
        <v>13</v>
      </c>
      <c r="C47" s="4"/>
      <c r="D47" s="4"/>
      <c r="E47" s="4"/>
      <c r="F47" s="4"/>
      <c r="G47" s="4"/>
      <c r="H47" s="4"/>
      <c r="I47" s="3">
        <f>'JUNE 21'!L47:L119</f>
        <v>0</v>
      </c>
      <c r="J47" s="3">
        <f t="shared" si="1"/>
        <v>0</v>
      </c>
      <c r="K47" s="3"/>
      <c r="L47" s="3">
        <f t="shared" si="2"/>
        <v>0</v>
      </c>
      <c r="M47" s="1"/>
    </row>
    <row r="48" spans="1:13" ht="15.75" x14ac:dyDescent="0.25">
      <c r="A48" s="3" t="s">
        <v>120</v>
      </c>
      <c r="B48" s="7" t="s">
        <v>168</v>
      </c>
      <c r="C48" s="4" t="s">
        <v>80</v>
      </c>
      <c r="D48" s="4"/>
      <c r="E48" s="4"/>
      <c r="F48" s="4"/>
      <c r="G48" s="4"/>
      <c r="H48" s="4"/>
      <c r="I48" s="3">
        <f>'JUNE 21'!L48:L120</f>
        <v>0</v>
      </c>
      <c r="J48" s="3">
        <f t="shared" si="1"/>
        <v>0</v>
      </c>
      <c r="K48" s="3"/>
      <c r="L48" s="3">
        <f t="shared" si="2"/>
        <v>0</v>
      </c>
      <c r="M48" s="1"/>
    </row>
    <row r="49" spans="1:13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4"/>
      <c r="F49" s="4"/>
      <c r="G49" s="4"/>
      <c r="H49" s="4">
        <v>300</v>
      </c>
      <c r="I49" s="3">
        <f>'JUNE 21'!L49:L121</f>
        <v>2100</v>
      </c>
      <c r="J49" s="3">
        <f t="shared" si="1"/>
        <v>14400</v>
      </c>
      <c r="K49" s="3">
        <f>6600+6000</f>
        <v>12600</v>
      </c>
      <c r="L49" s="3">
        <f t="shared" si="2"/>
        <v>1800</v>
      </c>
      <c r="M49" s="1"/>
    </row>
    <row r="50" spans="1:13" ht="15.75" x14ac:dyDescent="0.25">
      <c r="A50" s="3" t="s">
        <v>122</v>
      </c>
      <c r="B50" s="13" t="s">
        <v>13</v>
      </c>
      <c r="C50" s="4"/>
      <c r="D50" s="4"/>
      <c r="E50" s="4"/>
      <c r="F50" s="4"/>
      <c r="G50" s="4"/>
      <c r="H50" s="4"/>
      <c r="I50" s="3">
        <f>'JUNE 21'!L50:L122</f>
        <v>0</v>
      </c>
      <c r="J50" s="3">
        <f t="shared" si="1"/>
        <v>0</v>
      </c>
      <c r="K50" s="3"/>
      <c r="L50" s="3">
        <f t="shared" si="2"/>
        <v>0</v>
      </c>
      <c r="M50" s="1"/>
    </row>
    <row r="51" spans="1:13" ht="15.75" x14ac:dyDescent="0.25">
      <c r="A51" s="3" t="s">
        <v>123</v>
      </c>
      <c r="B51" s="5" t="s">
        <v>13</v>
      </c>
      <c r="C51" s="4"/>
      <c r="D51" s="4"/>
      <c r="E51" s="4"/>
      <c r="F51" s="4"/>
      <c r="G51" s="4"/>
      <c r="H51" s="4"/>
      <c r="I51" s="3">
        <f>'JUNE 21'!L51:L123</f>
        <v>0</v>
      </c>
      <c r="J51" s="3">
        <f t="shared" si="1"/>
        <v>0</v>
      </c>
      <c r="K51" s="3"/>
      <c r="L51" s="3">
        <f t="shared" si="2"/>
        <v>0</v>
      </c>
      <c r="M51" s="1"/>
    </row>
    <row r="52" spans="1:13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4"/>
      <c r="F52" s="4"/>
      <c r="G52" s="4"/>
      <c r="H52" s="4">
        <v>300</v>
      </c>
      <c r="I52" s="3">
        <f>'JUNE 21'!L52:L124</f>
        <v>3840</v>
      </c>
      <c r="J52" s="3">
        <f t="shared" si="1"/>
        <v>14010</v>
      </c>
      <c r="K52" s="3">
        <f>7000+3000</f>
        <v>10000</v>
      </c>
      <c r="L52" s="3">
        <f t="shared" si="2"/>
        <v>4010</v>
      </c>
      <c r="M52" s="1"/>
    </row>
    <row r="53" spans="1:13" ht="15.75" x14ac:dyDescent="0.25">
      <c r="A53" s="3" t="s">
        <v>125</v>
      </c>
      <c r="B53" s="13" t="s">
        <v>13</v>
      </c>
      <c r="C53" s="4"/>
      <c r="D53" s="4"/>
      <c r="E53" s="4"/>
      <c r="F53" s="4"/>
      <c r="G53" s="4"/>
      <c r="H53" s="4"/>
      <c r="I53" s="3">
        <f>'JUNE 21'!L53:L125</f>
        <v>0</v>
      </c>
      <c r="J53" s="3">
        <f t="shared" si="1"/>
        <v>0</v>
      </c>
      <c r="K53" s="3"/>
      <c r="L53" s="3">
        <f t="shared" si="2"/>
        <v>0</v>
      </c>
      <c r="M53" s="1"/>
    </row>
    <row r="54" spans="1:13" ht="15.75" x14ac:dyDescent="0.25">
      <c r="A54" s="3" t="s">
        <v>126</v>
      </c>
      <c r="B54" s="5" t="s">
        <v>13</v>
      </c>
      <c r="C54" s="4"/>
      <c r="D54" s="4"/>
      <c r="E54" s="4"/>
      <c r="F54" s="4"/>
      <c r="G54" s="4"/>
      <c r="H54" s="4"/>
      <c r="I54" s="3">
        <f>'JUNE 21'!L54:L126</f>
        <v>0</v>
      </c>
      <c r="J54" s="3">
        <f t="shared" si="1"/>
        <v>0</v>
      </c>
      <c r="K54" s="3"/>
      <c r="L54" s="3">
        <f t="shared" si="2"/>
        <v>0</v>
      </c>
      <c r="M54" s="1"/>
    </row>
    <row r="55" spans="1:13" ht="15.75" x14ac:dyDescent="0.25">
      <c r="A55" s="3" t="s">
        <v>127</v>
      </c>
      <c r="B55" s="13" t="s">
        <v>13</v>
      </c>
      <c r="C55" s="4"/>
      <c r="D55" s="4"/>
      <c r="E55" s="4"/>
      <c r="F55" s="4"/>
      <c r="G55" s="4"/>
      <c r="H55" s="4"/>
      <c r="I55" s="3">
        <f>'JUNE 21'!L55:L127</f>
        <v>0</v>
      </c>
      <c r="J55" s="3">
        <f t="shared" si="1"/>
        <v>0</v>
      </c>
      <c r="K55" s="3"/>
      <c r="L55" s="3">
        <f t="shared" si="2"/>
        <v>0</v>
      </c>
      <c r="M55" s="1"/>
    </row>
    <row r="56" spans="1:13" ht="15.75" x14ac:dyDescent="0.25">
      <c r="A56" s="3" t="s">
        <v>128</v>
      </c>
      <c r="B56" s="13" t="s">
        <v>13</v>
      </c>
      <c r="C56" s="4"/>
      <c r="D56" s="4"/>
      <c r="E56" s="4"/>
      <c r="F56" s="4"/>
      <c r="G56" s="4"/>
      <c r="H56" s="4"/>
      <c r="I56" s="3">
        <f>'JUNE 21'!L56:L128</f>
        <v>0</v>
      </c>
      <c r="J56" s="3">
        <f t="shared" si="1"/>
        <v>0</v>
      </c>
      <c r="K56" s="3"/>
      <c r="L56" s="3">
        <f t="shared" si="2"/>
        <v>0</v>
      </c>
      <c r="M56" s="1"/>
    </row>
    <row r="57" spans="1:13" ht="15.75" x14ac:dyDescent="0.25">
      <c r="A57" s="3" t="s">
        <v>129</v>
      </c>
      <c r="B57" s="13" t="s">
        <v>13</v>
      </c>
      <c r="C57" s="4"/>
      <c r="D57" s="4"/>
      <c r="E57" s="4"/>
      <c r="F57" s="4"/>
      <c r="G57" s="4"/>
      <c r="H57" s="4"/>
      <c r="I57" s="3">
        <f>'JUNE 21'!L57:L129</f>
        <v>0</v>
      </c>
      <c r="J57" s="3">
        <f t="shared" si="1"/>
        <v>0</v>
      </c>
      <c r="K57" s="3"/>
      <c r="L57" s="3">
        <f t="shared" si="2"/>
        <v>0</v>
      </c>
      <c r="M57" s="1"/>
    </row>
    <row r="58" spans="1:13" ht="15.75" x14ac:dyDescent="0.25">
      <c r="A58" s="3" t="s">
        <v>130</v>
      </c>
      <c r="B58" s="5" t="s">
        <v>13</v>
      </c>
      <c r="C58" s="4"/>
      <c r="D58" s="4"/>
      <c r="E58" s="4"/>
      <c r="F58" s="4"/>
      <c r="G58" s="4"/>
      <c r="H58" s="4"/>
      <c r="I58" s="3">
        <f>'JUNE 21'!L58:L130</f>
        <v>0</v>
      </c>
      <c r="J58" s="3">
        <f t="shared" si="1"/>
        <v>0</v>
      </c>
      <c r="K58" s="3"/>
      <c r="L58" s="3">
        <f t="shared" si="2"/>
        <v>0</v>
      </c>
      <c r="M58" s="1"/>
    </row>
    <row r="59" spans="1:13" ht="15.75" x14ac:dyDescent="0.25">
      <c r="A59" s="3" t="s">
        <v>131</v>
      </c>
      <c r="B59" s="13" t="s">
        <v>13</v>
      </c>
      <c r="C59" s="4"/>
      <c r="D59" s="4"/>
      <c r="E59" s="4"/>
      <c r="F59" s="4"/>
      <c r="G59" s="4"/>
      <c r="H59" s="4"/>
      <c r="I59" s="3">
        <f>'JUNE 21'!L59:L131</f>
        <v>0</v>
      </c>
      <c r="J59" s="3">
        <f t="shared" si="1"/>
        <v>0</v>
      </c>
      <c r="K59" s="3"/>
      <c r="L59" s="3">
        <f t="shared" si="2"/>
        <v>0</v>
      </c>
      <c r="M59" s="1"/>
    </row>
    <row r="60" spans="1:13" ht="15.75" x14ac:dyDescent="0.25">
      <c r="A60" s="3" t="s">
        <v>132</v>
      </c>
      <c r="B60" s="7" t="s">
        <v>184</v>
      </c>
      <c r="C60" s="4"/>
      <c r="D60" s="4">
        <f>8000+1280</f>
        <v>9280</v>
      </c>
      <c r="E60" s="4"/>
      <c r="F60" s="4"/>
      <c r="G60" s="4"/>
      <c r="H60" s="4">
        <v>600</v>
      </c>
      <c r="I60" s="3">
        <f>'JUNE 21'!L60:L132</f>
        <v>1880</v>
      </c>
      <c r="J60" s="3">
        <f t="shared" si="1"/>
        <v>11760</v>
      </c>
      <c r="K60" s="3">
        <f>8500</f>
        <v>8500</v>
      </c>
      <c r="L60" s="3">
        <f t="shared" si="2"/>
        <v>3260</v>
      </c>
      <c r="M60" s="1"/>
    </row>
    <row r="61" spans="1:13" ht="15.75" x14ac:dyDescent="0.25">
      <c r="A61" s="3" t="s">
        <v>133</v>
      </c>
      <c r="B61" s="13" t="s">
        <v>13</v>
      </c>
      <c r="C61" s="4"/>
      <c r="D61" s="4"/>
      <c r="E61" s="4"/>
      <c r="F61" s="4"/>
      <c r="G61" s="4"/>
      <c r="H61" s="4"/>
      <c r="I61" s="3">
        <f>'JUNE 21'!L61:L133</f>
        <v>0</v>
      </c>
      <c r="J61" s="3">
        <f t="shared" si="1"/>
        <v>0</v>
      </c>
      <c r="K61" s="3"/>
      <c r="L61" s="3">
        <f t="shared" si="2"/>
        <v>0</v>
      </c>
      <c r="M61" s="1"/>
    </row>
    <row r="62" spans="1:13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4"/>
      <c r="F62" s="4"/>
      <c r="G62" s="4"/>
      <c r="H62" s="4">
        <v>300</v>
      </c>
      <c r="I62" s="3">
        <f>'JUNE 21'!L62:L134</f>
        <v>1500</v>
      </c>
      <c r="J62" s="3">
        <f t="shared" si="1"/>
        <v>9800</v>
      </c>
      <c r="K62" s="3">
        <f>8300</f>
        <v>8300</v>
      </c>
      <c r="L62" s="3">
        <f t="shared" si="2"/>
        <v>1500</v>
      </c>
      <c r="M62" s="1"/>
    </row>
    <row r="63" spans="1:13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4"/>
      <c r="F63" s="4"/>
      <c r="G63" s="4"/>
      <c r="H63" s="4">
        <v>300</v>
      </c>
      <c r="I63" s="3">
        <f>'JUNE 21'!L63:L135</f>
        <v>1500</v>
      </c>
      <c r="J63" s="3">
        <f t="shared" si="1"/>
        <v>9800</v>
      </c>
      <c r="K63" s="3">
        <f>8300</f>
        <v>8300</v>
      </c>
      <c r="L63" s="3">
        <f t="shared" si="2"/>
        <v>1500</v>
      </c>
      <c r="M63" s="1"/>
    </row>
    <row r="64" spans="1:13" ht="15.75" x14ac:dyDescent="0.25">
      <c r="A64" s="3" t="s">
        <v>136</v>
      </c>
      <c r="B64" s="3" t="s">
        <v>74</v>
      </c>
      <c r="C64" s="4" t="s">
        <v>75</v>
      </c>
      <c r="D64" s="4">
        <v>8000</v>
      </c>
      <c r="E64" s="4"/>
      <c r="F64" s="4"/>
      <c r="G64" s="4"/>
      <c r="H64" s="4">
        <v>300</v>
      </c>
      <c r="I64" s="3">
        <f>'JUNE 21'!L64:L136</f>
        <v>2500</v>
      </c>
      <c r="J64" s="3">
        <f t="shared" si="1"/>
        <v>10800</v>
      </c>
      <c r="K64" s="3">
        <f>4000+5000</f>
        <v>9000</v>
      </c>
      <c r="L64" s="3">
        <f t="shared" si="2"/>
        <v>1800</v>
      </c>
      <c r="M64" s="1"/>
    </row>
    <row r="65" spans="1:13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4"/>
      <c r="F65" s="4"/>
      <c r="G65" s="4"/>
      <c r="H65" s="4">
        <v>300</v>
      </c>
      <c r="I65" s="3">
        <f>'JUNE 21'!L65:L137</f>
        <v>2100</v>
      </c>
      <c r="J65" s="3">
        <f t="shared" si="1"/>
        <v>10400</v>
      </c>
      <c r="K65" s="3"/>
      <c r="L65" s="3">
        <f t="shared" si="2"/>
        <v>10400</v>
      </c>
      <c r="M65" s="1" t="s">
        <v>216</v>
      </c>
    </row>
    <row r="66" spans="1:13" ht="15.75" x14ac:dyDescent="0.25">
      <c r="A66" s="3" t="s">
        <v>138</v>
      </c>
      <c r="B66" s="7" t="s">
        <v>173</v>
      </c>
      <c r="C66" s="15"/>
      <c r="D66" s="4">
        <v>6500</v>
      </c>
      <c r="E66" s="4"/>
      <c r="F66" s="4"/>
      <c r="G66" s="4"/>
      <c r="H66" s="4">
        <v>300</v>
      </c>
      <c r="I66" s="3">
        <f>'JUNE 21'!L66:L138</f>
        <v>8600</v>
      </c>
      <c r="J66" s="3">
        <f t="shared" si="1"/>
        <v>15400</v>
      </c>
      <c r="K66" s="3">
        <f>6500</f>
        <v>6500</v>
      </c>
      <c r="L66" s="3">
        <f t="shared" si="2"/>
        <v>8900</v>
      </c>
      <c r="M66" s="1"/>
    </row>
    <row r="67" spans="1:13" ht="15.75" x14ac:dyDescent="0.25">
      <c r="A67" s="3" t="s">
        <v>139</v>
      </c>
      <c r="B67" s="7" t="s">
        <v>173</v>
      </c>
      <c r="C67" s="15"/>
      <c r="D67" s="4">
        <v>6500</v>
      </c>
      <c r="E67" s="4"/>
      <c r="F67" s="4"/>
      <c r="G67" s="4"/>
      <c r="H67" s="4"/>
      <c r="I67" s="3">
        <f>'JUNE 21'!L67:L139</f>
        <v>6500</v>
      </c>
      <c r="J67" s="3">
        <f t="shared" si="1"/>
        <v>13000</v>
      </c>
      <c r="K67" s="3">
        <f>4000+6500</f>
        <v>10500</v>
      </c>
      <c r="L67" s="3">
        <f t="shared" si="2"/>
        <v>2500</v>
      </c>
      <c r="M67" s="1"/>
    </row>
    <row r="68" spans="1:13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4"/>
      <c r="F68" s="4"/>
      <c r="G68" s="4"/>
      <c r="H68" s="4">
        <v>300</v>
      </c>
      <c r="I68" s="3">
        <f>'JUNE 21'!L68:L140</f>
        <v>1800</v>
      </c>
      <c r="J68" s="3">
        <f t="shared" si="1"/>
        <v>17100</v>
      </c>
      <c r="K68" s="3">
        <f>15000</f>
        <v>15000</v>
      </c>
      <c r="L68" s="3">
        <f t="shared" si="2"/>
        <v>2100</v>
      </c>
      <c r="M68" s="1"/>
    </row>
    <row r="69" spans="1:13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4"/>
      <c r="F69" s="4"/>
      <c r="G69" s="4"/>
      <c r="H69" s="4">
        <v>300</v>
      </c>
      <c r="I69" s="3">
        <f>'JUNE 21'!L69:L141</f>
        <v>2100</v>
      </c>
      <c r="J69" s="3">
        <f t="shared" si="1"/>
        <v>17400</v>
      </c>
      <c r="K69" s="3">
        <f>15000</f>
        <v>15000</v>
      </c>
      <c r="L69" s="3">
        <f t="shared" si="2"/>
        <v>2400</v>
      </c>
      <c r="M69" s="1"/>
    </row>
    <row r="70" spans="1:13" ht="15.75" x14ac:dyDescent="0.25">
      <c r="A70" s="3" t="s">
        <v>142</v>
      </c>
      <c r="B70" s="7" t="s">
        <v>87</v>
      </c>
      <c r="C70" s="8" t="s">
        <v>86</v>
      </c>
      <c r="D70" s="4">
        <v>20000</v>
      </c>
      <c r="E70" s="15"/>
      <c r="F70" s="4"/>
      <c r="G70" s="4"/>
      <c r="H70" s="4"/>
      <c r="I70" s="3">
        <f>'JUNE 21'!L70:L142</f>
        <v>0</v>
      </c>
      <c r="J70" s="7">
        <f>D70+E70+F70+G70+H70+I70</f>
        <v>20000</v>
      </c>
      <c r="K70" s="7">
        <v>13000</v>
      </c>
      <c r="L70" s="3">
        <f t="shared" si="2"/>
        <v>7000</v>
      </c>
      <c r="M70" s="1"/>
    </row>
    <row r="71" spans="1:13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4"/>
      <c r="F71" s="4"/>
      <c r="G71" s="4"/>
      <c r="H71" s="4">
        <v>300</v>
      </c>
      <c r="I71" s="3">
        <f>'JUNE 21'!L71:L143</f>
        <v>1500</v>
      </c>
      <c r="J71" s="3">
        <f t="shared" ref="J71:J77" si="3">D71+E71+F71+G71+H71+I71</f>
        <v>21800</v>
      </c>
      <c r="K71" s="3">
        <v>20300</v>
      </c>
      <c r="L71" s="3">
        <f t="shared" si="2"/>
        <v>1500</v>
      </c>
      <c r="M71" s="1"/>
    </row>
    <row r="72" spans="1:13" ht="15.75" x14ac:dyDescent="0.25">
      <c r="A72" s="3" t="s">
        <v>144</v>
      </c>
      <c r="B72" s="27" t="s">
        <v>89</v>
      </c>
      <c r="C72" s="28" t="s">
        <v>164</v>
      </c>
      <c r="D72" s="4"/>
      <c r="E72" s="4"/>
      <c r="F72" s="4"/>
      <c r="G72" s="4"/>
      <c r="H72" s="4"/>
      <c r="I72" s="3">
        <f>'JUNE 21'!L72:L144</f>
        <v>0</v>
      </c>
      <c r="J72" s="3">
        <f t="shared" si="3"/>
        <v>0</v>
      </c>
      <c r="K72" s="3"/>
      <c r="L72" s="3">
        <f t="shared" si="2"/>
        <v>0</v>
      </c>
      <c r="M72" s="1"/>
    </row>
    <row r="73" spans="1:13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4"/>
      <c r="F73" s="4"/>
      <c r="G73" s="4"/>
      <c r="H73" s="4">
        <v>300</v>
      </c>
      <c r="I73" s="3">
        <f>'JUNE 21'!L73:L145</f>
        <v>11100</v>
      </c>
      <c r="J73" s="3">
        <f t="shared" si="3"/>
        <v>26400</v>
      </c>
      <c r="K73" s="3">
        <f>14000</f>
        <v>14000</v>
      </c>
      <c r="L73" s="3">
        <f>J73-K73</f>
        <v>12400</v>
      </c>
      <c r="M73" s="1"/>
    </row>
    <row r="74" spans="1:13" ht="15.75" x14ac:dyDescent="0.25">
      <c r="A74" s="3" t="s">
        <v>146</v>
      </c>
      <c r="B74" s="3" t="s">
        <v>90</v>
      </c>
      <c r="C74" s="4"/>
      <c r="D74" s="4"/>
      <c r="E74" s="4"/>
      <c r="F74" s="4"/>
      <c r="G74" s="4"/>
      <c r="H74" s="4"/>
      <c r="I74" s="3">
        <f>'JUNE 21'!L74:L146</f>
        <v>0</v>
      </c>
      <c r="J74" s="3">
        <f t="shared" si="3"/>
        <v>0</v>
      </c>
      <c r="K74" s="3"/>
      <c r="L74" s="3">
        <f>J74-K74</f>
        <v>0</v>
      </c>
      <c r="M74" s="1"/>
    </row>
    <row r="75" spans="1:13" ht="15.75" x14ac:dyDescent="0.25">
      <c r="A75" s="3" t="s">
        <v>179</v>
      </c>
      <c r="B75" s="3" t="s">
        <v>212</v>
      </c>
      <c r="C75" s="4" t="s">
        <v>213</v>
      </c>
      <c r="D75" s="4">
        <v>23200</v>
      </c>
      <c r="E75" s="4"/>
      <c r="F75" s="4"/>
      <c r="G75" s="4"/>
      <c r="H75" s="4">
        <v>300</v>
      </c>
      <c r="I75" s="3">
        <f>'JUNE 21'!L75:L147</f>
        <v>0</v>
      </c>
      <c r="J75" s="3">
        <f t="shared" si="3"/>
        <v>23500</v>
      </c>
      <c r="K75" s="3">
        <f>23500</f>
        <v>23500</v>
      </c>
      <c r="L75" s="3">
        <f>J75-K75</f>
        <v>0</v>
      </c>
      <c r="M75" s="1"/>
    </row>
    <row r="76" spans="1:13" ht="15.75" x14ac:dyDescent="0.25">
      <c r="A76" s="3" t="s">
        <v>180</v>
      </c>
      <c r="B76" s="5" t="s">
        <v>13</v>
      </c>
      <c r="C76" s="4"/>
      <c r="D76" s="4"/>
      <c r="E76" s="4"/>
      <c r="F76" s="4"/>
      <c r="G76" s="4"/>
      <c r="H76" s="4"/>
      <c r="I76" s="3">
        <f>'JUNE 21'!L76:L148</f>
        <v>0</v>
      </c>
      <c r="J76" s="3">
        <f t="shared" si="3"/>
        <v>0</v>
      </c>
      <c r="K76" s="3"/>
      <c r="L76" s="3">
        <f>J76-K76</f>
        <v>0</v>
      </c>
      <c r="M76" s="1"/>
    </row>
    <row r="77" spans="1:13" ht="15.75" x14ac:dyDescent="0.25">
      <c r="A77" s="3" t="s">
        <v>181</v>
      </c>
      <c r="B77" s="5" t="s">
        <v>13</v>
      </c>
      <c r="C77" s="8"/>
      <c r="D77" s="4"/>
      <c r="E77" s="4"/>
      <c r="F77" s="4"/>
      <c r="G77" s="4"/>
      <c r="H77" s="4"/>
      <c r="I77" s="3">
        <f>'JUNE 21'!L77:L149</f>
        <v>0</v>
      </c>
      <c r="J77" s="3">
        <f t="shared" si="3"/>
        <v>0</v>
      </c>
      <c r="K77" s="7"/>
      <c r="L77" s="3">
        <f>J77-K77</f>
        <v>0</v>
      </c>
      <c r="M77" s="1"/>
    </row>
    <row r="78" spans="1:13" ht="15.75" x14ac:dyDescent="0.25">
      <c r="A78" s="3"/>
      <c r="B78" s="3" t="s">
        <v>91</v>
      </c>
      <c r="C78" s="4"/>
      <c r="D78" s="4">
        <f t="shared" ref="D78:L78" si="4">SUM(D5:D77)</f>
        <v>1017920</v>
      </c>
      <c r="E78" s="4">
        <f t="shared" si="4"/>
        <v>60000</v>
      </c>
      <c r="F78" s="4">
        <f t="shared" si="4"/>
        <v>3000</v>
      </c>
      <c r="G78" s="4">
        <f t="shared" si="4"/>
        <v>6000</v>
      </c>
      <c r="H78" s="4">
        <f t="shared" si="4"/>
        <v>14400</v>
      </c>
      <c r="I78" s="3">
        <f>SUM(I5:I77)</f>
        <v>181620</v>
      </c>
      <c r="J78" s="3">
        <f t="shared" si="4"/>
        <v>1282940</v>
      </c>
      <c r="K78" s="3">
        <f t="shared" si="4"/>
        <v>1148967</v>
      </c>
      <c r="L78" s="3">
        <f t="shared" si="4"/>
        <v>133973</v>
      </c>
      <c r="M78" s="1"/>
    </row>
    <row r="79" spans="1:13" ht="15.75" x14ac:dyDescent="0.25">
      <c r="A79" s="1"/>
      <c r="B79" s="1" t="s">
        <v>206</v>
      </c>
      <c r="C79" s="16"/>
      <c r="D79" s="17">
        <f>100/116*D78</f>
        <v>877517.24137931026</v>
      </c>
      <c r="E79" s="17"/>
      <c r="F79" s="17"/>
      <c r="G79" s="17"/>
      <c r="H79" s="17"/>
      <c r="J79" s="18"/>
      <c r="K79" s="18"/>
      <c r="L79" s="17"/>
      <c r="M79" s="1"/>
    </row>
    <row r="80" spans="1:13" x14ac:dyDescent="0.25">
      <c r="D80" s="25"/>
    </row>
    <row r="81" spans="2:11" ht="15.75" x14ac:dyDescent="0.25">
      <c r="B81" s="2" t="s">
        <v>185</v>
      </c>
      <c r="C81" s="2"/>
      <c r="D81" s="2"/>
      <c r="E81" s="2"/>
      <c r="F81" s="2"/>
      <c r="G81" s="2"/>
      <c r="H81" s="19"/>
      <c r="I81" s="2" t="s">
        <v>177</v>
      </c>
      <c r="J81" s="1"/>
      <c r="K81" s="1"/>
    </row>
    <row r="82" spans="2:11" ht="15.75" x14ac:dyDescent="0.25">
      <c r="B82" s="3" t="s">
        <v>186</v>
      </c>
      <c r="C82" s="3" t="s">
        <v>187</v>
      </c>
      <c r="D82" s="3"/>
      <c r="E82" s="3" t="s">
        <v>188</v>
      </c>
      <c r="F82" s="3" t="s">
        <v>189</v>
      </c>
      <c r="G82" s="3" t="s">
        <v>186</v>
      </c>
      <c r="H82" s="3" t="s">
        <v>187</v>
      </c>
      <c r="I82" s="3" t="s">
        <v>188</v>
      </c>
      <c r="J82" s="3" t="s">
        <v>8</v>
      </c>
      <c r="K82" s="1"/>
    </row>
    <row r="83" spans="2:11" ht="15.75" x14ac:dyDescent="0.25">
      <c r="B83" s="3" t="s">
        <v>214</v>
      </c>
      <c r="C83" s="22">
        <f>D79</f>
        <v>877517.24137931026</v>
      </c>
      <c r="D83" s="22"/>
      <c r="E83" s="3"/>
      <c r="F83" s="3"/>
      <c r="G83" s="3" t="s">
        <v>214</v>
      </c>
      <c r="H83" s="22">
        <f>K78</f>
        <v>1148967</v>
      </c>
      <c r="I83" s="3"/>
      <c r="J83" s="11"/>
      <c r="K83" s="1"/>
    </row>
    <row r="84" spans="2:11" ht="15.75" x14ac:dyDescent="0.25">
      <c r="B84" s="3" t="s">
        <v>175</v>
      </c>
      <c r="C84" s="22">
        <f>H78</f>
        <v>14400</v>
      </c>
      <c r="D84" s="22"/>
      <c r="E84" s="3"/>
      <c r="F84" s="3"/>
      <c r="G84" s="3"/>
      <c r="H84" s="22"/>
      <c r="I84" s="3"/>
      <c r="J84" s="11"/>
      <c r="K84" s="21"/>
    </row>
    <row r="85" spans="2:11" ht="15.75" x14ac:dyDescent="0.25">
      <c r="B85" s="3" t="s">
        <v>191</v>
      </c>
      <c r="C85" s="22">
        <f>D78-D79</f>
        <v>140402.75862068974</v>
      </c>
      <c r="D85" s="22"/>
      <c r="E85" s="3"/>
      <c r="F85" s="3"/>
      <c r="G85" s="3" t="s">
        <v>192</v>
      </c>
      <c r="H85" s="22">
        <f>'JUNE 21'!J96</f>
        <v>0.24137931037694216</v>
      </c>
      <c r="I85" s="3"/>
      <c r="J85" s="11"/>
      <c r="K85" s="1"/>
    </row>
    <row r="86" spans="2:11" ht="15.75" x14ac:dyDescent="0.25">
      <c r="B86" s="29" t="s">
        <v>174</v>
      </c>
      <c r="C86" s="3">
        <f>E78</f>
        <v>60000</v>
      </c>
      <c r="D86" s="3"/>
      <c r="E86" s="3"/>
      <c r="F86" s="3"/>
      <c r="G86" s="29"/>
      <c r="H86" s="3"/>
      <c r="I86" s="3"/>
      <c r="J86" s="11"/>
      <c r="K86" s="1"/>
    </row>
    <row r="87" spans="2:11" ht="15.75" x14ac:dyDescent="0.25">
      <c r="B87" s="29" t="s">
        <v>183</v>
      </c>
      <c r="C87" s="3">
        <f>F78</f>
        <v>3000</v>
      </c>
      <c r="D87" s="3"/>
      <c r="E87" s="3"/>
      <c r="F87" s="3"/>
      <c r="G87" s="29"/>
      <c r="H87" s="3"/>
      <c r="I87" s="3"/>
      <c r="J87" s="11"/>
      <c r="K87" s="1"/>
    </row>
    <row r="88" spans="2:11" ht="15.75" x14ac:dyDescent="0.25">
      <c r="B88" s="29" t="s">
        <v>193</v>
      </c>
      <c r="C88" s="3">
        <f>G78</f>
        <v>6000</v>
      </c>
      <c r="D88" s="3"/>
      <c r="E88" s="3"/>
      <c r="F88" s="3"/>
      <c r="G88" s="29"/>
      <c r="H88" s="3"/>
      <c r="I88" s="3"/>
      <c r="J88" s="11"/>
      <c r="K88" s="1"/>
    </row>
    <row r="89" spans="2:11" ht="15.75" x14ac:dyDescent="0.25">
      <c r="B89" s="29" t="s">
        <v>192</v>
      </c>
      <c r="C89" s="30">
        <f>'JUNE 21'!F96</f>
        <v>181620.24137931038</v>
      </c>
      <c r="D89" s="3"/>
      <c r="E89" s="3"/>
      <c r="F89" s="3"/>
      <c r="G89" s="29"/>
      <c r="H89" s="3"/>
      <c r="I89" s="3"/>
      <c r="J89" s="11"/>
      <c r="K89" s="1"/>
    </row>
    <row r="90" spans="2:11" ht="15.75" x14ac:dyDescent="0.25">
      <c r="B90" s="29" t="s">
        <v>194</v>
      </c>
      <c r="C90" s="3">
        <v>43876</v>
      </c>
      <c r="D90" s="3"/>
      <c r="E90" s="3"/>
      <c r="F90" s="3"/>
      <c r="G90" s="29" t="s">
        <v>194</v>
      </c>
      <c r="H90" s="3">
        <v>43876</v>
      </c>
      <c r="I90" s="3"/>
      <c r="J90" s="11"/>
      <c r="K90" s="1"/>
    </row>
    <row r="91" spans="2:11" ht="15.75" x14ac:dyDescent="0.25">
      <c r="B91" s="3" t="s">
        <v>195</v>
      </c>
      <c r="C91" s="31">
        <v>0.05</v>
      </c>
      <c r="D91" s="31"/>
      <c r="E91" s="22">
        <f>C91*C83</f>
        <v>43875.862068965514</v>
      </c>
      <c r="F91" s="3"/>
      <c r="G91" s="3" t="s">
        <v>195</v>
      </c>
      <c r="H91" s="31">
        <v>0.05</v>
      </c>
      <c r="I91" s="22">
        <f>H91*C83</f>
        <v>43875.862068965514</v>
      </c>
      <c r="J91" s="20"/>
      <c r="K91" s="21"/>
    </row>
    <row r="92" spans="2:11" ht="15.75" x14ac:dyDescent="0.25">
      <c r="B92" s="5" t="s">
        <v>196</v>
      </c>
      <c r="C92" s="3" t="s">
        <v>197</v>
      </c>
      <c r="D92" s="3"/>
      <c r="E92" s="3"/>
      <c r="F92" s="3"/>
      <c r="G92" s="5" t="s">
        <v>196</v>
      </c>
      <c r="H92" s="22"/>
      <c r="I92" s="3"/>
      <c r="J92" s="3"/>
      <c r="K92" s="1"/>
    </row>
    <row r="93" spans="2:11" ht="15.75" x14ac:dyDescent="0.25">
      <c r="B93" s="23"/>
      <c r="C93" s="31"/>
      <c r="D93" s="31"/>
      <c r="E93" s="3"/>
      <c r="F93" s="3"/>
      <c r="G93" s="23"/>
      <c r="H93" s="31"/>
      <c r="I93" s="3"/>
      <c r="J93" s="11"/>
      <c r="K93" s="1"/>
    </row>
    <row r="94" spans="2:11" ht="15.75" x14ac:dyDescent="0.25">
      <c r="B94" s="32" t="s">
        <v>198</v>
      </c>
      <c r="C94" s="3"/>
      <c r="D94" s="3"/>
      <c r="E94" s="3">
        <f>K78</f>
        <v>1148967</v>
      </c>
      <c r="F94" s="23"/>
      <c r="G94" s="32" t="s">
        <v>198</v>
      </c>
      <c r="H94" s="3"/>
      <c r="I94" s="3">
        <f>K78</f>
        <v>1148967</v>
      </c>
      <c r="J94" s="11"/>
      <c r="K94" s="1"/>
    </row>
    <row r="95" spans="2:11" ht="15.75" x14ac:dyDescent="0.25">
      <c r="B95" s="3"/>
      <c r="C95" s="31"/>
      <c r="D95" s="31"/>
      <c r="E95" s="3"/>
      <c r="F95" s="3"/>
      <c r="G95" s="3"/>
      <c r="H95" s="31"/>
      <c r="I95" s="3"/>
      <c r="J95" s="11"/>
      <c r="K95" s="1"/>
    </row>
    <row r="96" spans="2:11" ht="15.75" x14ac:dyDescent="0.25">
      <c r="B96" s="23" t="s">
        <v>199</v>
      </c>
      <c r="C96" s="22">
        <f>C83+C84+C85+C86+C87+C88+C89+C90</f>
        <v>1326816.2413793104</v>
      </c>
      <c r="D96" s="22"/>
      <c r="E96" s="24">
        <f>SUM(E91:E95)</f>
        <v>1192842.8620689656</v>
      </c>
      <c r="F96" s="22">
        <f>C96-E96</f>
        <v>133973.37931034481</v>
      </c>
      <c r="G96" s="23" t="s">
        <v>199</v>
      </c>
      <c r="H96" s="22">
        <f>H83+H84+H85+H86+H87+H88+H89+H90</f>
        <v>1192843.2413793104</v>
      </c>
      <c r="I96" s="22">
        <f>SUM(I91:I95)</f>
        <v>1192842.8620689656</v>
      </c>
      <c r="J96" s="22">
        <f>H96-I96</f>
        <v>0.37931034481152892</v>
      </c>
      <c r="K96" s="1"/>
    </row>
    <row r="97" spans="2:11" ht="15.75" x14ac:dyDescent="0.25">
      <c r="B97" s="2" t="s">
        <v>200</v>
      </c>
      <c r="C97" s="2"/>
      <c r="D97" s="2"/>
      <c r="E97" s="33"/>
      <c r="F97" s="2" t="s">
        <v>201</v>
      </c>
      <c r="G97" s="2"/>
      <c r="H97" s="2"/>
      <c r="I97" s="33">
        <f>I96-I91</f>
        <v>1148967</v>
      </c>
      <c r="J97" s="2" t="s">
        <v>202</v>
      </c>
      <c r="K97" s="2"/>
    </row>
    <row r="98" spans="2:11" ht="15.75" x14ac:dyDescent="0.25">
      <c r="B98" s="2" t="s">
        <v>203</v>
      </c>
      <c r="C98" s="2"/>
      <c r="D98" s="2"/>
      <c r="E98" s="2"/>
      <c r="F98" s="2" t="s">
        <v>204</v>
      </c>
      <c r="G98" s="2"/>
      <c r="H98" s="2"/>
      <c r="I98" s="33"/>
      <c r="J98" s="2" t="s">
        <v>205</v>
      </c>
      <c r="K98" s="2"/>
    </row>
    <row r="99" spans="2:11" x14ac:dyDescent="0.25"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2:11" x14ac:dyDescent="0.25"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K14" sqref="K14"/>
    </sheetView>
  </sheetViews>
  <sheetFormatPr defaultRowHeight="15" x14ac:dyDescent="0.25"/>
  <cols>
    <col min="2" max="2" width="32.28515625" customWidth="1"/>
    <col min="3" max="3" width="26.140625" customWidth="1"/>
    <col min="4" max="4" width="12.7109375" customWidth="1"/>
    <col min="5" max="5" width="10.7109375" customWidth="1"/>
    <col min="8" max="8" width="12.5703125" customWidth="1"/>
    <col min="9" max="9" width="14" customWidth="1"/>
  </cols>
  <sheetData>
    <row r="1" spans="1:13" ht="15.75" x14ac:dyDescent="0.25">
      <c r="C1" s="2" t="s">
        <v>92</v>
      </c>
      <c r="D1" s="2"/>
      <c r="E1" s="2"/>
      <c r="F1" s="2"/>
      <c r="G1" s="2"/>
      <c r="H1" s="2"/>
    </row>
    <row r="2" spans="1:13" ht="15.75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1"/>
      <c r="M2" s="1"/>
    </row>
    <row r="3" spans="1:13" ht="15.75" x14ac:dyDescent="0.25">
      <c r="A3" s="1"/>
      <c r="B3" s="1"/>
      <c r="C3" s="2" t="s">
        <v>224</v>
      </c>
      <c r="D3" s="2"/>
      <c r="E3" s="2"/>
      <c r="F3" s="2"/>
      <c r="G3" s="2"/>
      <c r="H3" s="2"/>
      <c r="I3" s="2"/>
      <c r="J3" s="2"/>
      <c r="K3" s="2"/>
      <c r="L3" s="1"/>
      <c r="M3" s="1"/>
    </row>
    <row r="4" spans="1:13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174</v>
      </c>
      <c r="F4" s="4" t="s">
        <v>183</v>
      </c>
      <c r="G4" s="4" t="s">
        <v>178</v>
      </c>
      <c r="H4" s="4" t="s">
        <v>175</v>
      </c>
      <c r="I4" s="3" t="s">
        <v>192</v>
      </c>
      <c r="J4" s="3" t="s">
        <v>6</v>
      </c>
      <c r="K4" s="3" t="s">
        <v>177</v>
      </c>
      <c r="L4" s="3" t="s">
        <v>8</v>
      </c>
    </row>
    <row r="5" spans="1:13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4">
        <v>60000</v>
      </c>
      <c r="F5" s="4"/>
      <c r="G5" s="4"/>
      <c r="H5" s="4">
        <v>300</v>
      </c>
      <c r="I5" s="3">
        <f>'JULY 21'!L5:L77</f>
        <v>1500</v>
      </c>
      <c r="J5" s="3">
        <f>D5+E5+F5+G5+H5+I5</f>
        <v>141800</v>
      </c>
      <c r="K5" s="3">
        <f>70000+10000</f>
        <v>80000</v>
      </c>
      <c r="L5" s="3">
        <f t="shared" ref="L5:L14" si="0">J5-K5</f>
        <v>61800</v>
      </c>
      <c r="M5" s="1"/>
    </row>
    <row r="6" spans="1:13" ht="15.75" x14ac:dyDescent="0.25">
      <c r="A6" s="3" t="s">
        <v>12</v>
      </c>
      <c r="B6" s="7" t="s">
        <v>147</v>
      </c>
      <c r="C6" s="4"/>
      <c r="D6" s="4"/>
      <c r="E6" s="4"/>
      <c r="F6" s="4"/>
      <c r="G6" s="4"/>
      <c r="H6" s="4"/>
      <c r="I6" s="3">
        <f>'JULY 21'!L6:L78</f>
        <v>0</v>
      </c>
      <c r="J6" s="3">
        <f t="shared" ref="J6:J69" si="1">D6+E6+F6+G6+H6+I6</f>
        <v>0</v>
      </c>
      <c r="K6" s="3"/>
      <c r="L6" s="3">
        <f t="shared" si="0"/>
        <v>0</v>
      </c>
      <c r="M6" s="1"/>
    </row>
    <row r="7" spans="1:13" ht="15.75" x14ac:dyDescent="0.25">
      <c r="A7" s="3" t="s">
        <v>14</v>
      </c>
      <c r="B7" s="3" t="s">
        <v>16</v>
      </c>
      <c r="C7" s="4" t="s">
        <v>17</v>
      </c>
      <c r="D7" s="4">
        <v>122000</v>
      </c>
      <c r="E7" s="4"/>
      <c r="F7" s="4"/>
      <c r="G7" s="4"/>
      <c r="H7" s="4">
        <v>300</v>
      </c>
      <c r="I7" s="3">
        <f>'JULY 21'!L7:L79</f>
        <v>-15170</v>
      </c>
      <c r="J7" s="3">
        <f t="shared" si="1"/>
        <v>107130</v>
      </c>
      <c r="K7" s="3">
        <v>139080</v>
      </c>
      <c r="L7" s="3">
        <f t="shared" si="0"/>
        <v>-31950</v>
      </c>
      <c r="M7" s="1"/>
    </row>
    <row r="8" spans="1:13" ht="15.75" x14ac:dyDescent="0.25">
      <c r="A8" s="3" t="s">
        <v>15</v>
      </c>
      <c r="B8" s="3" t="s">
        <v>16</v>
      </c>
      <c r="C8" s="4" t="s">
        <v>149</v>
      </c>
      <c r="D8" s="4"/>
      <c r="E8" s="4"/>
      <c r="F8" s="4"/>
      <c r="G8" s="4"/>
      <c r="H8" s="4"/>
      <c r="I8" s="3">
        <f>'JULY 21'!L8:L80</f>
        <v>0</v>
      </c>
      <c r="J8" s="3">
        <f t="shared" si="1"/>
        <v>0</v>
      </c>
      <c r="K8" s="3"/>
      <c r="L8" s="3">
        <f t="shared" si="0"/>
        <v>0</v>
      </c>
      <c r="M8" s="1"/>
    </row>
    <row r="9" spans="1:13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4"/>
      <c r="F9" s="4"/>
      <c r="G9" s="4"/>
      <c r="H9" s="4">
        <v>300</v>
      </c>
      <c r="I9" s="3">
        <f>'JULY 21'!L9:L81</f>
        <v>0</v>
      </c>
      <c r="J9" s="3">
        <f t="shared" si="1"/>
        <v>40300</v>
      </c>
      <c r="K9" s="3">
        <f>5200+35100</f>
        <v>40300</v>
      </c>
      <c r="L9" s="3">
        <f t="shared" si="0"/>
        <v>0</v>
      </c>
      <c r="M9" s="1"/>
    </row>
    <row r="10" spans="1:13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4"/>
      <c r="F10" s="4"/>
      <c r="G10" s="4"/>
      <c r="H10" s="4">
        <v>300</v>
      </c>
      <c r="I10" s="3">
        <f>'JULY 21'!L10:L82</f>
        <v>0</v>
      </c>
      <c r="J10" s="3">
        <f t="shared" si="1"/>
        <v>50300</v>
      </c>
      <c r="K10" s="3">
        <v>50300</v>
      </c>
      <c r="L10" s="3">
        <f t="shared" si="0"/>
        <v>0</v>
      </c>
      <c r="M10" s="1"/>
    </row>
    <row r="11" spans="1:13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4"/>
      <c r="F11" s="4"/>
      <c r="G11" s="4"/>
      <c r="H11" s="4">
        <v>300</v>
      </c>
      <c r="I11" s="3">
        <f>'JULY 21'!L11:L83</f>
        <v>2100</v>
      </c>
      <c r="J11" s="3">
        <f t="shared" si="1"/>
        <v>22400</v>
      </c>
      <c r="K11" s="3">
        <f>20000</f>
        <v>20000</v>
      </c>
      <c r="L11" s="3">
        <f t="shared" si="0"/>
        <v>2400</v>
      </c>
      <c r="M11" s="1"/>
    </row>
    <row r="12" spans="1:13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4"/>
      <c r="F12" s="4"/>
      <c r="G12" s="4"/>
      <c r="H12" s="4">
        <v>300</v>
      </c>
      <c r="I12" s="3">
        <f>'JULY 21'!L12:L84</f>
        <v>2400</v>
      </c>
      <c r="J12" s="3">
        <f t="shared" si="1"/>
        <v>22700</v>
      </c>
      <c r="K12" s="3">
        <f>20000</f>
        <v>20000</v>
      </c>
      <c r="L12" s="3">
        <f t="shared" si="0"/>
        <v>2700</v>
      </c>
      <c r="M12" s="1"/>
    </row>
    <row r="13" spans="1:13" ht="15.75" x14ac:dyDescent="0.25">
      <c r="A13" s="3" t="s">
        <v>96</v>
      </c>
      <c r="B13" s="7" t="s">
        <v>228</v>
      </c>
      <c r="C13" s="4"/>
      <c r="D13" s="4">
        <v>23200</v>
      </c>
      <c r="E13" s="4">
        <v>40000</v>
      </c>
      <c r="F13" s="4">
        <v>1500</v>
      </c>
      <c r="G13" s="4">
        <v>3000</v>
      </c>
      <c r="H13" s="4">
        <v>300</v>
      </c>
      <c r="I13" s="3">
        <f>'JULY 21'!L13:L85</f>
        <v>0</v>
      </c>
      <c r="J13" s="3">
        <f t="shared" si="1"/>
        <v>68000</v>
      </c>
      <c r="K13" s="3">
        <v>68000</v>
      </c>
      <c r="L13" s="3">
        <f t="shared" si="0"/>
        <v>0</v>
      </c>
      <c r="M13" s="1"/>
    </row>
    <row r="14" spans="1:13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4"/>
      <c r="F14" s="4"/>
      <c r="G14" s="4"/>
      <c r="H14" s="4">
        <v>300</v>
      </c>
      <c r="I14" s="3">
        <f>'JULY 21'!L14:L86</f>
        <v>35400</v>
      </c>
      <c r="J14" s="3">
        <f t="shared" si="1"/>
        <v>47700</v>
      </c>
      <c r="K14" s="3"/>
      <c r="L14" s="3">
        <f t="shared" si="0"/>
        <v>47700</v>
      </c>
      <c r="M14" s="1" t="s">
        <v>216</v>
      </c>
    </row>
    <row r="15" spans="1:13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4"/>
      <c r="F15" s="4"/>
      <c r="G15" s="4"/>
      <c r="H15" s="4">
        <v>300</v>
      </c>
      <c r="I15" s="3">
        <f>'JULY 21'!L15:L87</f>
        <v>2400</v>
      </c>
      <c r="J15" s="3">
        <f t="shared" si="1"/>
        <v>67700</v>
      </c>
      <c r="K15" s="3">
        <f>65000</f>
        <v>65000</v>
      </c>
      <c r="L15" s="3">
        <f t="shared" ref="L15:L72" si="2">J15-K15</f>
        <v>2700</v>
      </c>
      <c r="M15" s="1"/>
    </row>
    <row r="16" spans="1:13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4"/>
      <c r="F16" s="4"/>
      <c r="G16" s="4"/>
      <c r="H16" s="4">
        <v>300</v>
      </c>
      <c r="I16" s="3">
        <f>'JULY 21'!L16:L88</f>
        <v>600</v>
      </c>
      <c r="J16" s="3">
        <f t="shared" si="1"/>
        <v>60900</v>
      </c>
      <c r="K16" s="3">
        <f>60000</f>
        <v>60000</v>
      </c>
      <c r="L16" s="3">
        <f t="shared" si="2"/>
        <v>900</v>
      </c>
      <c r="M16" s="1"/>
    </row>
    <row r="17" spans="1:13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4"/>
      <c r="F17" s="4"/>
      <c r="G17" s="4"/>
      <c r="H17" s="4">
        <v>300</v>
      </c>
      <c r="I17" s="3">
        <f>'JULY 21'!L17:L89</f>
        <v>18900</v>
      </c>
      <c r="J17" s="3">
        <f t="shared" si="1"/>
        <v>34200</v>
      </c>
      <c r="K17" s="3">
        <f>11000+10000</f>
        <v>21000</v>
      </c>
      <c r="L17" s="3">
        <f t="shared" si="2"/>
        <v>13200</v>
      </c>
      <c r="M17" s="1"/>
    </row>
    <row r="18" spans="1:13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4"/>
      <c r="F18" s="4"/>
      <c r="G18" s="4"/>
      <c r="H18" s="4">
        <v>300</v>
      </c>
      <c r="I18" s="3">
        <f>'JULY 21'!L18:L90</f>
        <v>2400</v>
      </c>
      <c r="J18" s="3">
        <f t="shared" si="1"/>
        <v>17700</v>
      </c>
      <c r="K18" s="3">
        <f>15000</f>
        <v>15000</v>
      </c>
      <c r="L18" s="3">
        <f t="shared" si="2"/>
        <v>2700</v>
      </c>
      <c r="M18" s="1"/>
    </row>
    <row r="19" spans="1:13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4"/>
      <c r="F19" s="4"/>
      <c r="G19" s="4"/>
      <c r="H19" s="4">
        <v>300</v>
      </c>
      <c r="I19" s="3">
        <f>'JULY 21'!L19:L91</f>
        <v>0</v>
      </c>
      <c r="J19" s="3">
        <f t="shared" si="1"/>
        <v>15300</v>
      </c>
      <c r="K19" s="3">
        <v>15300</v>
      </c>
      <c r="L19" s="3">
        <f t="shared" si="2"/>
        <v>0</v>
      </c>
      <c r="M19" s="1"/>
    </row>
    <row r="20" spans="1:13" ht="15.75" x14ac:dyDescent="0.25">
      <c r="A20" s="3" t="s">
        <v>29</v>
      </c>
      <c r="B20" s="7" t="s">
        <v>167</v>
      </c>
      <c r="C20" s="8" t="s">
        <v>38</v>
      </c>
      <c r="D20" s="4">
        <v>10000</v>
      </c>
      <c r="E20" s="4"/>
      <c r="F20" s="4"/>
      <c r="G20" s="4"/>
      <c r="H20" s="4">
        <v>300</v>
      </c>
      <c r="I20" s="3">
        <f>'JULY 21'!L20:L92</f>
        <v>13400</v>
      </c>
      <c r="J20" s="3">
        <f t="shared" si="1"/>
        <v>23700</v>
      </c>
      <c r="K20" s="3">
        <f>10000+10000</f>
        <v>20000</v>
      </c>
      <c r="L20" s="3">
        <f t="shared" si="2"/>
        <v>3700</v>
      </c>
      <c r="M20" s="1"/>
    </row>
    <row r="21" spans="1:13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4"/>
      <c r="F21" s="4"/>
      <c r="G21" s="4"/>
      <c r="H21" s="4"/>
      <c r="I21" s="3">
        <f>'JULY 21'!L21:L93</f>
        <v>0</v>
      </c>
      <c r="J21" s="3">
        <f t="shared" si="1"/>
        <v>10000</v>
      </c>
      <c r="K21" s="3">
        <v>10000</v>
      </c>
      <c r="L21" s="3">
        <f t="shared" si="2"/>
        <v>0</v>
      </c>
      <c r="M21" s="1"/>
    </row>
    <row r="22" spans="1:13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4"/>
      <c r="F22" s="4"/>
      <c r="G22" s="4"/>
      <c r="H22" s="4">
        <v>300</v>
      </c>
      <c r="I22" s="3">
        <f>'JULY 21'!L22:L94</f>
        <v>2400</v>
      </c>
      <c r="J22" s="3">
        <f t="shared" si="1"/>
        <v>12700</v>
      </c>
      <c r="K22" s="3">
        <v>10000</v>
      </c>
      <c r="L22" s="3">
        <f t="shared" si="2"/>
        <v>2700</v>
      </c>
      <c r="M22" s="1"/>
    </row>
    <row r="23" spans="1:13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4"/>
      <c r="F23" s="4"/>
      <c r="G23" s="4"/>
      <c r="H23" s="4">
        <v>300</v>
      </c>
      <c r="I23" s="3">
        <f>'JULY 21'!L23:L95</f>
        <v>-3600</v>
      </c>
      <c r="J23" s="3">
        <f t="shared" si="1"/>
        <v>8700</v>
      </c>
      <c r="K23" s="3"/>
      <c r="L23" s="3">
        <f t="shared" si="2"/>
        <v>8700</v>
      </c>
      <c r="M23" s="1"/>
    </row>
    <row r="24" spans="1:13" ht="15.75" x14ac:dyDescent="0.25">
      <c r="A24" s="3" t="s">
        <v>39</v>
      </c>
      <c r="B24" s="3" t="s">
        <v>43</v>
      </c>
      <c r="C24" s="4" t="s">
        <v>44</v>
      </c>
      <c r="D24" s="4">
        <v>10000</v>
      </c>
      <c r="E24" s="4"/>
      <c r="F24" s="4"/>
      <c r="G24" s="4"/>
      <c r="H24" s="4">
        <v>300</v>
      </c>
      <c r="I24" s="3">
        <f>'JULY 21'!L24:L96</f>
        <v>4400</v>
      </c>
      <c r="J24" s="3">
        <f t="shared" si="1"/>
        <v>14700</v>
      </c>
      <c r="K24" s="3">
        <v>10000</v>
      </c>
      <c r="L24" s="3">
        <f t="shared" si="2"/>
        <v>4700</v>
      </c>
      <c r="M24" s="1"/>
    </row>
    <row r="25" spans="1:13" ht="15.75" x14ac:dyDescent="0.25">
      <c r="A25" s="3" t="s">
        <v>42</v>
      </c>
      <c r="B25" s="5" t="s">
        <v>219</v>
      </c>
      <c r="C25" s="4"/>
      <c r="D25" s="4">
        <v>11600</v>
      </c>
      <c r="E25" s="4"/>
      <c r="F25" s="4"/>
      <c r="G25" s="4"/>
      <c r="H25" s="4">
        <v>300</v>
      </c>
      <c r="I25" s="3">
        <f>'JULY 21'!L25:L97</f>
        <v>5000</v>
      </c>
      <c r="J25" s="3">
        <f t="shared" si="1"/>
        <v>16900</v>
      </c>
      <c r="K25" s="3">
        <f>15000+1900</f>
        <v>16900</v>
      </c>
      <c r="L25" s="3">
        <f t="shared" si="2"/>
        <v>0</v>
      </c>
      <c r="M25" s="1"/>
    </row>
    <row r="26" spans="1:13" ht="15.75" x14ac:dyDescent="0.25">
      <c r="A26" s="3" t="s">
        <v>45</v>
      </c>
      <c r="B26" s="5" t="s">
        <v>218</v>
      </c>
      <c r="C26" s="4"/>
      <c r="D26" s="4"/>
      <c r="E26" s="4"/>
      <c r="F26" s="4"/>
      <c r="G26" s="4"/>
      <c r="H26" s="4"/>
      <c r="I26" s="3">
        <f>'JULY 21'!L26:L98</f>
        <v>0</v>
      </c>
      <c r="J26" s="3">
        <f t="shared" si="1"/>
        <v>0</v>
      </c>
      <c r="K26" s="3"/>
      <c r="L26" s="3">
        <f t="shared" si="2"/>
        <v>0</v>
      </c>
      <c r="M26" s="1"/>
    </row>
    <row r="27" spans="1:13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4"/>
      <c r="F27" s="4"/>
      <c r="G27" s="4"/>
      <c r="H27" s="4">
        <v>300</v>
      </c>
      <c r="I27" s="3">
        <f>'JULY 21'!L27:L99</f>
        <v>1500</v>
      </c>
      <c r="J27" s="3">
        <f t="shared" si="1"/>
        <v>11800</v>
      </c>
      <c r="K27" s="3">
        <f>10300</f>
        <v>10300</v>
      </c>
      <c r="L27" s="3">
        <f t="shared" si="2"/>
        <v>1500</v>
      </c>
      <c r="M27" s="1"/>
    </row>
    <row r="28" spans="1:13" ht="15.75" x14ac:dyDescent="0.25">
      <c r="A28" s="3" t="s">
        <v>50</v>
      </c>
      <c r="B28" s="7" t="s">
        <v>207</v>
      </c>
      <c r="C28" s="8" t="s">
        <v>208</v>
      </c>
      <c r="D28" s="8">
        <v>11600</v>
      </c>
      <c r="E28" s="8"/>
      <c r="F28" s="8"/>
      <c r="G28" s="8"/>
      <c r="H28" s="8">
        <v>300</v>
      </c>
      <c r="I28" s="3">
        <f>'JULY 21'!L28:L100</f>
        <v>0</v>
      </c>
      <c r="J28" s="7">
        <f t="shared" si="1"/>
        <v>11900</v>
      </c>
      <c r="K28" s="9">
        <f>11900</f>
        <v>11900</v>
      </c>
      <c r="L28" s="3">
        <f t="shared" si="2"/>
        <v>0</v>
      </c>
      <c r="M28" s="1"/>
    </row>
    <row r="29" spans="1:13" ht="15.75" x14ac:dyDescent="0.25">
      <c r="A29" s="3" t="s">
        <v>51</v>
      </c>
      <c r="B29" s="3" t="s">
        <v>70</v>
      </c>
      <c r="C29" s="4" t="s">
        <v>71</v>
      </c>
      <c r="D29" s="4">
        <v>6500</v>
      </c>
      <c r="E29" s="4"/>
      <c r="F29" s="4"/>
      <c r="G29" s="4"/>
      <c r="H29" s="4">
        <v>300</v>
      </c>
      <c r="I29" s="3">
        <f>'JULY 21'!L29:L101</f>
        <v>8900</v>
      </c>
      <c r="J29" s="3">
        <f t="shared" si="1"/>
        <v>15700</v>
      </c>
      <c r="K29" s="3"/>
      <c r="L29" s="3">
        <f t="shared" si="2"/>
        <v>15700</v>
      </c>
      <c r="M29" s="1"/>
    </row>
    <row r="30" spans="1:13" ht="15.75" x14ac:dyDescent="0.25">
      <c r="A30" s="7" t="s">
        <v>102</v>
      </c>
      <c r="B30" s="7" t="s">
        <v>171</v>
      </c>
      <c r="C30" s="8" t="s">
        <v>69</v>
      </c>
      <c r="D30" s="4">
        <v>9500</v>
      </c>
      <c r="E30" s="4"/>
      <c r="F30" s="4"/>
      <c r="G30" s="4"/>
      <c r="H30" s="4">
        <v>300</v>
      </c>
      <c r="I30" s="3">
        <f>'JULY 21'!L30:L102</f>
        <v>21400</v>
      </c>
      <c r="J30" s="3">
        <f t="shared" si="1"/>
        <v>31200</v>
      </c>
      <c r="K30" s="3">
        <f>18000</f>
        <v>18000</v>
      </c>
      <c r="L30" s="3">
        <f>J30-K30</f>
        <v>13200</v>
      </c>
      <c r="M30" s="1" t="s">
        <v>216</v>
      </c>
    </row>
    <row r="31" spans="1:13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4"/>
      <c r="F31" s="4"/>
      <c r="G31" s="4"/>
      <c r="H31" s="4">
        <v>300</v>
      </c>
      <c r="I31" s="3">
        <f>'JULY 21'!L31:L103</f>
        <v>2400</v>
      </c>
      <c r="J31" s="3">
        <f t="shared" si="1"/>
        <v>11700</v>
      </c>
      <c r="K31" s="3">
        <f>9500</f>
        <v>9500</v>
      </c>
      <c r="L31" s="3">
        <f>J31-K31</f>
        <v>2200</v>
      </c>
      <c r="M31" s="1"/>
    </row>
    <row r="32" spans="1:13" ht="15.75" x14ac:dyDescent="0.25">
      <c r="A32" s="3" t="s">
        <v>104</v>
      </c>
      <c r="B32" s="9" t="s">
        <v>220</v>
      </c>
      <c r="C32" s="10"/>
      <c r="D32" s="4">
        <v>11600</v>
      </c>
      <c r="E32" s="4"/>
      <c r="F32" s="4"/>
      <c r="G32" s="4"/>
      <c r="H32" s="4">
        <v>300</v>
      </c>
      <c r="I32" s="3">
        <f>'JULY 21'!L32:L104</f>
        <v>0</v>
      </c>
      <c r="J32" s="3">
        <f t="shared" si="1"/>
        <v>11900</v>
      </c>
      <c r="K32" s="11"/>
      <c r="L32" s="3">
        <f t="shared" si="2"/>
        <v>11900</v>
      </c>
      <c r="M32" s="1"/>
    </row>
    <row r="33" spans="1:13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4"/>
      <c r="F33" s="4"/>
      <c r="G33" s="4"/>
      <c r="H33" s="4">
        <v>300</v>
      </c>
      <c r="I33" s="3">
        <f>'JULY 21'!L33:L105</f>
        <v>2400</v>
      </c>
      <c r="J33" s="3">
        <f t="shared" si="1"/>
        <v>14700</v>
      </c>
      <c r="K33" s="3">
        <f>12000</f>
        <v>12000</v>
      </c>
      <c r="L33" s="3">
        <f>J33-K33</f>
        <v>2700</v>
      </c>
      <c r="M33" s="1"/>
    </row>
    <row r="34" spans="1:13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4"/>
      <c r="F34" s="4"/>
      <c r="G34" s="4"/>
      <c r="H34" s="4">
        <v>300</v>
      </c>
      <c r="I34" s="3">
        <f>'JULY 21'!L34:L106</f>
        <v>1000</v>
      </c>
      <c r="J34" s="3">
        <f t="shared" si="1"/>
        <v>13300</v>
      </c>
      <c r="K34" s="3">
        <f>12400</f>
        <v>12400</v>
      </c>
      <c r="L34" s="3">
        <f t="shared" si="2"/>
        <v>900</v>
      </c>
      <c r="M34" s="1"/>
    </row>
    <row r="35" spans="1:13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4"/>
      <c r="F35" s="4"/>
      <c r="G35" s="4"/>
      <c r="H35" s="4">
        <v>300</v>
      </c>
      <c r="I35" s="3">
        <f>'JULY 21'!L35:L107</f>
        <v>2400</v>
      </c>
      <c r="J35" s="3">
        <f t="shared" si="1"/>
        <v>12700</v>
      </c>
      <c r="K35" s="7">
        <f>10000</f>
        <v>10000</v>
      </c>
      <c r="L35" s="3">
        <f t="shared" si="2"/>
        <v>2700</v>
      </c>
      <c r="M35" s="1"/>
    </row>
    <row r="36" spans="1:13" ht="15.75" x14ac:dyDescent="0.25">
      <c r="A36" s="3" t="s">
        <v>108</v>
      </c>
      <c r="B36" s="7" t="s">
        <v>209</v>
      </c>
      <c r="C36" s="8"/>
      <c r="D36" s="12">
        <v>10000</v>
      </c>
      <c r="E36" s="12"/>
      <c r="F36" s="4"/>
      <c r="G36" s="12"/>
      <c r="H36" s="4">
        <v>300</v>
      </c>
      <c r="I36" s="3">
        <f>'JULY 21'!L36:L108</f>
        <v>-19700</v>
      </c>
      <c r="J36" s="3">
        <f t="shared" si="1"/>
        <v>-9400</v>
      </c>
      <c r="K36" s="3"/>
      <c r="L36" s="3">
        <f t="shared" si="2"/>
        <v>-9400</v>
      </c>
      <c r="M36" s="1"/>
    </row>
    <row r="37" spans="1:13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8"/>
      <c r="F37" s="4"/>
      <c r="G37" s="8"/>
      <c r="H37" s="4">
        <v>300</v>
      </c>
      <c r="I37" s="3">
        <f>'JULY 21'!L37:L109</f>
        <v>-25627</v>
      </c>
      <c r="J37" s="3">
        <f t="shared" si="1"/>
        <v>-12327</v>
      </c>
      <c r="K37" s="3"/>
      <c r="L37" s="3">
        <f t="shared" si="2"/>
        <v>-12327</v>
      </c>
      <c r="M37" s="1"/>
    </row>
    <row r="38" spans="1:13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8"/>
      <c r="F38" s="4"/>
      <c r="G38" s="8"/>
      <c r="H38" s="4">
        <v>300</v>
      </c>
      <c r="I38" s="3">
        <f>'JULY 21'!L38:L110</f>
        <v>1500</v>
      </c>
      <c r="J38" s="3">
        <f t="shared" si="1"/>
        <v>11800</v>
      </c>
      <c r="K38" s="3">
        <v>10300</v>
      </c>
      <c r="L38" s="3">
        <f t="shared" si="2"/>
        <v>1500</v>
      </c>
      <c r="M38" s="1"/>
    </row>
    <row r="39" spans="1:13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4"/>
      <c r="F39" s="4"/>
      <c r="G39" s="4"/>
      <c r="H39" s="4">
        <v>300</v>
      </c>
      <c r="I39" s="3">
        <f>'JULY 21'!L39:L111</f>
        <v>2800</v>
      </c>
      <c r="J39" s="3">
        <f t="shared" si="1"/>
        <v>15100</v>
      </c>
      <c r="K39" s="3">
        <f>13000</f>
        <v>13000</v>
      </c>
      <c r="L39" s="3">
        <f t="shared" si="2"/>
        <v>2100</v>
      </c>
      <c r="M39" s="1"/>
    </row>
    <row r="40" spans="1:13" ht="15.75" x14ac:dyDescent="0.25">
      <c r="A40" s="3" t="s">
        <v>112</v>
      </c>
      <c r="B40" s="3" t="s">
        <v>56</v>
      </c>
      <c r="C40" s="4" t="s">
        <v>57</v>
      </c>
      <c r="D40" s="4">
        <v>12000</v>
      </c>
      <c r="E40" s="4"/>
      <c r="F40" s="4"/>
      <c r="G40" s="4"/>
      <c r="H40" s="4">
        <v>300</v>
      </c>
      <c r="I40" s="3">
        <f>'JULY 21'!L40:L112</f>
        <v>1800</v>
      </c>
      <c r="J40" s="3">
        <f t="shared" si="1"/>
        <v>14100</v>
      </c>
      <c r="K40" s="3">
        <f>12000</f>
        <v>12000</v>
      </c>
      <c r="L40" s="3">
        <f t="shared" si="2"/>
        <v>2100</v>
      </c>
      <c r="M40" s="1"/>
    </row>
    <row r="41" spans="1:13" ht="15.75" x14ac:dyDescent="0.25">
      <c r="A41" s="7" t="s">
        <v>113</v>
      </c>
      <c r="B41" s="7" t="s">
        <v>82</v>
      </c>
      <c r="C41" s="10" t="s">
        <v>169</v>
      </c>
      <c r="D41" s="4">
        <v>6500</v>
      </c>
      <c r="E41" s="4"/>
      <c r="F41" s="4"/>
      <c r="G41" s="4"/>
      <c r="H41" s="4"/>
      <c r="I41" s="3">
        <f>'JULY 21'!L41:L113</f>
        <v>0</v>
      </c>
      <c r="J41" s="3">
        <f t="shared" si="1"/>
        <v>6500</v>
      </c>
      <c r="K41" s="3">
        <f>6800</f>
        <v>6800</v>
      </c>
      <c r="L41" s="3">
        <f t="shared" si="2"/>
        <v>-300</v>
      </c>
      <c r="M41" s="1"/>
    </row>
    <row r="42" spans="1:13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8"/>
      <c r="F42" s="4"/>
      <c r="G42" s="8"/>
      <c r="H42" s="4">
        <v>300</v>
      </c>
      <c r="I42" s="3">
        <f>'JULY 21'!L42:L114</f>
        <v>0</v>
      </c>
      <c r="J42" s="3">
        <f t="shared" si="1"/>
        <v>12300</v>
      </c>
      <c r="K42" s="3">
        <v>12300</v>
      </c>
      <c r="L42" s="3">
        <f t="shared" si="2"/>
        <v>0</v>
      </c>
      <c r="M42" s="1"/>
    </row>
    <row r="43" spans="1:13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4"/>
      <c r="F43" s="4"/>
      <c r="G43" s="4"/>
      <c r="H43" s="4">
        <v>300</v>
      </c>
      <c r="I43" s="3">
        <f>'JULY 21'!L43:L115</f>
        <v>0</v>
      </c>
      <c r="J43" s="3">
        <f t="shared" si="1"/>
        <v>12300</v>
      </c>
      <c r="K43" s="3">
        <f>12100</f>
        <v>12100</v>
      </c>
      <c r="L43" s="3">
        <f t="shared" si="2"/>
        <v>200</v>
      </c>
      <c r="M43" s="1"/>
    </row>
    <row r="44" spans="1:13" ht="15.75" x14ac:dyDescent="0.25">
      <c r="A44" s="3" t="s">
        <v>116</v>
      </c>
      <c r="B44" s="9" t="s">
        <v>172</v>
      </c>
      <c r="C44" s="8"/>
      <c r="D44" s="4">
        <f>10000+1600</f>
        <v>11600</v>
      </c>
      <c r="E44" s="4"/>
      <c r="F44" s="4"/>
      <c r="G44" s="4"/>
      <c r="H44" s="4">
        <v>300</v>
      </c>
      <c r="I44" s="3">
        <f>'JULY 21'!L44:L116</f>
        <v>0</v>
      </c>
      <c r="J44" s="3">
        <f t="shared" si="1"/>
        <v>11900</v>
      </c>
      <c r="K44" s="3">
        <f>11900</f>
        <v>11900</v>
      </c>
      <c r="L44" s="3">
        <f t="shared" si="2"/>
        <v>0</v>
      </c>
      <c r="M44" s="1"/>
    </row>
    <row r="45" spans="1:13" ht="15.75" x14ac:dyDescent="0.25">
      <c r="A45" s="3" t="s">
        <v>117</v>
      </c>
      <c r="B45" s="5" t="s">
        <v>13</v>
      </c>
      <c r="C45" s="4"/>
      <c r="D45" s="4"/>
      <c r="E45" s="4"/>
      <c r="F45" s="4"/>
      <c r="G45" s="4"/>
      <c r="H45" s="4"/>
      <c r="I45" s="3">
        <f>'JULY 21'!L45:L117</f>
        <v>0</v>
      </c>
      <c r="J45" s="3">
        <f t="shared" si="1"/>
        <v>0</v>
      </c>
      <c r="K45" s="3"/>
      <c r="L45" s="3">
        <f t="shared" si="2"/>
        <v>0</v>
      </c>
      <c r="M45" s="1"/>
    </row>
    <row r="46" spans="1:13" ht="15.75" x14ac:dyDescent="0.25">
      <c r="A46" s="3" t="s">
        <v>118</v>
      </c>
      <c r="B46" s="5" t="s">
        <v>13</v>
      </c>
      <c r="C46" s="4"/>
      <c r="D46" s="4"/>
      <c r="E46" s="4"/>
      <c r="F46" s="4"/>
      <c r="G46" s="4"/>
      <c r="H46" s="4"/>
      <c r="I46" s="3">
        <f>'JULY 21'!L46:L118</f>
        <v>0</v>
      </c>
      <c r="J46" s="3">
        <f t="shared" si="1"/>
        <v>0</v>
      </c>
      <c r="K46" s="3"/>
      <c r="L46" s="3">
        <f t="shared" si="2"/>
        <v>0</v>
      </c>
      <c r="M46" s="1"/>
    </row>
    <row r="47" spans="1:13" ht="15.75" x14ac:dyDescent="0.25">
      <c r="A47" s="3" t="s">
        <v>119</v>
      </c>
      <c r="B47" s="5" t="s">
        <v>13</v>
      </c>
      <c r="C47" s="4"/>
      <c r="D47" s="4"/>
      <c r="E47" s="4"/>
      <c r="F47" s="4"/>
      <c r="G47" s="4"/>
      <c r="H47" s="4"/>
      <c r="I47" s="3">
        <f>'JULY 21'!L47:L119</f>
        <v>0</v>
      </c>
      <c r="J47" s="3">
        <f t="shared" si="1"/>
        <v>0</v>
      </c>
      <c r="K47" s="3"/>
      <c r="L47" s="3">
        <f t="shared" si="2"/>
        <v>0</v>
      </c>
      <c r="M47" s="1"/>
    </row>
    <row r="48" spans="1:13" ht="15.75" x14ac:dyDescent="0.25">
      <c r="A48" s="3" t="s">
        <v>120</v>
      </c>
      <c r="B48" s="7" t="s">
        <v>168</v>
      </c>
      <c r="C48" s="4" t="s">
        <v>80</v>
      </c>
      <c r="D48" s="4"/>
      <c r="E48" s="4"/>
      <c r="F48" s="4"/>
      <c r="G48" s="4"/>
      <c r="H48" s="4"/>
      <c r="I48" s="3">
        <f>'JULY 21'!L48:L120</f>
        <v>0</v>
      </c>
      <c r="J48" s="3">
        <f t="shared" si="1"/>
        <v>0</v>
      </c>
      <c r="K48" s="3"/>
      <c r="L48" s="3">
        <f t="shared" si="2"/>
        <v>0</v>
      </c>
      <c r="M48" s="1"/>
    </row>
    <row r="49" spans="1:13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4"/>
      <c r="F49" s="4"/>
      <c r="G49" s="4"/>
      <c r="H49" s="4">
        <v>300</v>
      </c>
      <c r="I49" s="3">
        <f>'JULY 21'!L49:L121</f>
        <v>1800</v>
      </c>
      <c r="J49" s="3">
        <f t="shared" si="1"/>
        <v>14100</v>
      </c>
      <c r="K49" s="3">
        <f>6600+6000</f>
        <v>12600</v>
      </c>
      <c r="L49" s="3">
        <f t="shared" si="2"/>
        <v>1500</v>
      </c>
      <c r="M49" s="1"/>
    </row>
    <row r="50" spans="1:13" ht="15.75" x14ac:dyDescent="0.25">
      <c r="A50" s="3" t="s">
        <v>122</v>
      </c>
      <c r="B50" s="13" t="s">
        <v>13</v>
      </c>
      <c r="C50" s="4"/>
      <c r="D50" s="4"/>
      <c r="E50" s="4"/>
      <c r="F50" s="4"/>
      <c r="G50" s="4"/>
      <c r="H50" s="4"/>
      <c r="I50" s="3">
        <f>'JULY 21'!L50:L122</f>
        <v>0</v>
      </c>
      <c r="J50" s="3">
        <f t="shared" si="1"/>
        <v>0</v>
      </c>
      <c r="K50" s="3"/>
      <c r="L50" s="3">
        <f t="shared" si="2"/>
        <v>0</v>
      </c>
      <c r="M50" s="1"/>
    </row>
    <row r="51" spans="1:13" ht="15.75" x14ac:dyDescent="0.25">
      <c r="A51" s="3" t="s">
        <v>123</v>
      </c>
      <c r="B51" s="5" t="s">
        <v>13</v>
      </c>
      <c r="C51" s="4"/>
      <c r="D51" s="4"/>
      <c r="E51" s="4"/>
      <c r="F51" s="4"/>
      <c r="G51" s="4"/>
      <c r="H51" s="4"/>
      <c r="I51" s="3">
        <f>'JULY 21'!L51:L123</f>
        <v>0</v>
      </c>
      <c r="J51" s="3">
        <f t="shared" si="1"/>
        <v>0</v>
      </c>
      <c r="K51" s="3"/>
      <c r="L51" s="3">
        <f t="shared" si="2"/>
        <v>0</v>
      </c>
      <c r="M51" s="1"/>
    </row>
    <row r="52" spans="1:13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4"/>
      <c r="F52" s="4"/>
      <c r="G52" s="4"/>
      <c r="H52" s="4">
        <v>300</v>
      </c>
      <c r="I52" s="3">
        <f>'JULY 21'!L52:L124</f>
        <v>4010</v>
      </c>
      <c r="J52" s="3">
        <f t="shared" si="1"/>
        <v>14180</v>
      </c>
      <c r="K52" s="3">
        <f>6600+4000</f>
        <v>10600</v>
      </c>
      <c r="L52" s="3">
        <f t="shared" si="2"/>
        <v>3580</v>
      </c>
      <c r="M52" s="1"/>
    </row>
    <row r="53" spans="1:13" ht="15.75" x14ac:dyDescent="0.25">
      <c r="A53" s="3" t="s">
        <v>125</v>
      </c>
      <c r="B53" s="13" t="s">
        <v>13</v>
      </c>
      <c r="C53" s="4"/>
      <c r="D53" s="4"/>
      <c r="E53" s="4"/>
      <c r="F53" s="4"/>
      <c r="G53" s="4"/>
      <c r="H53" s="4"/>
      <c r="I53" s="3">
        <f>'JULY 21'!L53:L125</f>
        <v>0</v>
      </c>
      <c r="J53" s="3">
        <f t="shared" si="1"/>
        <v>0</v>
      </c>
      <c r="K53" s="3"/>
      <c r="L53" s="3">
        <f t="shared" si="2"/>
        <v>0</v>
      </c>
      <c r="M53" s="1"/>
    </row>
    <row r="54" spans="1:13" ht="15.75" x14ac:dyDescent="0.25">
      <c r="A54" s="3" t="s">
        <v>126</v>
      </c>
      <c r="B54" s="5" t="s">
        <v>13</v>
      </c>
      <c r="C54" s="4"/>
      <c r="D54" s="4"/>
      <c r="E54" s="4"/>
      <c r="F54" s="4"/>
      <c r="G54" s="4"/>
      <c r="H54" s="4"/>
      <c r="I54" s="3">
        <f>'JULY 21'!L54:L126</f>
        <v>0</v>
      </c>
      <c r="J54" s="3">
        <f t="shared" si="1"/>
        <v>0</v>
      </c>
      <c r="K54" s="3"/>
      <c r="L54" s="3">
        <f t="shared" si="2"/>
        <v>0</v>
      </c>
      <c r="M54" s="1"/>
    </row>
    <row r="55" spans="1:13" ht="15.75" x14ac:dyDescent="0.25">
      <c r="A55" s="3" t="s">
        <v>127</v>
      </c>
      <c r="B55" s="13" t="s">
        <v>13</v>
      </c>
      <c r="C55" s="4"/>
      <c r="D55" s="4"/>
      <c r="E55" s="4"/>
      <c r="F55" s="4"/>
      <c r="G55" s="4"/>
      <c r="H55" s="4"/>
      <c r="I55" s="3">
        <f>'JULY 21'!L55:L127</f>
        <v>0</v>
      </c>
      <c r="J55" s="3">
        <f t="shared" si="1"/>
        <v>0</v>
      </c>
      <c r="K55" s="3"/>
      <c r="L55" s="3">
        <f t="shared" si="2"/>
        <v>0</v>
      </c>
      <c r="M55" s="1"/>
    </row>
    <row r="56" spans="1:13" ht="15.75" x14ac:dyDescent="0.25">
      <c r="A56" s="3" t="s">
        <v>128</v>
      </c>
      <c r="B56" s="13" t="s">
        <v>13</v>
      </c>
      <c r="C56" s="4"/>
      <c r="D56" s="4"/>
      <c r="E56" s="4"/>
      <c r="F56" s="4"/>
      <c r="G56" s="4"/>
      <c r="H56" s="4"/>
      <c r="I56" s="3">
        <f>'JULY 21'!L56:L128</f>
        <v>0</v>
      </c>
      <c r="J56" s="3">
        <f t="shared" si="1"/>
        <v>0</v>
      </c>
      <c r="K56" s="3"/>
      <c r="L56" s="3">
        <f t="shared" si="2"/>
        <v>0</v>
      </c>
      <c r="M56" s="1"/>
    </row>
    <row r="57" spans="1:13" ht="15.75" x14ac:dyDescent="0.25">
      <c r="A57" s="3" t="s">
        <v>129</v>
      </c>
      <c r="B57" s="13" t="s">
        <v>13</v>
      </c>
      <c r="C57" s="4"/>
      <c r="D57" s="4"/>
      <c r="E57" s="4"/>
      <c r="F57" s="4"/>
      <c r="G57" s="4"/>
      <c r="H57" s="4"/>
      <c r="I57" s="3">
        <f>'JULY 21'!L57:L129</f>
        <v>0</v>
      </c>
      <c r="J57" s="3">
        <f t="shared" si="1"/>
        <v>0</v>
      </c>
      <c r="K57" s="3"/>
      <c r="L57" s="3">
        <f t="shared" si="2"/>
        <v>0</v>
      </c>
      <c r="M57" s="1"/>
    </row>
    <row r="58" spans="1:13" ht="15.75" x14ac:dyDescent="0.25">
      <c r="A58" s="3" t="s">
        <v>130</v>
      </c>
      <c r="B58" s="5" t="s">
        <v>13</v>
      </c>
      <c r="C58" s="4"/>
      <c r="D58" s="4"/>
      <c r="E58" s="4"/>
      <c r="F58" s="4"/>
      <c r="G58" s="4"/>
      <c r="H58" s="4"/>
      <c r="I58" s="3">
        <f>'JULY 21'!L58:L130</f>
        <v>0</v>
      </c>
      <c r="J58" s="3">
        <f t="shared" si="1"/>
        <v>0</v>
      </c>
      <c r="K58" s="3"/>
      <c r="L58" s="3">
        <f t="shared" si="2"/>
        <v>0</v>
      </c>
      <c r="M58" s="1"/>
    </row>
    <row r="59" spans="1:13" ht="15.75" x14ac:dyDescent="0.25">
      <c r="A59" s="3" t="s">
        <v>131</v>
      </c>
      <c r="B59" s="13" t="s">
        <v>13</v>
      </c>
      <c r="C59" s="4"/>
      <c r="D59" s="4"/>
      <c r="E59" s="4"/>
      <c r="F59" s="4"/>
      <c r="G59" s="4"/>
      <c r="H59" s="4"/>
      <c r="I59" s="3">
        <f>'JULY 21'!L59:L131</f>
        <v>0</v>
      </c>
      <c r="J59" s="3">
        <f t="shared" si="1"/>
        <v>0</v>
      </c>
      <c r="K59" s="3"/>
      <c r="L59" s="3">
        <f t="shared" si="2"/>
        <v>0</v>
      </c>
      <c r="M59" s="1"/>
    </row>
    <row r="60" spans="1:13" ht="15.75" x14ac:dyDescent="0.25">
      <c r="A60" s="3" t="s">
        <v>132</v>
      </c>
      <c r="B60" s="7" t="s">
        <v>184</v>
      </c>
      <c r="C60" s="4"/>
      <c r="D60" s="4">
        <f>8000+1280</f>
        <v>9280</v>
      </c>
      <c r="E60" s="4"/>
      <c r="F60" s="4"/>
      <c r="G60" s="4"/>
      <c r="H60" s="4">
        <v>600</v>
      </c>
      <c r="I60" s="3">
        <f>'JULY 21'!L60:L132</f>
        <v>3260</v>
      </c>
      <c r="J60" s="3">
        <f t="shared" si="1"/>
        <v>13140</v>
      </c>
      <c r="K60" s="3">
        <f>9000</f>
        <v>9000</v>
      </c>
      <c r="L60" s="3">
        <f t="shared" si="2"/>
        <v>4140</v>
      </c>
      <c r="M60" s="1"/>
    </row>
    <row r="61" spans="1:13" ht="15.75" x14ac:dyDescent="0.25">
      <c r="A61" s="3" t="s">
        <v>133</v>
      </c>
      <c r="B61" s="13" t="s">
        <v>13</v>
      </c>
      <c r="C61" s="4"/>
      <c r="D61" s="4"/>
      <c r="E61" s="4"/>
      <c r="F61" s="4"/>
      <c r="G61" s="4"/>
      <c r="H61" s="4"/>
      <c r="I61" s="3">
        <f>'JULY 21'!L61:L133</f>
        <v>0</v>
      </c>
      <c r="J61" s="3">
        <f t="shared" si="1"/>
        <v>0</v>
      </c>
      <c r="K61" s="3"/>
      <c r="L61" s="3">
        <f t="shared" si="2"/>
        <v>0</v>
      </c>
      <c r="M61" s="1"/>
    </row>
    <row r="62" spans="1:13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4"/>
      <c r="F62" s="4"/>
      <c r="G62" s="4"/>
      <c r="H62" s="4">
        <v>300</v>
      </c>
      <c r="I62" s="3">
        <f>'JULY 21'!L62:L134</f>
        <v>1500</v>
      </c>
      <c r="J62" s="3">
        <f t="shared" si="1"/>
        <v>9800</v>
      </c>
      <c r="K62" s="3">
        <f>8300</f>
        <v>8300</v>
      </c>
      <c r="L62" s="3">
        <f t="shared" si="2"/>
        <v>1500</v>
      </c>
      <c r="M62" s="1"/>
    </row>
    <row r="63" spans="1:13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4"/>
      <c r="F63" s="4"/>
      <c r="G63" s="4"/>
      <c r="H63" s="4">
        <v>300</v>
      </c>
      <c r="I63" s="3">
        <f>'JULY 21'!L63:L135</f>
        <v>1500</v>
      </c>
      <c r="J63" s="3">
        <f t="shared" si="1"/>
        <v>9800</v>
      </c>
      <c r="K63" s="3">
        <v>4300</v>
      </c>
      <c r="L63" s="3">
        <f t="shared" si="2"/>
        <v>5500</v>
      </c>
      <c r="M63" s="1"/>
    </row>
    <row r="64" spans="1:13" ht="15.75" x14ac:dyDescent="0.25">
      <c r="A64" s="3" t="s">
        <v>136</v>
      </c>
      <c r="B64" s="3" t="s">
        <v>74</v>
      </c>
      <c r="C64" s="4" t="s">
        <v>75</v>
      </c>
      <c r="D64" s="4">
        <v>8000</v>
      </c>
      <c r="E64" s="4"/>
      <c r="F64" s="4"/>
      <c r="G64" s="4"/>
      <c r="H64" s="4">
        <v>300</v>
      </c>
      <c r="I64" s="3">
        <f>'JULY 21'!L64:L136</f>
        <v>1800</v>
      </c>
      <c r="J64" s="3">
        <f t="shared" si="1"/>
        <v>10100</v>
      </c>
      <c r="K64" s="3">
        <f>9900</f>
        <v>9900</v>
      </c>
      <c r="L64" s="3">
        <f t="shared" si="2"/>
        <v>200</v>
      </c>
      <c r="M64" s="1"/>
    </row>
    <row r="65" spans="1:14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4"/>
      <c r="F65" s="4"/>
      <c r="G65" s="4"/>
      <c r="H65" s="4">
        <v>300</v>
      </c>
      <c r="I65" s="3">
        <f>'JULY 21'!L65:L137</f>
        <v>10400</v>
      </c>
      <c r="J65" s="3">
        <f t="shared" si="1"/>
        <v>18700</v>
      </c>
      <c r="K65" s="3">
        <f>10000</f>
        <v>10000</v>
      </c>
      <c r="L65" s="3">
        <f t="shared" si="2"/>
        <v>8700</v>
      </c>
      <c r="M65" s="1" t="s">
        <v>216</v>
      </c>
    </row>
    <row r="66" spans="1:14" ht="15.75" x14ac:dyDescent="0.25">
      <c r="A66" s="3" t="s">
        <v>138</v>
      </c>
      <c r="B66" s="7" t="s">
        <v>173</v>
      </c>
      <c r="C66" s="15"/>
      <c r="D66" s="4">
        <v>6500</v>
      </c>
      <c r="E66" s="4"/>
      <c r="F66" s="4"/>
      <c r="G66" s="4"/>
      <c r="H66" s="4">
        <v>300</v>
      </c>
      <c r="I66" s="3">
        <f>'JULY 21'!L66:L138</f>
        <v>8900</v>
      </c>
      <c r="J66" s="3">
        <f t="shared" si="1"/>
        <v>15700</v>
      </c>
      <c r="K66" s="3"/>
      <c r="L66" s="3">
        <f t="shared" si="2"/>
        <v>15700</v>
      </c>
      <c r="M66" s="1"/>
    </row>
    <row r="67" spans="1:14" ht="15.75" x14ac:dyDescent="0.25">
      <c r="A67" s="3" t="s">
        <v>139</v>
      </c>
      <c r="B67" s="7" t="s">
        <v>173</v>
      </c>
      <c r="C67" s="15"/>
      <c r="D67" s="4">
        <v>6500</v>
      </c>
      <c r="E67" s="4"/>
      <c r="F67" s="4"/>
      <c r="G67" s="4"/>
      <c r="H67" s="4"/>
      <c r="I67" s="3">
        <f>'JULY 21'!L67:L139</f>
        <v>2500</v>
      </c>
      <c r="J67" s="3">
        <f t="shared" si="1"/>
        <v>9000</v>
      </c>
      <c r="K67" s="3"/>
      <c r="L67" s="3">
        <f t="shared" si="2"/>
        <v>9000</v>
      </c>
      <c r="M67" s="1"/>
    </row>
    <row r="68" spans="1:14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4"/>
      <c r="F68" s="4"/>
      <c r="G68" s="4"/>
      <c r="H68" s="4">
        <v>300</v>
      </c>
      <c r="I68" s="3">
        <f>'JULY 21'!L68:L140</f>
        <v>2100</v>
      </c>
      <c r="J68" s="3">
        <f t="shared" si="1"/>
        <v>17400</v>
      </c>
      <c r="K68" s="3">
        <v>15000</v>
      </c>
      <c r="L68" s="3">
        <f t="shared" si="2"/>
        <v>2400</v>
      </c>
      <c r="M68" s="1"/>
    </row>
    <row r="69" spans="1:14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4"/>
      <c r="F69" s="4"/>
      <c r="G69" s="4"/>
      <c r="H69" s="4">
        <v>300</v>
      </c>
      <c r="I69" s="3">
        <f>'JULY 21'!L69:L141</f>
        <v>2400</v>
      </c>
      <c r="J69" s="3">
        <f t="shared" si="1"/>
        <v>17700</v>
      </c>
      <c r="K69" s="3">
        <f>15000</f>
        <v>15000</v>
      </c>
      <c r="L69" s="3">
        <f t="shared" si="2"/>
        <v>2700</v>
      </c>
      <c r="M69" s="1"/>
      <c r="N69">
        <f>N70+7000</f>
        <v>17300</v>
      </c>
    </row>
    <row r="70" spans="1:14" ht="15.75" x14ac:dyDescent="0.25">
      <c r="A70" s="3" t="s">
        <v>142</v>
      </c>
      <c r="B70" s="7" t="s">
        <v>87</v>
      </c>
      <c r="C70" s="8" t="s">
        <v>86</v>
      </c>
      <c r="D70" s="4">
        <v>20000</v>
      </c>
      <c r="E70" s="15"/>
      <c r="F70" s="4"/>
      <c r="G70" s="4"/>
      <c r="H70" s="4">
        <v>300</v>
      </c>
      <c r="I70" s="3">
        <f>'JULY 21'!L70:L142+1500</f>
        <v>8500</v>
      </c>
      <c r="J70" s="7">
        <f>D70+E70+F70+G70+H70+I70</f>
        <v>28800</v>
      </c>
      <c r="K70" s="7">
        <v>10000</v>
      </c>
      <c r="L70" s="3">
        <f t="shared" si="2"/>
        <v>18800</v>
      </c>
      <c r="M70" s="1"/>
      <c r="N70">
        <f>40300-N71</f>
        <v>10300</v>
      </c>
    </row>
    <row r="71" spans="1:14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4"/>
      <c r="F71" s="4"/>
      <c r="G71" s="4"/>
      <c r="H71" s="4"/>
      <c r="I71" s="3"/>
      <c r="J71" s="3">
        <f t="shared" ref="J71:J77" si="3">D71+E71+F71+G71+H71+I71</f>
        <v>20000</v>
      </c>
      <c r="K71" s="3">
        <v>20000</v>
      </c>
      <c r="L71" s="3">
        <f t="shared" si="2"/>
        <v>0</v>
      </c>
      <c r="M71" s="1"/>
      <c r="N71">
        <f>K70+K71</f>
        <v>30000</v>
      </c>
    </row>
    <row r="72" spans="1:14" ht="15.75" x14ac:dyDescent="0.25">
      <c r="A72" s="3" t="s">
        <v>144</v>
      </c>
      <c r="B72" s="27" t="s">
        <v>89</v>
      </c>
      <c r="C72" s="28" t="s">
        <v>164</v>
      </c>
      <c r="D72" s="4"/>
      <c r="E72" s="4"/>
      <c r="F72" s="4"/>
      <c r="G72" s="4"/>
      <c r="H72" s="4"/>
      <c r="I72" s="3">
        <f>'JULY 21'!L72:L144</f>
        <v>0</v>
      </c>
      <c r="J72" s="3">
        <f t="shared" si="3"/>
        <v>0</v>
      </c>
      <c r="K72" s="3"/>
      <c r="L72" s="3">
        <f t="shared" si="2"/>
        <v>0</v>
      </c>
      <c r="M72" s="1"/>
    </row>
    <row r="73" spans="1:14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4"/>
      <c r="F73" s="4"/>
      <c r="G73" s="4"/>
      <c r="H73" s="4">
        <v>300</v>
      </c>
      <c r="I73" s="3">
        <f>'JULY 21'!L73:L145</f>
        <v>12400</v>
      </c>
      <c r="J73" s="3">
        <f t="shared" si="3"/>
        <v>27700</v>
      </c>
      <c r="K73" s="3">
        <f>15000</f>
        <v>15000</v>
      </c>
      <c r="L73" s="3">
        <f>J73-K73</f>
        <v>12700</v>
      </c>
      <c r="M73" s="1"/>
    </row>
    <row r="74" spans="1:14" ht="15.75" x14ac:dyDescent="0.25">
      <c r="A74" s="3" t="s">
        <v>146</v>
      </c>
      <c r="B74" s="3" t="s">
        <v>90</v>
      </c>
      <c r="C74" s="4"/>
      <c r="D74" s="4"/>
      <c r="E74" s="4"/>
      <c r="F74" s="4"/>
      <c r="G74" s="4"/>
      <c r="H74" s="4"/>
      <c r="I74" s="3">
        <f>'JULY 21'!L74:L146</f>
        <v>0</v>
      </c>
      <c r="J74" s="3">
        <f t="shared" si="3"/>
        <v>0</v>
      </c>
      <c r="K74" s="3"/>
      <c r="L74" s="3">
        <f>J74-K74</f>
        <v>0</v>
      </c>
      <c r="M74" s="1"/>
    </row>
    <row r="75" spans="1:14" ht="15.75" x14ac:dyDescent="0.25">
      <c r="A75" s="3" t="s">
        <v>179</v>
      </c>
      <c r="B75" s="7" t="s">
        <v>227</v>
      </c>
      <c r="D75" s="4">
        <v>23200</v>
      </c>
      <c r="E75" s="4">
        <v>40000</v>
      </c>
      <c r="F75" s="4">
        <v>1500</v>
      </c>
      <c r="G75" s="4">
        <v>3000</v>
      </c>
      <c r="H75" s="4">
        <v>300</v>
      </c>
      <c r="I75" s="3">
        <f>'JULY 21'!L75:L147</f>
        <v>0</v>
      </c>
      <c r="J75" s="3">
        <f t="shared" si="3"/>
        <v>68000</v>
      </c>
      <c r="K75" s="3">
        <v>68000</v>
      </c>
      <c r="L75" s="3">
        <f>J75-K75</f>
        <v>0</v>
      </c>
      <c r="M75" s="1"/>
      <c r="N75">
        <f>L71+L70</f>
        <v>18800</v>
      </c>
    </row>
    <row r="76" spans="1:14" ht="15.75" x14ac:dyDescent="0.25">
      <c r="A76" s="3" t="s">
        <v>180</v>
      </c>
      <c r="B76" s="7" t="s">
        <v>223</v>
      </c>
      <c r="C76" s="4"/>
      <c r="D76" s="4">
        <v>23200</v>
      </c>
      <c r="E76" s="4">
        <v>40000</v>
      </c>
      <c r="F76" s="4">
        <v>1500</v>
      </c>
      <c r="G76" s="4">
        <v>3000</v>
      </c>
      <c r="H76" s="4">
        <v>300</v>
      </c>
      <c r="I76" s="3">
        <f>'JULY 21'!L76:L148</f>
        <v>0</v>
      </c>
      <c r="J76" s="3">
        <f t="shared" si="3"/>
        <v>68000</v>
      </c>
      <c r="K76" s="3">
        <v>68000</v>
      </c>
      <c r="L76" s="3">
        <f>J76-K76</f>
        <v>0</v>
      </c>
      <c r="M76" s="1"/>
      <c r="N76">
        <f>N75-1500</f>
        <v>17300</v>
      </c>
    </row>
    <row r="77" spans="1:14" ht="15.75" x14ac:dyDescent="0.25">
      <c r="A77" s="3" t="s">
        <v>181</v>
      </c>
      <c r="B77" s="5" t="s">
        <v>13</v>
      </c>
      <c r="C77" s="8"/>
      <c r="D77" s="4"/>
      <c r="E77" s="4"/>
      <c r="F77" s="4"/>
      <c r="G77" s="4"/>
      <c r="H77" s="4"/>
      <c r="I77" s="3">
        <f>'JULY 21'!L77:L149</f>
        <v>0</v>
      </c>
      <c r="J77" s="3">
        <f t="shared" si="3"/>
        <v>0</v>
      </c>
      <c r="K77" s="7"/>
      <c r="L77" s="3">
        <f>J77-K77</f>
        <v>0</v>
      </c>
      <c r="M77" s="1"/>
    </row>
    <row r="78" spans="1:14" ht="15.75" x14ac:dyDescent="0.25">
      <c r="A78" s="3"/>
      <c r="B78" s="3" t="s">
        <v>91</v>
      </c>
      <c r="C78" s="4"/>
      <c r="D78" s="4">
        <f t="shared" ref="D78:L78" si="4">SUM(D5:D77)</f>
        <v>999650</v>
      </c>
      <c r="E78" s="4">
        <f t="shared" si="4"/>
        <v>180000</v>
      </c>
      <c r="F78" s="4">
        <f t="shared" si="4"/>
        <v>4500</v>
      </c>
      <c r="G78" s="4">
        <f t="shared" si="4"/>
        <v>9000</v>
      </c>
      <c r="H78" s="4">
        <f t="shared" si="4"/>
        <v>15000</v>
      </c>
      <c r="I78" s="3">
        <f>SUM(I5:I77)</f>
        <v>133973</v>
      </c>
      <c r="J78" s="3">
        <f t="shared" si="4"/>
        <v>1342123</v>
      </c>
      <c r="K78" s="3">
        <f t="shared" si="4"/>
        <v>1099080</v>
      </c>
      <c r="L78" s="3">
        <f t="shared" si="4"/>
        <v>243043</v>
      </c>
      <c r="M78" s="1"/>
    </row>
    <row r="79" spans="1:14" ht="15.75" x14ac:dyDescent="0.25">
      <c r="A79" s="1"/>
      <c r="B79" s="1" t="s">
        <v>206</v>
      </c>
      <c r="C79" s="16"/>
      <c r="D79" s="17">
        <f>100/116*D78</f>
        <v>861767.24137931026</v>
      </c>
      <c r="E79" s="17"/>
      <c r="F79" s="17"/>
      <c r="G79" s="17"/>
      <c r="H79" s="17"/>
      <c r="J79" s="18"/>
      <c r="K79" s="18"/>
      <c r="L79" s="17"/>
      <c r="M79" s="1"/>
    </row>
    <row r="80" spans="1:14" x14ac:dyDescent="0.25">
      <c r="D80" s="25"/>
    </row>
    <row r="81" spans="2:11" ht="15.75" x14ac:dyDescent="0.25">
      <c r="B81" s="2" t="s">
        <v>185</v>
      </c>
      <c r="C81" s="2"/>
      <c r="D81" s="2"/>
      <c r="E81" s="2"/>
      <c r="F81" s="2"/>
      <c r="G81" s="2"/>
      <c r="H81" s="19"/>
      <c r="I81" s="2" t="s">
        <v>177</v>
      </c>
      <c r="J81" s="1"/>
      <c r="K81" s="1"/>
    </row>
    <row r="82" spans="2:11" ht="15.75" x14ac:dyDescent="0.25">
      <c r="B82" s="3" t="s">
        <v>186</v>
      </c>
      <c r="C82" s="3" t="s">
        <v>187</v>
      </c>
      <c r="D82" s="3"/>
      <c r="E82" s="3" t="s">
        <v>188</v>
      </c>
      <c r="F82" s="3" t="s">
        <v>189</v>
      </c>
      <c r="G82" s="3" t="s">
        <v>186</v>
      </c>
      <c r="H82" s="3" t="s">
        <v>187</v>
      </c>
      <c r="I82" s="3" t="s">
        <v>188</v>
      </c>
      <c r="J82" s="3" t="s">
        <v>8</v>
      </c>
      <c r="K82" s="1"/>
    </row>
    <row r="83" spans="2:11" ht="15.75" x14ac:dyDescent="0.25">
      <c r="B83" s="3" t="s">
        <v>222</v>
      </c>
      <c r="C83" s="22">
        <f>D79</f>
        <v>861767.24137931026</v>
      </c>
      <c r="D83" s="22"/>
      <c r="E83" s="3"/>
      <c r="F83" s="3"/>
      <c r="G83" s="3" t="s">
        <v>222</v>
      </c>
      <c r="H83" s="22">
        <f>K78</f>
        <v>1099080</v>
      </c>
      <c r="I83" s="3"/>
      <c r="J83" s="11"/>
      <c r="K83" s="1"/>
    </row>
    <row r="84" spans="2:11" ht="15.75" x14ac:dyDescent="0.25">
      <c r="B84" s="3" t="s">
        <v>175</v>
      </c>
      <c r="C84" s="22">
        <f>H78</f>
        <v>15000</v>
      </c>
      <c r="D84" s="22"/>
      <c r="E84" s="3"/>
      <c r="F84" s="3"/>
      <c r="G84" s="3"/>
      <c r="H84" s="22"/>
      <c r="I84" s="3"/>
      <c r="J84" s="11"/>
      <c r="K84" s="21"/>
    </row>
    <row r="85" spans="2:11" ht="15.75" x14ac:dyDescent="0.25">
      <c r="B85" s="3" t="s">
        <v>191</v>
      </c>
      <c r="C85" s="22">
        <f>D78-D79</f>
        <v>137882.75862068974</v>
      </c>
      <c r="D85" s="22"/>
      <c r="E85" s="3"/>
      <c r="F85" s="3"/>
      <c r="G85" s="3" t="s">
        <v>192</v>
      </c>
      <c r="H85" s="22">
        <f>'JULY 21'!J96</f>
        <v>0.37931034481152892</v>
      </c>
      <c r="I85" s="3"/>
      <c r="J85" s="11"/>
      <c r="K85" s="1"/>
    </row>
    <row r="86" spans="2:11" ht="15.75" x14ac:dyDescent="0.25">
      <c r="B86" s="29" t="s">
        <v>174</v>
      </c>
      <c r="C86" s="3">
        <f>E78</f>
        <v>180000</v>
      </c>
      <c r="D86" s="3"/>
      <c r="E86" s="3"/>
      <c r="F86" s="3"/>
      <c r="G86" s="29"/>
      <c r="H86" s="3"/>
      <c r="I86" s="3"/>
      <c r="J86" s="11"/>
      <c r="K86" s="1"/>
    </row>
    <row r="87" spans="2:11" ht="15.75" x14ac:dyDescent="0.25">
      <c r="B87" s="29" t="s">
        <v>183</v>
      </c>
      <c r="C87" s="3">
        <f>F78</f>
        <v>4500</v>
      </c>
      <c r="D87" s="3"/>
      <c r="E87" s="3"/>
      <c r="F87" s="3"/>
      <c r="G87" s="29"/>
      <c r="H87" s="3"/>
      <c r="I87" s="3"/>
      <c r="J87" s="11"/>
      <c r="K87" s="1"/>
    </row>
    <row r="88" spans="2:11" ht="15.75" x14ac:dyDescent="0.25">
      <c r="B88" s="29" t="s">
        <v>193</v>
      </c>
      <c r="C88" s="3">
        <f>G78</f>
        <v>9000</v>
      </c>
      <c r="D88" s="3"/>
      <c r="E88" s="3"/>
      <c r="F88" s="3"/>
      <c r="G88" s="29"/>
      <c r="H88" s="3"/>
      <c r="I88" s="3"/>
      <c r="J88" s="11"/>
      <c r="K88" s="1"/>
    </row>
    <row r="89" spans="2:11" ht="15.75" x14ac:dyDescent="0.25">
      <c r="B89" s="29" t="s">
        <v>192</v>
      </c>
      <c r="C89" s="30">
        <f>'JULY 21'!F96</f>
        <v>133973.37931034481</v>
      </c>
      <c r="D89" s="3"/>
      <c r="E89" s="3"/>
      <c r="F89" s="3"/>
      <c r="G89" s="29"/>
      <c r="H89" s="3"/>
      <c r="I89" s="3"/>
      <c r="J89" s="11"/>
      <c r="K89" s="1"/>
    </row>
    <row r="90" spans="2:11" ht="15.75" x14ac:dyDescent="0.25">
      <c r="B90" s="29" t="s">
        <v>194</v>
      </c>
      <c r="C90" s="3">
        <v>43088</v>
      </c>
      <c r="D90" s="3"/>
      <c r="E90" s="3"/>
      <c r="F90" s="3"/>
      <c r="G90" s="29" t="s">
        <v>194</v>
      </c>
      <c r="H90" s="3">
        <v>43088</v>
      </c>
      <c r="I90" s="3"/>
      <c r="J90" s="11"/>
      <c r="K90" s="1"/>
    </row>
    <row r="91" spans="2:11" ht="15.75" x14ac:dyDescent="0.25">
      <c r="B91" s="3" t="s">
        <v>195</v>
      </c>
      <c r="C91" s="31">
        <v>0.05</v>
      </c>
      <c r="D91" s="31"/>
      <c r="E91" s="22">
        <f>C91*C83</f>
        <v>43088.362068965514</v>
      </c>
      <c r="F91" s="3"/>
      <c r="G91" s="3" t="s">
        <v>195</v>
      </c>
      <c r="H91" s="31">
        <v>0.05</v>
      </c>
      <c r="I91" s="22">
        <f>H91*C83</f>
        <v>43088.362068965514</v>
      </c>
      <c r="J91" s="20"/>
      <c r="K91" s="21"/>
    </row>
    <row r="92" spans="2:11" ht="15.75" x14ac:dyDescent="0.25">
      <c r="B92" s="5" t="s">
        <v>196</v>
      </c>
      <c r="C92" s="3" t="s">
        <v>197</v>
      </c>
      <c r="D92" s="3"/>
      <c r="E92" s="3"/>
      <c r="F92" s="3"/>
      <c r="G92" s="5" t="s">
        <v>196</v>
      </c>
      <c r="H92" s="22"/>
      <c r="I92" s="3"/>
      <c r="J92" s="3"/>
      <c r="K92" s="1"/>
    </row>
    <row r="93" spans="2:11" ht="15.75" x14ac:dyDescent="0.25">
      <c r="B93" s="23"/>
      <c r="C93" s="31"/>
      <c r="D93" s="31"/>
      <c r="E93" s="3"/>
      <c r="F93" s="3"/>
      <c r="G93" s="23"/>
      <c r="H93" s="31"/>
      <c r="I93" s="3"/>
      <c r="J93" s="11"/>
      <c r="K93" s="1"/>
    </row>
    <row r="94" spans="2:11" ht="15.75" x14ac:dyDescent="0.25">
      <c r="B94" s="32" t="s">
        <v>198</v>
      </c>
      <c r="C94" s="3"/>
      <c r="D94" s="3"/>
      <c r="E94" s="3">
        <f>K78</f>
        <v>1099080</v>
      </c>
      <c r="F94" s="23"/>
      <c r="G94" s="32" t="s">
        <v>198</v>
      </c>
      <c r="H94" s="3"/>
      <c r="I94" s="3">
        <f>K78</f>
        <v>1099080</v>
      </c>
      <c r="J94" s="11"/>
      <c r="K94" s="1"/>
    </row>
    <row r="95" spans="2:11" ht="15.75" x14ac:dyDescent="0.25">
      <c r="B95" s="3"/>
      <c r="C95" s="31"/>
      <c r="D95" s="31"/>
      <c r="E95" s="3"/>
      <c r="F95" s="3"/>
      <c r="G95" s="3"/>
      <c r="H95" s="31"/>
      <c r="I95" s="3"/>
      <c r="J95" s="11"/>
      <c r="K95" s="1"/>
    </row>
    <row r="96" spans="2:11" ht="15.75" x14ac:dyDescent="0.25">
      <c r="B96" s="23" t="s">
        <v>199</v>
      </c>
      <c r="C96" s="22">
        <f>C83+C84+C85+C86+C87+C88+C89+C90</f>
        <v>1385211.3793103448</v>
      </c>
      <c r="D96" s="22"/>
      <c r="E96" s="24">
        <f>SUM(E91:E95)</f>
        <v>1142168.3620689656</v>
      </c>
      <c r="F96" s="22">
        <f>C96-E96</f>
        <v>243043.01724137925</v>
      </c>
      <c r="G96" s="23" t="s">
        <v>199</v>
      </c>
      <c r="H96" s="22">
        <f>H83+H84+H85+H86+H87+H88+H89+H90</f>
        <v>1142168.3793103448</v>
      </c>
      <c r="I96" s="22">
        <f>SUM(I91:I95)</f>
        <v>1142168.3620689656</v>
      </c>
      <c r="J96" s="22">
        <f>H96-I96</f>
        <v>1.7241379246115685E-2</v>
      </c>
      <c r="K96" s="1"/>
    </row>
    <row r="97" spans="2:11" ht="15.75" x14ac:dyDescent="0.25">
      <c r="B97" s="2" t="s">
        <v>200</v>
      </c>
      <c r="C97" s="2"/>
      <c r="D97" s="2"/>
      <c r="E97" s="33"/>
      <c r="F97" s="2" t="s">
        <v>201</v>
      </c>
      <c r="G97" s="2"/>
      <c r="H97" s="2"/>
      <c r="I97" s="33">
        <f>I96-I91</f>
        <v>1099080</v>
      </c>
      <c r="J97" s="2" t="s">
        <v>202</v>
      </c>
      <c r="K97" s="2"/>
    </row>
    <row r="98" spans="2:11" ht="15.75" x14ac:dyDescent="0.25">
      <c r="B98" s="2" t="s">
        <v>203</v>
      </c>
      <c r="C98" s="2"/>
      <c r="D98" s="2"/>
      <c r="E98" s="2"/>
      <c r="F98" s="2" t="s">
        <v>204</v>
      </c>
      <c r="G98" s="2"/>
      <c r="H98" s="2"/>
      <c r="I98" s="33"/>
      <c r="J98" s="2" t="s">
        <v>205</v>
      </c>
      <c r="K98" s="2"/>
    </row>
    <row r="99" spans="2:11" x14ac:dyDescent="0.25"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2:11" x14ac:dyDescent="0.25"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7" workbookViewId="0">
      <selection activeCell="K32" sqref="K32"/>
    </sheetView>
  </sheetViews>
  <sheetFormatPr defaultRowHeight="15" x14ac:dyDescent="0.25"/>
  <cols>
    <col min="2" max="2" width="24.85546875" customWidth="1"/>
    <col min="3" max="3" width="29.140625" customWidth="1"/>
    <col min="4" max="4" width="13.5703125" customWidth="1"/>
    <col min="5" max="5" width="11.85546875" customWidth="1"/>
    <col min="6" max="6" width="10.5703125" customWidth="1"/>
    <col min="8" max="8" width="16.5703125" customWidth="1"/>
    <col min="9" max="9" width="11" customWidth="1"/>
    <col min="10" max="10" width="11.7109375" customWidth="1"/>
  </cols>
  <sheetData>
    <row r="1" spans="1:12" ht="15.75" x14ac:dyDescent="0.25">
      <c r="C1" s="2" t="s">
        <v>92</v>
      </c>
      <c r="D1" s="2"/>
      <c r="E1" s="2"/>
      <c r="F1" s="2"/>
      <c r="G1" s="2"/>
      <c r="H1" s="2"/>
    </row>
    <row r="2" spans="1:12" ht="15.75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1"/>
    </row>
    <row r="3" spans="1:12" ht="15.75" x14ac:dyDescent="0.25">
      <c r="A3" s="1"/>
      <c r="B3" s="1"/>
      <c r="C3" s="2" t="s">
        <v>225</v>
      </c>
      <c r="D3" s="2"/>
      <c r="E3" s="2"/>
      <c r="F3" s="2"/>
      <c r="G3" s="2"/>
      <c r="H3" s="2"/>
      <c r="I3" s="2"/>
      <c r="J3" s="2"/>
      <c r="K3" s="2"/>
      <c r="L3" s="1"/>
    </row>
    <row r="4" spans="1:12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174</v>
      </c>
      <c r="F4" s="4" t="s">
        <v>183</v>
      </c>
      <c r="G4" s="4" t="s">
        <v>178</v>
      </c>
      <c r="H4" s="4" t="s">
        <v>175</v>
      </c>
      <c r="I4" s="3" t="s">
        <v>192</v>
      </c>
      <c r="J4" s="3" t="s">
        <v>6</v>
      </c>
      <c r="K4" s="3" t="s">
        <v>177</v>
      </c>
      <c r="L4" s="3" t="s">
        <v>8</v>
      </c>
    </row>
    <row r="5" spans="1:12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4"/>
      <c r="F5" s="4"/>
      <c r="G5" s="4"/>
      <c r="H5" s="4">
        <v>300</v>
      </c>
      <c r="I5" s="3">
        <f>'AUGUST 21'!L5:L141</f>
        <v>61800</v>
      </c>
      <c r="J5" s="3">
        <f>D5+E5+F5+G5+H5+I5</f>
        <v>142100</v>
      </c>
      <c r="K5" s="3">
        <f>68000+12000</f>
        <v>80000</v>
      </c>
      <c r="L5" s="3">
        <f t="shared" ref="L5:L68" si="0">J5-K5</f>
        <v>62100</v>
      </c>
    </row>
    <row r="6" spans="1:12" ht="15.75" x14ac:dyDescent="0.25">
      <c r="A6" s="3" t="s">
        <v>12</v>
      </c>
      <c r="B6" s="7" t="s">
        <v>147</v>
      </c>
      <c r="C6" s="4"/>
      <c r="D6" s="4"/>
      <c r="E6" s="4"/>
      <c r="F6" s="4"/>
      <c r="G6" s="4"/>
      <c r="H6" s="4"/>
      <c r="I6" s="3">
        <f>'AUGUST 21'!L6:L142</f>
        <v>0</v>
      </c>
      <c r="J6" s="3">
        <f t="shared" ref="J6:J69" si="1">D6+E6+F6+G6+H6+I6</f>
        <v>0</v>
      </c>
      <c r="K6" s="3"/>
      <c r="L6" s="3">
        <f t="shared" si="0"/>
        <v>0</v>
      </c>
    </row>
    <row r="7" spans="1:12" ht="15.75" x14ac:dyDescent="0.25">
      <c r="A7" s="3" t="s">
        <v>14</v>
      </c>
      <c r="B7" s="3" t="s">
        <v>16</v>
      </c>
      <c r="C7" s="4" t="s">
        <v>17</v>
      </c>
      <c r="D7" s="4">
        <v>139080</v>
      </c>
      <c r="E7" s="4"/>
      <c r="F7" s="4"/>
      <c r="G7" s="4"/>
      <c r="H7" s="4"/>
      <c r="I7" s="3"/>
      <c r="J7" s="3">
        <f t="shared" si="1"/>
        <v>139080</v>
      </c>
      <c r="K7" s="3">
        <f>139080</f>
        <v>139080</v>
      </c>
      <c r="L7" s="3">
        <f t="shared" si="0"/>
        <v>0</v>
      </c>
    </row>
    <row r="8" spans="1:12" ht="15.75" x14ac:dyDescent="0.25">
      <c r="A8" s="3" t="s">
        <v>15</v>
      </c>
      <c r="B8" s="3" t="s">
        <v>16</v>
      </c>
      <c r="C8" s="4" t="s">
        <v>149</v>
      </c>
      <c r="D8" s="4"/>
      <c r="E8" s="4"/>
      <c r="F8" s="4"/>
      <c r="G8" s="4"/>
      <c r="H8" s="4"/>
      <c r="I8" s="3">
        <f>'AUGUST 21'!L8:L144</f>
        <v>0</v>
      </c>
      <c r="J8" s="3">
        <f t="shared" si="1"/>
        <v>0</v>
      </c>
      <c r="K8" s="3"/>
      <c r="L8" s="3">
        <f t="shared" si="0"/>
        <v>0</v>
      </c>
    </row>
    <row r="9" spans="1:12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4"/>
      <c r="F9" s="4"/>
      <c r="G9" s="4"/>
      <c r="H9" s="4">
        <v>300</v>
      </c>
      <c r="I9" s="3">
        <f>'AUGUST 21'!L9:L145</f>
        <v>0</v>
      </c>
      <c r="J9" s="3">
        <f t="shared" si="1"/>
        <v>40300</v>
      </c>
      <c r="K9" s="3">
        <f>5270+13430+21600</f>
        <v>40300</v>
      </c>
      <c r="L9" s="3">
        <f t="shared" si="0"/>
        <v>0</v>
      </c>
    </row>
    <row r="10" spans="1:12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4"/>
      <c r="F10" s="4"/>
      <c r="G10" s="4"/>
      <c r="H10" s="4">
        <v>300</v>
      </c>
      <c r="I10" s="3">
        <f>'AUGUST 21'!L10:L146</f>
        <v>0</v>
      </c>
      <c r="J10" s="3">
        <f t="shared" si="1"/>
        <v>50300</v>
      </c>
      <c r="K10" s="3">
        <v>50300</v>
      </c>
      <c r="L10" s="3">
        <f t="shared" si="0"/>
        <v>0</v>
      </c>
    </row>
    <row r="11" spans="1:12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4"/>
      <c r="F11" s="4"/>
      <c r="G11" s="4"/>
      <c r="H11" s="4">
        <v>300</v>
      </c>
      <c r="I11" s="3">
        <f>'AUGUST 21'!L11:L147</f>
        <v>2400</v>
      </c>
      <c r="J11" s="3">
        <f t="shared" si="1"/>
        <v>22700</v>
      </c>
      <c r="K11" s="3">
        <v>20000</v>
      </c>
      <c r="L11" s="3">
        <f t="shared" si="0"/>
        <v>2700</v>
      </c>
    </row>
    <row r="12" spans="1:12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4"/>
      <c r="F12" s="4"/>
      <c r="G12" s="4"/>
      <c r="H12" s="4">
        <v>300</v>
      </c>
      <c r="I12" s="3">
        <f>'AUGUST 21'!L12:L148</f>
        <v>2700</v>
      </c>
      <c r="J12" s="3">
        <f t="shared" si="1"/>
        <v>23000</v>
      </c>
      <c r="K12" s="3">
        <f>21000</f>
        <v>21000</v>
      </c>
      <c r="L12" s="3">
        <f t="shared" si="0"/>
        <v>2000</v>
      </c>
    </row>
    <row r="13" spans="1:12" ht="15.75" x14ac:dyDescent="0.25">
      <c r="A13" s="3" t="s">
        <v>96</v>
      </c>
      <c r="B13" s="5" t="s">
        <v>228</v>
      </c>
      <c r="C13" s="4"/>
      <c r="D13" s="4"/>
      <c r="E13" s="4"/>
      <c r="F13" s="4"/>
      <c r="G13" s="4"/>
      <c r="H13" s="4"/>
      <c r="I13" s="3">
        <f>'AUGUST 21'!L13:L149</f>
        <v>0</v>
      </c>
      <c r="J13" s="3">
        <f t="shared" si="1"/>
        <v>0</v>
      </c>
      <c r="K13" s="3"/>
      <c r="L13" s="3">
        <f t="shared" si="0"/>
        <v>0</v>
      </c>
    </row>
    <row r="14" spans="1:12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4"/>
      <c r="F14" s="4"/>
      <c r="G14" s="4"/>
      <c r="H14" s="4">
        <v>300</v>
      </c>
      <c r="I14" s="3">
        <f>'AUGUST 21'!L14:L150</f>
        <v>47700</v>
      </c>
      <c r="J14" s="3">
        <f t="shared" si="1"/>
        <v>60000</v>
      </c>
      <c r="K14" s="3"/>
      <c r="L14" s="3">
        <f t="shared" si="0"/>
        <v>60000</v>
      </c>
    </row>
    <row r="15" spans="1:12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4"/>
      <c r="F15" s="4"/>
      <c r="G15" s="4"/>
      <c r="H15" s="4">
        <v>300</v>
      </c>
      <c r="I15" s="3">
        <f>'AUGUST 21'!L15:L151</f>
        <v>2700</v>
      </c>
      <c r="J15" s="3">
        <f t="shared" si="1"/>
        <v>68000</v>
      </c>
      <c r="K15" s="3">
        <f>65000</f>
        <v>65000</v>
      </c>
      <c r="L15" s="3">
        <f t="shared" si="0"/>
        <v>3000</v>
      </c>
    </row>
    <row r="16" spans="1:12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4"/>
      <c r="F16" s="4"/>
      <c r="G16" s="4"/>
      <c r="H16" s="4">
        <v>300</v>
      </c>
      <c r="I16" s="3">
        <f>'AUGUST 21'!L16:L152</f>
        <v>900</v>
      </c>
      <c r="J16" s="3">
        <f t="shared" si="1"/>
        <v>61200</v>
      </c>
      <c r="K16" s="3">
        <f>60300</f>
        <v>60300</v>
      </c>
      <c r="L16" s="3">
        <f t="shared" si="0"/>
        <v>900</v>
      </c>
    </row>
    <row r="17" spans="1:12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4"/>
      <c r="F17" s="4"/>
      <c r="G17" s="4"/>
      <c r="H17" s="4">
        <v>300</v>
      </c>
      <c r="I17" s="3">
        <f>'AUGUST 21'!L17:L153</f>
        <v>13200</v>
      </c>
      <c r="J17" s="3">
        <f t="shared" si="1"/>
        <v>28500</v>
      </c>
      <c r="K17" s="3"/>
      <c r="L17" s="3">
        <f t="shared" si="0"/>
        <v>28500</v>
      </c>
    </row>
    <row r="18" spans="1:12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4"/>
      <c r="F18" s="4"/>
      <c r="G18" s="4"/>
      <c r="H18" s="4">
        <v>300</v>
      </c>
      <c r="I18" s="3">
        <f>'AUGUST 21'!L18:L154</f>
        <v>2700</v>
      </c>
      <c r="J18" s="3">
        <f t="shared" si="1"/>
        <v>18000</v>
      </c>
      <c r="K18" s="3">
        <f>15000</f>
        <v>15000</v>
      </c>
      <c r="L18" s="3">
        <f t="shared" si="0"/>
        <v>3000</v>
      </c>
    </row>
    <row r="19" spans="1:12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4"/>
      <c r="F19" s="4"/>
      <c r="G19" s="4"/>
      <c r="H19" s="4">
        <v>300</v>
      </c>
      <c r="I19" s="3">
        <f>'AUGUST 21'!L19:L155</f>
        <v>0</v>
      </c>
      <c r="J19" s="3">
        <f t="shared" si="1"/>
        <v>15300</v>
      </c>
      <c r="K19" s="3">
        <f>15300</f>
        <v>15300</v>
      </c>
      <c r="L19" s="3">
        <f t="shared" si="0"/>
        <v>0</v>
      </c>
    </row>
    <row r="20" spans="1:12" ht="15.75" x14ac:dyDescent="0.25">
      <c r="A20" s="3" t="s">
        <v>29</v>
      </c>
      <c r="B20" s="7" t="s">
        <v>167</v>
      </c>
      <c r="C20" s="8" t="s">
        <v>38</v>
      </c>
      <c r="D20" s="4">
        <v>10000</v>
      </c>
      <c r="E20" s="4"/>
      <c r="F20" s="4"/>
      <c r="G20" s="4"/>
      <c r="H20" s="4">
        <v>300</v>
      </c>
      <c r="I20" s="3">
        <f>'AUGUST 21'!L20:L156</f>
        <v>3700</v>
      </c>
      <c r="J20" s="3">
        <f t="shared" si="1"/>
        <v>14000</v>
      </c>
      <c r="K20" s="3"/>
      <c r="L20" s="3">
        <f t="shared" si="0"/>
        <v>14000</v>
      </c>
    </row>
    <row r="21" spans="1:12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4"/>
      <c r="F21" s="4"/>
      <c r="G21" s="4"/>
      <c r="H21" s="4"/>
      <c r="I21" s="3">
        <f>'AUGUST 21'!L21:L157</f>
        <v>0</v>
      </c>
      <c r="J21" s="3">
        <f t="shared" si="1"/>
        <v>10000</v>
      </c>
      <c r="K21" s="3">
        <f>10000</f>
        <v>10000</v>
      </c>
      <c r="L21" s="3">
        <f t="shared" si="0"/>
        <v>0</v>
      </c>
    </row>
    <row r="22" spans="1:12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4"/>
      <c r="F22" s="4"/>
      <c r="G22" s="4"/>
      <c r="H22" s="4">
        <v>300</v>
      </c>
      <c r="I22" s="3">
        <f>'AUGUST 21'!L22:L158</f>
        <v>2700</v>
      </c>
      <c r="J22" s="3">
        <f t="shared" si="1"/>
        <v>13000</v>
      </c>
      <c r="K22" s="3">
        <f>10000</f>
        <v>10000</v>
      </c>
      <c r="L22" s="3">
        <f t="shared" si="0"/>
        <v>3000</v>
      </c>
    </row>
    <row r="23" spans="1:12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4"/>
      <c r="F23" s="4"/>
      <c r="G23" s="4"/>
      <c r="H23" s="4">
        <v>300</v>
      </c>
      <c r="I23" s="3">
        <f>'AUGUST 21'!L23:L159</f>
        <v>8700</v>
      </c>
      <c r="J23" s="3">
        <f t="shared" si="1"/>
        <v>21000</v>
      </c>
      <c r="K23" s="3"/>
      <c r="L23" s="3">
        <f t="shared" si="0"/>
        <v>21000</v>
      </c>
    </row>
    <row r="24" spans="1:12" ht="15.75" x14ac:dyDescent="0.25">
      <c r="A24" s="3" t="s">
        <v>39</v>
      </c>
      <c r="B24" s="3" t="s">
        <v>43</v>
      </c>
      <c r="C24" s="4" t="s">
        <v>44</v>
      </c>
      <c r="D24" s="4">
        <v>10000</v>
      </c>
      <c r="E24" s="4"/>
      <c r="F24" s="4"/>
      <c r="G24" s="4"/>
      <c r="H24" s="4">
        <v>300</v>
      </c>
      <c r="I24" s="3">
        <f>'AUGUST 21'!L24:L160</f>
        <v>4700</v>
      </c>
      <c r="J24" s="3">
        <f t="shared" si="1"/>
        <v>15000</v>
      </c>
      <c r="K24" s="3">
        <v>10000</v>
      </c>
      <c r="L24" s="3">
        <f t="shared" si="0"/>
        <v>5000</v>
      </c>
    </row>
    <row r="25" spans="1:12" ht="15.75" x14ac:dyDescent="0.25">
      <c r="A25" s="3" t="s">
        <v>42</v>
      </c>
      <c r="B25" s="7" t="s">
        <v>219</v>
      </c>
      <c r="C25" s="4"/>
      <c r="D25" s="4">
        <v>11600</v>
      </c>
      <c r="E25" s="4"/>
      <c r="F25" s="4"/>
      <c r="G25" s="4"/>
      <c r="H25" s="4">
        <v>300</v>
      </c>
      <c r="I25" s="3">
        <f>'AUGUST 21'!L25:L161</f>
        <v>0</v>
      </c>
      <c r="J25" s="3">
        <f t="shared" si="1"/>
        <v>11900</v>
      </c>
      <c r="K25" s="3">
        <f>1900+10000</f>
        <v>11900</v>
      </c>
      <c r="L25" s="3">
        <f t="shared" si="0"/>
        <v>0</v>
      </c>
    </row>
    <row r="26" spans="1:12" ht="15.75" x14ac:dyDescent="0.25">
      <c r="A26" s="3" t="s">
        <v>45</v>
      </c>
      <c r="B26" s="7" t="s">
        <v>218</v>
      </c>
      <c r="C26" s="4"/>
      <c r="D26" s="4">
        <v>11600</v>
      </c>
      <c r="E26" s="4"/>
      <c r="F26" s="4"/>
      <c r="G26" s="4"/>
      <c r="H26" s="4">
        <v>300</v>
      </c>
      <c r="I26" s="3">
        <f>'AUGUST 21'!L26:L162</f>
        <v>0</v>
      </c>
      <c r="J26" s="3">
        <f t="shared" si="1"/>
        <v>11900</v>
      </c>
      <c r="K26" s="3">
        <f>11900</f>
        <v>11900</v>
      </c>
      <c r="L26" s="3">
        <f t="shared" si="0"/>
        <v>0</v>
      </c>
    </row>
    <row r="27" spans="1:12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4"/>
      <c r="F27" s="4"/>
      <c r="G27" s="4"/>
      <c r="H27" s="4">
        <v>300</v>
      </c>
      <c r="I27" s="3">
        <f>'AUGUST 21'!L27:L163</f>
        <v>1500</v>
      </c>
      <c r="J27" s="3">
        <f t="shared" si="1"/>
        <v>11800</v>
      </c>
      <c r="K27" s="3">
        <v>11800</v>
      </c>
      <c r="L27" s="3">
        <f t="shared" si="0"/>
        <v>0</v>
      </c>
    </row>
    <row r="28" spans="1:12" ht="15.75" x14ac:dyDescent="0.25">
      <c r="A28" s="3" t="s">
        <v>50</v>
      </c>
      <c r="B28" s="7" t="s">
        <v>207</v>
      </c>
      <c r="C28" s="8" t="s">
        <v>208</v>
      </c>
      <c r="D28" s="8">
        <v>11600</v>
      </c>
      <c r="E28" s="8"/>
      <c r="F28" s="8"/>
      <c r="G28" s="8"/>
      <c r="H28" s="8">
        <v>300</v>
      </c>
      <c r="I28" s="3">
        <f>'AUGUST 21'!L28:L164</f>
        <v>0</v>
      </c>
      <c r="J28" s="3">
        <f t="shared" si="1"/>
        <v>11900</v>
      </c>
      <c r="K28" s="9">
        <f>11900</f>
        <v>11900</v>
      </c>
      <c r="L28" s="3">
        <f t="shared" si="0"/>
        <v>0</v>
      </c>
    </row>
    <row r="29" spans="1:12" ht="15.75" x14ac:dyDescent="0.25">
      <c r="A29" s="3" t="s">
        <v>51</v>
      </c>
      <c r="B29" s="3" t="s">
        <v>70</v>
      </c>
      <c r="C29" s="4" t="s">
        <v>71</v>
      </c>
      <c r="D29" s="4">
        <v>6500</v>
      </c>
      <c r="E29" s="4"/>
      <c r="F29" s="4"/>
      <c r="G29" s="4"/>
      <c r="H29" s="4">
        <v>300</v>
      </c>
      <c r="I29" s="3">
        <f>'AUGUST 21'!L29:L165</f>
        <v>15700</v>
      </c>
      <c r="J29" s="3">
        <f t="shared" si="1"/>
        <v>22500</v>
      </c>
      <c r="K29" s="3"/>
      <c r="L29" s="3">
        <f t="shared" si="0"/>
        <v>22500</v>
      </c>
    </row>
    <row r="30" spans="1:12" ht="15.75" x14ac:dyDescent="0.25">
      <c r="A30" s="7" t="s">
        <v>102</v>
      </c>
      <c r="B30" s="7" t="s">
        <v>171</v>
      </c>
      <c r="C30" s="8" t="s">
        <v>69</v>
      </c>
      <c r="D30" s="4">
        <v>9500</v>
      </c>
      <c r="E30" s="4"/>
      <c r="F30" s="4"/>
      <c r="G30" s="4"/>
      <c r="H30" s="4">
        <v>300</v>
      </c>
      <c r="I30" s="3">
        <f>'AUGUST 21'!L30:L166</f>
        <v>13200</v>
      </c>
      <c r="J30" s="3">
        <f t="shared" si="1"/>
        <v>23000</v>
      </c>
      <c r="K30" s="3"/>
      <c r="L30" s="3">
        <f>J30-K30</f>
        <v>23000</v>
      </c>
    </row>
    <row r="31" spans="1:12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4"/>
      <c r="F31" s="4"/>
      <c r="G31" s="4"/>
      <c r="H31" s="4">
        <v>300</v>
      </c>
      <c r="I31" s="3">
        <f>'AUGUST 21'!L31:L167</f>
        <v>2200</v>
      </c>
      <c r="J31" s="3">
        <f t="shared" si="1"/>
        <v>11500</v>
      </c>
      <c r="K31" s="3">
        <f>5000+5000</f>
        <v>10000</v>
      </c>
      <c r="L31" s="3">
        <f>J31-K31</f>
        <v>1500</v>
      </c>
    </row>
    <row r="32" spans="1:12" ht="15.75" x14ac:dyDescent="0.25">
      <c r="A32" s="3" t="s">
        <v>104</v>
      </c>
      <c r="B32" s="9" t="s">
        <v>220</v>
      </c>
      <c r="C32" s="10"/>
      <c r="D32" s="4">
        <v>11600</v>
      </c>
      <c r="E32" s="4"/>
      <c r="F32" s="4"/>
      <c r="G32" s="4"/>
      <c r="H32" s="4">
        <v>300</v>
      </c>
      <c r="I32" s="3">
        <f>'AUGUST 21'!L32:L168</f>
        <v>11900</v>
      </c>
      <c r="J32" s="3">
        <f t="shared" si="1"/>
        <v>23800</v>
      </c>
      <c r="K32" s="11">
        <f>11900</f>
        <v>11900</v>
      </c>
      <c r="L32" s="3">
        <f t="shared" si="0"/>
        <v>11900</v>
      </c>
    </row>
    <row r="33" spans="1:12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4"/>
      <c r="F33" s="4"/>
      <c r="G33" s="4"/>
      <c r="H33" s="4">
        <v>300</v>
      </c>
      <c r="I33" s="3">
        <f>'AUGUST 21'!L33:L169</f>
        <v>2700</v>
      </c>
      <c r="J33" s="3">
        <f t="shared" si="1"/>
        <v>15000</v>
      </c>
      <c r="K33" s="3">
        <f>12000</f>
        <v>12000</v>
      </c>
      <c r="L33" s="3">
        <f>J33-K33</f>
        <v>3000</v>
      </c>
    </row>
    <row r="34" spans="1:12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4"/>
      <c r="F34" s="4"/>
      <c r="G34" s="4"/>
      <c r="H34" s="4">
        <v>300</v>
      </c>
      <c r="I34" s="3">
        <f>'AUGUST 21'!L34:L170</f>
        <v>900</v>
      </c>
      <c r="J34" s="3">
        <f t="shared" si="1"/>
        <v>13200</v>
      </c>
      <c r="K34" s="3">
        <f>100+12300</f>
        <v>12400</v>
      </c>
      <c r="L34" s="3">
        <f t="shared" si="0"/>
        <v>800</v>
      </c>
    </row>
    <row r="35" spans="1:12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4"/>
      <c r="F35" s="4"/>
      <c r="G35" s="4"/>
      <c r="H35" s="4">
        <v>300</v>
      </c>
      <c r="I35" s="3">
        <f>'AUGUST 21'!L35:L171</f>
        <v>2700</v>
      </c>
      <c r="J35" s="3">
        <f t="shared" si="1"/>
        <v>13000</v>
      </c>
      <c r="K35" s="7"/>
      <c r="L35" s="3">
        <f t="shared" si="0"/>
        <v>13000</v>
      </c>
    </row>
    <row r="36" spans="1:12" ht="15.75" x14ac:dyDescent="0.25">
      <c r="A36" s="3" t="s">
        <v>108</v>
      </c>
      <c r="B36" s="7" t="s">
        <v>209</v>
      </c>
      <c r="C36" s="8"/>
      <c r="D36" s="12">
        <v>10000</v>
      </c>
      <c r="E36" s="12"/>
      <c r="F36" s="4"/>
      <c r="G36" s="12"/>
      <c r="H36" s="4">
        <v>300</v>
      </c>
      <c r="I36" s="3">
        <f>'AUGUST 21'!L36:L172</f>
        <v>-9400</v>
      </c>
      <c r="J36" s="3">
        <f t="shared" si="1"/>
        <v>900</v>
      </c>
      <c r="K36" s="3"/>
      <c r="L36" s="3">
        <f t="shared" si="0"/>
        <v>900</v>
      </c>
    </row>
    <row r="37" spans="1:12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8"/>
      <c r="F37" s="4"/>
      <c r="G37" s="8"/>
      <c r="H37" s="4">
        <v>300</v>
      </c>
      <c r="I37" s="3">
        <f>'AUGUST 21'!L37:L173</f>
        <v>-12327</v>
      </c>
      <c r="J37" s="3">
        <f t="shared" si="1"/>
        <v>973</v>
      </c>
      <c r="K37" s="3"/>
      <c r="L37" s="3">
        <f t="shared" si="0"/>
        <v>973</v>
      </c>
    </row>
    <row r="38" spans="1:12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8"/>
      <c r="F38" s="4"/>
      <c r="G38" s="8"/>
      <c r="H38" s="4">
        <v>300</v>
      </c>
      <c r="I38" s="3">
        <f>'AUGUST 21'!L38:L174</f>
        <v>1500</v>
      </c>
      <c r="J38" s="3">
        <f t="shared" si="1"/>
        <v>11800</v>
      </c>
      <c r="K38" s="3">
        <f>10300</f>
        <v>10300</v>
      </c>
      <c r="L38" s="3">
        <f t="shared" si="0"/>
        <v>1500</v>
      </c>
    </row>
    <row r="39" spans="1:12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4"/>
      <c r="F39" s="4"/>
      <c r="G39" s="4"/>
      <c r="H39" s="4">
        <v>300</v>
      </c>
      <c r="I39" s="3">
        <f>'AUGUST 21'!L39:L175</f>
        <v>2100</v>
      </c>
      <c r="J39" s="3">
        <f t="shared" si="1"/>
        <v>14400</v>
      </c>
      <c r="K39" s="3">
        <f>11000</f>
        <v>11000</v>
      </c>
      <c r="L39" s="3">
        <f t="shared" si="0"/>
        <v>3400</v>
      </c>
    </row>
    <row r="40" spans="1:12" ht="15.75" x14ac:dyDescent="0.25">
      <c r="A40" s="3" t="s">
        <v>112</v>
      </c>
      <c r="B40" s="3" t="s">
        <v>56</v>
      </c>
      <c r="C40" s="4" t="s">
        <v>57</v>
      </c>
      <c r="D40" s="4">
        <v>12000</v>
      </c>
      <c r="E40" s="4"/>
      <c r="F40" s="4"/>
      <c r="G40" s="4"/>
      <c r="H40" s="4">
        <v>300</v>
      </c>
      <c r="I40" s="3">
        <f>'AUGUST 21'!L40:L176</f>
        <v>2100</v>
      </c>
      <c r="J40" s="3">
        <f t="shared" si="1"/>
        <v>14400</v>
      </c>
      <c r="K40" s="3">
        <f>12300</f>
        <v>12300</v>
      </c>
      <c r="L40" s="3">
        <f t="shared" si="0"/>
        <v>2100</v>
      </c>
    </row>
    <row r="41" spans="1:12" ht="15.75" x14ac:dyDescent="0.25">
      <c r="A41" s="7" t="s">
        <v>113</v>
      </c>
      <c r="B41" s="7" t="s">
        <v>229</v>
      </c>
      <c r="C41" s="10"/>
      <c r="D41" s="4">
        <v>13920</v>
      </c>
      <c r="E41" s="4">
        <v>24000</v>
      </c>
      <c r="F41" s="4">
        <v>1500</v>
      </c>
      <c r="G41" s="4">
        <v>3000</v>
      </c>
      <c r="H41" s="4">
        <v>300</v>
      </c>
      <c r="I41" s="3"/>
      <c r="J41" s="3">
        <f t="shared" si="1"/>
        <v>42720</v>
      </c>
      <c r="K41" s="3">
        <v>42720</v>
      </c>
      <c r="L41" s="3">
        <f t="shared" si="0"/>
        <v>0</v>
      </c>
    </row>
    <row r="42" spans="1:12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8"/>
      <c r="F42" s="4"/>
      <c r="G42" s="8"/>
      <c r="H42" s="4">
        <v>300</v>
      </c>
      <c r="I42" s="3">
        <f>'AUGUST 21'!L42:L178</f>
        <v>0</v>
      </c>
      <c r="J42" s="3">
        <f t="shared" si="1"/>
        <v>12300</v>
      </c>
      <c r="K42" s="3">
        <v>12300</v>
      </c>
      <c r="L42" s="3">
        <f t="shared" si="0"/>
        <v>0</v>
      </c>
    </row>
    <row r="43" spans="1:12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4"/>
      <c r="F43" s="4"/>
      <c r="G43" s="4"/>
      <c r="H43" s="4">
        <v>300</v>
      </c>
      <c r="I43" s="3">
        <f>'AUGUST 21'!L43:L179</f>
        <v>200</v>
      </c>
      <c r="J43" s="3">
        <f t="shared" si="1"/>
        <v>12500</v>
      </c>
      <c r="K43" s="3">
        <f>12300+200</f>
        <v>12500</v>
      </c>
      <c r="L43" s="3">
        <f t="shared" si="0"/>
        <v>0</v>
      </c>
    </row>
    <row r="44" spans="1:12" ht="15.75" x14ac:dyDescent="0.25">
      <c r="A44" s="3" t="s">
        <v>116</v>
      </c>
      <c r="B44" s="9" t="s">
        <v>172</v>
      </c>
      <c r="C44" s="8"/>
      <c r="D44" s="4">
        <f>10000+1600</f>
        <v>11600</v>
      </c>
      <c r="E44" s="4"/>
      <c r="F44" s="4"/>
      <c r="G44" s="4"/>
      <c r="H44" s="4">
        <v>300</v>
      </c>
      <c r="I44" s="3">
        <f>'AUGUST 21'!L44:L180</f>
        <v>0</v>
      </c>
      <c r="J44" s="3">
        <f t="shared" si="1"/>
        <v>11900</v>
      </c>
      <c r="K44" s="3">
        <v>11900</v>
      </c>
      <c r="L44" s="3">
        <f t="shared" si="0"/>
        <v>0</v>
      </c>
    </row>
    <row r="45" spans="1:12" ht="15.75" x14ac:dyDescent="0.25">
      <c r="A45" s="3" t="s">
        <v>117</v>
      </c>
      <c r="B45" s="5" t="s">
        <v>13</v>
      </c>
      <c r="C45" s="4"/>
      <c r="D45" s="4"/>
      <c r="E45" s="4"/>
      <c r="F45" s="4"/>
      <c r="G45" s="4"/>
      <c r="H45" s="4"/>
      <c r="I45" s="3">
        <f>'AUGUST 21'!L45:L181</f>
        <v>0</v>
      </c>
      <c r="J45" s="3">
        <f t="shared" si="1"/>
        <v>0</v>
      </c>
      <c r="K45" s="3"/>
      <c r="L45" s="3">
        <f t="shared" si="0"/>
        <v>0</v>
      </c>
    </row>
    <row r="46" spans="1:12" ht="15.75" x14ac:dyDescent="0.25">
      <c r="A46" s="3" t="s">
        <v>118</v>
      </c>
      <c r="B46" s="5" t="s">
        <v>13</v>
      </c>
      <c r="C46" s="4"/>
      <c r="D46" s="4"/>
      <c r="E46" s="4"/>
      <c r="F46" s="4"/>
      <c r="G46" s="4"/>
      <c r="H46" s="4"/>
      <c r="I46" s="3">
        <f>'AUGUST 21'!L46:L182</f>
        <v>0</v>
      </c>
      <c r="J46" s="3">
        <f t="shared" si="1"/>
        <v>0</v>
      </c>
      <c r="K46" s="3"/>
      <c r="L46" s="3">
        <f t="shared" si="0"/>
        <v>0</v>
      </c>
    </row>
    <row r="47" spans="1:12" ht="15.75" x14ac:dyDescent="0.25">
      <c r="A47" s="3" t="s">
        <v>119</v>
      </c>
      <c r="B47" s="5" t="s">
        <v>13</v>
      </c>
      <c r="C47" s="4"/>
      <c r="D47" s="4"/>
      <c r="E47" s="4"/>
      <c r="F47" s="4"/>
      <c r="G47" s="4"/>
      <c r="H47" s="4"/>
      <c r="I47" s="3">
        <f>'AUGUST 21'!L47:L183</f>
        <v>0</v>
      </c>
      <c r="J47" s="3">
        <f t="shared" si="1"/>
        <v>0</v>
      </c>
      <c r="K47" s="3"/>
      <c r="L47" s="3">
        <f t="shared" si="0"/>
        <v>0</v>
      </c>
    </row>
    <row r="48" spans="1:12" ht="15.75" x14ac:dyDescent="0.25">
      <c r="A48" s="3" t="s">
        <v>120</v>
      </c>
      <c r="B48" s="7" t="s">
        <v>168</v>
      </c>
      <c r="C48" s="4" t="s">
        <v>80</v>
      </c>
      <c r="D48" s="4"/>
      <c r="E48" s="4"/>
      <c r="F48" s="4"/>
      <c r="G48" s="4"/>
      <c r="H48" s="4"/>
      <c r="I48" s="3">
        <f>'AUGUST 21'!L48:L184</f>
        <v>0</v>
      </c>
      <c r="J48" s="3">
        <f t="shared" si="1"/>
        <v>0</v>
      </c>
      <c r="K48" s="3"/>
      <c r="L48" s="3">
        <f t="shared" si="0"/>
        <v>0</v>
      </c>
    </row>
    <row r="49" spans="1:12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4"/>
      <c r="F49" s="4"/>
      <c r="G49" s="4"/>
      <c r="H49" s="4">
        <v>300</v>
      </c>
      <c r="I49" s="3">
        <f>'AUGUST 21'!L49:L185</f>
        <v>1500</v>
      </c>
      <c r="J49" s="3">
        <f t="shared" si="1"/>
        <v>13800</v>
      </c>
      <c r="K49" s="3">
        <f>6300+6000</f>
        <v>12300</v>
      </c>
      <c r="L49" s="3">
        <f t="shared" si="0"/>
        <v>1500</v>
      </c>
    </row>
    <row r="50" spans="1:12" ht="15.75" x14ac:dyDescent="0.25">
      <c r="A50" s="3" t="s">
        <v>122</v>
      </c>
      <c r="B50" s="13" t="s">
        <v>13</v>
      </c>
      <c r="C50" s="4"/>
      <c r="D50" s="4"/>
      <c r="E50" s="4"/>
      <c r="F50" s="4"/>
      <c r="G50" s="4"/>
      <c r="H50" s="4"/>
      <c r="I50" s="3">
        <f>'AUGUST 21'!L50:L186</f>
        <v>0</v>
      </c>
      <c r="J50" s="3">
        <f t="shared" si="1"/>
        <v>0</v>
      </c>
      <c r="K50" s="3"/>
      <c r="L50" s="3">
        <f t="shared" si="0"/>
        <v>0</v>
      </c>
    </row>
    <row r="51" spans="1:12" ht="15.75" x14ac:dyDescent="0.25">
      <c r="A51" s="3" t="s">
        <v>123</v>
      </c>
      <c r="B51" s="5" t="s">
        <v>13</v>
      </c>
      <c r="C51" s="4"/>
      <c r="D51" s="4"/>
      <c r="E51" s="4"/>
      <c r="F51" s="4"/>
      <c r="G51" s="4"/>
      <c r="H51" s="4"/>
      <c r="I51" s="3">
        <f>'AUGUST 21'!L51:L187</f>
        <v>0</v>
      </c>
      <c r="J51" s="3">
        <f t="shared" si="1"/>
        <v>0</v>
      </c>
      <c r="K51" s="3"/>
      <c r="L51" s="3">
        <f t="shared" si="0"/>
        <v>0</v>
      </c>
    </row>
    <row r="52" spans="1:12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4"/>
      <c r="F52" s="4"/>
      <c r="G52" s="4"/>
      <c r="H52" s="4">
        <v>300</v>
      </c>
      <c r="I52" s="3">
        <f>'AUGUST 21'!L52:L188</f>
        <v>3580</v>
      </c>
      <c r="J52" s="3">
        <f t="shared" si="1"/>
        <v>13750</v>
      </c>
      <c r="K52" s="3">
        <f>8000+3000</f>
        <v>11000</v>
      </c>
      <c r="L52" s="3">
        <f t="shared" si="0"/>
        <v>2750</v>
      </c>
    </row>
    <row r="53" spans="1:12" ht="15.75" x14ac:dyDescent="0.25">
      <c r="A53" s="3" t="s">
        <v>125</v>
      </c>
      <c r="B53" s="13" t="s">
        <v>13</v>
      </c>
      <c r="C53" s="4"/>
      <c r="D53" s="4"/>
      <c r="E53" s="4"/>
      <c r="F53" s="4"/>
      <c r="G53" s="4"/>
      <c r="H53" s="4"/>
      <c r="I53" s="3">
        <f>'AUGUST 21'!L53:L189</f>
        <v>0</v>
      </c>
      <c r="J53" s="3">
        <f t="shared" si="1"/>
        <v>0</v>
      </c>
      <c r="K53" s="3"/>
      <c r="L53" s="3">
        <f t="shared" si="0"/>
        <v>0</v>
      </c>
    </row>
    <row r="54" spans="1:12" ht="15.75" x14ac:dyDescent="0.25">
      <c r="A54" s="3" t="s">
        <v>126</v>
      </c>
      <c r="B54" s="5" t="s">
        <v>13</v>
      </c>
      <c r="C54" s="4"/>
      <c r="D54" s="4"/>
      <c r="E54" s="4"/>
      <c r="F54" s="4"/>
      <c r="G54" s="4"/>
      <c r="H54" s="4"/>
      <c r="I54" s="3">
        <f>'AUGUST 21'!L54:L190</f>
        <v>0</v>
      </c>
      <c r="J54" s="3">
        <f t="shared" si="1"/>
        <v>0</v>
      </c>
      <c r="K54" s="3"/>
      <c r="L54" s="3">
        <f t="shared" si="0"/>
        <v>0</v>
      </c>
    </row>
    <row r="55" spans="1:12" ht="15.75" x14ac:dyDescent="0.25">
      <c r="A55" s="3" t="s">
        <v>127</v>
      </c>
      <c r="B55" s="13" t="s">
        <v>13</v>
      </c>
      <c r="C55" s="4"/>
      <c r="D55" s="4"/>
      <c r="E55" s="4"/>
      <c r="F55" s="4"/>
      <c r="G55" s="4"/>
      <c r="H55" s="4"/>
      <c r="I55" s="3">
        <f>'AUGUST 21'!L55:L191</f>
        <v>0</v>
      </c>
      <c r="J55" s="3">
        <f t="shared" si="1"/>
        <v>0</v>
      </c>
      <c r="K55" s="3"/>
      <c r="L55" s="3">
        <f t="shared" si="0"/>
        <v>0</v>
      </c>
    </row>
    <row r="56" spans="1:12" ht="15.75" x14ac:dyDescent="0.25">
      <c r="A56" s="3" t="s">
        <v>128</v>
      </c>
      <c r="B56" s="13" t="s">
        <v>13</v>
      </c>
      <c r="C56" s="4"/>
      <c r="D56" s="4"/>
      <c r="E56" s="4"/>
      <c r="F56" s="4"/>
      <c r="G56" s="4"/>
      <c r="H56" s="4"/>
      <c r="I56" s="3">
        <f>'AUGUST 21'!L56:L192</f>
        <v>0</v>
      </c>
      <c r="J56" s="3">
        <f t="shared" si="1"/>
        <v>0</v>
      </c>
      <c r="K56" s="3"/>
      <c r="L56" s="3">
        <f t="shared" si="0"/>
        <v>0</v>
      </c>
    </row>
    <row r="57" spans="1:12" ht="15.75" x14ac:dyDescent="0.25">
      <c r="A57" s="3" t="s">
        <v>129</v>
      </c>
      <c r="B57" s="13" t="s">
        <v>13</v>
      </c>
      <c r="C57" s="4"/>
      <c r="D57" s="4"/>
      <c r="E57" s="4"/>
      <c r="F57" s="4"/>
      <c r="G57" s="4"/>
      <c r="H57" s="4"/>
      <c r="I57" s="3">
        <f>'AUGUST 21'!L57:L193</f>
        <v>0</v>
      </c>
      <c r="J57" s="3">
        <f t="shared" si="1"/>
        <v>0</v>
      </c>
      <c r="K57" s="3"/>
      <c r="L57" s="3">
        <f t="shared" si="0"/>
        <v>0</v>
      </c>
    </row>
    <row r="58" spans="1:12" ht="15.75" x14ac:dyDescent="0.25">
      <c r="A58" s="3" t="s">
        <v>130</v>
      </c>
      <c r="B58" s="5" t="s">
        <v>13</v>
      </c>
      <c r="C58" s="4"/>
      <c r="D58" s="4"/>
      <c r="E58" s="4"/>
      <c r="F58" s="4"/>
      <c r="G58" s="4"/>
      <c r="H58" s="4"/>
      <c r="I58" s="3">
        <f>'AUGUST 21'!L58:L194</f>
        <v>0</v>
      </c>
      <c r="J58" s="3">
        <f t="shared" si="1"/>
        <v>0</v>
      </c>
      <c r="K58" s="3"/>
      <c r="L58" s="3">
        <f t="shared" si="0"/>
        <v>0</v>
      </c>
    </row>
    <row r="59" spans="1:12" ht="15.75" x14ac:dyDescent="0.25">
      <c r="A59" s="3" t="s">
        <v>131</v>
      </c>
      <c r="B59" s="13" t="s">
        <v>13</v>
      </c>
      <c r="C59" s="4"/>
      <c r="D59" s="4"/>
      <c r="E59" s="4"/>
      <c r="F59" s="4"/>
      <c r="G59" s="4"/>
      <c r="H59" s="4"/>
      <c r="I59" s="3">
        <f>'AUGUST 21'!L59:L195</f>
        <v>0</v>
      </c>
      <c r="J59" s="3">
        <f t="shared" si="1"/>
        <v>0</v>
      </c>
      <c r="K59" s="3"/>
      <c r="L59" s="3">
        <f t="shared" si="0"/>
        <v>0</v>
      </c>
    </row>
    <row r="60" spans="1:12" ht="15.75" x14ac:dyDescent="0.25">
      <c r="A60" s="3" t="s">
        <v>132</v>
      </c>
      <c r="B60" s="7" t="s">
        <v>184</v>
      </c>
      <c r="C60" s="4"/>
      <c r="D60" s="4"/>
      <c r="E60" s="4"/>
      <c r="F60" s="4"/>
      <c r="G60" s="4"/>
      <c r="H60" s="4"/>
      <c r="I60" s="3">
        <f>'AUGUST 21'!L60:L196</f>
        <v>4140</v>
      </c>
      <c r="J60" s="3">
        <f t="shared" si="1"/>
        <v>4140</v>
      </c>
      <c r="K60" s="3"/>
      <c r="L60" s="3">
        <f t="shared" si="0"/>
        <v>4140</v>
      </c>
    </row>
    <row r="61" spans="1:12" ht="15.75" x14ac:dyDescent="0.25">
      <c r="A61" s="3" t="s">
        <v>133</v>
      </c>
      <c r="B61" s="13" t="s">
        <v>13</v>
      </c>
      <c r="C61" s="4"/>
      <c r="D61" s="4"/>
      <c r="E61" s="4"/>
      <c r="F61" s="4"/>
      <c r="G61" s="4"/>
      <c r="H61" s="4"/>
      <c r="I61" s="3">
        <f>'AUGUST 21'!L61:L197</f>
        <v>0</v>
      </c>
      <c r="J61" s="3">
        <f t="shared" si="1"/>
        <v>0</v>
      </c>
      <c r="K61" s="3"/>
      <c r="L61" s="3">
        <f t="shared" si="0"/>
        <v>0</v>
      </c>
    </row>
    <row r="62" spans="1:12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4"/>
      <c r="F62" s="4"/>
      <c r="G62" s="4"/>
      <c r="H62" s="4">
        <v>300</v>
      </c>
      <c r="I62" s="3">
        <f>'AUGUST 21'!L62:L198</f>
        <v>1500</v>
      </c>
      <c r="J62" s="3">
        <f t="shared" si="1"/>
        <v>9800</v>
      </c>
      <c r="K62" s="3">
        <f>8300</f>
        <v>8300</v>
      </c>
      <c r="L62" s="3">
        <f t="shared" si="0"/>
        <v>1500</v>
      </c>
    </row>
    <row r="63" spans="1:12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4"/>
      <c r="F63" s="4"/>
      <c r="G63" s="4"/>
      <c r="H63" s="4">
        <v>300</v>
      </c>
      <c r="I63" s="3">
        <f>'AUGUST 21'!L63:L199</f>
        <v>5500</v>
      </c>
      <c r="J63" s="3">
        <f t="shared" si="1"/>
        <v>13800</v>
      </c>
      <c r="K63" s="3">
        <f>2500+4000+2500</f>
        <v>9000</v>
      </c>
      <c r="L63" s="3">
        <f t="shared" si="0"/>
        <v>4800</v>
      </c>
    </row>
    <row r="64" spans="1:12" ht="15.75" x14ac:dyDescent="0.25">
      <c r="A64" s="3" t="s">
        <v>136</v>
      </c>
      <c r="B64" s="3" t="s">
        <v>74</v>
      </c>
      <c r="C64" s="4" t="s">
        <v>75</v>
      </c>
      <c r="D64" s="4">
        <v>8000</v>
      </c>
      <c r="E64" s="4"/>
      <c r="F64" s="4"/>
      <c r="G64" s="4"/>
      <c r="H64" s="4">
        <v>300</v>
      </c>
      <c r="I64" s="3">
        <f>'AUGUST 21'!L64:L200</f>
        <v>200</v>
      </c>
      <c r="J64" s="3">
        <f t="shared" si="1"/>
        <v>8500</v>
      </c>
      <c r="K64" s="3">
        <v>8000</v>
      </c>
      <c r="L64" s="3">
        <f t="shared" si="0"/>
        <v>500</v>
      </c>
    </row>
    <row r="65" spans="1:12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4"/>
      <c r="F65" s="4"/>
      <c r="G65" s="4"/>
      <c r="H65" s="4">
        <v>300</v>
      </c>
      <c r="I65" s="3">
        <f>'AUGUST 21'!L65:L201</f>
        <v>8700</v>
      </c>
      <c r="J65" s="3">
        <f t="shared" si="1"/>
        <v>17000</v>
      </c>
      <c r="K65" s="3"/>
      <c r="L65" s="3">
        <f t="shared" si="0"/>
        <v>17000</v>
      </c>
    </row>
    <row r="66" spans="1:12" ht="15.75" x14ac:dyDescent="0.25">
      <c r="A66" s="3" t="s">
        <v>138</v>
      </c>
      <c r="B66" s="7" t="s">
        <v>173</v>
      </c>
      <c r="C66" s="15"/>
      <c r="D66" s="4">
        <v>6500</v>
      </c>
      <c r="E66" s="4"/>
      <c r="F66" s="4"/>
      <c r="G66" s="4"/>
      <c r="H66" s="4">
        <v>300</v>
      </c>
      <c r="I66" s="3">
        <f>'AUGUST 21'!L66:L202</f>
        <v>15700</v>
      </c>
      <c r="J66" s="3">
        <f t="shared" si="1"/>
        <v>22500</v>
      </c>
      <c r="K66" s="3"/>
      <c r="L66" s="3">
        <f t="shared" si="0"/>
        <v>22500</v>
      </c>
    </row>
    <row r="67" spans="1:12" ht="15.75" x14ac:dyDescent="0.25">
      <c r="A67" s="3" t="s">
        <v>139</v>
      </c>
      <c r="B67" s="7" t="s">
        <v>173</v>
      </c>
      <c r="C67" s="15"/>
      <c r="D67" s="4">
        <v>6500</v>
      </c>
      <c r="E67" s="4"/>
      <c r="F67" s="4"/>
      <c r="G67" s="4"/>
      <c r="H67" s="4"/>
      <c r="I67" s="3">
        <f>'AUGUST 21'!L67:L203</f>
        <v>9000</v>
      </c>
      <c r="J67" s="3">
        <f t="shared" si="1"/>
        <v>15500</v>
      </c>
      <c r="K67" s="3"/>
      <c r="L67" s="3">
        <f t="shared" si="0"/>
        <v>15500</v>
      </c>
    </row>
    <row r="68" spans="1:12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4"/>
      <c r="F68" s="4"/>
      <c r="G68" s="4"/>
      <c r="H68" s="4">
        <v>300</v>
      </c>
      <c r="I68" s="3">
        <f>'AUGUST 21'!L68:L204</f>
        <v>2400</v>
      </c>
      <c r="J68" s="3">
        <f t="shared" si="1"/>
        <v>17700</v>
      </c>
      <c r="K68" s="3">
        <f>15300</f>
        <v>15300</v>
      </c>
      <c r="L68" s="3">
        <f t="shared" si="0"/>
        <v>2400</v>
      </c>
    </row>
    <row r="69" spans="1:12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4"/>
      <c r="F69" s="4"/>
      <c r="G69" s="4"/>
      <c r="H69" s="4">
        <v>300</v>
      </c>
      <c r="I69" s="3">
        <f>'AUGUST 21'!L69:L205</f>
        <v>2700</v>
      </c>
      <c r="J69" s="3">
        <f t="shared" si="1"/>
        <v>18000</v>
      </c>
      <c r="K69" s="3">
        <f>15300</f>
        <v>15300</v>
      </c>
      <c r="L69" s="3">
        <f t="shared" ref="L69:L77" si="2">J69-K69</f>
        <v>2700</v>
      </c>
    </row>
    <row r="70" spans="1:12" ht="15.75" x14ac:dyDescent="0.25">
      <c r="A70" s="3" t="s">
        <v>142</v>
      </c>
      <c r="B70" s="7" t="s">
        <v>87</v>
      </c>
      <c r="C70" s="8" t="s">
        <v>86</v>
      </c>
      <c r="D70" s="4">
        <v>20000</v>
      </c>
      <c r="E70" s="15"/>
      <c r="F70" s="4"/>
      <c r="G70" s="4">
        <v>3000</v>
      </c>
      <c r="H70" s="4">
        <v>300</v>
      </c>
      <c r="I70" s="3">
        <f>'AUGUST 21'!L70:L206</f>
        <v>18800</v>
      </c>
      <c r="J70" s="3">
        <f t="shared" ref="J70:J77" si="3">D70+E70+F70+G70+H70+I70</f>
        <v>42100</v>
      </c>
      <c r="K70" s="7">
        <f>3800+15000+5000</f>
        <v>23800</v>
      </c>
      <c r="L70" s="3">
        <f t="shared" si="2"/>
        <v>18300</v>
      </c>
    </row>
    <row r="71" spans="1:12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4"/>
      <c r="F71" s="4"/>
      <c r="G71" s="4"/>
      <c r="H71" s="4"/>
      <c r="I71" s="3">
        <f>'AUGUST 21'!L71:L207</f>
        <v>0</v>
      </c>
      <c r="J71" s="3">
        <f t="shared" si="3"/>
        <v>20000</v>
      </c>
      <c r="K71" s="3">
        <f>5000+15000</f>
        <v>20000</v>
      </c>
      <c r="L71" s="3">
        <f t="shared" si="2"/>
        <v>0</v>
      </c>
    </row>
    <row r="72" spans="1:12" ht="15.75" x14ac:dyDescent="0.25">
      <c r="A72" s="3" t="s">
        <v>144</v>
      </c>
      <c r="B72" s="27" t="s">
        <v>89</v>
      </c>
      <c r="C72" s="28" t="s">
        <v>164</v>
      </c>
      <c r="D72" s="4"/>
      <c r="E72" s="4"/>
      <c r="F72" s="4"/>
      <c r="G72" s="4"/>
      <c r="H72" s="4"/>
      <c r="I72" s="3">
        <f>'AUGUST 21'!L72:L208</f>
        <v>0</v>
      </c>
      <c r="J72" s="3">
        <f t="shared" si="3"/>
        <v>0</v>
      </c>
      <c r="K72" s="3"/>
      <c r="L72" s="3">
        <f t="shared" si="2"/>
        <v>0</v>
      </c>
    </row>
    <row r="73" spans="1:12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4"/>
      <c r="F73" s="4"/>
      <c r="G73" s="4"/>
      <c r="H73" s="4">
        <v>300</v>
      </c>
      <c r="I73" s="3">
        <f>'AUGUST 21'!L73:L209</f>
        <v>12700</v>
      </c>
      <c r="J73" s="3">
        <f t="shared" si="3"/>
        <v>28000</v>
      </c>
      <c r="K73" s="3">
        <f>15000</f>
        <v>15000</v>
      </c>
      <c r="L73" s="3">
        <f t="shared" si="2"/>
        <v>13000</v>
      </c>
    </row>
    <row r="74" spans="1:12" ht="15.75" x14ac:dyDescent="0.25">
      <c r="A74" s="3" t="s">
        <v>146</v>
      </c>
      <c r="B74" s="3" t="s">
        <v>90</v>
      </c>
      <c r="C74" s="4"/>
      <c r="D74" s="4"/>
      <c r="E74" s="4"/>
      <c r="F74" s="4"/>
      <c r="G74" s="4"/>
      <c r="H74" s="4"/>
      <c r="I74" s="3">
        <f>'AUGUST 21'!L74:L210</f>
        <v>0</v>
      </c>
      <c r="J74" s="3">
        <f t="shared" si="3"/>
        <v>0</v>
      </c>
      <c r="K74" s="3"/>
      <c r="L74" s="3">
        <f t="shared" si="2"/>
        <v>0</v>
      </c>
    </row>
    <row r="75" spans="1:12" ht="15.75" x14ac:dyDescent="0.25">
      <c r="A75" s="3" t="s">
        <v>179</v>
      </c>
      <c r="B75" s="7" t="s">
        <v>227</v>
      </c>
      <c r="D75" s="4">
        <v>23200</v>
      </c>
      <c r="E75" s="4"/>
      <c r="F75" s="4"/>
      <c r="G75" s="4"/>
      <c r="H75" s="4">
        <v>300</v>
      </c>
      <c r="I75" s="3">
        <f>'AUGUST 21'!L75:L211</f>
        <v>0</v>
      </c>
      <c r="J75" s="3">
        <f t="shared" si="3"/>
        <v>23500</v>
      </c>
      <c r="K75" s="3">
        <f>20000</f>
        <v>20000</v>
      </c>
      <c r="L75" s="3">
        <f t="shared" si="2"/>
        <v>3500</v>
      </c>
    </row>
    <row r="76" spans="1:12" ht="15.75" x14ac:dyDescent="0.25">
      <c r="A76" s="3" t="s">
        <v>180</v>
      </c>
      <c r="B76" s="7" t="s">
        <v>223</v>
      </c>
      <c r="C76" s="4"/>
      <c r="D76" s="4"/>
      <c r="E76" s="4"/>
      <c r="F76" s="4"/>
      <c r="G76" s="4"/>
      <c r="H76" s="4"/>
      <c r="I76" s="3">
        <f>'AUGUST 21'!L76:L212</f>
        <v>0</v>
      </c>
      <c r="J76" s="3">
        <f t="shared" si="3"/>
        <v>0</v>
      </c>
      <c r="K76" s="3"/>
      <c r="L76" s="3">
        <f t="shared" si="2"/>
        <v>0</v>
      </c>
    </row>
    <row r="77" spans="1:12" ht="15.75" x14ac:dyDescent="0.25">
      <c r="A77" s="3" t="s">
        <v>181</v>
      </c>
      <c r="B77" s="5" t="s">
        <v>13</v>
      </c>
      <c r="C77" s="8"/>
      <c r="D77" s="4"/>
      <c r="E77" s="4"/>
      <c r="F77" s="4"/>
      <c r="G77" s="4"/>
      <c r="H77" s="4"/>
      <c r="I77" s="3">
        <f>'AUGUST 21'!L77:L213</f>
        <v>0</v>
      </c>
      <c r="J77" s="3">
        <f t="shared" si="3"/>
        <v>0</v>
      </c>
      <c r="K77" s="7"/>
      <c r="L77" s="3">
        <f t="shared" si="2"/>
        <v>0</v>
      </c>
    </row>
    <row r="78" spans="1:12" ht="15.75" x14ac:dyDescent="0.25">
      <c r="A78" s="3"/>
      <c r="B78" s="3" t="s">
        <v>91</v>
      </c>
      <c r="C78" s="4"/>
      <c r="D78" s="4">
        <f t="shared" ref="D78:L78" si="4">SUM(D5:D77)</f>
        <v>980070</v>
      </c>
      <c r="E78" s="4">
        <f t="shared" si="4"/>
        <v>24000</v>
      </c>
      <c r="F78" s="4">
        <f t="shared" si="4"/>
        <v>1500</v>
      </c>
      <c r="G78" s="4">
        <f t="shared" si="4"/>
        <v>6000</v>
      </c>
      <c r="H78" s="4">
        <f t="shared" si="4"/>
        <v>14100</v>
      </c>
      <c r="I78" s="3">
        <f>SUM(I5:I77)</f>
        <v>275293</v>
      </c>
      <c r="J78" s="3">
        <f t="shared" si="4"/>
        <v>1300963</v>
      </c>
      <c r="K78" s="3">
        <f t="shared" si="4"/>
        <v>901100</v>
      </c>
      <c r="L78" s="3">
        <f t="shared" si="4"/>
        <v>399863</v>
      </c>
    </row>
    <row r="79" spans="1:12" ht="15.75" x14ac:dyDescent="0.25">
      <c r="A79" s="1"/>
      <c r="B79" s="1" t="s">
        <v>206</v>
      </c>
      <c r="C79" s="16"/>
      <c r="D79" s="17">
        <f>100/116*D78</f>
        <v>844887.93103448267</v>
      </c>
      <c r="E79" s="17"/>
      <c r="F79" s="17"/>
      <c r="G79" s="17"/>
      <c r="H79" s="17"/>
      <c r="J79" s="18"/>
      <c r="K79" s="18"/>
      <c r="L79" s="17"/>
    </row>
    <row r="80" spans="1:12" x14ac:dyDescent="0.25">
      <c r="D80" s="25"/>
    </row>
    <row r="81" spans="2:11" ht="15.75" x14ac:dyDescent="0.25">
      <c r="B81" s="2" t="s">
        <v>185</v>
      </c>
      <c r="C81" s="2"/>
      <c r="D81" s="2"/>
      <c r="E81" s="2"/>
      <c r="F81" s="2"/>
      <c r="G81" s="2"/>
      <c r="H81" s="19"/>
      <c r="I81" s="2" t="s">
        <v>177</v>
      </c>
      <c r="J81" s="1"/>
      <c r="K81" s="1"/>
    </row>
    <row r="82" spans="2:11" ht="15.75" x14ac:dyDescent="0.25">
      <c r="B82" s="3" t="s">
        <v>186</v>
      </c>
      <c r="C82" s="3" t="s">
        <v>187</v>
      </c>
      <c r="D82" s="3"/>
      <c r="E82" s="3" t="s">
        <v>188</v>
      </c>
      <c r="F82" s="3" t="s">
        <v>189</v>
      </c>
      <c r="G82" s="3" t="s">
        <v>186</v>
      </c>
      <c r="H82" s="3" t="s">
        <v>187</v>
      </c>
      <c r="I82" s="3" t="s">
        <v>188</v>
      </c>
      <c r="J82" s="3" t="s">
        <v>8</v>
      </c>
      <c r="K82" s="1"/>
    </row>
    <row r="83" spans="2:11" ht="15.75" x14ac:dyDescent="0.25">
      <c r="B83" s="3" t="s">
        <v>226</v>
      </c>
      <c r="C83" s="22">
        <f>D79</f>
        <v>844887.93103448267</v>
      </c>
      <c r="D83" s="22"/>
      <c r="E83" s="3"/>
      <c r="F83" s="3"/>
      <c r="G83" s="3" t="s">
        <v>226</v>
      </c>
      <c r="H83" s="22">
        <f>K78</f>
        <v>901100</v>
      </c>
      <c r="I83" s="3"/>
      <c r="J83" s="11"/>
      <c r="K83" s="1"/>
    </row>
    <row r="84" spans="2:11" ht="15.75" x14ac:dyDescent="0.25">
      <c r="B84" s="3" t="s">
        <v>175</v>
      </c>
      <c r="C84" s="22">
        <f>H78</f>
        <v>14100</v>
      </c>
      <c r="D84" s="22"/>
      <c r="E84" s="3"/>
      <c r="F84" s="3"/>
      <c r="G84" s="3"/>
      <c r="H84" s="22"/>
      <c r="I84" s="3"/>
      <c r="J84" s="11"/>
      <c r="K84" s="21"/>
    </row>
    <row r="85" spans="2:11" ht="15.75" x14ac:dyDescent="0.25">
      <c r="B85" s="3" t="s">
        <v>191</v>
      </c>
      <c r="C85" s="22">
        <f>D78-D79</f>
        <v>135182.06896551733</v>
      </c>
      <c r="D85" s="22"/>
      <c r="E85" s="3"/>
      <c r="F85" s="3"/>
      <c r="G85" s="3" t="s">
        <v>192</v>
      </c>
      <c r="H85" s="22">
        <f>'AUGUST 21'!J96</f>
        <v>1.7241379246115685E-2</v>
      </c>
      <c r="I85" s="3"/>
      <c r="J85" s="11"/>
      <c r="K85" s="1"/>
    </row>
    <row r="86" spans="2:11" ht="15.75" x14ac:dyDescent="0.25">
      <c r="B86" s="29" t="s">
        <v>174</v>
      </c>
      <c r="C86" s="3">
        <f>E78</f>
        <v>24000</v>
      </c>
      <c r="D86" s="3"/>
      <c r="E86" s="3"/>
      <c r="F86" s="3"/>
      <c r="G86" s="29"/>
      <c r="H86" s="3"/>
      <c r="I86" s="3"/>
      <c r="J86" s="11"/>
      <c r="K86" s="1"/>
    </row>
    <row r="87" spans="2:11" ht="15.75" x14ac:dyDescent="0.25">
      <c r="B87" s="29" t="s">
        <v>183</v>
      </c>
      <c r="C87" s="3">
        <f>F78</f>
        <v>1500</v>
      </c>
      <c r="D87" s="3"/>
      <c r="E87" s="3"/>
      <c r="F87" s="3"/>
      <c r="G87" s="29"/>
      <c r="H87" s="3"/>
      <c r="I87" s="3"/>
      <c r="J87" s="11"/>
      <c r="K87" s="1"/>
    </row>
    <row r="88" spans="2:11" ht="15.75" x14ac:dyDescent="0.25">
      <c r="B88" s="29" t="s">
        <v>193</v>
      </c>
      <c r="C88" s="3">
        <f>G78</f>
        <v>6000</v>
      </c>
      <c r="D88" s="3"/>
      <c r="E88" s="3"/>
      <c r="F88" s="3"/>
      <c r="G88" s="29"/>
      <c r="H88" s="3"/>
      <c r="I88" s="3"/>
      <c r="J88" s="11"/>
      <c r="K88" s="1"/>
    </row>
    <row r="89" spans="2:11" ht="15.75" x14ac:dyDescent="0.25">
      <c r="B89" s="29" t="s">
        <v>192</v>
      </c>
      <c r="C89" s="30">
        <f>'AUGUST 21'!F96</f>
        <v>243043.01724137925</v>
      </c>
      <c r="D89" s="3"/>
      <c r="E89" s="3"/>
      <c r="F89" s="3"/>
      <c r="G89" s="29"/>
      <c r="H89" s="3"/>
      <c r="I89" s="3"/>
      <c r="J89" s="11"/>
      <c r="K89" s="1"/>
    </row>
    <row r="90" spans="2:11" ht="15.75" x14ac:dyDescent="0.25">
      <c r="B90" s="29" t="s">
        <v>194</v>
      </c>
      <c r="C90" s="3">
        <v>42244</v>
      </c>
      <c r="D90" s="3"/>
      <c r="E90" s="3"/>
      <c r="F90" s="3"/>
      <c r="G90" s="29" t="s">
        <v>194</v>
      </c>
      <c r="H90" s="3">
        <v>42244</v>
      </c>
      <c r="I90" s="3"/>
      <c r="J90" s="11"/>
      <c r="K90" s="1"/>
    </row>
    <row r="91" spans="2:11" ht="15.75" x14ac:dyDescent="0.25">
      <c r="B91" s="3" t="s">
        <v>195</v>
      </c>
      <c r="C91" s="31">
        <v>0.05</v>
      </c>
      <c r="D91" s="31"/>
      <c r="E91" s="22">
        <f>C91*C83</f>
        <v>42244.396551724138</v>
      </c>
      <c r="F91" s="3"/>
      <c r="G91" s="3" t="s">
        <v>195</v>
      </c>
      <c r="H91" s="31">
        <v>0.05</v>
      </c>
      <c r="I91" s="22">
        <f>H91*C83</f>
        <v>42244.396551724138</v>
      </c>
      <c r="J91" s="20"/>
      <c r="K91" s="21"/>
    </row>
    <row r="92" spans="2:11" ht="15.75" x14ac:dyDescent="0.25">
      <c r="B92" s="5" t="s">
        <v>196</v>
      </c>
      <c r="C92" s="3" t="s">
        <v>197</v>
      </c>
      <c r="D92" s="3"/>
      <c r="E92" s="3"/>
      <c r="F92" s="3"/>
      <c r="G92" s="5" t="s">
        <v>196</v>
      </c>
      <c r="H92" s="22"/>
      <c r="I92" s="3"/>
      <c r="J92" s="3"/>
      <c r="K92" s="1"/>
    </row>
    <row r="93" spans="2:11" ht="15.75" x14ac:dyDescent="0.25">
      <c r="B93" s="23"/>
      <c r="C93" s="31"/>
      <c r="D93" s="31"/>
      <c r="E93" s="3"/>
      <c r="F93" s="3"/>
      <c r="G93" s="23"/>
      <c r="H93" s="31"/>
      <c r="I93" s="3"/>
      <c r="J93" s="11"/>
      <c r="K93" s="1"/>
    </row>
    <row r="94" spans="2:11" ht="15.75" x14ac:dyDescent="0.25">
      <c r="B94" s="32" t="s">
        <v>198</v>
      </c>
      <c r="C94" s="3"/>
      <c r="D94" s="3"/>
      <c r="E94" s="3">
        <f>K78</f>
        <v>901100</v>
      </c>
      <c r="F94" s="23"/>
      <c r="G94" s="32" t="s">
        <v>198</v>
      </c>
      <c r="H94" s="3"/>
      <c r="I94" s="3">
        <f>K78</f>
        <v>901100</v>
      </c>
      <c r="J94" s="11"/>
      <c r="K94" s="1"/>
    </row>
    <row r="95" spans="2:11" ht="15.75" x14ac:dyDescent="0.25">
      <c r="B95" s="3"/>
      <c r="C95" s="31"/>
      <c r="D95" s="31"/>
      <c r="E95" s="3"/>
      <c r="F95" s="3"/>
      <c r="G95" s="3"/>
      <c r="H95" s="31"/>
      <c r="I95" s="3"/>
      <c r="J95" s="11"/>
      <c r="K95" s="1"/>
    </row>
    <row r="96" spans="2:11" ht="15.75" x14ac:dyDescent="0.25">
      <c r="B96" s="23" t="s">
        <v>199</v>
      </c>
      <c r="C96" s="22">
        <f>C83+C84+C85+C86+C87+C88+C89+C90</f>
        <v>1310957.0172413792</v>
      </c>
      <c r="D96" s="22"/>
      <c r="E96" s="24">
        <f>SUM(E91:E95)</f>
        <v>943344.39655172417</v>
      </c>
      <c r="F96" s="22">
        <f>C96-E96</f>
        <v>367612.62068965507</v>
      </c>
      <c r="G96" s="23" t="s">
        <v>199</v>
      </c>
      <c r="H96" s="22">
        <f>H83+H84+H85+H86+H87+H88+H89+H90</f>
        <v>943344.01724137925</v>
      </c>
      <c r="I96" s="22">
        <f>SUM(I91:I95)</f>
        <v>943344.39655172417</v>
      </c>
      <c r="J96" s="22">
        <f>H96-I96</f>
        <v>-0.37931034492794424</v>
      </c>
      <c r="K96" s="1"/>
    </row>
    <row r="97" spans="2:11" ht="15.75" x14ac:dyDescent="0.25">
      <c r="B97" s="2" t="s">
        <v>200</v>
      </c>
      <c r="C97" s="2"/>
      <c r="D97" s="2"/>
      <c r="E97" s="33"/>
      <c r="F97" s="2" t="s">
        <v>201</v>
      </c>
      <c r="G97" s="2"/>
      <c r="H97" s="2"/>
      <c r="I97" s="33">
        <f>I96-I91</f>
        <v>901100</v>
      </c>
      <c r="J97" s="2" t="s">
        <v>202</v>
      </c>
      <c r="K97" s="2"/>
    </row>
    <row r="98" spans="2:11" ht="15.75" x14ac:dyDescent="0.25">
      <c r="B98" s="2" t="s">
        <v>203</v>
      </c>
      <c r="C98" s="2"/>
      <c r="D98" s="2"/>
      <c r="E98" s="2"/>
      <c r="F98" s="2" t="s">
        <v>204</v>
      </c>
      <c r="G98" s="2"/>
      <c r="H98" s="2"/>
      <c r="I98" s="33"/>
      <c r="J98" s="2" t="s">
        <v>205</v>
      </c>
      <c r="K98" s="2"/>
    </row>
    <row r="99" spans="2:11" x14ac:dyDescent="0.25"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2:11" x14ac:dyDescent="0.25"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opLeftCell="B1" zoomScale="80" zoomScaleNormal="80" workbookViewId="0">
      <selection activeCell="K32" sqref="K32"/>
    </sheetView>
  </sheetViews>
  <sheetFormatPr defaultRowHeight="15" x14ac:dyDescent="0.25"/>
  <cols>
    <col min="2" max="2" width="35.7109375" customWidth="1"/>
    <col min="3" max="3" width="27.28515625" customWidth="1"/>
    <col min="4" max="4" width="16.42578125" customWidth="1"/>
    <col min="5" max="5" width="12" customWidth="1"/>
    <col min="6" max="6" width="13.42578125" customWidth="1"/>
    <col min="7" max="7" width="12.5703125" customWidth="1"/>
    <col min="8" max="8" width="19.85546875" customWidth="1"/>
    <col min="9" max="9" width="15.140625" customWidth="1"/>
    <col min="10" max="10" width="12.7109375" customWidth="1"/>
    <col min="11" max="11" width="18.140625" style="34" customWidth="1"/>
    <col min="12" max="12" width="18.85546875" customWidth="1"/>
  </cols>
  <sheetData>
    <row r="1" spans="1:12" ht="15.75" x14ac:dyDescent="0.25">
      <c r="C1" s="2" t="s">
        <v>92</v>
      </c>
      <c r="D1" s="2"/>
      <c r="E1" s="2"/>
      <c r="F1" s="2"/>
      <c r="G1" s="2"/>
      <c r="H1" s="2"/>
    </row>
    <row r="2" spans="1:12" ht="15.75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1"/>
    </row>
    <row r="3" spans="1:12" ht="15.75" x14ac:dyDescent="0.25">
      <c r="A3" s="1"/>
      <c r="B3" s="1"/>
      <c r="C3" s="2" t="s">
        <v>230</v>
      </c>
      <c r="D3" s="2"/>
      <c r="E3" s="2"/>
      <c r="F3" s="2"/>
      <c r="G3" s="2"/>
      <c r="H3" s="2"/>
      <c r="I3" s="2"/>
      <c r="J3" s="2"/>
      <c r="K3" s="2"/>
      <c r="L3" s="1"/>
    </row>
    <row r="4" spans="1:12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174</v>
      </c>
      <c r="F4" s="4" t="s">
        <v>183</v>
      </c>
      <c r="G4" s="4" t="s">
        <v>178</v>
      </c>
      <c r="H4" s="4" t="s">
        <v>175</v>
      </c>
      <c r="I4" s="3" t="s">
        <v>192</v>
      </c>
      <c r="J4" s="3" t="s">
        <v>6</v>
      </c>
      <c r="K4" s="3" t="s">
        <v>177</v>
      </c>
      <c r="L4" s="3" t="s">
        <v>8</v>
      </c>
    </row>
    <row r="5" spans="1:12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4"/>
      <c r="F5" s="4"/>
      <c r="G5" s="4"/>
      <c r="H5" s="4">
        <v>300</v>
      </c>
      <c r="I5" s="3">
        <f>'SEPT 21'!L5:L78</f>
        <v>62100</v>
      </c>
      <c r="J5" s="3">
        <f>D5+E5+F5+G5+H5+I5</f>
        <v>142400</v>
      </c>
      <c r="K5" s="3">
        <v>80000</v>
      </c>
      <c r="L5" s="3">
        <f t="shared" ref="L5:L68" si="0">J5-K5</f>
        <v>62400</v>
      </c>
    </row>
    <row r="6" spans="1:12" ht="15.75" x14ac:dyDescent="0.25">
      <c r="A6" s="3" t="s">
        <v>12</v>
      </c>
      <c r="B6" s="7" t="s">
        <v>147</v>
      </c>
      <c r="C6" s="4"/>
      <c r="D6" s="4"/>
      <c r="E6" s="4"/>
      <c r="F6" s="4"/>
      <c r="G6" s="4"/>
      <c r="H6" s="4"/>
      <c r="I6" s="3">
        <f>'SEPT 21'!L6:L79</f>
        <v>0</v>
      </c>
      <c r="J6" s="3">
        <f t="shared" ref="J6:J69" si="1">D6+E6+F6+G6+H6+I6</f>
        <v>0</v>
      </c>
      <c r="K6" s="3"/>
      <c r="L6" s="3">
        <f t="shared" si="0"/>
        <v>0</v>
      </c>
    </row>
    <row r="7" spans="1:12" ht="15.75" x14ac:dyDescent="0.25">
      <c r="A7" s="3" t="s">
        <v>14</v>
      </c>
      <c r="B7" s="3" t="s">
        <v>16</v>
      </c>
      <c r="C7" s="4" t="s">
        <v>17</v>
      </c>
      <c r="D7" s="4">
        <v>139080</v>
      </c>
      <c r="E7" s="4"/>
      <c r="F7" s="4"/>
      <c r="G7" s="4"/>
      <c r="H7" s="4"/>
      <c r="I7" s="3">
        <f>'SEPT 21'!L7:L80</f>
        <v>0</v>
      </c>
      <c r="J7" s="3">
        <f t="shared" si="1"/>
        <v>139080</v>
      </c>
      <c r="K7" s="3">
        <v>139080</v>
      </c>
      <c r="L7" s="3">
        <f t="shared" si="0"/>
        <v>0</v>
      </c>
    </row>
    <row r="8" spans="1:12" ht="15.75" x14ac:dyDescent="0.25">
      <c r="A8" s="3" t="s">
        <v>15</v>
      </c>
      <c r="B8" s="3" t="s">
        <v>16</v>
      </c>
      <c r="C8" s="4" t="s">
        <v>149</v>
      </c>
      <c r="D8" s="4"/>
      <c r="E8" s="4"/>
      <c r="F8" s="4"/>
      <c r="G8" s="4"/>
      <c r="H8" s="4"/>
      <c r="I8" s="3"/>
      <c r="J8" s="3">
        <f t="shared" si="1"/>
        <v>0</v>
      </c>
      <c r="K8" s="3"/>
      <c r="L8" s="3">
        <f t="shared" si="0"/>
        <v>0</v>
      </c>
    </row>
    <row r="9" spans="1:12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4"/>
      <c r="F9" s="4"/>
      <c r="G9" s="4"/>
      <c r="H9" s="4">
        <v>300</v>
      </c>
      <c r="I9" s="3">
        <f>'SEPT 21'!L9:L82</f>
        <v>0</v>
      </c>
      <c r="J9" s="3">
        <f t="shared" si="1"/>
        <v>40300</v>
      </c>
      <c r="K9" s="3">
        <f>26870+6000+7430</f>
        <v>40300</v>
      </c>
      <c r="L9" s="3">
        <f t="shared" si="0"/>
        <v>0</v>
      </c>
    </row>
    <row r="10" spans="1:12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4"/>
      <c r="F10" s="4"/>
      <c r="G10" s="4"/>
      <c r="H10" s="4">
        <v>300</v>
      </c>
      <c r="I10" s="3">
        <f>'SEPT 21'!L10:L83</f>
        <v>0</v>
      </c>
      <c r="J10" s="3">
        <f t="shared" si="1"/>
        <v>50300</v>
      </c>
      <c r="K10" s="3">
        <v>50300</v>
      </c>
      <c r="L10" s="3">
        <f t="shared" si="0"/>
        <v>0</v>
      </c>
    </row>
    <row r="11" spans="1:12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4"/>
      <c r="F11" s="4"/>
      <c r="G11" s="4"/>
      <c r="H11" s="4">
        <v>300</v>
      </c>
      <c r="I11" s="3">
        <f>'SEPT 21'!L11:L84</f>
        <v>2700</v>
      </c>
      <c r="J11" s="3">
        <f t="shared" si="1"/>
        <v>23000</v>
      </c>
      <c r="K11" s="3">
        <v>20000</v>
      </c>
      <c r="L11" s="3">
        <f t="shared" si="0"/>
        <v>3000</v>
      </c>
    </row>
    <row r="12" spans="1:12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4"/>
      <c r="F12" s="4"/>
      <c r="G12" s="4"/>
      <c r="H12" s="4">
        <v>300</v>
      </c>
      <c r="I12" s="3">
        <f>'SEPT 21'!L12:L85</f>
        <v>2000</v>
      </c>
      <c r="J12" s="3">
        <f t="shared" si="1"/>
        <v>22300</v>
      </c>
      <c r="K12" s="3">
        <f>20000</f>
        <v>20000</v>
      </c>
      <c r="L12" s="3">
        <f t="shared" si="0"/>
        <v>2300</v>
      </c>
    </row>
    <row r="13" spans="1:12" ht="15.75" x14ac:dyDescent="0.25">
      <c r="A13" s="3" t="s">
        <v>96</v>
      </c>
      <c r="B13" s="5" t="s">
        <v>228</v>
      </c>
      <c r="C13" s="4"/>
      <c r="D13" s="4">
        <v>23200</v>
      </c>
      <c r="E13" s="4"/>
      <c r="F13" s="4"/>
      <c r="G13" s="4"/>
      <c r="H13" s="4">
        <v>300</v>
      </c>
      <c r="I13" s="3">
        <f>'SEPT 21'!L13:L86</f>
        <v>0</v>
      </c>
      <c r="J13" s="3">
        <f t="shared" si="1"/>
        <v>23500</v>
      </c>
      <c r="K13" s="3"/>
      <c r="L13" s="3">
        <f t="shared" si="0"/>
        <v>23500</v>
      </c>
    </row>
    <row r="14" spans="1:12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4"/>
      <c r="F14" s="4"/>
      <c r="G14" s="4"/>
      <c r="H14" s="4">
        <v>300</v>
      </c>
      <c r="I14" s="3">
        <f>'SEPT 21'!L14:L87</f>
        <v>60000</v>
      </c>
      <c r="J14" s="3">
        <f t="shared" si="1"/>
        <v>72300</v>
      </c>
      <c r="K14" s="3">
        <f>52500+10000+9800</f>
        <v>72300</v>
      </c>
      <c r="L14" s="3">
        <f t="shared" si="0"/>
        <v>0</v>
      </c>
    </row>
    <row r="15" spans="1:12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4"/>
      <c r="F15" s="4"/>
      <c r="G15" s="4"/>
      <c r="H15" s="4">
        <v>300</v>
      </c>
      <c r="I15" s="3">
        <f>'SEPT 21'!L15:L88</f>
        <v>3000</v>
      </c>
      <c r="J15" s="3">
        <f t="shared" si="1"/>
        <v>68300</v>
      </c>
      <c r="K15" s="3">
        <v>65000</v>
      </c>
      <c r="L15" s="3">
        <f t="shared" si="0"/>
        <v>3300</v>
      </c>
    </row>
    <row r="16" spans="1:12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4"/>
      <c r="F16" s="4"/>
      <c r="G16" s="4"/>
      <c r="H16" s="4">
        <v>300</v>
      </c>
      <c r="I16" s="3">
        <f>'SEPT 21'!L16:L89</f>
        <v>900</v>
      </c>
      <c r="J16" s="3">
        <f t="shared" si="1"/>
        <v>61200</v>
      </c>
      <c r="K16" s="3">
        <v>60000</v>
      </c>
      <c r="L16" s="3">
        <f t="shared" si="0"/>
        <v>1200</v>
      </c>
    </row>
    <row r="17" spans="1:12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4"/>
      <c r="F17" s="4"/>
      <c r="G17" s="4"/>
      <c r="H17" s="4">
        <v>300</v>
      </c>
      <c r="I17" s="3">
        <f>'SEPT 21'!L17:L90</f>
        <v>28500</v>
      </c>
      <c r="J17" s="3">
        <f t="shared" si="1"/>
        <v>43800</v>
      </c>
      <c r="K17" s="3"/>
      <c r="L17" s="3">
        <f t="shared" si="0"/>
        <v>43800</v>
      </c>
    </row>
    <row r="18" spans="1:12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4"/>
      <c r="F18" s="4"/>
      <c r="G18" s="4"/>
      <c r="H18" s="4">
        <v>300</v>
      </c>
      <c r="I18" s="3">
        <f>'SEPT 21'!L18:L91</f>
        <v>3000</v>
      </c>
      <c r="J18" s="3">
        <f t="shared" si="1"/>
        <v>18300</v>
      </c>
      <c r="K18" s="3">
        <v>15000</v>
      </c>
      <c r="L18" s="3">
        <f t="shared" si="0"/>
        <v>3300</v>
      </c>
    </row>
    <row r="19" spans="1:12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4"/>
      <c r="F19" s="4"/>
      <c r="G19" s="4"/>
      <c r="H19" s="4">
        <v>300</v>
      </c>
      <c r="I19" s="3">
        <f>'SEPT 21'!L19:L92</f>
        <v>0</v>
      </c>
      <c r="J19" s="3">
        <f t="shared" si="1"/>
        <v>15300</v>
      </c>
      <c r="K19" s="3">
        <v>15300</v>
      </c>
      <c r="L19" s="3">
        <f t="shared" si="0"/>
        <v>0</v>
      </c>
    </row>
    <row r="20" spans="1:12" ht="15.75" x14ac:dyDescent="0.25">
      <c r="A20" s="3" t="s">
        <v>29</v>
      </c>
      <c r="B20" s="7" t="s">
        <v>167</v>
      </c>
      <c r="C20" s="8" t="s">
        <v>38</v>
      </c>
      <c r="D20" s="4">
        <v>10000</v>
      </c>
      <c r="E20" s="4"/>
      <c r="F20" s="4"/>
      <c r="G20" s="4"/>
      <c r="H20" s="4">
        <v>300</v>
      </c>
      <c r="I20" s="3">
        <f>'SEPT 21'!L20:L93</f>
        <v>14000</v>
      </c>
      <c r="J20" s="3">
        <f t="shared" si="1"/>
        <v>24300</v>
      </c>
      <c r="K20" s="3"/>
      <c r="L20" s="3">
        <f t="shared" si="0"/>
        <v>24300</v>
      </c>
    </row>
    <row r="21" spans="1:12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4"/>
      <c r="F21" s="4"/>
      <c r="G21" s="4"/>
      <c r="H21" s="4"/>
      <c r="I21" s="3">
        <f>'SEPT 21'!L21:L94</f>
        <v>0</v>
      </c>
      <c r="J21" s="3">
        <f t="shared" si="1"/>
        <v>10000</v>
      </c>
      <c r="K21" s="3">
        <v>10000</v>
      </c>
      <c r="L21" s="3">
        <f t="shared" si="0"/>
        <v>0</v>
      </c>
    </row>
    <row r="22" spans="1:12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4"/>
      <c r="F22" s="4"/>
      <c r="G22" s="4"/>
      <c r="H22" s="4">
        <v>300</v>
      </c>
      <c r="I22" s="3">
        <f>'SEPT 21'!L22:L95</f>
        <v>3000</v>
      </c>
      <c r="J22" s="3">
        <f t="shared" si="1"/>
        <v>13300</v>
      </c>
      <c r="K22" s="3">
        <v>10000</v>
      </c>
      <c r="L22" s="3">
        <f t="shared" si="0"/>
        <v>3300</v>
      </c>
    </row>
    <row r="23" spans="1:12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4"/>
      <c r="F23" s="4"/>
      <c r="G23" s="4"/>
      <c r="H23" s="4">
        <v>300</v>
      </c>
      <c r="I23" s="3">
        <f>'SEPT 21'!L23:L96</f>
        <v>21000</v>
      </c>
      <c r="J23" s="3">
        <f t="shared" si="1"/>
        <v>33300</v>
      </c>
      <c r="K23" s="3"/>
      <c r="L23" s="3">
        <f t="shared" si="0"/>
        <v>33300</v>
      </c>
    </row>
    <row r="24" spans="1:12" ht="15.75" x14ac:dyDescent="0.25">
      <c r="A24" s="3" t="s">
        <v>39</v>
      </c>
      <c r="B24" s="3" t="s">
        <v>43</v>
      </c>
      <c r="C24" s="4" t="s">
        <v>44</v>
      </c>
      <c r="D24" s="4">
        <v>10000</v>
      </c>
      <c r="E24" s="4"/>
      <c r="F24" s="4"/>
      <c r="G24" s="4"/>
      <c r="H24" s="4">
        <v>300</v>
      </c>
      <c r="I24" s="3">
        <f>'SEPT 21'!L24:L97</f>
        <v>5000</v>
      </c>
      <c r="J24" s="3">
        <f t="shared" si="1"/>
        <v>15300</v>
      </c>
      <c r="K24" s="3">
        <v>10000</v>
      </c>
      <c r="L24" s="3">
        <f t="shared" si="0"/>
        <v>5300</v>
      </c>
    </row>
    <row r="25" spans="1:12" ht="15.75" x14ac:dyDescent="0.25">
      <c r="A25" s="3" t="s">
        <v>42</v>
      </c>
      <c r="B25" s="7" t="s">
        <v>219</v>
      </c>
      <c r="C25" s="4"/>
      <c r="D25" s="4">
        <v>11600</v>
      </c>
      <c r="E25" s="4"/>
      <c r="F25" s="4"/>
      <c r="G25" s="4"/>
      <c r="H25" s="4">
        <v>300</v>
      </c>
      <c r="I25" s="3">
        <f>'SEPT 21'!L25:L98</f>
        <v>0</v>
      </c>
      <c r="J25" s="3">
        <f t="shared" si="1"/>
        <v>11900</v>
      </c>
      <c r="K25" s="3">
        <v>11900</v>
      </c>
      <c r="L25" s="3">
        <f t="shared" si="0"/>
        <v>0</v>
      </c>
    </row>
    <row r="26" spans="1:12" ht="15.75" x14ac:dyDescent="0.25">
      <c r="A26" s="3" t="s">
        <v>45</v>
      </c>
      <c r="B26" s="7" t="s">
        <v>218</v>
      </c>
      <c r="C26" s="4"/>
      <c r="D26" s="4">
        <v>11600</v>
      </c>
      <c r="E26" s="4"/>
      <c r="F26" s="4"/>
      <c r="G26" s="4"/>
      <c r="H26" s="4">
        <v>300</v>
      </c>
      <c r="I26" s="3">
        <f>'SEPT 21'!L26:L99</f>
        <v>0</v>
      </c>
      <c r="J26" s="3">
        <f t="shared" si="1"/>
        <v>11900</v>
      </c>
      <c r="K26" s="3"/>
      <c r="L26" s="3">
        <f t="shared" si="0"/>
        <v>11900</v>
      </c>
    </row>
    <row r="27" spans="1:12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4"/>
      <c r="F27" s="4"/>
      <c r="G27" s="4"/>
      <c r="H27" s="4">
        <v>300</v>
      </c>
      <c r="I27" s="3">
        <f>'SEPT 21'!L27:L100</f>
        <v>0</v>
      </c>
      <c r="J27" s="3">
        <f t="shared" si="1"/>
        <v>10300</v>
      </c>
      <c r="K27" s="3">
        <f>10000</f>
        <v>10000</v>
      </c>
      <c r="L27" s="3">
        <f t="shared" si="0"/>
        <v>300</v>
      </c>
    </row>
    <row r="28" spans="1:12" ht="15.75" x14ac:dyDescent="0.25">
      <c r="A28" s="3" t="s">
        <v>50</v>
      </c>
      <c r="B28" s="7" t="s">
        <v>207</v>
      </c>
      <c r="C28" s="8" t="s">
        <v>208</v>
      </c>
      <c r="D28" s="8">
        <v>11600</v>
      </c>
      <c r="E28" s="8"/>
      <c r="F28" s="8"/>
      <c r="G28" s="8"/>
      <c r="H28" s="8">
        <v>300</v>
      </c>
      <c r="I28" s="3">
        <f>'SEPT 21'!L28:L101</f>
        <v>0</v>
      </c>
      <c r="J28" s="7">
        <f t="shared" si="1"/>
        <v>11900</v>
      </c>
      <c r="K28" s="9">
        <v>11900</v>
      </c>
      <c r="L28" s="3">
        <f t="shared" si="0"/>
        <v>0</v>
      </c>
    </row>
    <row r="29" spans="1:12" ht="15.75" x14ac:dyDescent="0.25">
      <c r="A29" s="3" t="s">
        <v>51</v>
      </c>
      <c r="B29" s="3" t="s">
        <v>70</v>
      </c>
      <c r="C29" s="4" t="s">
        <v>71</v>
      </c>
      <c r="D29" s="4"/>
      <c r="E29" s="4"/>
      <c r="F29" s="4"/>
      <c r="G29" s="4"/>
      <c r="H29" s="4"/>
      <c r="I29" s="3">
        <f>'SEPT 21'!L29:L102</f>
        <v>22500</v>
      </c>
      <c r="J29" s="3">
        <f t="shared" si="1"/>
        <v>22500</v>
      </c>
      <c r="K29" s="3"/>
      <c r="L29" s="3">
        <f t="shared" si="0"/>
        <v>22500</v>
      </c>
    </row>
    <row r="30" spans="1:12" ht="15.75" x14ac:dyDescent="0.25">
      <c r="A30" s="7" t="s">
        <v>102</v>
      </c>
      <c r="B30" s="7" t="s">
        <v>171</v>
      </c>
      <c r="C30" s="8" t="s">
        <v>69</v>
      </c>
      <c r="D30" s="4">
        <v>9500</v>
      </c>
      <c r="E30" s="4"/>
      <c r="F30" s="4"/>
      <c r="G30" s="4"/>
      <c r="H30" s="4">
        <v>300</v>
      </c>
      <c r="I30" s="3">
        <f>'SEPT 21'!L30:L103</f>
        <v>23000</v>
      </c>
      <c r="J30" s="3">
        <f t="shared" si="1"/>
        <v>32800</v>
      </c>
      <c r="K30" s="3"/>
      <c r="L30" s="3">
        <f>J30-K30</f>
        <v>32800</v>
      </c>
    </row>
    <row r="31" spans="1:12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4"/>
      <c r="F31" s="4"/>
      <c r="G31" s="4"/>
      <c r="H31" s="4">
        <v>300</v>
      </c>
      <c r="I31" s="3">
        <f>'SEPT 21'!L31:L104</f>
        <v>1500</v>
      </c>
      <c r="J31" s="3">
        <f t="shared" si="1"/>
        <v>10800</v>
      </c>
      <c r="K31" s="3">
        <f>5000+4500</f>
        <v>9500</v>
      </c>
      <c r="L31" s="3">
        <f>J31-K31</f>
        <v>1300</v>
      </c>
    </row>
    <row r="32" spans="1:12" ht="15.75" x14ac:dyDescent="0.25">
      <c r="A32" s="3" t="s">
        <v>104</v>
      </c>
      <c r="B32" s="9" t="s">
        <v>240</v>
      </c>
      <c r="C32" s="10"/>
      <c r="D32" s="4">
        <v>11600</v>
      </c>
      <c r="E32" s="4"/>
      <c r="F32" s="4"/>
      <c r="G32" s="4"/>
      <c r="H32" s="4">
        <v>300</v>
      </c>
      <c r="I32" s="3">
        <f>'SEPT 21'!L32:L105</f>
        <v>11900</v>
      </c>
      <c r="J32" s="3">
        <f t="shared" si="1"/>
        <v>23800</v>
      </c>
      <c r="K32" s="3">
        <f>11900+11900</f>
        <v>23800</v>
      </c>
      <c r="L32" s="3">
        <f t="shared" si="0"/>
        <v>0</v>
      </c>
    </row>
    <row r="33" spans="1:12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4"/>
      <c r="F33" s="4"/>
      <c r="G33" s="4"/>
      <c r="H33" s="4">
        <v>300</v>
      </c>
      <c r="I33" s="3">
        <f>'SEPT 21'!L33:L106</f>
        <v>3000</v>
      </c>
      <c r="J33" s="3">
        <f t="shared" si="1"/>
        <v>15300</v>
      </c>
      <c r="K33" s="3">
        <v>12000</v>
      </c>
      <c r="L33" s="3">
        <f>J33-K33</f>
        <v>3300</v>
      </c>
    </row>
    <row r="34" spans="1:12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4"/>
      <c r="F34" s="4"/>
      <c r="G34" s="4"/>
      <c r="H34" s="4">
        <v>300</v>
      </c>
      <c r="I34" s="3">
        <f>'SEPT 21'!L34:L107</f>
        <v>800</v>
      </c>
      <c r="J34" s="3">
        <f t="shared" si="1"/>
        <v>13100</v>
      </c>
      <c r="K34" s="3">
        <f>12200</f>
        <v>12200</v>
      </c>
      <c r="L34" s="3">
        <f t="shared" si="0"/>
        <v>900</v>
      </c>
    </row>
    <row r="35" spans="1:12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4"/>
      <c r="F35" s="4"/>
      <c r="G35" s="4"/>
      <c r="H35" s="4">
        <v>300</v>
      </c>
      <c r="I35" s="3">
        <f>'SEPT 21'!L35:L108</f>
        <v>13000</v>
      </c>
      <c r="J35" s="3">
        <f t="shared" si="1"/>
        <v>23300</v>
      </c>
      <c r="K35" s="7"/>
      <c r="L35" s="3">
        <f t="shared" si="0"/>
        <v>23300</v>
      </c>
    </row>
    <row r="36" spans="1:12" ht="15.75" x14ac:dyDescent="0.25">
      <c r="A36" s="3" t="s">
        <v>108</v>
      </c>
      <c r="B36" s="7" t="s">
        <v>209</v>
      </c>
      <c r="C36" s="8"/>
      <c r="D36" s="12">
        <v>10000</v>
      </c>
      <c r="E36" s="12"/>
      <c r="F36" s="4"/>
      <c r="G36" s="12"/>
      <c r="H36" s="4">
        <v>300</v>
      </c>
      <c r="I36" s="3">
        <f>'SEPT 21'!L36:L109</f>
        <v>900</v>
      </c>
      <c r="J36" s="3">
        <f t="shared" si="1"/>
        <v>11200</v>
      </c>
      <c r="K36" s="3">
        <f>10000</f>
        <v>10000</v>
      </c>
      <c r="L36" s="3">
        <f t="shared" si="0"/>
        <v>1200</v>
      </c>
    </row>
    <row r="37" spans="1:12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8"/>
      <c r="F37" s="4"/>
      <c r="G37" s="8"/>
      <c r="H37" s="4">
        <v>300</v>
      </c>
      <c r="I37" s="3">
        <f>'SEPT 21'!L37:L110</f>
        <v>973</v>
      </c>
      <c r="J37" s="3">
        <f t="shared" si="1"/>
        <v>14273</v>
      </c>
      <c r="K37" s="3">
        <v>39227</v>
      </c>
      <c r="L37" s="3">
        <f t="shared" si="0"/>
        <v>-24954</v>
      </c>
    </row>
    <row r="38" spans="1:12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8"/>
      <c r="F38" s="4"/>
      <c r="G38" s="8"/>
      <c r="H38" s="4">
        <v>300</v>
      </c>
      <c r="I38" s="3">
        <f>'SEPT 21'!L38:L111</f>
        <v>1500</v>
      </c>
      <c r="J38" s="3">
        <f t="shared" si="1"/>
        <v>11800</v>
      </c>
      <c r="K38" s="3">
        <f>10300</f>
        <v>10300</v>
      </c>
      <c r="L38" s="3">
        <f t="shared" si="0"/>
        <v>1500</v>
      </c>
    </row>
    <row r="39" spans="1:12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4"/>
      <c r="F39" s="4"/>
      <c r="G39" s="4"/>
      <c r="H39" s="4">
        <v>300</v>
      </c>
      <c r="I39" s="3">
        <f>'SEPT 21'!L39:L112</f>
        <v>3400</v>
      </c>
      <c r="J39" s="3">
        <f t="shared" si="1"/>
        <v>15700</v>
      </c>
      <c r="K39" s="3">
        <v>12000</v>
      </c>
      <c r="L39" s="3">
        <f t="shared" si="0"/>
        <v>3700</v>
      </c>
    </row>
    <row r="40" spans="1:12" ht="15.75" x14ac:dyDescent="0.25">
      <c r="A40" s="3" t="s">
        <v>112</v>
      </c>
      <c r="B40" s="3" t="s">
        <v>56</v>
      </c>
      <c r="C40" s="4" t="s">
        <v>57</v>
      </c>
      <c r="D40" s="4">
        <v>12000</v>
      </c>
      <c r="E40" s="4"/>
      <c r="F40" s="4"/>
      <c r="G40" s="4"/>
      <c r="H40" s="4">
        <v>300</v>
      </c>
      <c r="I40" s="3">
        <f>'SEPT 21'!L40:L113</f>
        <v>2100</v>
      </c>
      <c r="J40" s="3">
        <f t="shared" si="1"/>
        <v>14400</v>
      </c>
      <c r="K40" s="3">
        <v>12000</v>
      </c>
      <c r="L40" s="3">
        <f t="shared" si="0"/>
        <v>2400</v>
      </c>
    </row>
    <row r="41" spans="1:12" ht="15.75" x14ac:dyDescent="0.25">
      <c r="A41" s="7" t="s">
        <v>113</v>
      </c>
      <c r="B41" s="7" t="s">
        <v>229</v>
      </c>
      <c r="C41" s="10"/>
      <c r="D41" s="4">
        <v>13920</v>
      </c>
      <c r="E41" s="4"/>
      <c r="F41" s="4"/>
      <c r="G41" s="4"/>
      <c r="H41" s="4">
        <v>300</v>
      </c>
      <c r="I41" s="3">
        <f>'SEPT 21'!L41:L114</f>
        <v>0</v>
      </c>
      <c r="J41" s="3">
        <f t="shared" si="1"/>
        <v>14220</v>
      </c>
      <c r="K41" s="3">
        <v>14220</v>
      </c>
      <c r="L41" s="3">
        <f t="shared" si="0"/>
        <v>0</v>
      </c>
    </row>
    <row r="42" spans="1:12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8"/>
      <c r="F42" s="4"/>
      <c r="G42" s="8"/>
      <c r="H42" s="4">
        <v>300</v>
      </c>
      <c r="I42" s="3">
        <f>'SEPT 21'!L42:L115</f>
        <v>0</v>
      </c>
      <c r="J42" s="3">
        <f t="shared" si="1"/>
        <v>12300</v>
      </c>
      <c r="K42" s="3">
        <f>12000</f>
        <v>12000</v>
      </c>
      <c r="L42" s="3">
        <f t="shared" si="0"/>
        <v>300</v>
      </c>
    </row>
    <row r="43" spans="1:12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4"/>
      <c r="F43" s="4"/>
      <c r="G43" s="4"/>
      <c r="H43" s="4">
        <v>300</v>
      </c>
      <c r="I43" s="3">
        <f>'SEPT 21'!L43:L116</f>
        <v>0</v>
      </c>
      <c r="J43" s="3">
        <f t="shared" si="1"/>
        <v>12300</v>
      </c>
      <c r="K43" s="3">
        <f>12300</f>
        <v>12300</v>
      </c>
      <c r="L43" s="3">
        <f t="shared" si="0"/>
        <v>0</v>
      </c>
    </row>
    <row r="44" spans="1:12" ht="15.75" x14ac:dyDescent="0.25">
      <c r="A44" s="3" t="s">
        <v>116</v>
      </c>
      <c r="B44" s="9" t="s">
        <v>172</v>
      </c>
      <c r="C44" s="8"/>
      <c r="D44" s="4">
        <f>10000+1600</f>
        <v>11600</v>
      </c>
      <c r="E44" s="4"/>
      <c r="F44" s="4"/>
      <c r="G44" s="4"/>
      <c r="H44" s="4">
        <v>300</v>
      </c>
      <c r="I44" s="3">
        <f>'SEPT 21'!L44:L117</f>
        <v>0</v>
      </c>
      <c r="J44" s="3">
        <f t="shared" si="1"/>
        <v>11900</v>
      </c>
      <c r="K44" s="3">
        <v>11900</v>
      </c>
      <c r="L44" s="3">
        <f t="shared" si="0"/>
        <v>0</v>
      </c>
    </row>
    <row r="45" spans="1:12" ht="15.75" x14ac:dyDescent="0.25">
      <c r="A45" s="3" t="s">
        <v>117</v>
      </c>
      <c r="B45" s="5" t="s">
        <v>13</v>
      </c>
      <c r="C45" s="4"/>
      <c r="D45" s="4"/>
      <c r="E45" s="4"/>
      <c r="F45" s="4"/>
      <c r="G45" s="4"/>
      <c r="H45" s="4"/>
      <c r="I45" s="3">
        <f>'SEPT 21'!L45:L118</f>
        <v>0</v>
      </c>
      <c r="J45" s="3">
        <f t="shared" si="1"/>
        <v>0</v>
      </c>
      <c r="K45" s="3"/>
      <c r="L45" s="3">
        <f t="shared" si="0"/>
        <v>0</v>
      </c>
    </row>
    <row r="46" spans="1:12" ht="15.75" x14ac:dyDescent="0.25">
      <c r="A46" s="3" t="s">
        <v>118</v>
      </c>
      <c r="B46" s="5" t="s">
        <v>13</v>
      </c>
      <c r="C46" s="4"/>
      <c r="D46" s="4"/>
      <c r="E46" s="4"/>
      <c r="F46" s="4"/>
      <c r="G46" s="4"/>
      <c r="H46" s="4"/>
      <c r="I46" s="3">
        <f>'SEPT 21'!L46:L119</f>
        <v>0</v>
      </c>
      <c r="J46" s="3">
        <f t="shared" si="1"/>
        <v>0</v>
      </c>
      <c r="K46" s="3"/>
      <c r="L46" s="3">
        <f t="shared" si="0"/>
        <v>0</v>
      </c>
    </row>
    <row r="47" spans="1:12" ht="15.75" x14ac:dyDescent="0.25">
      <c r="A47" s="3" t="s">
        <v>119</v>
      </c>
      <c r="B47" s="5" t="s">
        <v>13</v>
      </c>
      <c r="C47" s="4"/>
      <c r="D47" s="4"/>
      <c r="E47" s="4"/>
      <c r="F47" s="4"/>
      <c r="G47" s="4"/>
      <c r="H47" s="4"/>
      <c r="I47" s="3">
        <f>'SEPT 21'!L47:L120</f>
        <v>0</v>
      </c>
      <c r="J47" s="3">
        <f t="shared" si="1"/>
        <v>0</v>
      </c>
      <c r="K47" s="3"/>
      <c r="L47" s="3">
        <f t="shared" si="0"/>
        <v>0</v>
      </c>
    </row>
    <row r="48" spans="1:12" ht="15.75" x14ac:dyDescent="0.25">
      <c r="A48" s="3" t="s">
        <v>120</v>
      </c>
      <c r="B48" s="7" t="s">
        <v>168</v>
      </c>
      <c r="C48" s="4" t="s">
        <v>80</v>
      </c>
      <c r="D48" s="4"/>
      <c r="E48" s="4"/>
      <c r="F48" s="4"/>
      <c r="G48" s="4"/>
      <c r="H48" s="4"/>
      <c r="I48" s="3">
        <f>'SEPT 21'!L48:L121</f>
        <v>0</v>
      </c>
      <c r="J48" s="3">
        <f t="shared" si="1"/>
        <v>0</v>
      </c>
      <c r="K48" s="3"/>
      <c r="L48" s="3">
        <f t="shared" si="0"/>
        <v>0</v>
      </c>
    </row>
    <row r="49" spans="1:12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4"/>
      <c r="F49" s="4"/>
      <c r="G49" s="4"/>
      <c r="H49" s="4">
        <v>300</v>
      </c>
      <c r="I49" s="3">
        <f>'SEPT 21'!L49:L122</f>
        <v>1500</v>
      </c>
      <c r="J49" s="3">
        <f t="shared" si="1"/>
        <v>13800</v>
      </c>
      <c r="K49" s="3">
        <f>12300</f>
        <v>12300</v>
      </c>
      <c r="L49" s="3">
        <f t="shared" si="0"/>
        <v>1500</v>
      </c>
    </row>
    <row r="50" spans="1:12" ht="15.75" x14ac:dyDescent="0.25">
      <c r="A50" s="3" t="s">
        <v>122</v>
      </c>
      <c r="B50" s="13" t="s">
        <v>13</v>
      </c>
      <c r="C50" s="4"/>
      <c r="D50" s="4"/>
      <c r="E50" s="4"/>
      <c r="F50" s="4"/>
      <c r="G50" s="4"/>
      <c r="H50" s="4"/>
      <c r="I50" s="3">
        <f>'SEPT 21'!L50:L123</f>
        <v>0</v>
      </c>
      <c r="J50" s="3">
        <f t="shared" si="1"/>
        <v>0</v>
      </c>
      <c r="K50" s="3"/>
      <c r="L50" s="3">
        <f t="shared" si="0"/>
        <v>0</v>
      </c>
    </row>
    <row r="51" spans="1:12" ht="15.75" x14ac:dyDescent="0.25">
      <c r="A51" s="3" t="s">
        <v>123</v>
      </c>
      <c r="B51" s="5" t="s">
        <v>13</v>
      </c>
      <c r="C51" s="4"/>
      <c r="D51" s="4"/>
      <c r="E51" s="4"/>
      <c r="F51" s="4"/>
      <c r="G51" s="4"/>
      <c r="H51" s="4"/>
      <c r="I51" s="3">
        <f>'SEPT 21'!L51:L124</f>
        <v>0</v>
      </c>
      <c r="J51" s="3">
        <f t="shared" si="1"/>
        <v>0</v>
      </c>
      <c r="K51" s="3"/>
      <c r="L51" s="3">
        <f t="shared" si="0"/>
        <v>0</v>
      </c>
    </row>
    <row r="52" spans="1:12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4"/>
      <c r="F52" s="4"/>
      <c r="G52" s="4"/>
      <c r="H52" s="4">
        <v>300</v>
      </c>
      <c r="I52" s="3">
        <f>'SEPT 21'!L52:L125</f>
        <v>2750</v>
      </c>
      <c r="J52" s="3">
        <f t="shared" si="1"/>
        <v>12920</v>
      </c>
      <c r="K52" s="3">
        <v>8000</v>
      </c>
      <c r="L52" s="3">
        <f t="shared" si="0"/>
        <v>4920</v>
      </c>
    </row>
    <row r="53" spans="1:12" ht="15.75" x14ac:dyDescent="0.25">
      <c r="A53" s="3" t="s">
        <v>125</v>
      </c>
      <c r="B53" s="13" t="s">
        <v>13</v>
      </c>
      <c r="C53" s="4"/>
      <c r="D53" s="4"/>
      <c r="E53" s="4"/>
      <c r="F53" s="4"/>
      <c r="G53" s="4"/>
      <c r="H53" s="4"/>
      <c r="I53" s="3">
        <f>'SEPT 21'!L53:L126</f>
        <v>0</v>
      </c>
      <c r="J53" s="3">
        <f t="shared" si="1"/>
        <v>0</v>
      </c>
      <c r="K53" s="3"/>
      <c r="L53" s="3">
        <f t="shared" si="0"/>
        <v>0</v>
      </c>
    </row>
    <row r="54" spans="1:12" ht="15.75" x14ac:dyDescent="0.25">
      <c r="A54" s="3" t="s">
        <v>126</v>
      </c>
      <c r="B54" s="5" t="s">
        <v>13</v>
      </c>
      <c r="C54" s="4"/>
      <c r="D54" s="4"/>
      <c r="E54" s="4"/>
      <c r="F54" s="4"/>
      <c r="G54" s="4"/>
      <c r="H54" s="4"/>
      <c r="I54" s="3">
        <f>'SEPT 21'!L54:L127</f>
        <v>0</v>
      </c>
      <c r="J54" s="3">
        <f t="shared" si="1"/>
        <v>0</v>
      </c>
      <c r="K54" s="3"/>
      <c r="L54" s="3">
        <f t="shared" si="0"/>
        <v>0</v>
      </c>
    </row>
    <row r="55" spans="1:12" ht="15.75" x14ac:dyDescent="0.25">
      <c r="A55" s="3" t="s">
        <v>127</v>
      </c>
      <c r="B55" s="13" t="s">
        <v>13</v>
      </c>
      <c r="C55" s="4"/>
      <c r="D55" s="4"/>
      <c r="E55" s="4"/>
      <c r="F55" s="4"/>
      <c r="G55" s="4"/>
      <c r="H55" s="4"/>
      <c r="I55" s="3">
        <f>'SEPT 21'!L55:L128</f>
        <v>0</v>
      </c>
      <c r="J55" s="3">
        <f t="shared" si="1"/>
        <v>0</v>
      </c>
      <c r="K55" s="3"/>
      <c r="L55" s="3">
        <f t="shared" si="0"/>
        <v>0</v>
      </c>
    </row>
    <row r="56" spans="1:12" ht="15.75" x14ac:dyDescent="0.25">
      <c r="A56" s="3" t="s">
        <v>128</v>
      </c>
      <c r="B56" s="13" t="s">
        <v>13</v>
      </c>
      <c r="C56" s="4"/>
      <c r="D56" s="4"/>
      <c r="E56" s="4"/>
      <c r="F56" s="4"/>
      <c r="G56" s="4"/>
      <c r="H56" s="4"/>
      <c r="I56" s="3">
        <f>'SEPT 21'!L56:L129</f>
        <v>0</v>
      </c>
      <c r="J56" s="3">
        <f t="shared" si="1"/>
        <v>0</v>
      </c>
      <c r="K56" s="3"/>
      <c r="L56" s="3">
        <f t="shared" si="0"/>
        <v>0</v>
      </c>
    </row>
    <row r="57" spans="1:12" ht="15.75" x14ac:dyDescent="0.25">
      <c r="A57" s="3" t="s">
        <v>129</v>
      </c>
      <c r="B57" s="13" t="s">
        <v>13</v>
      </c>
      <c r="C57" s="4"/>
      <c r="D57" s="4"/>
      <c r="E57" s="4"/>
      <c r="F57" s="4"/>
      <c r="G57" s="4"/>
      <c r="H57" s="4"/>
      <c r="I57" s="3">
        <f>'SEPT 21'!L57:L130</f>
        <v>0</v>
      </c>
      <c r="J57" s="3">
        <f t="shared" si="1"/>
        <v>0</v>
      </c>
      <c r="K57" s="3"/>
      <c r="L57" s="3">
        <f t="shared" si="0"/>
        <v>0</v>
      </c>
    </row>
    <row r="58" spans="1:12" ht="15.75" x14ac:dyDescent="0.25">
      <c r="A58" s="3" t="s">
        <v>130</v>
      </c>
      <c r="B58" s="5" t="s">
        <v>13</v>
      </c>
      <c r="C58" s="4"/>
      <c r="D58" s="4"/>
      <c r="E58" s="4"/>
      <c r="F58" s="4"/>
      <c r="G58" s="4"/>
      <c r="H58" s="4"/>
      <c r="I58" s="3">
        <f>'SEPT 21'!L58:L131</f>
        <v>0</v>
      </c>
      <c r="J58" s="3">
        <f t="shared" si="1"/>
        <v>0</v>
      </c>
      <c r="K58" s="3"/>
      <c r="L58" s="3">
        <f t="shared" si="0"/>
        <v>0</v>
      </c>
    </row>
    <row r="59" spans="1:12" ht="15.75" x14ac:dyDescent="0.25">
      <c r="A59" s="3" t="s">
        <v>131</v>
      </c>
      <c r="B59" s="13" t="s">
        <v>13</v>
      </c>
      <c r="C59" s="4"/>
      <c r="D59" s="4"/>
      <c r="E59" s="4"/>
      <c r="F59" s="4"/>
      <c r="G59" s="4"/>
      <c r="H59" s="4"/>
      <c r="I59" s="3">
        <f>'SEPT 21'!L59:L132</f>
        <v>0</v>
      </c>
      <c r="J59" s="3">
        <f t="shared" si="1"/>
        <v>0</v>
      </c>
      <c r="K59" s="3"/>
      <c r="L59" s="3">
        <f t="shared" si="0"/>
        <v>0</v>
      </c>
    </row>
    <row r="60" spans="1:12" ht="15.75" x14ac:dyDescent="0.25">
      <c r="A60" s="3" t="s">
        <v>132</v>
      </c>
      <c r="B60" s="7" t="s">
        <v>184</v>
      </c>
      <c r="C60" s="4"/>
      <c r="D60" s="4"/>
      <c r="E60" s="4"/>
      <c r="F60" s="4"/>
      <c r="G60" s="4"/>
      <c r="H60" s="4"/>
      <c r="I60" s="3">
        <f>'SEPT 21'!L60:L133</f>
        <v>4140</v>
      </c>
      <c r="J60" s="3">
        <f t="shared" si="1"/>
        <v>4140</v>
      </c>
      <c r="K60" s="3"/>
      <c r="L60" s="3">
        <f t="shared" si="0"/>
        <v>4140</v>
      </c>
    </row>
    <row r="61" spans="1:12" ht="15.75" x14ac:dyDescent="0.25">
      <c r="A61" s="3" t="s">
        <v>133</v>
      </c>
      <c r="B61" s="13" t="s">
        <v>13</v>
      </c>
      <c r="C61" s="4"/>
      <c r="D61" s="4"/>
      <c r="E61" s="4"/>
      <c r="F61" s="4"/>
      <c r="G61" s="4"/>
      <c r="H61" s="4"/>
      <c r="I61" s="3">
        <f>'SEPT 21'!L61:L134</f>
        <v>0</v>
      </c>
      <c r="J61" s="3">
        <f t="shared" si="1"/>
        <v>0</v>
      </c>
      <c r="K61" s="3"/>
      <c r="L61" s="3">
        <f t="shared" si="0"/>
        <v>0</v>
      </c>
    </row>
    <row r="62" spans="1:12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4"/>
      <c r="F62" s="4"/>
      <c r="G62" s="4"/>
      <c r="H62" s="4">
        <v>300</v>
      </c>
      <c r="I62" s="3">
        <f>'SEPT 21'!L62:L135</f>
        <v>1500</v>
      </c>
      <c r="J62" s="3">
        <f t="shared" si="1"/>
        <v>9800</v>
      </c>
      <c r="K62" s="3">
        <f>8300</f>
        <v>8300</v>
      </c>
      <c r="L62" s="3">
        <f t="shared" si="0"/>
        <v>1500</v>
      </c>
    </row>
    <row r="63" spans="1:12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4"/>
      <c r="F63" s="4"/>
      <c r="G63" s="4"/>
      <c r="H63" s="4">
        <v>300</v>
      </c>
      <c r="I63" s="3">
        <f>'SEPT 21'!L63:L136</f>
        <v>4800</v>
      </c>
      <c r="J63" s="3">
        <f t="shared" si="1"/>
        <v>13100</v>
      </c>
      <c r="K63" s="3">
        <f>4300</f>
        <v>4300</v>
      </c>
      <c r="L63" s="3">
        <f t="shared" si="0"/>
        <v>8800</v>
      </c>
    </row>
    <row r="64" spans="1:12" ht="15.75" x14ac:dyDescent="0.25">
      <c r="A64" s="3" t="s">
        <v>136</v>
      </c>
      <c r="B64" s="3" t="s">
        <v>74</v>
      </c>
      <c r="C64" s="4" t="s">
        <v>75</v>
      </c>
      <c r="D64" s="4">
        <v>8000</v>
      </c>
      <c r="E64" s="4"/>
      <c r="F64" s="4"/>
      <c r="G64" s="4"/>
      <c r="H64" s="4">
        <v>300</v>
      </c>
      <c r="I64" s="3">
        <f>'SEPT 21'!L64:L137</f>
        <v>500</v>
      </c>
      <c r="J64" s="3">
        <f t="shared" si="1"/>
        <v>8800</v>
      </c>
      <c r="K64" s="3"/>
      <c r="L64" s="3">
        <f t="shared" si="0"/>
        <v>8800</v>
      </c>
    </row>
    <row r="65" spans="1:12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4"/>
      <c r="F65" s="4"/>
      <c r="G65" s="4"/>
      <c r="H65" s="4">
        <v>300</v>
      </c>
      <c r="I65" s="3">
        <f>'SEPT 21'!L65:L138</f>
        <v>17000</v>
      </c>
      <c r="J65" s="3">
        <f t="shared" si="1"/>
        <v>25300</v>
      </c>
      <c r="K65" s="3"/>
      <c r="L65" s="3">
        <f t="shared" si="0"/>
        <v>25300</v>
      </c>
    </row>
    <row r="66" spans="1:12" ht="15.75" x14ac:dyDescent="0.25">
      <c r="A66" s="3" t="s">
        <v>138</v>
      </c>
      <c r="B66" s="7" t="s">
        <v>173</v>
      </c>
      <c r="C66" s="15"/>
      <c r="D66" s="4">
        <v>6500</v>
      </c>
      <c r="E66" s="4"/>
      <c r="F66" s="4"/>
      <c r="G66" s="4"/>
      <c r="H66" s="4">
        <v>300</v>
      </c>
      <c r="I66" s="3">
        <f>'SEPT 21'!L66:L139</f>
        <v>22500</v>
      </c>
      <c r="J66" s="3">
        <f t="shared" si="1"/>
        <v>29300</v>
      </c>
      <c r="K66" s="3">
        <f>6500</f>
        <v>6500</v>
      </c>
      <c r="L66" s="3">
        <f t="shared" si="0"/>
        <v>22800</v>
      </c>
    </row>
    <row r="67" spans="1:12" ht="15.75" x14ac:dyDescent="0.25">
      <c r="A67" s="3" t="s">
        <v>139</v>
      </c>
      <c r="B67" s="7" t="s">
        <v>173</v>
      </c>
      <c r="C67" s="15"/>
      <c r="D67" s="4">
        <v>6500</v>
      </c>
      <c r="E67" s="4"/>
      <c r="F67" s="4"/>
      <c r="G67" s="4"/>
      <c r="H67" s="4"/>
      <c r="I67" s="3">
        <f>'SEPT 21'!L67:L140</f>
        <v>15500</v>
      </c>
      <c r="J67" s="3">
        <f t="shared" si="1"/>
        <v>22000</v>
      </c>
      <c r="K67" s="3">
        <f>6500</f>
        <v>6500</v>
      </c>
      <c r="L67" s="3">
        <f t="shared" si="0"/>
        <v>15500</v>
      </c>
    </row>
    <row r="68" spans="1:12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4"/>
      <c r="F68" s="4"/>
      <c r="G68" s="4"/>
      <c r="H68" s="4">
        <v>300</v>
      </c>
      <c r="I68" s="3">
        <f>'SEPT 21'!L68:L141</f>
        <v>2400</v>
      </c>
      <c r="J68" s="3">
        <f t="shared" si="1"/>
        <v>17700</v>
      </c>
      <c r="K68" s="3">
        <f>15300</f>
        <v>15300</v>
      </c>
      <c r="L68" s="3">
        <f t="shared" si="0"/>
        <v>2400</v>
      </c>
    </row>
    <row r="69" spans="1:12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4"/>
      <c r="F69" s="4"/>
      <c r="G69" s="4"/>
      <c r="H69" s="4">
        <v>300</v>
      </c>
      <c r="I69" s="3">
        <f>'SEPT 21'!L69:L142</f>
        <v>2700</v>
      </c>
      <c r="J69" s="3">
        <f t="shared" si="1"/>
        <v>18000</v>
      </c>
      <c r="K69" s="3">
        <v>15000</v>
      </c>
      <c r="L69" s="3">
        <f t="shared" ref="L69:L77" si="2">J69-K69</f>
        <v>3000</v>
      </c>
    </row>
    <row r="70" spans="1:12" ht="15.75" x14ac:dyDescent="0.25">
      <c r="A70" s="3" t="s">
        <v>142</v>
      </c>
      <c r="B70" s="7" t="s">
        <v>87</v>
      </c>
      <c r="C70" s="8" t="s">
        <v>86</v>
      </c>
      <c r="D70" s="4">
        <v>20000</v>
      </c>
      <c r="E70" s="15"/>
      <c r="F70" s="4"/>
      <c r="G70" s="4"/>
      <c r="H70" s="4">
        <v>300</v>
      </c>
      <c r="I70" s="3">
        <f>'SEPT 21'!L70:L143</f>
        <v>18300</v>
      </c>
      <c r="J70" s="7">
        <f>D70+E70+F70+G70+H70+I70</f>
        <v>38600</v>
      </c>
      <c r="K70" s="7">
        <f>15000</f>
        <v>15000</v>
      </c>
      <c r="L70" s="3">
        <f t="shared" si="2"/>
        <v>23600</v>
      </c>
    </row>
    <row r="71" spans="1:12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4"/>
      <c r="F71" s="4"/>
      <c r="G71" s="4"/>
      <c r="H71" s="4"/>
      <c r="I71" s="3">
        <f>'SEPT 21'!L71:L144</f>
        <v>0</v>
      </c>
      <c r="J71" s="3">
        <f t="shared" ref="J71:J77" si="3">D71+E71+F71+G71+H71+I71</f>
        <v>20000</v>
      </c>
      <c r="K71" s="3">
        <v>20000</v>
      </c>
      <c r="L71" s="3">
        <f t="shared" si="2"/>
        <v>0</v>
      </c>
    </row>
    <row r="72" spans="1:12" ht="15.75" x14ac:dyDescent="0.25">
      <c r="A72" s="3" t="s">
        <v>144</v>
      </c>
      <c r="B72" s="27" t="s">
        <v>89</v>
      </c>
      <c r="C72" s="28" t="s">
        <v>164</v>
      </c>
      <c r="D72" s="4"/>
      <c r="E72" s="4"/>
      <c r="F72" s="4"/>
      <c r="G72" s="4"/>
      <c r="H72" s="4"/>
      <c r="I72" s="3">
        <f>'SEPT 21'!L72:L145</f>
        <v>0</v>
      </c>
      <c r="J72" s="3">
        <f t="shared" si="3"/>
        <v>0</v>
      </c>
      <c r="K72" s="3"/>
      <c r="L72" s="3">
        <f t="shared" si="2"/>
        <v>0</v>
      </c>
    </row>
    <row r="73" spans="1:12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4"/>
      <c r="F73" s="4"/>
      <c r="G73" s="4"/>
      <c r="H73" s="4">
        <v>300</v>
      </c>
      <c r="I73" s="3">
        <f>'SEPT 21'!L73:L146</f>
        <v>13000</v>
      </c>
      <c r="J73" s="3">
        <f t="shared" si="3"/>
        <v>28300</v>
      </c>
      <c r="K73" s="3"/>
      <c r="L73" s="3">
        <f t="shared" si="2"/>
        <v>28300</v>
      </c>
    </row>
    <row r="74" spans="1:12" ht="15.75" x14ac:dyDescent="0.25">
      <c r="A74" s="3" t="s">
        <v>146</v>
      </c>
      <c r="B74" s="3" t="s">
        <v>90</v>
      </c>
      <c r="C74" s="4"/>
      <c r="D74" s="4"/>
      <c r="E74" s="4"/>
      <c r="F74" s="4"/>
      <c r="G74" s="4"/>
      <c r="H74" s="4"/>
      <c r="I74" s="3">
        <f>'SEPT 21'!L74:L147</f>
        <v>0</v>
      </c>
      <c r="J74" s="3">
        <f t="shared" si="3"/>
        <v>0</v>
      </c>
      <c r="K74" s="3"/>
      <c r="L74" s="3">
        <f t="shared" si="2"/>
        <v>0</v>
      </c>
    </row>
    <row r="75" spans="1:12" ht="15.75" x14ac:dyDescent="0.25">
      <c r="A75" s="3" t="s">
        <v>179</v>
      </c>
      <c r="B75" s="7" t="s">
        <v>244</v>
      </c>
      <c r="D75" s="4">
        <v>23200</v>
      </c>
      <c r="E75" s="4">
        <v>40000</v>
      </c>
      <c r="F75" s="4">
        <v>1500</v>
      </c>
      <c r="G75" s="4">
        <v>3000</v>
      </c>
      <c r="H75" s="4">
        <v>300</v>
      </c>
      <c r="I75" s="3"/>
      <c r="J75" s="3">
        <f t="shared" si="3"/>
        <v>68000</v>
      </c>
      <c r="K75" s="3">
        <f>66000</f>
        <v>66000</v>
      </c>
      <c r="L75" s="3">
        <f t="shared" si="2"/>
        <v>2000</v>
      </c>
    </row>
    <row r="76" spans="1:12" ht="15.75" x14ac:dyDescent="0.25">
      <c r="A76" s="3" t="s">
        <v>180</v>
      </c>
      <c r="B76" s="7" t="s">
        <v>223</v>
      </c>
      <c r="C76" s="4"/>
      <c r="D76" s="4">
        <v>23200</v>
      </c>
      <c r="E76" s="4"/>
      <c r="F76" s="4"/>
      <c r="G76" s="4"/>
      <c r="H76" s="4">
        <v>300</v>
      </c>
      <c r="I76" s="3">
        <f>'SEPT 21'!L76:L149</f>
        <v>0</v>
      </c>
      <c r="J76" s="3">
        <f t="shared" si="3"/>
        <v>23500</v>
      </c>
      <c r="K76" s="3">
        <v>20000</v>
      </c>
      <c r="L76" s="3">
        <f t="shared" si="2"/>
        <v>3500</v>
      </c>
    </row>
    <row r="77" spans="1:12" ht="15.75" x14ac:dyDescent="0.25">
      <c r="A77" s="3" t="s">
        <v>181</v>
      </c>
      <c r="B77" s="5" t="s">
        <v>13</v>
      </c>
      <c r="C77" s="8"/>
      <c r="D77" s="4"/>
      <c r="E77" s="4"/>
      <c r="F77" s="4"/>
      <c r="G77" s="4"/>
      <c r="H77" s="4"/>
      <c r="I77" s="3">
        <f>'SEPT 21'!L77:L150</f>
        <v>0</v>
      </c>
      <c r="J77" s="3">
        <f t="shared" si="3"/>
        <v>0</v>
      </c>
      <c r="K77" s="7"/>
      <c r="L77" s="3">
        <f t="shared" si="2"/>
        <v>0</v>
      </c>
    </row>
    <row r="78" spans="1:12" ht="15.75" x14ac:dyDescent="0.25">
      <c r="A78" s="3"/>
      <c r="B78" s="3" t="s">
        <v>91</v>
      </c>
      <c r="C78" s="4"/>
      <c r="D78" s="4">
        <f t="shared" ref="D78:L78" si="4">SUM(D5:D77)</f>
        <v>1019970</v>
      </c>
      <c r="E78" s="4">
        <f t="shared" si="4"/>
        <v>40000</v>
      </c>
      <c r="F78" s="4">
        <f t="shared" si="4"/>
        <v>1500</v>
      </c>
      <c r="G78" s="4">
        <f t="shared" si="4"/>
        <v>3000</v>
      </c>
      <c r="H78" s="4">
        <f t="shared" si="4"/>
        <v>14400</v>
      </c>
      <c r="I78" s="3">
        <f>SUM(I5:I77)</f>
        <v>396363</v>
      </c>
      <c r="J78" s="3">
        <f t="shared" si="4"/>
        <v>1475233</v>
      </c>
      <c r="K78" s="3">
        <f t="shared" si="4"/>
        <v>1029727</v>
      </c>
      <c r="L78" s="3">
        <f t="shared" si="4"/>
        <v>445506</v>
      </c>
    </row>
    <row r="79" spans="1:12" ht="15.75" x14ac:dyDescent="0.25">
      <c r="A79" s="1"/>
      <c r="B79" s="1" t="s">
        <v>206</v>
      </c>
      <c r="C79" s="16"/>
      <c r="D79" s="17">
        <f>100/116*D78</f>
        <v>879284.48275862064</v>
      </c>
      <c r="E79" s="17"/>
      <c r="F79" s="17"/>
      <c r="G79" s="17"/>
      <c r="H79" s="17"/>
      <c r="I79" s="3">
        <f>'SEPT 21'!L79:L152</f>
        <v>0</v>
      </c>
      <c r="J79" s="18"/>
      <c r="K79" s="18"/>
      <c r="L79" s="17"/>
    </row>
    <row r="80" spans="1:12" x14ac:dyDescent="0.25">
      <c r="D80" s="25"/>
    </row>
    <row r="81" spans="2:11" ht="15.75" x14ac:dyDescent="0.25">
      <c r="B81" s="2" t="s">
        <v>185</v>
      </c>
      <c r="C81" s="2"/>
      <c r="D81" s="2"/>
      <c r="E81" s="2"/>
      <c r="F81" s="2"/>
      <c r="G81" s="2"/>
      <c r="H81" s="19"/>
      <c r="I81" s="2" t="s">
        <v>177</v>
      </c>
      <c r="J81" s="1"/>
      <c r="K81" s="2"/>
    </row>
    <row r="82" spans="2:11" ht="15.75" x14ac:dyDescent="0.25">
      <c r="B82" s="3" t="s">
        <v>186</v>
      </c>
      <c r="C82" s="3" t="s">
        <v>187</v>
      </c>
      <c r="D82" s="3"/>
      <c r="E82" s="3" t="s">
        <v>188</v>
      </c>
      <c r="F82" s="3" t="s">
        <v>189</v>
      </c>
      <c r="G82" s="3" t="s">
        <v>186</v>
      </c>
      <c r="H82" s="3" t="s">
        <v>187</v>
      </c>
      <c r="I82" s="3" t="s">
        <v>188</v>
      </c>
      <c r="J82" s="3" t="s">
        <v>8</v>
      </c>
      <c r="K82" s="2"/>
    </row>
    <row r="83" spans="2:11" ht="15.75" x14ac:dyDescent="0.25">
      <c r="B83" s="3" t="s">
        <v>231</v>
      </c>
      <c r="C83" s="22">
        <f>D79</f>
        <v>879284.48275862064</v>
      </c>
      <c r="D83" s="22"/>
      <c r="E83" s="3"/>
      <c r="F83" s="3"/>
      <c r="G83" s="3" t="s">
        <v>231</v>
      </c>
      <c r="H83" s="22">
        <f>K78</f>
        <v>1029727</v>
      </c>
      <c r="I83" s="3"/>
      <c r="J83" s="11"/>
      <c r="K83" s="2"/>
    </row>
    <row r="84" spans="2:11" ht="15.75" x14ac:dyDescent="0.25">
      <c r="B84" s="3" t="s">
        <v>175</v>
      </c>
      <c r="C84" s="22">
        <f>H78</f>
        <v>14400</v>
      </c>
      <c r="D84" s="22"/>
      <c r="E84" s="3"/>
      <c r="F84" s="3"/>
      <c r="G84" s="3"/>
      <c r="H84" s="22"/>
      <c r="I84" s="3"/>
      <c r="J84" s="11"/>
      <c r="K84" s="33"/>
    </row>
    <row r="85" spans="2:11" ht="15.75" x14ac:dyDescent="0.25">
      <c r="B85" s="3" t="s">
        <v>191</v>
      </c>
      <c r="C85" s="22">
        <f>D78-D79</f>
        <v>140685.51724137936</v>
      </c>
      <c r="D85" s="22"/>
      <c r="E85" s="3"/>
      <c r="F85" s="3"/>
      <c r="G85" s="3" t="s">
        <v>192</v>
      </c>
      <c r="H85" s="22">
        <f>'SEPT 21'!J96</f>
        <v>-0.37931034492794424</v>
      </c>
      <c r="I85" s="3"/>
      <c r="J85" s="11"/>
      <c r="K85" s="2"/>
    </row>
    <row r="86" spans="2:11" ht="15.75" x14ac:dyDescent="0.25">
      <c r="B86" s="29" t="s">
        <v>174</v>
      </c>
      <c r="C86" s="3">
        <f>E78</f>
        <v>40000</v>
      </c>
      <c r="D86" s="3"/>
      <c r="E86" s="3"/>
      <c r="F86" s="3"/>
      <c r="G86" s="29"/>
      <c r="H86" s="3"/>
      <c r="I86" s="3"/>
      <c r="J86" s="11"/>
      <c r="K86" s="2"/>
    </row>
    <row r="87" spans="2:11" ht="15.75" x14ac:dyDescent="0.25">
      <c r="B87" s="29" t="s">
        <v>183</v>
      </c>
      <c r="C87" s="3">
        <f>F78</f>
        <v>1500</v>
      </c>
      <c r="D87" s="3"/>
      <c r="E87" s="3"/>
      <c r="F87" s="3"/>
      <c r="G87" s="29"/>
      <c r="H87" s="3"/>
      <c r="I87" s="3"/>
      <c r="J87" s="11"/>
      <c r="K87" s="2"/>
    </row>
    <row r="88" spans="2:11" ht="15.75" x14ac:dyDescent="0.25">
      <c r="B88" s="29" t="s">
        <v>193</v>
      </c>
      <c r="C88" s="3">
        <f>G78</f>
        <v>3000</v>
      </c>
      <c r="D88" s="3"/>
      <c r="E88" s="3"/>
      <c r="F88" s="3"/>
      <c r="G88" s="29"/>
      <c r="H88" s="3"/>
      <c r="I88" s="3"/>
      <c r="J88" s="11"/>
      <c r="K88" s="2"/>
    </row>
    <row r="89" spans="2:11" ht="15.75" x14ac:dyDescent="0.25">
      <c r="B89" s="29" t="s">
        <v>192</v>
      </c>
      <c r="C89" s="30">
        <f>'SEPT 21'!F96</f>
        <v>367612.62068965507</v>
      </c>
      <c r="D89" s="3"/>
      <c r="E89" s="3"/>
      <c r="F89" s="3"/>
      <c r="G89" s="29"/>
      <c r="H89" s="3"/>
      <c r="I89" s="3"/>
      <c r="J89" s="11"/>
      <c r="K89" s="2"/>
    </row>
    <row r="90" spans="2:11" ht="15.75" x14ac:dyDescent="0.25">
      <c r="B90" s="29" t="s">
        <v>194</v>
      </c>
      <c r="C90" s="3">
        <v>43964</v>
      </c>
      <c r="D90" s="3"/>
      <c r="E90" s="3"/>
      <c r="F90" s="3"/>
      <c r="G90" s="29" t="s">
        <v>194</v>
      </c>
      <c r="H90" s="3">
        <v>43964</v>
      </c>
      <c r="I90" s="3"/>
      <c r="J90" s="11"/>
      <c r="K90" s="2"/>
    </row>
    <row r="91" spans="2:11" ht="15.75" x14ac:dyDescent="0.25">
      <c r="B91" s="3" t="s">
        <v>195</v>
      </c>
      <c r="C91" s="31">
        <v>0.05</v>
      </c>
      <c r="D91" s="31"/>
      <c r="E91" s="22">
        <f>C91*C83</f>
        <v>43964.224137931036</v>
      </c>
      <c r="F91" s="3"/>
      <c r="G91" s="3" t="s">
        <v>195</v>
      </c>
      <c r="H91" s="31">
        <v>0.05</v>
      </c>
      <c r="I91" s="22">
        <f>H91*C83</f>
        <v>43964.224137931036</v>
      </c>
      <c r="J91" s="20"/>
      <c r="K91" s="33"/>
    </row>
    <row r="92" spans="2:11" ht="15.75" x14ac:dyDescent="0.25">
      <c r="B92" s="5" t="s">
        <v>196</v>
      </c>
      <c r="C92" s="3" t="s">
        <v>197</v>
      </c>
      <c r="D92" s="3"/>
      <c r="E92" s="3"/>
      <c r="F92" s="3"/>
      <c r="G92" s="5" t="s">
        <v>196</v>
      </c>
      <c r="H92" s="22"/>
      <c r="I92" s="3"/>
      <c r="J92" s="3"/>
      <c r="K92" s="2"/>
    </row>
    <row r="93" spans="2:11" ht="15.75" x14ac:dyDescent="0.25">
      <c r="B93" s="23"/>
      <c r="C93" s="31"/>
      <c r="D93" s="31"/>
      <c r="E93" s="3"/>
      <c r="F93" s="3"/>
      <c r="G93" s="23"/>
      <c r="H93" s="31"/>
      <c r="I93" s="3"/>
      <c r="J93" s="11"/>
      <c r="K93" s="2"/>
    </row>
    <row r="94" spans="2:11" ht="15.75" x14ac:dyDescent="0.25">
      <c r="B94" s="32" t="s">
        <v>198</v>
      </c>
      <c r="C94" s="3"/>
      <c r="D94" s="3"/>
      <c r="E94" s="3">
        <f>K78</f>
        <v>1029727</v>
      </c>
      <c r="F94" s="23"/>
      <c r="G94" s="32" t="s">
        <v>198</v>
      </c>
      <c r="H94" s="3"/>
      <c r="I94" s="3">
        <f>K78</f>
        <v>1029727</v>
      </c>
      <c r="J94" s="11"/>
      <c r="K94" s="2"/>
    </row>
    <row r="95" spans="2:11" ht="15.75" x14ac:dyDescent="0.25">
      <c r="B95" s="3"/>
      <c r="C95" s="31"/>
      <c r="D95" s="31"/>
      <c r="E95" s="3"/>
      <c r="F95" s="3"/>
      <c r="G95" s="3"/>
      <c r="H95" s="31"/>
      <c r="I95" s="3"/>
      <c r="J95" s="11"/>
      <c r="K95" s="2"/>
    </row>
    <row r="96" spans="2:11" ht="15.75" x14ac:dyDescent="0.25">
      <c r="B96" s="23" t="s">
        <v>199</v>
      </c>
      <c r="C96" s="22">
        <f>C83+C84+C85+C86+C87+C88+C89+C90</f>
        <v>1490446.6206896552</v>
      </c>
      <c r="D96" s="22"/>
      <c r="E96" s="24">
        <f>SUM(E91:E95)</f>
        <v>1073691.2241379311</v>
      </c>
      <c r="F96" s="22">
        <f>C96-E96</f>
        <v>416755.39655172406</v>
      </c>
      <c r="G96" s="23" t="s">
        <v>199</v>
      </c>
      <c r="H96" s="22">
        <f>H83+H84+H85+H86+H87+H88+H89+H90</f>
        <v>1073690.6206896552</v>
      </c>
      <c r="I96" s="22">
        <f>SUM(I91:I95)</f>
        <v>1073691.2241379311</v>
      </c>
      <c r="J96" s="22">
        <f>H96-I96</f>
        <v>-0.60344827594235539</v>
      </c>
      <c r="K96" s="2"/>
    </row>
    <row r="97" spans="2:11" ht="15.75" x14ac:dyDescent="0.25">
      <c r="B97" s="2" t="s">
        <v>200</v>
      </c>
      <c r="C97" s="2"/>
      <c r="D97" s="2"/>
      <c r="E97" s="33"/>
      <c r="F97" s="2" t="s">
        <v>201</v>
      </c>
      <c r="G97" s="2"/>
      <c r="H97" s="2"/>
      <c r="I97" s="33">
        <f>I96-I91</f>
        <v>1029727.0000000001</v>
      </c>
      <c r="J97" s="2" t="s">
        <v>202</v>
      </c>
      <c r="K97" s="2"/>
    </row>
    <row r="98" spans="2:11" ht="15.75" x14ac:dyDescent="0.25">
      <c r="B98" s="2" t="s">
        <v>203</v>
      </c>
      <c r="C98" s="2"/>
      <c r="D98" s="2"/>
      <c r="E98" s="2"/>
      <c r="F98" s="2" t="s">
        <v>204</v>
      </c>
      <c r="G98" s="2"/>
      <c r="H98" s="2"/>
      <c r="I98" s="33"/>
      <c r="J98" s="2" t="s">
        <v>205</v>
      </c>
      <c r="K98" s="2"/>
    </row>
  </sheetData>
  <pageMargins left="0.7" right="0.7" top="0.75" bottom="0.75" header="0.3" footer="0.3"/>
  <pageSetup scale="10" orientation="landscape" horizontalDpi="203" verticalDpi="203" r:id="rId1"/>
  <rowBreaks count="1" manualBreakCount="1">
    <brk id="4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K23" sqref="K23"/>
    </sheetView>
  </sheetViews>
  <sheetFormatPr defaultRowHeight="15" x14ac:dyDescent="0.25"/>
  <cols>
    <col min="1" max="1" width="15.85546875" customWidth="1"/>
    <col min="2" max="2" width="27.140625" customWidth="1"/>
    <col min="3" max="3" width="18.140625" customWidth="1"/>
    <col min="4" max="4" width="17.5703125" bestFit="1" customWidth="1"/>
    <col min="5" max="5" width="12.85546875" customWidth="1"/>
    <col min="6" max="6" width="12.7109375" customWidth="1"/>
    <col min="7" max="7" width="10" customWidth="1"/>
    <col min="8" max="8" width="13.5703125" customWidth="1"/>
    <col min="9" max="9" width="12.7109375" customWidth="1"/>
    <col min="10" max="10" width="13.7109375" customWidth="1"/>
  </cols>
  <sheetData>
    <row r="1" spans="1:11" ht="15.75" x14ac:dyDescent="0.25">
      <c r="C1" s="2" t="s">
        <v>92</v>
      </c>
      <c r="D1" s="2"/>
      <c r="E1" s="2"/>
      <c r="F1" s="2"/>
      <c r="G1" s="2"/>
      <c r="H1" s="2"/>
    </row>
    <row r="2" spans="1:11" ht="15.75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1"/>
    </row>
    <row r="3" spans="1:11" ht="15.75" x14ac:dyDescent="0.25">
      <c r="A3" s="1"/>
      <c r="B3" s="1"/>
      <c r="C3" s="2"/>
      <c r="D3" s="2"/>
      <c r="E3" s="2"/>
      <c r="F3" s="2"/>
      <c r="G3" s="2"/>
      <c r="H3" s="2"/>
      <c r="I3" s="2"/>
      <c r="J3" s="2"/>
      <c r="K3" s="1"/>
    </row>
    <row r="4" spans="1:11" ht="15.75" x14ac:dyDescent="0.25">
      <c r="A4" s="3" t="s">
        <v>2</v>
      </c>
      <c r="B4" s="3" t="s">
        <v>3</v>
      </c>
      <c r="C4" s="4" t="s">
        <v>4</v>
      </c>
      <c r="D4" s="4" t="s">
        <v>239</v>
      </c>
      <c r="E4" s="4" t="s">
        <v>233</v>
      </c>
      <c r="F4" s="4" t="s">
        <v>237</v>
      </c>
      <c r="G4" s="4" t="s">
        <v>236</v>
      </c>
      <c r="H4" s="4" t="s">
        <v>234</v>
      </c>
      <c r="I4" s="3" t="s">
        <v>235</v>
      </c>
      <c r="J4" s="3" t="s">
        <v>238</v>
      </c>
      <c r="K4" s="3" t="s">
        <v>8</v>
      </c>
    </row>
    <row r="5" spans="1:11" ht="15.75" x14ac:dyDescent="0.25">
      <c r="A5" s="3" t="s">
        <v>97</v>
      </c>
      <c r="B5" s="3" t="s">
        <v>150</v>
      </c>
      <c r="C5" s="4" t="s">
        <v>151</v>
      </c>
      <c r="D5" s="4">
        <v>61500</v>
      </c>
      <c r="E5" s="4">
        <v>20000</v>
      </c>
      <c r="F5" s="4"/>
      <c r="G5" s="4"/>
      <c r="H5" s="4"/>
      <c r="I5" s="3"/>
      <c r="J5" s="3">
        <f>E5+F5+G5+H5+I5</f>
        <v>20000</v>
      </c>
      <c r="K5" s="3">
        <f>D5-J5</f>
        <v>41500</v>
      </c>
    </row>
    <row r="6" spans="1:11" ht="15.75" x14ac:dyDescent="0.25">
      <c r="A6" s="3" t="s">
        <v>51</v>
      </c>
      <c r="B6" s="3" t="s">
        <v>70</v>
      </c>
      <c r="C6" s="4" t="s">
        <v>71</v>
      </c>
      <c r="D6" s="4">
        <v>34000</v>
      </c>
      <c r="E6" s="4">
        <v>6500</v>
      </c>
      <c r="F6" s="4">
        <v>6500</v>
      </c>
      <c r="G6" s="4"/>
      <c r="H6" s="4"/>
      <c r="I6" s="3"/>
      <c r="J6" s="3">
        <f>E6+F6+G6+H6+I6</f>
        <v>13000</v>
      </c>
      <c r="K6" s="3">
        <f>D6-J6</f>
        <v>21000</v>
      </c>
    </row>
    <row r="7" spans="1:11" ht="15.75" x14ac:dyDescent="0.25">
      <c r="A7" s="3" t="s">
        <v>102</v>
      </c>
      <c r="B7" s="7" t="s">
        <v>171</v>
      </c>
      <c r="C7" s="8" t="s">
        <v>69</v>
      </c>
      <c r="D7" s="4">
        <v>49000</v>
      </c>
      <c r="E7" s="4">
        <v>9500</v>
      </c>
      <c r="F7" s="4"/>
      <c r="G7" s="4"/>
      <c r="H7" s="4">
        <v>18000</v>
      </c>
      <c r="I7" s="3"/>
      <c r="J7" s="3">
        <f>E7+F7+G7+H7+I7</f>
        <v>27500</v>
      </c>
      <c r="K7" s="3">
        <f>D7-J7</f>
        <v>21500</v>
      </c>
    </row>
    <row r="8" spans="1:11" ht="15.75" x14ac:dyDescent="0.25">
      <c r="A8" s="3" t="s">
        <v>232</v>
      </c>
      <c r="B8" s="7" t="s">
        <v>173</v>
      </c>
      <c r="C8" s="4"/>
      <c r="D8" s="4">
        <v>66500</v>
      </c>
      <c r="E8" s="4">
        <v>13000</v>
      </c>
      <c r="F8" s="4"/>
      <c r="G8" s="4">
        <v>17000</v>
      </c>
      <c r="H8" s="4"/>
      <c r="I8" s="3"/>
      <c r="J8" s="3">
        <f>E8+F8+G8+H8+I8</f>
        <v>30000</v>
      </c>
      <c r="K8" s="3">
        <f>D8-J8</f>
        <v>36500</v>
      </c>
    </row>
    <row r="9" spans="1:11" x14ac:dyDescent="0.25">
      <c r="A9" s="36" t="s">
        <v>91</v>
      </c>
      <c r="B9" s="35"/>
      <c r="C9" s="35"/>
      <c r="D9" s="35"/>
      <c r="E9" s="35"/>
      <c r="F9" s="35"/>
      <c r="G9" s="35"/>
      <c r="H9" s="35"/>
      <c r="I9" s="35"/>
      <c r="J9" s="35">
        <f>SUM(J5:J8)</f>
        <v>90500</v>
      </c>
      <c r="K9" s="35">
        <f>SUM(K5:K8)</f>
        <v>120500</v>
      </c>
    </row>
    <row r="19" spans="7:11" x14ac:dyDescent="0.25">
      <c r="K19" t="s">
        <v>241</v>
      </c>
    </row>
    <row r="20" spans="7:11" x14ac:dyDescent="0.25">
      <c r="J20">
        <f>12300*6</f>
        <v>73800</v>
      </c>
    </row>
    <row r="21" spans="7:11" x14ac:dyDescent="0.25">
      <c r="J21">
        <f>J20+3000+1500+14000</f>
        <v>92300</v>
      </c>
    </row>
    <row r="22" spans="7:11" x14ac:dyDescent="0.25">
      <c r="K22">
        <f>J21-52500-10000</f>
        <v>29800</v>
      </c>
    </row>
    <row r="29" spans="7:11" x14ac:dyDescent="0.25">
      <c r="G29">
        <f>41500-10000</f>
        <v>31500</v>
      </c>
    </row>
    <row r="30" spans="7:11" x14ac:dyDescent="0.25">
      <c r="G30">
        <f>G29-52500</f>
        <v>-21000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workbookViewId="0">
      <selection activeCell="A4" sqref="A4:A78"/>
    </sheetView>
  </sheetViews>
  <sheetFormatPr defaultRowHeight="15" x14ac:dyDescent="0.25"/>
  <cols>
    <col min="2" max="2" width="31.7109375" customWidth="1"/>
    <col min="3" max="3" width="24.5703125" customWidth="1"/>
    <col min="4" max="4" width="14.7109375" customWidth="1"/>
    <col min="6" max="6" width="16.140625" customWidth="1"/>
    <col min="7" max="7" width="10.5703125" customWidth="1"/>
    <col min="8" max="8" width="15.7109375" customWidth="1"/>
    <col min="10" max="10" width="21.140625" customWidth="1"/>
  </cols>
  <sheetData>
    <row r="1" spans="1:12" ht="15.75" x14ac:dyDescent="0.25">
      <c r="C1" s="2" t="s">
        <v>92</v>
      </c>
      <c r="D1" s="2"/>
      <c r="E1" s="2"/>
      <c r="F1" s="2"/>
      <c r="G1" s="2"/>
      <c r="H1" s="2"/>
      <c r="K1" s="34"/>
    </row>
    <row r="2" spans="1:12" ht="15.75" x14ac:dyDescent="0.25">
      <c r="A2" s="1"/>
      <c r="B2" s="1"/>
      <c r="C2" s="2" t="s">
        <v>0</v>
      </c>
      <c r="D2" s="2"/>
      <c r="E2" s="2"/>
      <c r="F2" s="2"/>
      <c r="G2" s="2"/>
      <c r="H2" s="2"/>
      <c r="I2" s="2"/>
      <c r="J2" s="2">
        <f>23500-9500</f>
        <v>14000</v>
      </c>
      <c r="K2" s="2"/>
      <c r="L2" s="1"/>
    </row>
    <row r="3" spans="1:12" ht="15.75" x14ac:dyDescent="0.25">
      <c r="A3" s="1"/>
      <c r="B3" s="1"/>
      <c r="C3" s="2" t="s">
        <v>242</v>
      </c>
      <c r="D3" s="2"/>
      <c r="E3" s="2"/>
      <c r="F3" s="2"/>
      <c r="G3" s="2"/>
      <c r="H3" s="2"/>
      <c r="I3" s="2"/>
      <c r="J3" s="2"/>
      <c r="K3" s="2"/>
      <c r="L3" s="1"/>
    </row>
    <row r="4" spans="1:12" ht="15.75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174</v>
      </c>
      <c r="F4" s="4" t="s">
        <v>183</v>
      </c>
      <c r="G4" s="4" t="s">
        <v>178</v>
      </c>
      <c r="H4" s="4" t="s">
        <v>175</v>
      </c>
      <c r="I4" s="3" t="s">
        <v>192</v>
      </c>
      <c r="J4" s="3" t="s">
        <v>6</v>
      </c>
      <c r="K4" s="3" t="s">
        <v>177</v>
      </c>
      <c r="L4" s="3" t="s">
        <v>8</v>
      </c>
    </row>
    <row r="5" spans="1:12" ht="15.75" x14ac:dyDescent="0.25">
      <c r="A5" s="3" t="s">
        <v>9</v>
      </c>
      <c r="B5" s="3" t="s">
        <v>10</v>
      </c>
      <c r="C5" s="4" t="s">
        <v>11</v>
      </c>
      <c r="D5" s="4">
        <v>80000</v>
      </c>
      <c r="E5" s="4"/>
      <c r="F5" s="4"/>
      <c r="G5" s="4"/>
      <c r="H5" s="4">
        <v>300</v>
      </c>
      <c r="I5" s="3">
        <f>'OCTOBER  21'!L5:L77</f>
        <v>62400</v>
      </c>
      <c r="J5" s="3">
        <f>D5+E5+F5+G5+H5+I5</f>
        <v>142700</v>
      </c>
      <c r="K5" s="3">
        <v>65000</v>
      </c>
      <c r="L5" s="3">
        <f t="shared" ref="L5:L68" si="0">J5-K5</f>
        <v>77700</v>
      </c>
    </row>
    <row r="6" spans="1:12" ht="15.75" x14ac:dyDescent="0.25">
      <c r="A6" s="3" t="s">
        <v>12</v>
      </c>
      <c r="B6" s="7" t="s">
        <v>147</v>
      </c>
      <c r="C6" s="4"/>
      <c r="D6" s="4"/>
      <c r="E6" s="4"/>
      <c r="F6" s="4"/>
      <c r="G6" s="4"/>
      <c r="H6" s="4"/>
      <c r="I6" s="3">
        <f>'OCTOBER  21'!L6:L78</f>
        <v>0</v>
      </c>
      <c r="J6" s="3">
        <f t="shared" ref="J6:J69" si="1">D6+E6+F6+G6+H6+I6</f>
        <v>0</v>
      </c>
      <c r="K6" s="3"/>
      <c r="L6" s="3">
        <f t="shared" si="0"/>
        <v>0</v>
      </c>
    </row>
    <row r="7" spans="1:12" ht="15.75" x14ac:dyDescent="0.25">
      <c r="A7" s="3" t="s">
        <v>14</v>
      </c>
      <c r="B7" s="3" t="s">
        <v>16</v>
      </c>
      <c r="C7" s="4" t="s">
        <v>17</v>
      </c>
      <c r="D7" s="4">
        <v>139080</v>
      </c>
      <c r="E7" s="4"/>
      <c r="F7" s="4"/>
      <c r="G7" s="4"/>
      <c r="H7" s="4"/>
      <c r="I7" s="3">
        <f>'OCTOBER  21'!L7:L79</f>
        <v>0</v>
      </c>
      <c r="J7" s="3">
        <f t="shared" si="1"/>
        <v>139080</v>
      </c>
      <c r="K7" s="3">
        <v>139080</v>
      </c>
      <c r="L7" s="3">
        <f t="shared" si="0"/>
        <v>0</v>
      </c>
    </row>
    <row r="8" spans="1:12" ht="15.75" x14ac:dyDescent="0.25">
      <c r="A8" s="3" t="s">
        <v>15</v>
      </c>
      <c r="B8" s="3" t="s">
        <v>16</v>
      </c>
      <c r="C8" s="4" t="s">
        <v>149</v>
      </c>
      <c r="D8" s="4"/>
      <c r="E8" s="4"/>
      <c r="F8" s="4"/>
      <c r="G8" s="4"/>
      <c r="H8" s="4"/>
      <c r="I8" s="3">
        <f>'OCTOBER  21'!L8:L80</f>
        <v>0</v>
      </c>
      <c r="J8" s="3">
        <f t="shared" si="1"/>
        <v>0</v>
      </c>
      <c r="K8" s="3"/>
      <c r="L8" s="3">
        <f t="shared" si="0"/>
        <v>0</v>
      </c>
    </row>
    <row r="9" spans="1:12" ht="15.75" x14ac:dyDescent="0.25">
      <c r="A9" s="3" t="s">
        <v>18</v>
      </c>
      <c r="B9" s="3" t="s">
        <v>148</v>
      </c>
      <c r="C9" s="4" t="s">
        <v>19</v>
      </c>
      <c r="D9" s="4">
        <v>40000</v>
      </c>
      <c r="E9" s="4"/>
      <c r="F9" s="4"/>
      <c r="G9" s="4"/>
      <c r="H9" s="4">
        <v>300</v>
      </c>
      <c r="I9" s="3">
        <f>'OCTOBER  21'!L9:L81</f>
        <v>0</v>
      </c>
      <c r="J9" s="3">
        <f t="shared" si="1"/>
        <v>40300</v>
      </c>
      <c r="K9" s="3">
        <v>40300</v>
      </c>
      <c r="L9" s="3">
        <f t="shared" si="0"/>
        <v>0</v>
      </c>
    </row>
    <row r="10" spans="1:12" ht="15.75" x14ac:dyDescent="0.25">
      <c r="A10" s="3" t="s">
        <v>93</v>
      </c>
      <c r="B10" s="3" t="s">
        <v>20</v>
      </c>
      <c r="C10" s="4" t="s">
        <v>21</v>
      </c>
      <c r="D10" s="4">
        <v>50000</v>
      </c>
      <c r="E10" s="4"/>
      <c r="F10" s="4"/>
      <c r="G10" s="4"/>
      <c r="H10" s="4">
        <v>300</v>
      </c>
      <c r="I10" s="3">
        <f>'OCTOBER  21'!L10:L82</f>
        <v>0</v>
      </c>
      <c r="J10" s="3">
        <f t="shared" si="1"/>
        <v>50300</v>
      </c>
      <c r="K10" s="3">
        <v>50300</v>
      </c>
      <c r="L10" s="3">
        <f t="shared" si="0"/>
        <v>0</v>
      </c>
    </row>
    <row r="11" spans="1:12" ht="15.75" x14ac:dyDescent="0.25">
      <c r="A11" s="3" t="s">
        <v>94</v>
      </c>
      <c r="B11" s="3" t="s">
        <v>22</v>
      </c>
      <c r="C11" s="4" t="s">
        <v>23</v>
      </c>
      <c r="D11" s="4">
        <v>20000</v>
      </c>
      <c r="E11" s="4"/>
      <c r="F11" s="4"/>
      <c r="G11" s="4"/>
      <c r="H11" s="4">
        <v>300</v>
      </c>
      <c r="I11" s="3">
        <f>'OCTOBER  21'!L11:L83</f>
        <v>3000</v>
      </c>
      <c r="J11" s="3">
        <f t="shared" si="1"/>
        <v>23300</v>
      </c>
      <c r="K11" s="3">
        <f>20000</f>
        <v>20000</v>
      </c>
      <c r="L11" s="3">
        <f t="shared" si="0"/>
        <v>3300</v>
      </c>
    </row>
    <row r="12" spans="1:12" ht="15.75" x14ac:dyDescent="0.25">
      <c r="A12" s="3" t="s">
        <v>95</v>
      </c>
      <c r="B12" s="7" t="s">
        <v>24</v>
      </c>
      <c r="C12" s="8" t="s">
        <v>25</v>
      </c>
      <c r="D12" s="4">
        <v>20000</v>
      </c>
      <c r="E12" s="4"/>
      <c r="F12" s="4"/>
      <c r="G12" s="4"/>
      <c r="H12" s="4">
        <v>300</v>
      </c>
      <c r="I12" s="3">
        <f>'OCTOBER  21'!L12:L84</f>
        <v>2300</v>
      </c>
      <c r="J12" s="3">
        <f t="shared" si="1"/>
        <v>22600</v>
      </c>
      <c r="K12" s="3">
        <v>21000</v>
      </c>
      <c r="L12" s="3">
        <f t="shared" si="0"/>
        <v>1600</v>
      </c>
    </row>
    <row r="13" spans="1:12" ht="15.75" x14ac:dyDescent="0.25">
      <c r="A13" s="3" t="s">
        <v>96</v>
      </c>
      <c r="B13" s="5" t="s">
        <v>228</v>
      </c>
      <c r="C13" s="4"/>
      <c r="D13" s="4"/>
      <c r="E13" s="4"/>
      <c r="F13" s="4"/>
      <c r="G13" s="4"/>
      <c r="H13" s="4"/>
      <c r="I13" s="3">
        <f>'OCTOBER  21'!L13:L85</f>
        <v>23500</v>
      </c>
      <c r="J13" s="3">
        <f t="shared" si="1"/>
        <v>23500</v>
      </c>
      <c r="K13" s="3">
        <f>14000</f>
        <v>14000</v>
      </c>
      <c r="L13" s="3">
        <f t="shared" si="0"/>
        <v>9500</v>
      </c>
    </row>
    <row r="14" spans="1:12" ht="15.75" x14ac:dyDescent="0.25">
      <c r="A14" s="3" t="s">
        <v>97</v>
      </c>
      <c r="B14" s="3" t="s">
        <v>150</v>
      </c>
      <c r="C14" s="4" t="s">
        <v>151</v>
      </c>
      <c r="D14" s="4">
        <v>12000</v>
      </c>
      <c r="E14" s="4"/>
      <c r="F14" s="4"/>
      <c r="G14" s="4"/>
      <c r="H14" s="4">
        <v>300</v>
      </c>
      <c r="I14" s="3">
        <f>'OCTOBER  21'!L14:L86</f>
        <v>0</v>
      </c>
      <c r="J14" s="3">
        <f t="shared" si="1"/>
        <v>12300</v>
      </c>
      <c r="K14" s="3">
        <v>12000</v>
      </c>
      <c r="L14" s="3">
        <f t="shared" si="0"/>
        <v>300</v>
      </c>
    </row>
    <row r="15" spans="1:12" ht="15.75" x14ac:dyDescent="0.25">
      <c r="A15" s="3" t="s">
        <v>98</v>
      </c>
      <c r="B15" s="7" t="s">
        <v>81</v>
      </c>
      <c r="C15" s="8" t="s">
        <v>152</v>
      </c>
      <c r="D15" s="4">
        <v>65000</v>
      </c>
      <c r="E15" s="4"/>
      <c r="F15" s="4"/>
      <c r="G15" s="4"/>
      <c r="H15" s="4">
        <v>300</v>
      </c>
      <c r="I15" s="3">
        <f>'OCTOBER  21'!L15:L87</f>
        <v>3300</v>
      </c>
      <c r="J15" s="3">
        <f t="shared" si="1"/>
        <v>68600</v>
      </c>
      <c r="K15" s="3">
        <v>65000</v>
      </c>
      <c r="L15" s="3">
        <f t="shared" si="0"/>
        <v>3600</v>
      </c>
    </row>
    <row r="16" spans="1:12" ht="15.75" x14ac:dyDescent="0.25">
      <c r="A16" s="3" t="s">
        <v>99</v>
      </c>
      <c r="B16" s="3" t="s">
        <v>27</v>
      </c>
      <c r="C16" s="4" t="s">
        <v>28</v>
      </c>
      <c r="D16" s="4">
        <v>60000</v>
      </c>
      <c r="E16" s="4"/>
      <c r="F16" s="4"/>
      <c r="G16" s="4"/>
      <c r="H16" s="4">
        <v>300</v>
      </c>
      <c r="I16" s="3">
        <f>'OCTOBER  21'!L16:L88</f>
        <v>1200</v>
      </c>
      <c r="J16" s="3">
        <f t="shared" si="1"/>
        <v>61500</v>
      </c>
      <c r="K16" s="3">
        <v>60000</v>
      </c>
      <c r="L16" s="3">
        <f t="shared" si="0"/>
        <v>1500</v>
      </c>
    </row>
    <row r="17" spans="1:12" ht="15.75" x14ac:dyDescent="0.25">
      <c r="A17" s="3" t="s">
        <v>100</v>
      </c>
      <c r="B17" s="3" t="s">
        <v>153</v>
      </c>
      <c r="C17" s="8" t="s">
        <v>30</v>
      </c>
      <c r="D17" s="4">
        <v>15000</v>
      </c>
      <c r="E17" s="4"/>
      <c r="F17" s="4"/>
      <c r="G17" s="4"/>
      <c r="H17" s="4">
        <v>300</v>
      </c>
      <c r="I17" s="3">
        <f>'OCTOBER  21'!L17:L89</f>
        <v>43800</v>
      </c>
      <c r="J17" s="3">
        <f t="shared" si="1"/>
        <v>59100</v>
      </c>
      <c r="K17" s="3">
        <f>4000+10000</f>
        <v>14000</v>
      </c>
      <c r="L17" s="3">
        <f t="shared" si="0"/>
        <v>45100</v>
      </c>
    </row>
    <row r="18" spans="1:12" ht="15.75" x14ac:dyDescent="0.25">
      <c r="A18" s="3" t="s">
        <v>101</v>
      </c>
      <c r="B18" s="7" t="s">
        <v>32</v>
      </c>
      <c r="C18" s="8" t="s">
        <v>33</v>
      </c>
      <c r="D18" s="4">
        <v>15000</v>
      </c>
      <c r="E18" s="4"/>
      <c r="F18" s="4"/>
      <c r="G18" s="4"/>
      <c r="H18" s="4">
        <v>300</v>
      </c>
      <c r="I18" s="3">
        <f>'OCTOBER  21'!L18:L90</f>
        <v>3300</v>
      </c>
      <c r="J18" s="3">
        <f t="shared" si="1"/>
        <v>18600</v>
      </c>
      <c r="K18" s="3">
        <v>15000</v>
      </c>
      <c r="L18" s="3">
        <f t="shared" si="0"/>
        <v>3600</v>
      </c>
    </row>
    <row r="19" spans="1:12" ht="15.75" x14ac:dyDescent="0.25">
      <c r="A19" s="3" t="s">
        <v>26</v>
      </c>
      <c r="B19" s="7" t="s">
        <v>35</v>
      </c>
      <c r="C19" s="8" t="s">
        <v>36</v>
      </c>
      <c r="D19" s="4">
        <v>15000</v>
      </c>
      <c r="E19" s="4"/>
      <c r="F19" s="4"/>
      <c r="G19" s="4"/>
      <c r="H19" s="4">
        <v>300</v>
      </c>
      <c r="I19" s="3">
        <f>'OCTOBER  21'!L19:L91</f>
        <v>0</v>
      </c>
      <c r="J19" s="3">
        <f t="shared" si="1"/>
        <v>15300</v>
      </c>
      <c r="K19" s="3">
        <v>15300</v>
      </c>
      <c r="L19" s="3">
        <f t="shared" si="0"/>
        <v>0</v>
      </c>
    </row>
    <row r="20" spans="1:12" ht="15.75" x14ac:dyDescent="0.25">
      <c r="A20" s="3" t="s">
        <v>29</v>
      </c>
      <c r="B20" s="7" t="s">
        <v>167</v>
      </c>
      <c r="C20" s="8" t="s">
        <v>38</v>
      </c>
      <c r="D20" s="4">
        <v>10000</v>
      </c>
      <c r="E20" s="4"/>
      <c r="F20" s="4"/>
      <c r="G20" s="4"/>
      <c r="H20" s="4">
        <v>300</v>
      </c>
      <c r="I20" s="3">
        <f>'OCTOBER  21'!L20:L92</f>
        <v>24300</v>
      </c>
      <c r="J20" s="3">
        <f t="shared" si="1"/>
        <v>34600</v>
      </c>
      <c r="K20" s="3">
        <f>9500+9950</f>
        <v>19450</v>
      </c>
      <c r="L20" s="3">
        <f t="shared" si="0"/>
        <v>15150</v>
      </c>
    </row>
    <row r="21" spans="1:12" ht="15.75" x14ac:dyDescent="0.25">
      <c r="A21" s="3" t="s">
        <v>31</v>
      </c>
      <c r="B21" s="3" t="s">
        <v>46</v>
      </c>
      <c r="C21" s="4" t="s">
        <v>47</v>
      </c>
      <c r="D21" s="4">
        <v>10000</v>
      </c>
      <c r="E21" s="4"/>
      <c r="F21" s="4"/>
      <c r="G21" s="4"/>
      <c r="H21" s="4"/>
      <c r="I21" s="3">
        <f>'OCTOBER  21'!L21:L93</f>
        <v>0</v>
      </c>
      <c r="J21" s="3">
        <f t="shared" si="1"/>
        <v>10000</v>
      </c>
      <c r="K21" s="3">
        <v>10000</v>
      </c>
      <c r="L21" s="3">
        <f t="shared" si="0"/>
        <v>0</v>
      </c>
    </row>
    <row r="22" spans="1:12" ht="15.75" x14ac:dyDescent="0.25">
      <c r="A22" s="3" t="s">
        <v>34</v>
      </c>
      <c r="B22" s="3" t="s">
        <v>46</v>
      </c>
      <c r="C22" s="4" t="s">
        <v>47</v>
      </c>
      <c r="D22" s="4">
        <v>10000</v>
      </c>
      <c r="E22" s="4"/>
      <c r="F22" s="4"/>
      <c r="G22" s="4"/>
      <c r="H22" s="4">
        <v>300</v>
      </c>
      <c r="I22" s="3">
        <f>'OCTOBER  21'!L22:L94</f>
        <v>3300</v>
      </c>
      <c r="J22" s="3">
        <f t="shared" si="1"/>
        <v>13600</v>
      </c>
      <c r="K22" s="3">
        <v>10000</v>
      </c>
      <c r="L22" s="3">
        <f t="shared" si="0"/>
        <v>3600</v>
      </c>
    </row>
    <row r="23" spans="1:12" ht="15.75" x14ac:dyDescent="0.25">
      <c r="A23" s="3" t="s">
        <v>37</v>
      </c>
      <c r="B23" s="7" t="s">
        <v>40</v>
      </c>
      <c r="C23" s="8" t="s">
        <v>41</v>
      </c>
      <c r="D23" s="4">
        <v>12000</v>
      </c>
      <c r="E23" s="4"/>
      <c r="F23" s="4"/>
      <c r="G23" s="4"/>
      <c r="H23" s="4">
        <v>300</v>
      </c>
      <c r="I23" s="3">
        <f>'OCTOBER  21'!L23:L95</f>
        <v>33300</v>
      </c>
      <c r="J23" s="3">
        <f t="shared" si="1"/>
        <v>45600</v>
      </c>
      <c r="K23" s="3"/>
      <c r="L23" s="3">
        <f t="shared" si="0"/>
        <v>45600</v>
      </c>
    </row>
    <row r="24" spans="1:12" ht="15.75" x14ac:dyDescent="0.25">
      <c r="A24" s="3" t="s">
        <v>39</v>
      </c>
      <c r="B24" s="3" t="s">
        <v>43</v>
      </c>
      <c r="C24" s="4" t="s">
        <v>44</v>
      </c>
      <c r="D24" s="4">
        <v>10000</v>
      </c>
      <c r="E24" s="4"/>
      <c r="F24" s="4"/>
      <c r="G24" s="4"/>
      <c r="H24" s="4">
        <v>300</v>
      </c>
      <c r="I24" s="3">
        <f>'OCTOBER  21'!L24:L96</f>
        <v>5300</v>
      </c>
      <c r="J24" s="3">
        <f t="shared" si="1"/>
        <v>15600</v>
      </c>
      <c r="K24" s="3">
        <v>10000</v>
      </c>
      <c r="L24" s="3">
        <f t="shared" si="0"/>
        <v>5600</v>
      </c>
    </row>
    <row r="25" spans="1:12" ht="15.75" x14ac:dyDescent="0.25">
      <c r="A25" s="3" t="s">
        <v>42</v>
      </c>
      <c r="B25" s="7" t="s">
        <v>219</v>
      </c>
      <c r="C25" s="4"/>
      <c r="D25" s="4">
        <v>11600</v>
      </c>
      <c r="E25" s="4"/>
      <c r="F25" s="4"/>
      <c r="G25" s="4"/>
      <c r="H25" s="4">
        <v>300</v>
      </c>
      <c r="I25" s="3">
        <f>'OCTOBER  21'!L25:L97</f>
        <v>0</v>
      </c>
      <c r="J25" s="3">
        <f t="shared" si="1"/>
        <v>11900</v>
      </c>
      <c r="K25" s="3">
        <v>10000</v>
      </c>
      <c r="L25" s="3">
        <f t="shared" si="0"/>
        <v>1900</v>
      </c>
    </row>
    <row r="26" spans="1:12" ht="15.75" x14ac:dyDescent="0.25">
      <c r="A26" s="3" t="s">
        <v>45</v>
      </c>
      <c r="B26" s="5" t="s">
        <v>13</v>
      </c>
      <c r="C26" s="4"/>
      <c r="D26" s="4"/>
      <c r="E26" s="4"/>
      <c r="F26" s="4"/>
      <c r="G26" s="4"/>
      <c r="H26" s="4"/>
      <c r="I26" s="3"/>
      <c r="J26" s="3">
        <f t="shared" si="1"/>
        <v>0</v>
      </c>
      <c r="K26" s="3"/>
      <c r="L26" s="3">
        <f t="shared" si="0"/>
        <v>0</v>
      </c>
    </row>
    <row r="27" spans="1:12" ht="15.75" x14ac:dyDescent="0.25">
      <c r="A27" s="3" t="s">
        <v>48</v>
      </c>
      <c r="B27" s="3" t="s">
        <v>52</v>
      </c>
      <c r="C27" s="4" t="s">
        <v>53</v>
      </c>
      <c r="D27" s="4">
        <v>10000</v>
      </c>
      <c r="E27" s="4"/>
      <c r="F27" s="4"/>
      <c r="G27" s="4"/>
      <c r="H27" s="4">
        <v>300</v>
      </c>
      <c r="I27" s="3">
        <f>'OCTOBER  21'!L27:L99</f>
        <v>300</v>
      </c>
      <c r="J27" s="3">
        <f t="shared" si="1"/>
        <v>10600</v>
      </c>
      <c r="K27" s="3">
        <v>10000</v>
      </c>
      <c r="L27" s="3">
        <f t="shared" si="0"/>
        <v>600</v>
      </c>
    </row>
    <row r="28" spans="1:12" ht="15.75" x14ac:dyDescent="0.25">
      <c r="A28" s="3" t="s">
        <v>50</v>
      </c>
      <c r="B28" s="7" t="s">
        <v>207</v>
      </c>
      <c r="C28" s="8" t="s">
        <v>208</v>
      </c>
      <c r="D28" s="8">
        <v>11600</v>
      </c>
      <c r="E28" s="8"/>
      <c r="F28" s="8"/>
      <c r="G28" s="8"/>
      <c r="H28" s="8">
        <v>300</v>
      </c>
      <c r="I28" s="3">
        <f>'OCTOBER  21'!L28:L100</f>
        <v>0</v>
      </c>
      <c r="J28" s="7">
        <f t="shared" si="1"/>
        <v>11900</v>
      </c>
      <c r="K28" s="9">
        <v>11600</v>
      </c>
      <c r="L28" s="3">
        <f t="shared" si="0"/>
        <v>300</v>
      </c>
    </row>
    <row r="29" spans="1:12" ht="15.75" x14ac:dyDescent="0.25">
      <c r="A29" s="3" t="s">
        <v>51</v>
      </c>
      <c r="B29" s="3"/>
      <c r="C29" s="4" t="s">
        <v>71</v>
      </c>
      <c r="D29" s="4"/>
      <c r="E29" s="4"/>
      <c r="F29" s="4"/>
      <c r="G29" s="4"/>
      <c r="H29" s="4"/>
      <c r="I29" s="3"/>
      <c r="J29" s="3">
        <f t="shared" si="1"/>
        <v>0</v>
      </c>
      <c r="K29" s="3"/>
      <c r="L29" s="3">
        <f t="shared" si="0"/>
        <v>0</v>
      </c>
    </row>
    <row r="30" spans="1:12" ht="15.75" x14ac:dyDescent="0.25">
      <c r="A30" s="7" t="s">
        <v>102</v>
      </c>
      <c r="B30" s="7"/>
      <c r="C30" s="8" t="s">
        <v>69</v>
      </c>
      <c r="D30" s="4"/>
      <c r="E30" s="4"/>
      <c r="F30" s="4"/>
      <c r="G30" s="4"/>
      <c r="H30" s="4"/>
      <c r="I30" s="3"/>
      <c r="J30" s="3">
        <f t="shared" si="1"/>
        <v>0</v>
      </c>
      <c r="K30" s="3"/>
      <c r="L30" s="3">
        <f>J30-K30</f>
        <v>0</v>
      </c>
    </row>
    <row r="31" spans="1:12" ht="15.75" x14ac:dyDescent="0.25">
      <c r="A31" s="3" t="s">
        <v>103</v>
      </c>
      <c r="B31" s="3" t="s">
        <v>67</v>
      </c>
      <c r="C31" s="4" t="s">
        <v>68</v>
      </c>
      <c r="D31" s="4">
        <v>9000</v>
      </c>
      <c r="E31" s="4"/>
      <c r="F31" s="4"/>
      <c r="G31" s="4"/>
      <c r="H31" s="4">
        <v>300</v>
      </c>
      <c r="I31" s="3">
        <f>'OCTOBER  21'!L31:L103</f>
        <v>1300</v>
      </c>
      <c r="J31" s="3">
        <f t="shared" si="1"/>
        <v>10600</v>
      </c>
      <c r="K31" s="3">
        <v>5000</v>
      </c>
      <c r="L31" s="3">
        <f>J31-K31</f>
        <v>5600</v>
      </c>
    </row>
    <row r="32" spans="1:12" ht="15.75" x14ac:dyDescent="0.25">
      <c r="A32" s="3" t="s">
        <v>104</v>
      </c>
      <c r="B32" s="9" t="s">
        <v>240</v>
      </c>
      <c r="C32" s="10"/>
      <c r="D32" s="4">
        <v>11600</v>
      </c>
      <c r="E32" s="4"/>
      <c r="F32" s="4"/>
      <c r="G32" s="4"/>
      <c r="H32" s="4">
        <v>300</v>
      </c>
      <c r="I32" s="3">
        <f>'OCTOBER  21'!L32:L104</f>
        <v>0</v>
      </c>
      <c r="J32" s="3">
        <f t="shared" si="1"/>
        <v>11900</v>
      </c>
      <c r="K32" s="3">
        <f>11600+300</f>
        <v>11900</v>
      </c>
      <c r="L32" s="3">
        <f t="shared" si="0"/>
        <v>0</v>
      </c>
    </row>
    <row r="33" spans="1:12" ht="15.75" x14ac:dyDescent="0.25">
      <c r="A33" s="3" t="s">
        <v>105</v>
      </c>
      <c r="B33" s="7" t="s">
        <v>154</v>
      </c>
      <c r="C33" s="8" t="s">
        <v>155</v>
      </c>
      <c r="D33" s="4">
        <v>12000</v>
      </c>
      <c r="E33" s="4"/>
      <c r="F33" s="4"/>
      <c r="G33" s="4"/>
      <c r="H33" s="4">
        <v>300</v>
      </c>
      <c r="I33" s="3">
        <f>'OCTOBER  21'!L33:L105</f>
        <v>3300</v>
      </c>
      <c r="J33" s="3">
        <f t="shared" si="1"/>
        <v>15600</v>
      </c>
      <c r="K33" s="3"/>
      <c r="L33" s="3">
        <f>J33-K33</f>
        <v>15600</v>
      </c>
    </row>
    <row r="34" spans="1:12" ht="15.75" x14ac:dyDescent="0.25">
      <c r="A34" s="3" t="s">
        <v>106</v>
      </c>
      <c r="B34" s="3" t="s">
        <v>65</v>
      </c>
      <c r="C34" s="4" t="s">
        <v>66</v>
      </c>
      <c r="D34" s="4">
        <v>12000</v>
      </c>
      <c r="E34" s="4"/>
      <c r="F34" s="4"/>
      <c r="G34" s="4"/>
      <c r="H34" s="4">
        <v>300</v>
      </c>
      <c r="I34" s="3">
        <f>'OCTOBER  21'!L34:L106</f>
        <v>900</v>
      </c>
      <c r="J34" s="3">
        <f t="shared" si="1"/>
        <v>13200</v>
      </c>
      <c r="K34" s="3">
        <v>12000</v>
      </c>
      <c r="L34" s="3">
        <f t="shared" si="0"/>
        <v>1200</v>
      </c>
    </row>
    <row r="35" spans="1:12" ht="15.75" x14ac:dyDescent="0.25">
      <c r="A35" s="3" t="s">
        <v>107</v>
      </c>
      <c r="B35" s="3" t="s">
        <v>63</v>
      </c>
      <c r="C35" s="3" t="s">
        <v>64</v>
      </c>
      <c r="D35" s="4">
        <v>10000</v>
      </c>
      <c r="E35" s="4"/>
      <c r="F35" s="4"/>
      <c r="G35" s="4"/>
      <c r="H35" s="4">
        <v>300</v>
      </c>
      <c r="I35" s="3">
        <f>'OCTOBER  21'!L35:L107</f>
        <v>23300</v>
      </c>
      <c r="J35" s="3">
        <f t="shared" si="1"/>
        <v>33600</v>
      </c>
      <c r="K35" s="7"/>
      <c r="L35" s="3">
        <f t="shared" si="0"/>
        <v>33600</v>
      </c>
    </row>
    <row r="36" spans="1:12" ht="15.75" x14ac:dyDescent="0.25">
      <c r="A36" s="3" t="s">
        <v>108</v>
      </c>
      <c r="B36" s="7" t="s">
        <v>209</v>
      </c>
      <c r="C36" s="8"/>
      <c r="D36" s="12">
        <v>10000</v>
      </c>
      <c r="E36" s="12"/>
      <c r="F36" s="4"/>
      <c r="G36" s="12"/>
      <c r="H36" s="4">
        <v>300</v>
      </c>
      <c r="I36" s="3">
        <f>'OCTOBER  21'!L36:L108</f>
        <v>1200</v>
      </c>
      <c r="J36" s="3">
        <f t="shared" si="1"/>
        <v>11500</v>
      </c>
      <c r="K36" s="3"/>
      <c r="L36" s="3">
        <f t="shared" si="0"/>
        <v>11500</v>
      </c>
    </row>
    <row r="37" spans="1:12" ht="15.75" x14ac:dyDescent="0.25">
      <c r="A37" s="3" t="s">
        <v>109</v>
      </c>
      <c r="B37" s="7" t="s">
        <v>61</v>
      </c>
      <c r="C37" s="8" t="s">
        <v>62</v>
      </c>
      <c r="D37" s="8">
        <v>13000</v>
      </c>
      <c r="E37" s="8"/>
      <c r="F37" s="4"/>
      <c r="G37" s="8"/>
      <c r="H37" s="4">
        <v>300</v>
      </c>
      <c r="I37" s="3">
        <f>'OCTOBER  21'!L37:L109</f>
        <v>-24954</v>
      </c>
      <c r="J37" s="3">
        <f t="shared" si="1"/>
        <v>-11654</v>
      </c>
      <c r="K37" s="3"/>
      <c r="L37" s="3">
        <f t="shared" si="0"/>
        <v>-11654</v>
      </c>
    </row>
    <row r="38" spans="1:12" ht="15.75" x14ac:dyDescent="0.25">
      <c r="A38" s="3" t="s">
        <v>110</v>
      </c>
      <c r="B38" s="7" t="s">
        <v>59</v>
      </c>
      <c r="C38" s="8" t="s">
        <v>60</v>
      </c>
      <c r="D38" s="8">
        <v>10000</v>
      </c>
      <c r="E38" s="8"/>
      <c r="F38" s="4"/>
      <c r="G38" s="8"/>
      <c r="H38" s="4">
        <v>300</v>
      </c>
      <c r="I38" s="3">
        <f>'OCTOBER  21'!L38:L110</f>
        <v>1500</v>
      </c>
      <c r="J38" s="3">
        <f t="shared" si="1"/>
        <v>11800</v>
      </c>
      <c r="K38" s="3">
        <v>10300</v>
      </c>
      <c r="L38" s="3">
        <f t="shared" si="0"/>
        <v>1500</v>
      </c>
    </row>
    <row r="39" spans="1:12" ht="15.75" x14ac:dyDescent="0.25">
      <c r="A39" s="3" t="s">
        <v>111</v>
      </c>
      <c r="B39" s="3" t="s">
        <v>156</v>
      </c>
      <c r="C39" s="3" t="s">
        <v>58</v>
      </c>
      <c r="D39" s="4">
        <v>12000</v>
      </c>
      <c r="E39" s="4"/>
      <c r="F39" s="4"/>
      <c r="G39" s="4"/>
      <c r="H39" s="4">
        <v>300</v>
      </c>
      <c r="I39" s="3">
        <f>'OCTOBER  21'!L39:L111</f>
        <v>3700</v>
      </c>
      <c r="J39" s="3">
        <f t="shared" si="1"/>
        <v>16000</v>
      </c>
      <c r="K39" s="3">
        <v>10500</v>
      </c>
      <c r="L39" s="3">
        <f t="shared" si="0"/>
        <v>5500</v>
      </c>
    </row>
    <row r="40" spans="1:12" ht="15.75" x14ac:dyDescent="0.25">
      <c r="A40" s="3" t="s">
        <v>112</v>
      </c>
      <c r="B40" s="3" t="s">
        <v>56</v>
      </c>
      <c r="C40" s="4" t="s">
        <v>57</v>
      </c>
      <c r="D40" s="4">
        <v>12000</v>
      </c>
      <c r="E40" s="4"/>
      <c r="F40" s="4"/>
      <c r="G40" s="4"/>
      <c r="H40" s="4">
        <v>300</v>
      </c>
      <c r="I40" s="3">
        <f>'OCTOBER  21'!L40:L112</f>
        <v>2400</v>
      </c>
      <c r="J40" s="3">
        <f t="shared" si="1"/>
        <v>14700</v>
      </c>
      <c r="K40" s="3">
        <f>12000+2400</f>
        <v>14400</v>
      </c>
      <c r="L40" s="3">
        <f t="shared" si="0"/>
        <v>300</v>
      </c>
    </row>
    <row r="41" spans="1:12" ht="15.75" x14ac:dyDescent="0.25">
      <c r="A41" s="7" t="s">
        <v>113</v>
      </c>
      <c r="B41" s="7" t="s">
        <v>229</v>
      </c>
      <c r="C41" s="10"/>
      <c r="D41" s="4">
        <v>13920</v>
      </c>
      <c r="E41" s="4"/>
      <c r="F41" s="4"/>
      <c r="G41" s="4"/>
      <c r="H41" s="4">
        <v>300</v>
      </c>
      <c r="I41" s="3">
        <f>'OCTOBER  21'!L41:L113</f>
        <v>0</v>
      </c>
      <c r="J41" s="3">
        <f t="shared" si="1"/>
        <v>14220</v>
      </c>
      <c r="K41" s="3"/>
      <c r="L41" s="3">
        <f t="shared" si="0"/>
        <v>14220</v>
      </c>
    </row>
    <row r="42" spans="1:12" ht="15.75" x14ac:dyDescent="0.25">
      <c r="A42" s="3" t="s">
        <v>114</v>
      </c>
      <c r="B42" s="7" t="s">
        <v>55</v>
      </c>
      <c r="C42" s="4" t="s">
        <v>157</v>
      </c>
      <c r="D42" s="8">
        <v>12000</v>
      </c>
      <c r="E42" s="8"/>
      <c r="F42" s="4"/>
      <c r="G42" s="8"/>
      <c r="H42" s="4">
        <v>300</v>
      </c>
      <c r="I42" s="3">
        <f>'OCTOBER  21'!L42:L114</f>
        <v>300</v>
      </c>
      <c r="J42" s="3">
        <f t="shared" si="1"/>
        <v>12600</v>
      </c>
      <c r="K42" s="3">
        <f>12000</f>
        <v>12000</v>
      </c>
      <c r="L42" s="3">
        <f t="shared" si="0"/>
        <v>600</v>
      </c>
    </row>
    <row r="43" spans="1:12" ht="15.75" x14ac:dyDescent="0.25">
      <c r="A43" s="3" t="s">
        <v>115</v>
      </c>
      <c r="B43" s="3" t="s">
        <v>54</v>
      </c>
      <c r="C43" s="4" t="s">
        <v>158</v>
      </c>
      <c r="D43" s="4">
        <v>12000</v>
      </c>
      <c r="E43" s="4"/>
      <c r="F43" s="4"/>
      <c r="G43" s="4"/>
      <c r="H43" s="4">
        <v>300</v>
      </c>
      <c r="I43" s="3">
        <f>'OCTOBER  21'!L43:L115</f>
        <v>0</v>
      </c>
      <c r="J43" s="3">
        <f t="shared" si="1"/>
        <v>12300</v>
      </c>
      <c r="K43" s="3">
        <v>12300</v>
      </c>
      <c r="L43" s="3">
        <f t="shared" si="0"/>
        <v>0</v>
      </c>
    </row>
    <row r="44" spans="1:12" ht="15.75" x14ac:dyDescent="0.25">
      <c r="A44" s="3" t="s">
        <v>116</v>
      </c>
      <c r="B44" s="9" t="s">
        <v>172</v>
      </c>
      <c r="C44" s="8"/>
      <c r="D44" s="4">
        <f>10000+1600</f>
        <v>11600</v>
      </c>
      <c r="E44" s="4"/>
      <c r="F44" s="4"/>
      <c r="G44" s="4"/>
      <c r="H44" s="4">
        <v>300</v>
      </c>
      <c r="I44" s="3">
        <f>'OCTOBER  21'!L44:L116</f>
        <v>0</v>
      </c>
      <c r="J44" s="3">
        <f t="shared" si="1"/>
        <v>11900</v>
      </c>
      <c r="K44" s="3">
        <v>11900</v>
      </c>
      <c r="L44" s="3">
        <f t="shared" si="0"/>
        <v>0</v>
      </c>
    </row>
    <row r="45" spans="1:12" ht="15.75" x14ac:dyDescent="0.25">
      <c r="A45" s="3" t="s">
        <v>117</v>
      </c>
      <c r="B45" s="5" t="s">
        <v>13</v>
      </c>
      <c r="C45" s="4"/>
      <c r="D45" s="4"/>
      <c r="E45" s="4"/>
      <c r="F45" s="4"/>
      <c r="G45" s="4"/>
      <c r="H45" s="4"/>
      <c r="I45" s="3">
        <f>'OCTOBER  21'!L45:L117</f>
        <v>0</v>
      </c>
      <c r="J45" s="3">
        <f t="shared" si="1"/>
        <v>0</v>
      </c>
      <c r="K45" s="3"/>
      <c r="L45" s="3">
        <f t="shared" si="0"/>
        <v>0</v>
      </c>
    </row>
    <row r="46" spans="1:12" ht="15.75" x14ac:dyDescent="0.25">
      <c r="A46" s="3" t="s">
        <v>118</v>
      </c>
      <c r="B46" s="5" t="s">
        <v>13</v>
      </c>
      <c r="C46" s="4"/>
      <c r="D46" s="4"/>
      <c r="E46" s="4"/>
      <c r="F46" s="4"/>
      <c r="G46" s="4"/>
      <c r="H46" s="4"/>
      <c r="I46" s="3">
        <f>'OCTOBER  21'!L46:L118</f>
        <v>0</v>
      </c>
      <c r="J46" s="3">
        <f t="shared" si="1"/>
        <v>0</v>
      </c>
      <c r="K46" s="3"/>
      <c r="L46" s="3">
        <f t="shared" si="0"/>
        <v>0</v>
      </c>
    </row>
    <row r="47" spans="1:12" ht="15.75" x14ac:dyDescent="0.25">
      <c r="A47" s="3" t="s">
        <v>119</v>
      </c>
      <c r="B47" s="5" t="s">
        <v>13</v>
      </c>
      <c r="C47" s="4"/>
      <c r="D47" s="4"/>
      <c r="E47" s="4"/>
      <c r="F47" s="4"/>
      <c r="G47" s="4"/>
      <c r="H47" s="4"/>
      <c r="I47" s="3">
        <f>'OCTOBER  21'!L47:L119</f>
        <v>0</v>
      </c>
      <c r="J47" s="3">
        <f t="shared" si="1"/>
        <v>0</v>
      </c>
      <c r="K47" s="3"/>
      <c r="L47" s="3">
        <f t="shared" si="0"/>
        <v>0</v>
      </c>
    </row>
    <row r="48" spans="1:12" ht="15.75" x14ac:dyDescent="0.25">
      <c r="A48" s="3" t="s">
        <v>120</v>
      </c>
      <c r="B48" s="7" t="s">
        <v>168</v>
      </c>
      <c r="C48" s="4" t="s">
        <v>80</v>
      </c>
      <c r="D48" s="4"/>
      <c r="E48" s="4"/>
      <c r="F48" s="4"/>
      <c r="G48" s="4"/>
      <c r="H48" s="4"/>
      <c r="I48" s="3">
        <f>'OCTOBER  21'!L48:L120</f>
        <v>0</v>
      </c>
      <c r="J48" s="3">
        <f t="shared" si="1"/>
        <v>0</v>
      </c>
      <c r="K48" s="3"/>
      <c r="L48" s="3">
        <f t="shared" si="0"/>
        <v>0</v>
      </c>
    </row>
    <row r="49" spans="1:12" ht="15.75" x14ac:dyDescent="0.25">
      <c r="A49" s="3" t="s">
        <v>121</v>
      </c>
      <c r="B49" s="7" t="s">
        <v>168</v>
      </c>
      <c r="C49" s="8" t="s">
        <v>80</v>
      </c>
      <c r="D49" s="4">
        <v>12000</v>
      </c>
      <c r="E49" s="4"/>
      <c r="F49" s="4"/>
      <c r="G49" s="4"/>
      <c r="H49" s="4">
        <v>300</v>
      </c>
      <c r="I49" s="3">
        <f>'OCTOBER  21'!L49:L121</f>
        <v>1500</v>
      </c>
      <c r="J49" s="3">
        <f t="shared" si="1"/>
        <v>13800</v>
      </c>
      <c r="K49" s="3">
        <v>12300</v>
      </c>
      <c r="L49" s="3">
        <f t="shared" si="0"/>
        <v>1500</v>
      </c>
    </row>
    <row r="50" spans="1:12" ht="15.75" x14ac:dyDescent="0.25">
      <c r="A50" s="3" t="s">
        <v>122</v>
      </c>
      <c r="B50" s="13" t="s">
        <v>13</v>
      </c>
      <c r="C50" s="4"/>
      <c r="D50" s="4"/>
      <c r="E50" s="4"/>
      <c r="F50" s="4"/>
      <c r="G50" s="4"/>
      <c r="H50" s="4"/>
      <c r="I50" s="3">
        <f>'OCTOBER  21'!L50:L122</f>
        <v>0</v>
      </c>
      <c r="J50" s="3">
        <f t="shared" si="1"/>
        <v>0</v>
      </c>
      <c r="K50" s="3"/>
      <c r="L50" s="3">
        <f t="shared" si="0"/>
        <v>0</v>
      </c>
    </row>
    <row r="51" spans="1:12" ht="15.75" x14ac:dyDescent="0.25">
      <c r="A51" s="3" t="s">
        <v>123</v>
      </c>
      <c r="B51" s="5" t="s">
        <v>13</v>
      </c>
      <c r="C51" s="4"/>
      <c r="D51" s="4"/>
      <c r="E51" s="4"/>
      <c r="F51" s="4"/>
      <c r="G51" s="4"/>
      <c r="H51" s="4"/>
      <c r="I51" s="3">
        <f>'OCTOBER  21'!L51:L123</f>
        <v>0</v>
      </c>
      <c r="J51" s="3">
        <f t="shared" si="1"/>
        <v>0</v>
      </c>
      <c r="K51" s="3"/>
      <c r="L51" s="3">
        <f t="shared" si="0"/>
        <v>0</v>
      </c>
    </row>
    <row r="52" spans="1:12" ht="15.75" x14ac:dyDescent="0.25">
      <c r="A52" s="3" t="s">
        <v>124</v>
      </c>
      <c r="B52" s="3" t="s">
        <v>78</v>
      </c>
      <c r="C52" s="4" t="s">
        <v>79</v>
      </c>
      <c r="D52" s="4">
        <v>9870</v>
      </c>
      <c r="E52" s="4"/>
      <c r="F52" s="4"/>
      <c r="G52" s="4"/>
      <c r="H52" s="4">
        <v>300</v>
      </c>
      <c r="I52" s="3">
        <f>'OCTOBER  21'!L52:L124</f>
        <v>4920</v>
      </c>
      <c r="J52" s="3">
        <f t="shared" si="1"/>
        <v>15090</v>
      </c>
      <c r="K52" s="3">
        <v>10000</v>
      </c>
      <c r="L52" s="3">
        <f t="shared" si="0"/>
        <v>5090</v>
      </c>
    </row>
    <row r="53" spans="1:12" ht="15.75" x14ac:dyDescent="0.25">
      <c r="A53" s="3" t="s">
        <v>125</v>
      </c>
      <c r="B53" s="13" t="s">
        <v>13</v>
      </c>
      <c r="C53" s="4"/>
      <c r="D53" s="4"/>
      <c r="E53" s="4"/>
      <c r="F53" s="4"/>
      <c r="G53" s="4"/>
      <c r="H53" s="4"/>
      <c r="I53" s="3">
        <f>'OCTOBER  21'!L53:L125</f>
        <v>0</v>
      </c>
      <c r="J53" s="3">
        <f t="shared" si="1"/>
        <v>0</v>
      </c>
      <c r="K53" s="3"/>
      <c r="L53" s="3">
        <f t="shared" si="0"/>
        <v>0</v>
      </c>
    </row>
    <row r="54" spans="1:12" ht="15.75" x14ac:dyDescent="0.25">
      <c r="A54" s="3" t="s">
        <v>126</v>
      </c>
      <c r="B54" s="5" t="s">
        <v>13</v>
      </c>
      <c r="C54" s="4"/>
      <c r="D54" s="4"/>
      <c r="E54" s="4"/>
      <c r="F54" s="4"/>
      <c r="G54" s="4"/>
      <c r="H54" s="4"/>
      <c r="I54" s="3">
        <f>'OCTOBER  21'!L54:L126</f>
        <v>0</v>
      </c>
      <c r="J54" s="3">
        <f t="shared" si="1"/>
        <v>0</v>
      </c>
      <c r="K54" s="3"/>
      <c r="L54" s="3">
        <f t="shared" si="0"/>
        <v>0</v>
      </c>
    </row>
    <row r="55" spans="1:12" ht="15.75" x14ac:dyDescent="0.25">
      <c r="A55" s="3" t="s">
        <v>127</v>
      </c>
      <c r="B55" s="13" t="s">
        <v>13</v>
      </c>
      <c r="C55" s="4"/>
      <c r="D55" s="4"/>
      <c r="E55" s="4"/>
      <c r="F55" s="4"/>
      <c r="G55" s="4"/>
      <c r="H55" s="4"/>
      <c r="I55" s="3">
        <f>'OCTOBER  21'!L55:L127</f>
        <v>0</v>
      </c>
      <c r="J55" s="3">
        <f t="shared" si="1"/>
        <v>0</v>
      </c>
      <c r="K55" s="3"/>
      <c r="L55" s="3">
        <f t="shared" si="0"/>
        <v>0</v>
      </c>
    </row>
    <row r="56" spans="1:12" ht="15.75" x14ac:dyDescent="0.25">
      <c r="A56" s="3" t="s">
        <v>128</v>
      </c>
      <c r="B56" s="13" t="s">
        <v>13</v>
      </c>
      <c r="C56" s="4"/>
      <c r="D56" s="4"/>
      <c r="E56" s="4"/>
      <c r="F56" s="4"/>
      <c r="G56" s="4"/>
      <c r="H56" s="4"/>
      <c r="I56" s="3">
        <f>'OCTOBER  21'!L56:L128</f>
        <v>0</v>
      </c>
      <c r="J56" s="3">
        <f t="shared" si="1"/>
        <v>0</v>
      </c>
      <c r="K56" s="3"/>
      <c r="L56" s="3">
        <f t="shared" si="0"/>
        <v>0</v>
      </c>
    </row>
    <row r="57" spans="1:12" ht="15.75" x14ac:dyDescent="0.25">
      <c r="A57" s="3" t="s">
        <v>129</v>
      </c>
      <c r="B57" s="13" t="s">
        <v>13</v>
      </c>
      <c r="C57" s="4"/>
      <c r="D57" s="4"/>
      <c r="E57" s="4"/>
      <c r="F57" s="4"/>
      <c r="G57" s="4"/>
      <c r="H57" s="4"/>
      <c r="I57" s="3">
        <f>'OCTOBER  21'!L57:L129</f>
        <v>0</v>
      </c>
      <c r="J57" s="3">
        <f t="shared" si="1"/>
        <v>0</v>
      </c>
      <c r="K57" s="3"/>
      <c r="L57" s="3">
        <f t="shared" si="0"/>
        <v>0</v>
      </c>
    </row>
    <row r="58" spans="1:12" ht="15.75" x14ac:dyDescent="0.25">
      <c r="A58" s="3" t="s">
        <v>130</v>
      </c>
      <c r="B58" s="5" t="s">
        <v>13</v>
      </c>
      <c r="C58" s="4"/>
      <c r="D58" s="4"/>
      <c r="E58" s="4"/>
      <c r="F58" s="4"/>
      <c r="G58" s="4"/>
      <c r="H58" s="4"/>
      <c r="I58" s="3">
        <f>'OCTOBER  21'!L58:L130</f>
        <v>0</v>
      </c>
      <c r="J58" s="3">
        <f t="shared" si="1"/>
        <v>0</v>
      </c>
      <c r="K58" s="3"/>
      <c r="L58" s="3">
        <f t="shared" si="0"/>
        <v>0</v>
      </c>
    </row>
    <row r="59" spans="1:12" ht="15.75" x14ac:dyDescent="0.25">
      <c r="A59" s="3" t="s">
        <v>131</v>
      </c>
      <c r="B59" s="13" t="s">
        <v>13</v>
      </c>
      <c r="C59" s="4"/>
      <c r="D59" s="4"/>
      <c r="E59" s="4"/>
      <c r="F59" s="4"/>
      <c r="G59" s="4"/>
      <c r="H59" s="4"/>
      <c r="I59" s="3">
        <f>'OCTOBER  21'!L59:L131</f>
        <v>0</v>
      </c>
      <c r="J59" s="3">
        <f t="shared" si="1"/>
        <v>0</v>
      </c>
      <c r="K59" s="3"/>
      <c r="L59" s="3">
        <f t="shared" si="0"/>
        <v>0</v>
      </c>
    </row>
    <row r="60" spans="1:12" ht="15.75" x14ac:dyDescent="0.25">
      <c r="A60" s="3" t="s">
        <v>132</v>
      </c>
      <c r="B60" s="7" t="s">
        <v>184</v>
      </c>
      <c r="C60" s="4"/>
      <c r="D60" s="4"/>
      <c r="E60" s="4"/>
      <c r="F60" s="4"/>
      <c r="G60" s="4"/>
      <c r="H60" s="4"/>
      <c r="I60" s="3">
        <f>'OCTOBER  21'!L60:L132</f>
        <v>4140</v>
      </c>
      <c r="J60" s="3">
        <f t="shared" si="1"/>
        <v>4140</v>
      </c>
      <c r="K60" s="3"/>
      <c r="L60" s="3">
        <f t="shared" si="0"/>
        <v>4140</v>
      </c>
    </row>
    <row r="61" spans="1:12" ht="15.75" x14ac:dyDescent="0.25">
      <c r="A61" s="3" t="s">
        <v>133</v>
      </c>
      <c r="B61" s="13" t="s">
        <v>13</v>
      </c>
      <c r="C61" s="4"/>
      <c r="D61" s="4"/>
      <c r="E61" s="4"/>
      <c r="F61" s="4"/>
      <c r="G61" s="4"/>
      <c r="H61" s="4"/>
      <c r="I61" s="3">
        <f>'OCTOBER  21'!L61:L133</f>
        <v>0</v>
      </c>
      <c r="J61" s="3">
        <f t="shared" si="1"/>
        <v>0</v>
      </c>
      <c r="K61" s="3"/>
      <c r="L61" s="3">
        <f t="shared" si="0"/>
        <v>0</v>
      </c>
    </row>
    <row r="62" spans="1:12" ht="15.75" x14ac:dyDescent="0.25">
      <c r="A62" s="3" t="s">
        <v>134</v>
      </c>
      <c r="B62" s="7" t="s">
        <v>159</v>
      </c>
      <c r="C62" s="4" t="s">
        <v>159</v>
      </c>
      <c r="D62" s="4">
        <v>8000</v>
      </c>
      <c r="E62" s="4"/>
      <c r="F62" s="4"/>
      <c r="G62" s="4"/>
      <c r="H62" s="4">
        <v>300</v>
      </c>
      <c r="I62" s="3">
        <f>'OCTOBER  21'!L62:L134</f>
        <v>1500</v>
      </c>
      <c r="J62" s="3">
        <f t="shared" si="1"/>
        <v>9800</v>
      </c>
      <c r="K62" s="3">
        <f>8300</f>
        <v>8300</v>
      </c>
      <c r="L62" s="3">
        <f t="shared" si="0"/>
        <v>1500</v>
      </c>
    </row>
    <row r="63" spans="1:12" ht="15.75" x14ac:dyDescent="0.25">
      <c r="A63" s="3" t="s">
        <v>135</v>
      </c>
      <c r="B63" s="3" t="s">
        <v>160</v>
      </c>
      <c r="C63" s="4" t="s">
        <v>76</v>
      </c>
      <c r="D63" s="4">
        <v>8000</v>
      </c>
      <c r="E63" s="4"/>
      <c r="F63" s="4"/>
      <c r="G63" s="4"/>
      <c r="H63" s="4">
        <v>300</v>
      </c>
      <c r="I63" s="3">
        <f>'OCTOBER  21'!L63:L135</f>
        <v>8800</v>
      </c>
      <c r="J63" s="3">
        <f t="shared" si="1"/>
        <v>17100</v>
      </c>
      <c r="K63" s="3">
        <v>3000</v>
      </c>
      <c r="L63" s="3">
        <f t="shared" si="0"/>
        <v>14100</v>
      </c>
    </row>
    <row r="64" spans="1:12" ht="15.75" x14ac:dyDescent="0.25">
      <c r="A64" s="3" t="s">
        <v>136</v>
      </c>
      <c r="B64" s="3" t="s">
        <v>74</v>
      </c>
      <c r="C64" s="4" t="s">
        <v>75</v>
      </c>
      <c r="D64" s="4">
        <v>8000</v>
      </c>
      <c r="E64" s="4"/>
      <c r="F64" s="4"/>
      <c r="G64" s="4"/>
      <c r="H64" s="4">
        <v>300</v>
      </c>
      <c r="I64" s="3">
        <f>'OCTOBER  21'!L64:L136</f>
        <v>8800</v>
      </c>
      <c r="J64" s="3">
        <f t="shared" si="1"/>
        <v>17100</v>
      </c>
      <c r="K64" s="3">
        <v>9000</v>
      </c>
      <c r="L64" s="3">
        <f t="shared" si="0"/>
        <v>8100</v>
      </c>
    </row>
    <row r="65" spans="1:12" ht="15.75" x14ac:dyDescent="0.25">
      <c r="A65" s="3" t="s">
        <v>137</v>
      </c>
      <c r="B65" s="7" t="s">
        <v>161</v>
      </c>
      <c r="C65" s="4" t="s">
        <v>162</v>
      </c>
      <c r="D65" s="4">
        <v>8000</v>
      </c>
      <c r="E65" s="4"/>
      <c r="F65" s="4"/>
      <c r="G65" s="4"/>
      <c r="H65" s="4">
        <v>300</v>
      </c>
      <c r="I65" s="3">
        <f>'OCTOBER  21'!L65:L137</f>
        <v>25300</v>
      </c>
      <c r="J65" s="3">
        <f t="shared" si="1"/>
        <v>33600</v>
      </c>
      <c r="K65" s="3"/>
      <c r="L65" s="3">
        <f t="shared" si="0"/>
        <v>33600</v>
      </c>
    </row>
    <row r="66" spans="1:12" ht="15.75" x14ac:dyDescent="0.25">
      <c r="A66" s="3" t="s">
        <v>138</v>
      </c>
      <c r="B66" s="7" t="s">
        <v>173</v>
      </c>
      <c r="C66" s="15"/>
      <c r="D66" s="4">
        <v>6500</v>
      </c>
      <c r="E66" s="4"/>
      <c r="F66" s="4"/>
      <c r="G66" s="4"/>
      <c r="H66" s="4">
        <v>300</v>
      </c>
      <c r="I66" s="3">
        <f>'OCTOBER  21'!L66:L138</f>
        <v>22800</v>
      </c>
      <c r="J66" s="3">
        <f t="shared" si="1"/>
        <v>29600</v>
      </c>
      <c r="K66" s="3"/>
      <c r="L66" s="3">
        <f t="shared" si="0"/>
        <v>29600</v>
      </c>
    </row>
    <row r="67" spans="1:12" ht="15.75" x14ac:dyDescent="0.25">
      <c r="A67" s="3" t="s">
        <v>139</v>
      </c>
      <c r="B67" s="7" t="s">
        <v>173</v>
      </c>
      <c r="C67" s="15"/>
      <c r="D67" s="4">
        <v>6500</v>
      </c>
      <c r="E67" s="4"/>
      <c r="F67" s="4"/>
      <c r="G67" s="4"/>
      <c r="H67" s="4"/>
      <c r="I67" s="3">
        <f>'OCTOBER  21'!L67:L139</f>
        <v>15500</v>
      </c>
      <c r="J67" s="3">
        <f t="shared" si="1"/>
        <v>22000</v>
      </c>
      <c r="K67" s="3"/>
      <c r="L67" s="3">
        <f t="shared" si="0"/>
        <v>22000</v>
      </c>
    </row>
    <row r="68" spans="1:12" ht="15.75" x14ac:dyDescent="0.25">
      <c r="A68" s="3" t="s">
        <v>140</v>
      </c>
      <c r="B68" s="7" t="s">
        <v>82</v>
      </c>
      <c r="C68" s="4" t="s">
        <v>163</v>
      </c>
      <c r="D68" s="4">
        <v>15000</v>
      </c>
      <c r="E68" s="4"/>
      <c r="F68" s="4"/>
      <c r="G68" s="4"/>
      <c r="H68" s="4">
        <v>300</v>
      </c>
      <c r="I68" s="3">
        <f>'OCTOBER  21'!L68:L140</f>
        <v>2400</v>
      </c>
      <c r="J68" s="3">
        <f t="shared" si="1"/>
        <v>17700</v>
      </c>
      <c r="K68" s="3">
        <v>14100</v>
      </c>
      <c r="L68" s="3">
        <f t="shared" si="0"/>
        <v>3600</v>
      </c>
    </row>
    <row r="69" spans="1:12" ht="15.75" x14ac:dyDescent="0.25">
      <c r="A69" s="3" t="s">
        <v>141</v>
      </c>
      <c r="B69" s="7" t="s">
        <v>83</v>
      </c>
      <c r="C69" s="4" t="s">
        <v>84</v>
      </c>
      <c r="D69" s="4">
        <v>15000</v>
      </c>
      <c r="E69" s="4"/>
      <c r="F69" s="4"/>
      <c r="G69" s="4"/>
      <c r="H69" s="4">
        <v>300</v>
      </c>
      <c r="I69" s="3">
        <f>'OCTOBER  21'!L69:L141</f>
        <v>3000</v>
      </c>
      <c r="J69" s="3">
        <f t="shared" si="1"/>
        <v>18300</v>
      </c>
      <c r="K69" s="3">
        <v>15600</v>
      </c>
      <c r="L69" s="3">
        <f t="shared" ref="L69:L74" si="2">J69-K69</f>
        <v>2700</v>
      </c>
    </row>
    <row r="70" spans="1:12" ht="15.75" x14ac:dyDescent="0.25">
      <c r="A70" s="3" t="s">
        <v>142</v>
      </c>
      <c r="B70" s="7" t="s">
        <v>87</v>
      </c>
      <c r="C70" s="8" t="s">
        <v>86</v>
      </c>
      <c r="D70" s="4">
        <v>20000</v>
      </c>
      <c r="E70" s="15"/>
      <c r="F70" s="4"/>
      <c r="G70" s="4"/>
      <c r="H70" s="4">
        <v>300</v>
      </c>
      <c r="I70" s="3">
        <f>'OCTOBER  21'!L70:L142</f>
        <v>23600</v>
      </c>
      <c r="J70" s="7">
        <f>D70+E70+F70+G70+H70+I70</f>
        <v>43900</v>
      </c>
      <c r="K70" s="7">
        <f>20000</f>
        <v>20000</v>
      </c>
      <c r="L70" s="3">
        <f t="shared" si="2"/>
        <v>23900</v>
      </c>
    </row>
    <row r="71" spans="1:12" ht="15.75" x14ac:dyDescent="0.25">
      <c r="A71" s="3" t="s">
        <v>143</v>
      </c>
      <c r="B71" s="3" t="s">
        <v>87</v>
      </c>
      <c r="C71" s="4" t="s">
        <v>88</v>
      </c>
      <c r="D71" s="4">
        <v>20000</v>
      </c>
      <c r="E71" s="4"/>
      <c r="F71" s="4"/>
      <c r="G71" s="4"/>
      <c r="H71" s="4"/>
      <c r="I71" s="3">
        <f>'OCTOBER  21'!L71:L143</f>
        <v>0</v>
      </c>
      <c r="J71" s="3">
        <f t="shared" ref="J71:J77" si="3">D71+E71+F71+G71+H71+I71</f>
        <v>20000</v>
      </c>
      <c r="K71" s="3">
        <v>20000</v>
      </c>
      <c r="L71" s="3">
        <f t="shared" si="2"/>
        <v>0</v>
      </c>
    </row>
    <row r="72" spans="1:12" ht="15.75" x14ac:dyDescent="0.25">
      <c r="A72" s="3" t="s">
        <v>144</v>
      </c>
      <c r="B72" s="27" t="s">
        <v>89</v>
      </c>
      <c r="C72" s="28" t="s">
        <v>164</v>
      </c>
      <c r="D72" s="4"/>
      <c r="E72" s="4"/>
      <c r="F72" s="4"/>
      <c r="G72" s="4"/>
      <c r="H72" s="4"/>
      <c r="I72" s="3">
        <f>'OCTOBER  21'!L72:L144</f>
        <v>0</v>
      </c>
      <c r="J72" s="3">
        <f t="shared" si="3"/>
        <v>0</v>
      </c>
      <c r="K72" s="3"/>
      <c r="L72" s="3">
        <f t="shared" si="2"/>
        <v>0</v>
      </c>
    </row>
    <row r="73" spans="1:12" ht="15.75" x14ac:dyDescent="0.25">
      <c r="A73" s="3" t="s">
        <v>145</v>
      </c>
      <c r="B73" s="7" t="s">
        <v>165</v>
      </c>
      <c r="C73" s="4" t="s">
        <v>166</v>
      </c>
      <c r="D73" s="4">
        <v>15000</v>
      </c>
      <c r="E73" s="4"/>
      <c r="F73" s="4"/>
      <c r="G73" s="4"/>
      <c r="H73" s="4">
        <v>300</v>
      </c>
      <c r="I73" s="3">
        <f>'OCTOBER  21'!L73:L145</f>
        <v>28300</v>
      </c>
      <c r="J73" s="3">
        <f t="shared" si="3"/>
        <v>43600</v>
      </c>
      <c r="K73" s="3"/>
      <c r="L73" s="3">
        <f t="shared" si="2"/>
        <v>43600</v>
      </c>
    </row>
    <row r="74" spans="1:12" ht="15.75" x14ac:dyDescent="0.25">
      <c r="A74" s="3" t="s">
        <v>146</v>
      </c>
      <c r="B74" s="3" t="s">
        <v>90</v>
      </c>
      <c r="C74" s="4"/>
      <c r="D74" s="4"/>
      <c r="E74" s="4"/>
      <c r="F74" s="4"/>
      <c r="G74" s="4"/>
      <c r="H74" s="4"/>
      <c r="I74" s="3">
        <f>'OCTOBER  21'!L74:L146</f>
        <v>0</v>
      </c>
      <c r="J74" s="3">
        <f t="shared" si="3"/>
        <v>0</v>
      </c>
      <c r="K74" s="3"/>
      <c r="L74" s="3">
        <f t="shared" si="2"/>
        <v>0</v>
      </c>
    </row>
    <row r="75" spans="1:12" ht="15.75" x14ac:dyDescent="0.25">
      <c r="A75" s="3" t="s">
        <v>179</v>
      </c>
      <c r="B75" s="7" t="s">
        <v>243</v>
      </c>
      <c r="D75" s="4"/>
      <c r="E75" s="4"/>
      <c r="F75" s="4"/>
      <c r="G75" s="4"/>
      <c r="H75" s="4"/>
      <c r="I75" s="3">
        <f>'OCTOBER  21'!L75:L147</f>
        <v>2000</v>
      </c>
      <c r="J75" s="3">
        <f t="shared" si="3"/>
        <v>2000</v>
      </c>
      <c r="K75" s="3"/>
      <c r="L75" s="3"/>
    </row>
    <row r="76" spans="1:12" ht="15.75" x14ac:dyDescent="0.25">
      <c r="A76" s="3" t="s">
        <v>180</v>
      </c>
      <c r="B76" s="7" t="s">
        <v>223</v>
      </c>
      <c r="C76" s="4"/>
      <c r="D76" s="4">
        <v>23000</v>
      </c>
      <c r="E76" s="4"/>
      <c r="F76" s="4"/>
      <c r="G76" s="4"/>
      <c r="H76" s="4">
        <v>300</v>
      </c>
      <c r="I76" s="3">
        <f>'OCTOBER  21'!L76:L148</f>
        <v>3500</v>
      </c>
      <c r="J76" s="3">
        <f t="shared" si="3"/>
        <v>26800</v>
      </c>
      <c r="K76" s="3">
        <v>23000</v>
      </c>
      <c r="L76" s="3">
        <f>J76-K76</f>
        <v>3800</v>
      </c>
    </row>
    <row r="77" spans="1:12" ht="15.75" x14ac:dyDescent="0.25">
      <c r="A77" s="3" t="s">
        <v>181</v>
      </c>
      <c r="B77" s="5" t="s">
        <v>13</v>
      </c>
      <c r="C77" s="8"/>
      <c r="D77" s="4"/>
      <c r="E77" s="4"/>
      <c r="F77" s="4"/>
      <c r="G77" s="4"/>
      <c r="H77" s="4"/>
      <c r="I77" s="3">
        <f>'OCTOBER  21'!L77:L149</f>
        <v>0</v>
      </c>
      <c r="J77" s="3">
        <f t="shared" si="3"/>
        <v>0</v>
      </c>
      <c r="K77" s="7"/>
      <c r="L77" s="3">
        <f>J77-K77</f>
        <v>0</v>
      </c>
    </row>
    <row r="78" spans="1:12" ht="15.75" x14ac:dyDescent="0.25">
      <c r="A78" s="3"/>
      <c r="B78" s="3" t="s">
        <v>91</v>
      </c>
      <c r="C78" s="4"/>
      <c r="D78" s="4">
        <f t="shared" ref="D78:L78" si="4">SUM(D5:D77)</f>
        <v>952270</v>
      </c>
      <c r="E78" s="4">
        <f t="shared" si="4"/>
        <v>0</v>
      </c>
      <c r="F78" s="4">
        <f t="shared" si="4"/>
        <v>0</v>
      </c>
      <c r="G78" s="4">
        <f t="shared" si="4"/>
        <v>0</v>
      </c>
      <c r="H78" s="4">
        <f t="shared" si="4"/>
        <v>13200</v>
      </c>
      <c r="I78" s="3">
        <f>SUM(I5:I77)</f>
        <v>378306</v>
      </c>
      <c r="J78" s="3">
        <f t="shared" si="4"/>
        <v>1343776</v>
      </c>
      <c r="K78" s="3">
        <f t="shared" si="4"/>
        <v>847630</v>
      </c>
      <c r="L78" s="3">
        <f t="shared" si="4"/>
        <v>494146</v>
      </c>
    </row>
    <row r="79" spans="1:12" ht="15.75" x14ac:dyDescent="0.25">
      <c r="A79" s="1"/>
      <c r="B79" s="1" t="s">
        <v>206</v>
      </c>
      <c r="C79" s="16"/>
      <c r="D79" s="17">
        <f>100/116*D78</f>
        <v>820922.41379310342</v>
      </c>
      <c r="E79" s="17"/>
      <c r="F79" s="17"/>
      <c r="G79" s="17"/>
      <c r="H79" s="17"/>
      <c r="I79" s="3">
        <f>'SEPT 21'!L79:L152</f>
        <v>0</v>
      </c>
      <c r="J79" s="18"/>
      <c r="K79" s="18"/>
      <c r="L79" s="17"/>
    </row>
    <row r="80" spans="1:12" x14ac:dyDescent="0.25">
      <c r="D80" s="25"/>
      <c r="K80" s="34"/>
    </row>
    <row r="81" spans="2:11" ht="15.75" x14ac:dyDescent="0.25">
      <c r="B81" s="2" t="s">
        <v>185</v>
      </c>
      <c r="C81" s="2"/>
      <c r="D81" s="2"/>
      <c r="E81" s="2"/>
      <c r="F81" s="2"/>
      <c r="G81" s="2"/>
      <c r="H81" s="19"/>
      <c r="I81" s="2" t="s">
        <v>177</v>
      </c>
      <c r="J81" s="1"/>
      <c r="K81" s="2"/>
    </row>
    <row r="82" spans="2:11" ht="15.75" x14ac:dyDescent="0.25">
      <c r="B82" s="3" t="s">
        <v>186</v>
      </c>
      <c r="C82" s="3" t="s">
        <v>187</v>
      </c>
      <c r="D82" s="3"/>
      <c r="E82" s="3" t="s">
        <v>188</v>
      </c>
      <c r="F82" s="3" t="s">
        <v>189</v>
      </c>
      <c r="G82" s="3" t="s">
        <v>186</v>
      </c>
      <c r="H82" s="3" t="s">
        <v>187</v>
      </c>
      <c r="I82" s="3" t="s">
        <v>188</v>
      </c>
      <c r="J82" s="3" t="s">
        <v>8</v>
      </c>
      <c r="K82" s="2"/>
    </row>
    <row r="83" spans="2:11" ht="15.75" x14ac:dyDescent="0.25">
      <c r="B83" s="3" t="s">
        <v>245</v>
      </c>
      <c r="C83" s="22">
        <f>D79</f>
        <v>820922.41379310342</v>
      </c>
      <c r="D83" s="22"/>
      <c r="E83" s="3"/>
      <c r="F83" s="3"/>
      <c r="G83" s="3" t="s">
        <v>245</v>
      </c>
      <c r="H83" s="22">
        <f>K78</f>
        <v>847630</v>
      </c>
      <c r="I83" s="3"/>
      <c r="J83" s="11"/>
      <c r="K83" s="2"/>
    </row>
    <row r="84" spans="2:11" ht="15.75" x14ac:dyDescent="0.25">
      <c r="B84" s="3" t="s">
        <v>175</v>
      </c>
      <c r="C84" s="22">
        <f>H78</f>
        <v>13200</v>
      </c>
      <c r="D84" s="22"/>
      <c r="E84" s="3"/>
      <c r="F84" s="3"/>
      <c r="G84" s="3"/>
      <c r="H84" s="22"/>
      <c r="I84" s="3"/>
      <c r="J84" s="11"/>
      <c r="K84" s="33"/>
    </row>
    <row r="85" spans="2:11" ht="15.75" x14ac:dyDescent="0.25">
      <c r="B85" s="3" t="s">
        <v>191</v>
      </c>
      <c r="C85" s="22">
        <f>D78-D79</f>
        <v>131347.58620689658</v>
      </c>
      <c r="D85" s="22"/>
      <c r="E85" s="3"/>
      <c r="F85" s="3"/>
      <c r="G85" s="3" t="s">
        <v>192</v>
      </c>
      <c r="H85" s="22">
        <f>'OCTOBER  21'!J96</f>
        <v>-0.60344827594235539</v>
      </c>
      <c r="I85" s="3"/>
      <c r="J85" s="11"/>
      <c r="K85" s="2"/>
    </row>
    <row r="86" spans="2:11" ht="15.75" x14ac:dyDescent="0.25">
      <c r="B86" s="29" t="s">
        <v>174</v>
      </c>
      <c r="C86" s="3">
        <f>E78</f>
        <v>0</v>
      </c>
      <c r="D86" s="3"/>
      <c r="E86" s="3"/>
      <c r="F86" s="3"/>
      <c r="G86" s="29"/>
      <c r="H86" s="3"/>
      <c r="I86" s="3"/>
      <c r="J86" s="11"/>
      <c r="K86" s="2"/>
    </row>
    <row r="87" spans="2:11" ht="15.75" x14ac:dyDescent="0.25">
      <c r="B87" s="29" t="s">
        <v>183</v>
      </c>
      <c r="C87" s="3">
        <f>F78</f>
        <v>0</v>
      </c>
      <c r="D87" s="3"/>
      <c r="E87" s="3"/>
      <c r="F87" s="3"/>
      <c r="G87" s="29"/>
      <c r="H87" s="3"/>
      <c r="I87" s="3"/>
      <c r="J87" s="11"/>
      <c r="K87" s="2"/>
    </row>
    <row r="88" spans="2:11" ht="15.75" x14ac:dyDescent="0.25">
      <c r="B88" s="29" t="s">
        <v>193</v>
      </c>
      <c r="C88" s="3">
        <f>G78</f>
        <v>0</v>
      </c>
      <c r="D88" s="3"/>
      <c r="E88" s="3"/>
      <c r="F88" s="3"/>
      <c r="G88" s="29"/>
      <c r="H88" s="3"/>
      <c r="I88" s="3"/>
      <c r="J88" s="11"/>
      <c r="K88" s="2"/>
    </row>
    <row r="89" spans="2:11" ht="15.75" x14ac:dyDescent="0.25">
      <c r="B89" s="29" t="s">
        <v>192</v>
      </c>
      <c r="C89" s="30">
        <f>'OCTOBER  21'!F96</f>
        <v>416755.39655172406</v>
      </c>
      <c r="D89" s="3"/>
      <c r="E89" s="3"/>
      <c r="F89" s="3"/>
      <c r="G89" s="29"/>
      <c r="H89" s="3"/>
      <c r="I89" s="3"/>
      <c r="J89" s="11"/>
      <c r="K89" s="2"/>
    </row>
    <row r="90" spans="2:11" ht="15.75" x14ac:dyDescent="0.25">
      <c r="B90" s="29" t="s">
        <v>194</v>
      </c>
      <c r="C90" s="3"/>
      <c r="D90" s="3"/>
      <c r="E90" s="3"/>
      <c r="F90" s="3"/>
      <c r="G90" s="29" t="s">
        <v>194</v>
      </c>
      <c r="H90" s="3">
        <v>0</v>
      </c>
      <c r="I90" s="3"/>
      <c r="J90" s="11"/>
      <c r="K90" s="2"/>
    </row>
    <row r="91" spans="2:11" ht="15.75" x14ac:dyDescent="0.25">
      <c r="B91" s="3" t="s">
        <v>195</v>
      </c>
      <c r="C91" s="31">
        <v>0.05</v>
      </c>
      <c r="D91" s="31"/>
      <c r="E91" s="22">
        <f>C91*C83</f>
        <v>41046.120689655174</v>
      </c>
      <c r="F91" s="3"/>
      <c r="G91" s="3" t="s">
        <v>195</v>
      </c>
      <c r="H91" s="31">
        <v>0.05</v>
      </c>
      <c r="I91" s="22">
        <f>H91*C83</f>
        <v>41046.120689655174</v>
      </c>
      <c r="J91" s="20"/>
      <c r="K91" s="33"/>
    </row>
    <row r="92" spans="2:11" ht="15.75" x14ac:dyDescent="0.25">
      <c r="B92" s="5" t="s">
        <v>196</v>
      </c>
      <c r="C92" s="3" t="s">
        <v>197</v>
      </c>
      <c r="D92" s="3"/>
      <c r="E92" s="3"/>
      <c r="F92" s="3"/>
      <c r="G92" s="5" t="s">
        <v>196</v>
      </c>
      <c r="H92" s="22"/>
      <c r="I92" s="3"/>
      <c r="J92" s="3"/>
      <c r="K92" s="2"/>
    </row>
    <row r="93" spans="2:11" ht="15.75" x14ac:dyDescent="0.25">
      <c r="B93" s="23"/>
      <c r="C93" s="31"/>
      <c r="D93" s="31"/>
      <c r="E93" s="3"/>
      <c r="F93" s="3"/>
      <c r="G93" s="23"/>
      <c r="H93" s="31"/>
      <c r="I93" s="3"/>
      <c r="J93" s="11"/>
      <c r="K93" s="2"/>
    </row>
    <row r="94" spans="2:11" ht="15.75" x14ac:dyDescent="0.25">
      <c r="B94" s="32" t="s">
        <v>198</v>
      </c>
      <c r="C94" s="3"/>
      <c r="D94" s="3"/>
      <c r="E94" s="3">
        <f>K78</f>
        <v>847630</v>
      </c>
      <c r="F94" s="23"/>
      <c r="G94" s="32" t="s">
        <v>198</v>
      </c>
      <c r="H94" s="3"/>
      <c r="I94" s="3">
        <f>K78</f>
        <v>847630</v>
      </c>
      <c r="J94" s="11"/>
      <c r="K94" s="2"/>
    </row>
    <row r="95" spans="2:11" ht="15.75" x14ac:dyDescent="0.25">
      <c r="B95" s="3"/>
      <c r="C95" s="31"/>
      <c r="D95" s="31"/>
      <c r="E95" s="3"/>
      <c r="F95" s="3"/>
      <c r="G95" s="3"/>
      <c r="H95" s="31"/>
      <c r="I95" s="3"/>
      <c r="J95" s="11"/>
      <c r="K95" s="2"/>
    </row>
    <row r="96" spans="2:11" ht="15.75" x14ac:dyDescent="0.25">
      <c r="B96" s="23" t="s">
        <v>199</v>
      </c>
      <c r="C96" s="22">
        <f>C83+C84+C85+C86+C87+C88+C89+C90</f>
        <v>1382225.3965517241</v>
      </c>
      <c r="D96" s="22"/>
      <c r="E96" s="24">
        <f>SUM(E91:E95)</f>
        <v>888676.12068965519</v>
      </c>
      <c r="F96" s="22">
        <f>C96-E96</f>
        <v>493549.27586206887</v>
      </c>
      <c r="G96" s="23" t="s">
        <v>199</v>
      </c>
      <c r="H96" s="22">
        <f>H83+H84+H85+H86+H87+H88+H89+H90</f>
        <v>847629.39655172406</v>
      </c>
      <c r="I96" s="22">
        <f>SUM(I91:I95)</f>
        <v>888676.12068965519</v>
      </c>
      <c r="J96" s="22">
        <f>H96-I96</f>
        <v>-41046.724137931131</v>
      </c>
      <c r="K96" s="2"/>
    </row>
    <row r="97" spans="2:11" ht="15.75" x14ac:dyDescent="0.25">
      <c r="B97" s="2" t="s">
        <v>200</v>
      </c>
      <c r="C97" s="2"/>
      <c r="D97" s="2"/>
      <c r="E97" s="33"/>
      <c r="F97" s="2" t="s">
        <v>201</v>
      </c>
      <c r="G97" s="2"/>
      <c r="H97" s="2"/>
      <c r="I97" s="33">
        <f>I96-I91</f>
        <v>847630</v>
      </c>
      <c r="J97" s="2" t="s">
        <v>202</v>
      </c>
      <c r="K97" s="2"/>
    </row>
    <row r="98" spans="2:11" ht="15.75" x14ac:dyDescent="0.25">
      <c r="B98" s="2" t="s">
        <v>203</v>
      </c>
      <c r="C98" s="2"/>
      <c r="D98" s="2"/>
      <c r="E98" s="2"/>
      <c r="F98" s="2" t="s">
        <v>204</v>
      </c>
      <c r="G98" s="2"/>
      <c r="H98" s="2"/>
      <c r="I98" s="33"/>
      <c r="J98" s="2" t="s">
        <v>205</v>
      </c>
      <c r="K98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APRIL21</vt:lpstr>
      <vt:lpstr>MAY 21 </vt:lpstr>
      <vt:lpstr>JUNE 21</vt:lpstr>
      <vt:lpstr>JULY 21</vt:lpstr>
      <vt:lpstr>AUGUST 21</vt:lpstr>
      <vt:lpstr>SEPT 21</vt:lpstr>
      <vt:lpstr>OCTOBER  21</vt:lpstr>
      <vt:lpstr>Sheet1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dcterms:created xsi:type="dcterms:W3CDTF">2021-04-22T13:37:03Z</dcterms:created>
  <dcterms:modified xsi:type="dcterms:W3CDTF">2021-12-07T13:35:15Z</dcterms:modified>
</cp:coreProperties>
</file>