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firstSheet="25" activeTab="29"/>
  </bookViews>
  <sheets>
    <sheet name="Sheet1" sheetId="1" r:id="rId1"/>
    <sheet name="AUGUST19" sheetId="2" r:id="rId2"/>
    <sheet name="SEPT 19" sheetId="3" r:id="rId3"/>
    <sheet name="OCTOBER19" sheetId="4" r:id="rId4"/>
    <sheet name="NOVEMBER 19" sheetId="5" r:id="rId5"/>
    <sheet name="DECEMBER 19" sheetId="6" r:id="rId6"/>
    <sheet name="JANUARY 20" sheetId="7" r:id="rId7"/>
    <sheet name="FEBRUARY 20" sheetId="8" r:id="rId8"/>
    <sheet name="MARCH 20" sheetId="9" r:id="rId9"/>
    <sheet name="APRIL 20" sheetId="10" r:id="rId10"/>
    <sheet name="MAY 20" sheetId="11" r:id="rId11"/>
    <sheet name="JUNE 20" sheetId="12" r:id="rId12"/>
    <sheet name="JULY 20" sheetId="13" r:id="rId13"/>
    <sheet name="AUGUST 20" sheetId="14" r:id="rId14"/>
    <sheet name="SEPTEMBER20" sheetId="15" r:id="rId15"/>
    <sheet name="OCTOBER 20" sheetId="16" r:id="rId16"/>
    <sheet name="NOVEMBER20" sheetId="17" r:id="rId17"/>
    <sheet name="DECEMBER 20" sheetId="18" r:id="rId18"/>
    <sheet name="JANUARY 21" sheetId="19" r:id="rId19"/>
    <sheet name="FEBRUARY 21" sheetId="20" r:id="rId20"/>
    <sheet name="MARCH 21" sheetId="21" r:id="rId21"/>
    <sheet name="APRIL21" sheetId="22" r:id="rId22"/>
    <sheet name="MAY 21" sheetId="23" r:id="rId23"/>
    <sheet name="JUNE 21" sheetId="24" r:id="rId24"/>
    <sheet name="JULY 21" sheetId="25" r:id="rId25"/>
    <sheet name="AUGUST 21" sheetId="26" r:id="rId26"/>
    <sheet name="SEPT 21" sheetId="27" r:id="rId27"/>
    <sheet name="OCTOBER 21" sheetId="28" r:id="rId28"/>
    <sheet name="NOVEMBER 21" sheetId="29" r:id="rId29"/>
    <sheet name="DECEMBER 21" sheetId="30" r:id="rId30"/>
  </sheets>
  <calcPr calcId="144525"/>
</workbook>
</file>

<file path=xl/calcChain.xml><?xml version="1.0" encoding="utf-8"?>
<calcChain xmlns="http://schemas.openxmlformats.org/spreadsheetml/2006/main">
  <c r="G18" i="30" l="1"/>
  <c r="C18" i="30"/>
  <c r="D10" i="30"/>
  <c r="D6" i="30"/>
  <c r="D7" i="30"/>
  <c r="D8" i="30"/>
  <c r="D9" i="30"/>
  <c r="D5" i="30"/>
  <c r="F5" i="30" s="1"/>
  <c r="H27" i="30"/>
  <c r="D27" i="30"/>
  <c r="D11" i="30"/>
  <c r="G10" i="30"/>
  <c r="G16" i="30" s="1"/>
  <c r="E10" i="30"/>
  <c r="C16" i="30" s="1"/>
  <c r="F9" i="30"/>
  <c r="H9" i="30" s="1"/>
  <c r="F8" i="30"/>
  <c r="H8" i="30" s="1"/>
  <c r="F7" i="30"/>
  <c r="H7" i="30" s="1"/>
  <c r="H6" i="30"/>
  <c r="F10" i="30" l="1"/>
  <c r="C27" i="30"/>
  <c r="E27" i="30" s="1"/>
  <c r="D20" i="30"/>
  <c r="H20" i="30"/>
  <c r="G27" i="30" s="1"/>
  <c r="I27" i="30" s="1"/>
  <c r="H5" i="30"/>
  <c r="H10" i="30" s="1"/>
  <c r="L30" i="28"/>
  <c r="D26" i="27" l="1"/>
  <c r="H27" i="29" l="1"/>
  <c r="D27" i="29"/>
  <c r="D11" i="29"/>
  <c r="G10" i="29"/>
  <c r="G16" i="29" s="1"/>
  <c r="E10" i="29"/>
  <c r="C16" i="29" s="1"/>
  <c r="H6" i="29"/>
  <c r="D20" i="29" l="1"/>
  <c r="H20" i="29"/>
  <c r="H26" i="27"/>
  <c r="D11" i="28" l="1"/>
  <c r="H30" i="28"/>
  <c r="D30" i="28"/>
  <c r="G10" i="28"/>
  <c r="G16" i="28" s="1"/>
  <c r="E10" i="28"/>
  <c r="C16" i="28" s="1"/>
  <c r="H20" i="28" l="1"/>
  <c r="D20" i="28"/>
  <c r="H27" i="27"/>
  <c r="D27" i="27"/>
  <c r="D11" i="27"/>
  <c r="E10" i="27"/>
  <c r="C16" i="27" s="1"/>
  <c r="G10" i="27"/>
  <c r="G16" i="27" s="1"/>
  <c r="H20" i="27" l="1"/>
  <c r="D20" i="27"/>
  <c r="C17" i="26" l="1"/>
  <c r="G6" i="26" l="1"/>
  <c r="H25" i="26" l="1"/>
  <c r="D25" i="26"/>
  <c r="D11" i="26"/>
  <c r="E10" i="26"/>
  <c r="C16" i="26" s="1"/>
  <c r="G10" i="26"/>
  <c r="G16" i="26" s="1"/>
  <c r="H23" i="25"/>
  <c r="D23" i="25"/>
  <c r="H20" i="26" l="1"/>
  <c r="D20" i="26"/>
  <c r="G8" i="25"/>
  <c r="L1" i="26" l="1"/>
  <c r="G5" i="25"/>
  <c r="G6" i="25" l="1"/>
  <c r="G7" i="25" l="1"/>
  <c r="C10" i="24" l="1"/>
  <c r="C17" i="24" s="1"/>
  <c r="H25" i="25"/>
  <c r="D25" i="25"/>
  <c r="D11" i="25"/>
  <c r="E10" i="25"/>
  <c r="C16" i="25" s="1"/>
  <c r="G10" i="25"/>
  <c r="G16" i="25" s="1"/>
  <c r="H20" i="25" l="1"/>
  <c r="D20" i="25"/>
  <c r="M33" i="24"/>
  <c r="M30" i="24"/>
  <c r="M31" i="24" s="1"/>
  <c r="L38" i="24"/>
  <c r="K35" i="24"/>
  <c r="K36" i="24" s="1"/>
  <c r="K38" i="24" s="1"/>
  <c r="G9" i="24" l="1"/>
  <c r="G7" i="24" l="1"/>
  <c r="G6" i="24" l="1"/>
  <c r="G5" i="24" l="1"/>
  <c r="G7" i="21" l="1"/>
  <c r="H23" i="23" l="1"/>
  <c r="D23" i="23" s="1"/>
  <c r="D11" i="24" l="1"/>
  <c r="H25" i="24"/>
  <c r="D25" i="24"/>
  <c r="E10" i="24"/>
  <c r="C16" i="24" s="1"/>
  <c r="G10" i="24"/>
  <c r="G16" i="24" s="1"/>
  <c r="H20" i="24" l="1"/>
  <c r="D20" i="24"/>
  <c r="K30" i="23"/>
  <c r="K31" i="23" s="1"/>
  <c r="G8" i="23"/>
  <c r="G9" i="23" l="1"/>
  <c r="H25" i="23" l="1"/>
  <c r="D25" i="23"/>
  <c r="D11" i="23"/>
  <c r="E10" i="23"/>
  <c r="C16" i="23" s="1"/>
  <c r="G10" i="23"/>
  <c r="G16" i="23" s="1"/>
  <c r="H20" i="23" l="1"/>
  <c r="D20" i="23"/>
  <c r="G8" i="22"/>
  <c r="G6" i="22" l="1"/>
  <c r="H25" i="22" l="1"/>
  <c r="D25" i="22"/>
  <c r="D11" i="22"/>
  <c r="E10" i="22"/>
  <c r="C16" i="22" s="1"/>
  <c r="G10" i="22"/>
  <c r="G16" i="22" s="1"/>
  <c r="H20" i="22" l="1"/>
  <c r="D20" i="22"/>
  <c r="G9" i="21" l="1"/>
  <c r="H25" i="21" l="1"/>
  <c r="D25" i="21"/>
  <c r="D11" i="21"/>
  <c r="G10" i="21"/>
  <c r="G16" i="21" s="1"/>
  <c r="E10" i="21"/>
  <c r="C16" i="21" s="1"/>
  <c r="H20" i="21" s="1"/>
  <c r="D20" i="21" l="1"/>
  <c r="G6" i="20"/>
  <c r="G9" i="20" l="1"/>
  <c r="G8" i="20" l="1"/>
  <c r="G5" i="20" l="1"/>
  <c r="F7" i="24" l="1"/>
  <c r="D10" i="24"/>
  <c r="H25" i="20"/>
  <c r="D25" i="20"/>
  <c r="D11" i="20"/>
  <c r="E10" i="20"/>
  <c r="C16" i="20" s="1"/>
  <c r="G10" i="20"/>
  <c r="G16" i="20" s="1"/>
  <c r="H7" i="24" l="1"/>
  <c r="H20" i="20"/>
  <c r="D20" i="20"/>
  <c r="G7" i="19"/>
  <c r="D7" i="25" l="1"/>
  <c r="F7" i="25" s="1"/>
  <c r="G6" i="19"/>
  <c r="H7" i="25" l="1"/>
  <c r="G5" i="19"/>
  <c r="D7" i="26" l="1"/>
  <c r="F7" i="26" s="1"/>
  <c r="H7" i="26" s="1"/>
  <c r="D7" i="27" s="1"/>
  <c r="F7" i="27" s="1"/>
  <c r="H7" i="27" s="1"/>
  <c r="D7" i="28" s="1"/>
  <c r="F7" i="28" s="1"/>
  <c r="H7" i="28" s="1"/>
  <c r="D7" i="29" s="1"/>
  <c r="F7" i="29" s="1"/>
  <c r="H7" i="29" s="1"/>
  <c r="H25" i="19"/>
  <c r="D25" i="19"/>
  <c r="D11" i="19"/>
  <c r="E10" i="19"/>
  <c r="C16" i="19" s="1"/>
  <c r="G10" i="19"/>
  <c r="G16" i="19" s="1"/>
  <c r="H20" i="19" l="1"/>
  <c r="D20" i="19"/>
  <c r="G9" i="18"/>
  <c r="G8" i="18" l="1"/>
  <c r="G7" i="18" l="1"/>
  <c r="H25" i="18" l="1"/>
  <c r="D25" i="18"/>
  <c r="D11" i="18"/>
  <c r="E10" i="18"/>
  <c r="C16" i="18" s="1"/>
  <c r="G10" i="18"/>
  <c r="G16" i="18" s="1"/>
  <c r="H20" i="18" l="1"/>
  <c r="D20" i="18"/>
  <c r="G8" i="17" l="1"/>
  <c r="G9" i="17"/>
  <c r="G5" i="17" l="1"/>
  <c r="D21" i="16" l="1"/>
  <c r="G9" i="16" l="1"/>
  <c r="N28" i="16" l="1"/>
  <c r="H25" i="17" l="1"/>
  <c r="D25" i="17"/>
  <c r="D11" i="17"/>
  <c r="E10" i="17"/>
  <c r="C16" i="17" s="1"/>
  <c r="G10" i="17"/>
  <c r="G16" i="17" s="1"/>
  <c r="H20" i="17" l="1"/>
  <c r="D20" i="17"/>
  <c r="G5" i="16"/>
  <c r="H21" i="16" l="1"/>
  <c r="H25" i="16" s="1"/>
  <c r="D11" i="16" l="1"/>
  <c r="D25" i="16"/>
  <c r="E10" i="16"/>
  <c r="C16" i="16" s="1"/>
  <c r="G10" i="16"/>
  <c r="G16" i="16" s="1"/>
  <c r="D20" i="16" l="1"/>
  <c r="H20" i="16"/>
  <c r="G9" i="15" l="1"/>
  <c r="G7" i="15" l="1"/>
  <c r="G10" i="15" s="1"/>
  <c r="G16" i="15" s="1"/>
  <c r="G9" i="14" l="1"/>
  <c r="H25" i="15" l="1"/>
  <c r="D25" i="15"/>
  <c r="E10" i="15"/>
  <c r="C16" i="15" s="1"/>
  <c r="H20" i="15" l="1"/>
  <c r="D20" i="15"/>
  <c r="G8" i="14"/>
  <c r="H25" i="14" l="1"/>
  <c r="D25" i="14"/>
  <c r="G10" i="14"/>
  <c r="G16" i="14" s="1"/>
  <c r="E10" i="14"/>
  <c r="C16" i="14" s="1"/>
  <c r="H20" i="14" s="1"/>
  <c r="D20" i="14" l="1"/>
  <c r="G7" i="13"/>
  <c r="H25" i="13" l="1"/>
  <c r="G9" i="13"/>
  <c r="G8" i="13" l="1"/>
  <c r="G9" i="12" l="1"/>
  <c r="D25" i="13" l="1"/>
  <c r="E10" i="13"/>
  <c r="C16" i="13" s="1"/>
  <c r="H20" i="13" s="1"/>
  <c r="G10" i="13"/>
  <c r="G16" i="13" s="1"/>
  <c r="D20" i="13" l="1"/>
  <c r="G5" i="12"/>
  <c r="H25" i="9" l="1"/>
  <c r="G6" i="10" l="1"/>
  <c r="G7" i="12" l="1"/>
  <c r="H25" i="12" l="1"/>
  <c r="D25" i="12"/>
  <c r="E10" i="12"/>
  <c r="C16" i="12" s="1"/>
  <c r="G10" i="12"/>
  <c r="G16" i="12" s="1"/>
  <c r="H20" i="12" l="1"/>
  <c r="D20" i="12"/>
  <c r="G8" i="11" l="1"/>
  <c r="G7" i="11"/>
  <c r="C17" i="11" l="1"/>
  <c r="H22" i="10" l="1"/>
  <c r="D22" i="10" l="1"/>
  <c r="G6" i="9" l="1"/>
  <c r="H25" i="11" l="1"/>
  <c r="D25" i="11"/>
  <c r="E10" i="11"/>
  <c r="C16" i="11" s="1"/>
  <c r="H20" i="11" s="1"/>
  <c r="G10" i="11"/>
  <c r="G16" i="11" s="1"/>
  <c r="D20" i="11" l="1"/>
  <c r="G7" i="10"/>
  <c r="H25" i="10" l="1"/>
  <c r="D25" i="10"/>
  <c r="E10" i="10"/>
  <c r="C16" i="10" s="1"/>
  <c r="G10" i="10"/>
  <c r="G16" i="10" s="1"/>
  <c r="H20" i="10" l="1"/>
  <c r="D20" i="10"/>
  <c r="G6" i="8"/>
  <c r="D25" i="9" l="1"/>
  <c r="E10" i="9"/>
  <c r="C16" i="9" s="1"/>
  <c r="G10" i="9"/>
  <c r="G16" i="9" s="1"/>
  <c r="D20" i="9" l="1"/>
  <c r="H20" i="9" s="1"/>
  <c r="G6" i="7" l="1"/>
  <c r="G6" i="5"/>
  <c r="G6" i="6"/>
  <c r="G9" i="7" l="1"/>
  <c r="H25" i="8" l="1"/>
  <c r="D25" i="8"/>
  <c r="E10" i="8"/>
  <c r="C16" i="8" s="1"/>
  <c r="G10" i="8"/>
  <c r="G16" i="8" s="1"/>
  <c r="D20" i="8" l="1"/>
  <c r="H20" i="8" s="1"/>
  <c r="H21" i="6" l="1"/>
  <c r="D21" i="6"/>
  <c r="H25" i="7" l="1"/>
  <c r="D25" i="7"/>
  <c r="E10" i="7"/>
  <c r="C16" i="7" s="1"/>
  <c r="G10" i="7"/>
  <c r="G16" i="7" s="1"/>
  <c r="D20" i="7" l="1"/>
  <c r="H20" i="7" s="1"/>
  <c r="H25" i="6" l="1"/>
  <c r="D25" i="6"/>
  <c r="G10" i="6"/>
  <c r="E10" i="6"/>
  <c r="C16" i="6" s="1"/>
  <c r="G16" i="6" l="1"/>
  <c r="D20" i="6"/>
  <c r="H20" i="6" s="1"/>
  <c r="D25" i="5" l="1"/>
  <c r="E34" i="1" l="1"/>
  <c r="G8" i="4" l="1"/>
  <c r="F8" i="2" l="1"/>
  <c r="H25" i="5"/>
  <c r="G10" i="5"/>
  <c r="E10" i="5"/>
  <c r="C16" i="5" s="1"/>
  <c r="G16" i="5" l="1"/>
  <c r="D20" i="5"/>
  <c r="H20" i="5" s="1"/>
  <c r="H22" i="2" l="1"/>
  <c r="D25" i="4" l="1"/>
  <c r="G10" i="4"/>
  <c r="G16" i="4" s="1"/>
  <c r="E10" i="4"/>
  <c r="C16" i="4" s="1"/>
  <c r="D20" i="4" l="1"/>
  <c r="H25" i="4"/>
  <c r="H20" i="4" l="1"/>
  <c r="H31" i="4"/>
  <c r="F35" i="4"/>
  <c r="F36" i="4" s="1"/>
  <c r="F7" i="3"/>
  <c r="D25" i="3" l="1"/>
  <c r="H25" i="3"/>
  <c r="G10" i="3"/>
  <c r="E10" i="3"/>
  <c r="H7" i="3"/>
  <c r="D7" i="4" s="1"/>
  <c r="F7" i="4" s="1"/>
  <c r="H7" i="4" s="1"/>
  <c r="D7" i="5" s="1"/>
  <c r="F7" i="5" s="1"/>
  <c r="H7" i="5" s="1"/>
  <c r="D7" i="6" s="1"/>
  <c r="F7" i="6" s="1"/>
  <c r="H7" i="6" s="1"/>
  <c r="D7" i="7" s="1"/>
  <c r="F7" i="7" s="1"/>
  <c r="H7" i="7" s="1"/>
  <c r="D7" i="8" s="1"/>
  <c r="F7" i="8" s="1"/>
  <c r="H7" i="8" s="1"/>
  <c r="D7" i="9" s="1"/>
  <c r="F7" i="9" s="1"/>
  <c r="H7" i="9" s="1"/>
  <c r="D7" i="10" s="1"/>
  <c r="F7" i="10" s="1"/>
  <c r="H7" i="10" s="1"/>
  <c r="D7" i="11" s="1"/>
  <c r="F7" i="11" s="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D7" i="19" s="1"/>
  <c r="F7" i="19" s="1"/>
  <c r="H7" i="19" s="1"/>
  <c r="D7" i="20" s="1"/>
  <c r="F7" i="20" s="1"/>
  <c r="H7" i="20" s="1"/>
  <c r="D7" i="21" s="1"/>
  <c r="F7" i="21" s="1"/>
  <c r="H7" i="21" s="1"/>
  <c r="D7" i="22" s="1"/>
  <c r="F7" i="22" s="1"/>
  <c r="H7" i="22" s="1"/>
  <c r="D7" i="23" s="1"/>
  <c r="F7" i="23" s="1"/>
  <c r="H7" i="23" s="1"/>
  <c r="G16" i="3" l="1"/>
  <c r="C16" i="3"/>
  <c r="D20" i="3" s="1"/>
  <c r="H20" i="3" l="1"/>
  <c r="H20" i="2" l="1"/>
  <c r="F10" i="2" l="1"/>
  <c r="D10" i="2"/>
  <c r="C16" i="2" s="1"/>
  <c r="G16" i="2" l="1"/>
  <c r="D19" i="2"/>
  <c r="H19" i="2" s="1"/>
  <c r="D24" i="1" l="1"/>
  <c r="F10" i="1"/>
  <c r="G16" i="1" s="1"/>
  <c r="D10" i="1"/>
  <c r="C16" i="1" s="1"/>
  <c r="D19" i="1" s="1"/>
  <c r="C24" i="1" s="1"/>
  <c r="E9" i="1"/>
  <c r="G9" i="1" s="1"/>
  <c r="C9" i="2" s="1"/>
  <c r="E9" i="2" s="1"/>
  <c r="G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E8" i="1"/>
  <c r="G8" i="1" s="1"/>
  <c r="C8" i="2" s="1"/>
  <c r="E8" i="2" s="1"/>
  <c r="E7" i="1"/>
  <c r="G7" i="1" s="1"/>
  <c r="C7" i="2" s="1"/>
  <c r="E7" i="2" s="1"/>
  <c r="E6" i="1"/>
  <c r="G6" i="1" s="1"/>
  <c r="C6" i="2" s="1"/>
  <c r="E6" i="2" s="1"/>
  <c r="G6" i="2" s="1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E5" i="1"/>
  <c r="D21" i="2" l="1"/>
  <c r="G7" i="2"/>
  <c r="D9" i="7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D9" i="12" s="1"/>
  <c r="F9" i="12" s="1"/>
  <c r="H9" i="12" s="1"/>
  <c r="D9" i="13" s="1"/>
  <c r="F9" i="13" s="1"/>
  <c r="H9" i="13" s="1"/>
  <c r="D6" i="11"/>
  <c r="F6" i="11" s="1"/>
  <c r="H6" i="11" s="1"/>
  <c r="D6" i="12" s="1"/>
  <c r="F6" i="12" s="1"/>
  <c r="H6" i="12" s="1"/>
  <c r="D6" i="13" s="1"/>
  <c r="F6" i="13" s="1"/>
  <c r="H6" i="13" s="1"/>
  <c r="D6" i="14" s="1"/>
  <c r="F6" i="14" s="1"/>
  <c r="H6" i="14" s="1"/>
  <c r="D6" i="15" s="1"/>
  <c r="F6" i="15" s="1"/>
  <c r="H6" i="15" s="1"/>
  <c r="D6" i="16" s="1"/>
  <c r="F6" i="16" s="1"/>
  <c r="H6" i="16" s="1"/>
  <c r="D6" i="17" s="1"/>
  <c r="F6" i="17" s="1"/>
  <c r="H6" i="17" s="1"/>
  <c r="D6" i="18" s="1"/>
  <c r="F6" i="18" s="1"/>
  <c r="H6" i="18" s="1"/>
  <c r="D6" i="19" s="1"/>
  <c r="F6" i="19" s="1"/>
  <c r="H6" i="19" s="1"/>
  <c r="D6" i="20" s="1"/>
  <c r="F6" i="20" s="1"/>
  <c r="H6" i="20" s="1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D6" i="25" s="1"/>
  <c r="F6" i="25" s="1"/>
  <c r="H6" i="25" s="1"/>
  <c r="D6" i="26" s="1"/>
  <c r="F6" i="26" s="1"/>
  <c r="H6" i="26" s="1"/>
  <c r="D6" i="27" s="1"/>
  <c r="F6" i="27" s="1"/>
  <c r="H6" i="27" s="1"/>
  <c r="D6" i="28" s="1"/>
  <c r="H6" i="28" s="1"/>
  <c r="D6" i="29" s="1"/>
  <c r="G8" i="2"/>
  <c r="E10" i="1"/>
  <c r="H19" i="1"/>
  <c r="G24" i="1" s="1"/>
  <c r="G5" i="1"/>
  <c r="H24" i="1"/>
  <c r="G10" i="1" l="1"/>
  <c r="C10" i="2" s="1"/>
  <c r="C5" i="2"/>
  <c r="E5" i="2" s="1"/>
  <c r="D9" i="14"/>
  <c r="F9" i="14" s="1"/>
  <c r="H9" i="14" s="1"/>
  <c r="D9" i="15" s="1"/>
  <c r="F9" i="15" s="1"/>
  <c r="H9" i="15" s="1"/>
  <c r="D25" i="2"/>
  <c r="H21" i="2"/>
  <c r="H25" i="2" s="1"/>
  <c r="D8" i="3"/>
  <c r="I24" i="1"/>
  <c r="G17" i="2" s="1"/>
  <c r="G25" i="2" s="1"/>
  <c r="I25" i="2" s="1"/>
  <c r="E24" i="1"/>
  <c r="C17" i="2" s="1"/>
  <c r="C25" i="2" s="1"/>
  <c r="D9" i="16" l="1"/>
  <c r="F9" i="16" s="1"/>
  <c r="H9" i="16" s="1"/>
  <c r="D9" i="17" s="1"/>
  <c r="F9" i="17" s="1"/>
  <c r="H9" i="17" s="1"/>
  <c r="D9" i="18" s="1"/>
  <c r="F9" i="18" s="1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G5" i="2"/>
  <c r="E10" i="2"/>
  <c r="F8" i="3"/>
  <c r="H8" i="3" s="1"/>
  <c r="G18" i="3"/>
  <c r="G25" i="3" s="1"/>
  <c r="E25" i="2"/>
  <c r="C18" i="3" s="1"/>
  <c r="C25" i="3" s="1"/>
  <c r="D9" i="23" l="1"/>
  <c r="F9" i="23" s="1"/>
  <c r="H9" i="23" s="1"/>
  <c r="D9" i="24" s="1"/>
  <c r="F9" i="24" s="1"/>
  <c r="H9" i="24" s="1"/>
  <c r="D9" i="25" s="1"/>
  <c r="F9" i="25" s="1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D9" i="29" s="1"/>
  <c r="F9" i="29" s="1"/>
  <c r="H9" i="29" s="1"/>
  <c r="D9" i="22"/>
  <c r="F9" i="22" s="1"/>
  <c r="H9" i="22" s="1"/>
  <c r="D5" i="3"/>
  <c r="G10" i="2"/>
  <c r="D8" i="4"/>
  <c r="F8" i="4" s="1"/>
  <c r="H8" i="4" s="1"/>
  <c r="I25" i="3"/>
  <c r="G18" i="4" s="1"/>
  <c r="G25" i="4" s="1"/>
  <c r="I25" i="4" s="1"/>
  <c r="E25" i="3"/>
  <c r="C18" i="4" s="1"/>
  <c r="C25" i="4" s="1"/>
  <c r="E25" i="4" s="1"/>
  <c r="C18" i="5" s="1"/>
  <c r="F5" i="3" l="1"/>
  <c r="H5" i="3" s="1"/>
  <c r="D10" i="3"/>
  <c r="F10" i="3" s="1"/>
  <c r="C25" i="5"/>
  <c r="E25" i="5" s="1"/>
  <c r="C18" i="6" s="1"/>
  <c r="G18" i="5"/>
  <c r="G25" i="5" s="1"/>
  <c r="I25" i="5" s="1"/>
  <c r="G18" i="6" s="1"/>
  <c r="D8" i="5"/>
  <c r="D5" i="4" l="1"/>
  <c r="F5" i="4" s="1"/>
  <c r="H5" i="4" s="1"/>
  <c r="H10" i="3"/>
  <c r="D10" i="4" s="1"/>
  <c r="F10" i="4" s="1"/>
  <c r="C25" i="6"/>
  <c r="E25" i="6" s="1"/>
  <c r="C18" i="7" s="1"/>
  <c r="C25" i="7" s="1"/>
  <c r="E25" i="7" s="1"/>
  <c r="C18" i="8" s="1"/>
  <c r="C25" i="8" s="1"/>
  <c r="E25" i="8" s="1"/>
  <c r="G25" i="6"/>
  <c r="I25" i="6" s="1"/>
  <c r="G18" i="7" s="1"/>
  <c r="G25" i="7" s="1"/>
  <c r="I25" i="7" s="1"/>
  <c r="G18" i="8" s="1"/>
  <c r="G25" i="8" s="1"/>
  <c r="I25" i="8" s="1"/>
  <c r="G18" i="9" s="1"/>
  <c r="F8" i="5"/>
  <c r="H8" i="5" s="1"/>
  <c r="G25" i="9" l="1"/>
  <c r="I25" i="9" s="1"/>
  <c r="G18" i="10" s="1"/>
  <c r="G25" i="10" s="1"/>
  <c r="I25" i="10" s="1"/>
  <c r="G18" i="11" s="1"/>
  <c r="G25" i="11" s="1"/>
  <c r="I25" i="11" s="1"/>
  <c r="G18" i="12" s="1"/>
  <c r="G25" i="12" s="1"/>
  <c r="I25" i="12" s="1"/>
  <c r="G18" i="13" s="1"/>
  <c r="G25" i="13" s="1"/>
  <c r="I25" i="13" s="1"/>
  <c r="G18" i="14" s="1"/>
  <c r="G25" i="14" s="1"/>
  <c r="I25" i="14" s="1"/>
  <c r="G18" i="15" s="1"/>
  <c r="G25" i="15" s="1"/>
  <c r="I25" i="15" s="1"/>
  <c r="G18" i="16" s="1"/>
  <c r="G25" i="16" s="1"/>
  <c r="I25" i="16" s="1"/>
  <c r="G18" i="17" s="1"/>
  <c r="G25" i="17" s="1"/>
  <c r="I25" i="17" s="1"/>
  <c r="G18" i="18" s="1"/>
  <c r="G25" i="18" s="1"/>
  <c r="I25" i="18" s="1"/>
  <c r="G18" i="19" s="1"/>
  <c r="G25" i="19" s="1"/>
  <c r="I25" i="19" s="1"/>
  <c r="G18" i="20" s="1"/>
  <c r="G25" i="20" s="1"/>
  <c r="I25" i="20" s="1"/>
  <c r="G18" i="21" s="1"/>
  <c r="G25" i="21" s="1"/>
  <c r="I25" i="21" s="1"/>
  <c r="G18" i="22" s="1"/>
  <c r="G25" i="22" s="1"/>
  <c r="I25" i="22" s="1"/>
  <c r="G18" i="23" s="1"/>
  <c r="G25" i="23" s="1"/>
  <c r="I25" i="23" s="1"/>
  <c r="G18" i="24" s="1"/>
  <c r="G25" i="24" s="1"/>
  <c r="I25" i="24" s="1"/>
  <c r="G18" i="25" s="1"/>
  <c r="G25" i="25" s="1"/>
  <c r="I25" i="25" s="1"/>
  <c r="G18" i="26" s="1"/>
  <c r="G25" i="26" s="1"/>
  <c r="I25" i="26" s="1"/>
  <c r="G18" i="27" s="1"/>
  <c r="G27" i="27" s="1"/>
  <c r="I27" i="27" s="1"/>
  <c r="G18" i="28" s="1"/>
  <c r="G30" i="28" s="1"/>
  <c r="I30" i="28" s="1"/>
  <c r="G18" i="29" s="1"/>
  <c r="G27" i="29" s="1"/>
  <c r="I27" i="29" s="1"/>
  <c r="D8" i="6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D8" i="12" s="1"/>
  <c r="F8" i="12" s="1"/>
  <c r="H8" i="12" s="1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5" i="5"/>
  <c r="H10" i="4"/>
  <c r="D32" i="8"/>
  <c r="C18" i="9"/>
  <c r="C25" i="9" s="1"/>
  <c r="E25" i="9" s="1"/>
  <c r="C18" i="10" s="1"/>
  <c r="C25" i="10" s="1"/>
  <c r="E25" i="10" s="1"/>
  <c r="C18" i="11" s="1"/>
  <c r="C25" i="11" s="1"/>
  <c r="E25" i="11" s="1"/>
  <c r="C18" i="12" s="1"/>
  <c r="C25" i="12" s="1"/>
  <c r="E25" i="12" s="1"/>
  <c r="C18" i="13" s="1"/>
  <c r="C25" i="13" s="1"/>
  <c r="E25" i="13" s="1"/>
  <c r="C18" i="14" s="1"/>
  <c r="C25" i="14" s="1"/>
  <c r="E25" i="14" s="1"/>
  <c r="C18" i="15" s="1"/>
  <c r="C25" i="15" s="1"/>
  <c r="E25" i="15" s="1"/>
  <c r="C18" i="16" s="1"/>
  <c r="D8" i="21" l="1"/>
  <c r="F8" i="21" s="1"/>
  <c r="H8" i="21" s="1"/>
  <c r="D8" i="22" s="1"/>
  <c r="F8" i="22" s="1"/>
  <c r="H8" i="22" s="1"/>
  <c r="D8" i="23" s="1"/>
  <c r="F8" i="23" s="1"/>
  <c r="H8" i="23" s="1"/>
  <c r="D8" i="24" s="1"/>
  <c r="F8" i="24" s="1"/>
  <c r="H8" i="24" s="1"/>
  <c r="D8" i="25" s="1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F5" i="5"/>
  <c r="H5" i="5" s="1"/>
  <c r="D10" i="5"/>
  <c r="F10" i="5" s="1"/>
  <c r="C25" i="16"/>
  <c r="E25" i="16" s="1"/>
  <c r="D5" i="6" l="1"/>
  <c r="H10" i="5"/>
  <c r="C18" i="17"/>
  <c r="I29" i="16"/>
  <c r="C25" i="17" l="1"/>
  <c r="E25" i="17" s="1"/>
  <c r="C18" i="18" s="1"/>
  <c r="C25" i="18" s="1"/>
  <c r="E25" i="18" s="1"/>
  <c r="C18" i="19" s="1"/>
  <c r="C25" i="19" s="1"/>
  <c r="E25" i="19" s="1"/>
  <c r="C18" i="20" s="1"/>
  <c r="C25" i="20" s="1"/>
  <c r="E25" i="20" s="1"/>
  <c r="C18" i="21" s="1"/>
  <c r="C25" i="21" s="1"/>
  <c r="E25" i="21" s="1"/>
  <c r="C18" i="22" s="1"/>
  <c r="C25" i="22" s="1"/>
  <c r="E25" i="22" s="1"/>
  <c r="C18" i="23" s="1"/>
  <c r="C25" i="23" s="1"/>
  <c r="E25" i="23" s="1"/>
  <c r="C18" i="24" s="1"/>
  <c r="C25" i="24" s="1"/>
  <c r="E25" i="24" s="1"/>
  <c r="C18" i="25" s="1"/>
  <c r="F5" i="6"/>
  <c r="H5" i="6" s="1"/>
  <c r="D10" i="6"/>
  <c r="F10" i="6" s="1"/>
  <c r="D5" i="7" l="1"/>
  <c r="H10" i="6"/>
  <c r="F5" i="7" l="1"/>
  <c r="H5" i="7" s="1"/>
  <c r="D10" i="7"/>
  <c r="F10" i="7" s="1"/>
  <c r="D5" i="8" l="1"/>
  <c r="H10" i="7"/>
  <c r="F5" i="8" l="1"/>
  <c r="H5" i="8" s="1"/>
  <c r="D10" i="8"/>
  <c r="F10" i="8" s="1"/>
  <c r="D5" i="9" l="1"/>
  <c r="H10" i="8"/>
  <c r="F5" i="9" l="1"/>
  <c r="H5" i="9" s="1"/>
  <c r="D10" i="9"/>
  <c r="F10" i="9" s="1"/>
  <c r="D5" i="10" l="1"/>
  <c r="H10" i="9"/>
  <c r="F5" i="10" l="1"/>
  <c r="H5" i="10" s="1"/>
  <c r="D10" i="10"/>
  <c r="F10" i="10" s="1"/>
  <c r="D5" i="11" l="1"/>
  <c r="H10" i="10"/>
  <c r="F5" i="11" l="1"/>
  <c r="H5" i="11" s="1"/>
  <c r="D10" i="11"/>
  <c r="F10" i="11" s="1"/>
  <c r="D5" i="12" l="1"/>
  <c r="H10" i="11"/>
  <c r="D10" i="12" l="1"/>
  <c r="F10" i="12" s="1"/>
  <c r="F5" i="12"/>
  <c r="H5" i="12" s="1"/>
  <c r="H10" i="12" l="1"/>
  <c r="D5" i="13"/>
  <c r="F5" i="13" l="1"/>
  <c r="H5" i="13" s="1"/>
  <c r="D10" i="13"/>
  <c r="F10" i="13" s="1"/>
  <c r="D5" i="14" l="1"/>
  <c r="H10" i="13"/>
  <c r="D10" i="14" l="1"/>
  <c r="F10" i="14" s="1"/>
  <c r="F5" i="14"/>
  <c r="H5" i="14" s="1"/>
  <c r="D5" i="15" l="1"/>
  <c r="H10" i="14"/>
  <c r="F5" i="15" l="1"/>
  <c r="H5" i="15" s="1"/>
  <c r="D10" i="15"/>
  <c r="F10" i="15" s="1"/>
  <c r="D5" i="16" l="1"/>
  <c r="F5" i="16" s="1"/>
  <c r="H5" i="16" s="1"/>
  <c r="H10" i="15"/>
  <c r="D10" i="16" s="1"/>
  <c r="F10" i="16" s="1"/>
  <c r="D5" i="17" l="1"/>
  <c r="F5" i="17" s="1"/>
  <c r="H5" i="17" s="1"/>
  <c r="H10" i="16"/>
  <c r="D10" i="17" s="1"/>
  <c r="F10" i="17" s="1"/>
  <c r="D5" i="18" l="1"/>
  <c r="H10" i="17"/>
  <c r="F5" i="18" l="1"/>
  <c r="D10" i="18"/>
  <c r="H5" i="18" l="1"/>
  <c r="F10" i="18"/>
  <c r="H10" i="18" l="1"/>
  <c r="D5" i="19"/>
  <c r="F5" i="19" l="1"/>
  <c r="D10" i="19"/>
  <c r="F10" i="19" l="1"/>
  <c r="H5" i="19"/>
  <c r="H10" i="19" l="1"/>
  <c r="D5" i="20"/>
  <c r="F5" i="20" l="1"/>
  <c r="D10" i="20"/>
  <c r="H5" i="20" l="1"/>
  <c r="F10" i="20"/>
  <c r="D5" i="21" l="1"/>
  <c r="H10" i="20"/>
  <c r="D10" i="21" l="1"/>
  <c r="F5" i="21"/>
  <c r="F10" i="21" l="1"/>
  <c r="H5" i="21"/>
  <c r="H10" i="21" l="1"/>
  <c r="D10" i="22" s="1"/>
  <c r="D5" i="22"/>
  <c r="F5" i="22" s="1"/>
  <c r="H5" i="22" l="1"/>
  <c r="F10" i="22"/>
  <c r="D5" i="23" l="1"/>
  <c r="H10" i="22"/>
  <c r="F5" i="23" l="1"/>
  <c r="D10" i="23"/>
  <c r="H5" i="23" l="1"/>
  <c r="D5" i="24" s="1"/>
  <c r="F5" i="24" s="1"/>
  <c r="F10" i="23"/>
  <c r="H5" i="24" l="1"/>
  <c r="F10" i="24"/>
  <c r="D5" i="25" l="1"/>
  <c r="F5" i="25" s="1"/>
  <c r="H10" i="24"/>
  <c r="D10" i="25" s="1"/>
  <c r="C17" i="25" s="1"/>
  <c r="C25" i="25" s="1"/>
  <c r="E25" i="25" s="1"/>
  <c r="C18" i="26" s="1"/>
  <c r="C25" i="26" s="1"/>
  <c r="E25" i="26" s="1"/>
  <c r="C18" i="27" s="1"/>
  <c r="C27" i="27" s="1"/>
  <c r="E27" i="27" s="1"/>
  <c r="C18" i="28" s="1"/>
  <c r="C30" i="28" s="1"/>
  <c r="E30" i="28" s="1"/>
  <c r="C18" i="29" s="1"/>
  <c r="C27" i="29" s="1"/>
  <c r="E27" i="29" s="1"/>
  <c r="H5" i="25" l="1"/>
  <c r="F10" i="25"/>
  <c r="D5" i="26" l="1"/>
  <c r="H10" i="25"/>
  <c r="F5" i="26" l="1"/>
  <c r="D10" i="26"/>
  <c r="H5" i="26" l="1"/>
  <c r="F10" i="26"/>
  <c r="H10" i="26" l="1"/>
  <c r="D5" i="27"/>
  <c r="D10" i="27" l="1"/>
  <c r="F5" i="27"/>
  <c r="F10" i="27" l="1"/>
  <c r="H5" i="27"/>
  <c r="H10" i="27" l="1"/>
  <c r="D5" i="28"/>
  <c r="F5" i="28" s="1"/>
  <c r="D10" i="28" l="1"/>
  <c r="D10" i="29"/>
  <c r="H5" i="28"/>
  <c r="F10" i="28"/>
  <c r="H10" i="28" l="1"/>
  <c r="D5" i="29"/>
  <c r="F5" i="29" s="1"/>
  <c r="F10" i="29" l="1"/>
  <c r="H5" i="29"/>
  <c r="H10" i="29" s="1"/>
</calcChain>
</file>

<file path=xl/sharedStrings.xml><?xml version="1.0" encoding="utf-8"?>
<sst xmlns="http://schemas.openxmlformats.org/spreadsheetml/2006/main" count="1530" uniqueCount="168">
  <si>
    <t xml:space="preserve">RENT STATEMENT </t>
  </si>
  <si>
    <t xml:space="preserve">                                                                                                                          </t>
  </si>
  <si>
    <t>FOR THE MONTH OF JULY 2019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</si>
  <si>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</si>
  <si>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</si>
  <si>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</si>
  <si>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</si>
  <si>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</si>
  <si>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</si>
  <si>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</si>
  <si>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</si>
  <si>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</si>
  <si>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</si>
  <si>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</si>
  <si>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</si>
  <si>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</si>
  <si>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</si>
  <si>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JULY</t>
  </si>
  <si>
    <t xml:space="preserve">COMMISSION </t>
  </si>
  <si>
    <t>PREPARED BY</t>
  </si>
  <si>
    <t>APPROVED  BY</t>
  </si>
  <si>
    <t>RECEIVED BY</t>
  </si>
  <si>
    <t>RUTH</t>
  </si>
  <si>
    <t>GRACE</t>
  </si>
  <si>
    <t>ALLAN NGUGI</t>
  </si>
  <si>
    <t>PAUL GATURA</t>
  </si>
  <si>
    <t>SIMON KIPES</t>
  </si>
  <si>
    <t>ANN MOGINA</t>
  </si>
  <si>
    <t>PATRICK KAMAU</t>
  </si>
  <si>
    <t>PAYMENTS</t>
  </si>
  <si>
    <t>LL 2500</t>
  </si>
  <si>
    <t>STELLAH</t>
  </si>
  <si>
    <t>STELLAH WANJIKU</t>
  </si>
  <si>
    <t>STANELY KINYUA</t>
  </si>
  <si>
    <t>PAID ON 16/7/19</t>
  </si>
  <si>
    <t>PAID ON 25/7/19</t>
  </si>
  <si>
    <t>FOR THE MONTH OF AUGUST 2019</t>
  </si>
  <si>
    <t>AUG</t>
  </si>
  <si>
    <t>PAID ON 12/8</t>
  </si>
  <si>
    <t>SIMON</t>
  </si>
  <si>
    <t>PAID ON 15/8</t>
  </si>
  <si>
    <t>FLORENCE</t>
  </si>
  <si>
    <t>KENNETH MWANGI</t>
  </si>
  <si>
    <t>DEPOSIT</t>
  </si>
  <si>
    <t>PAID ON 28/8</t>
  </si>
  <si>
    <t>FOR THE MONTH OF SEPT 2019</t>
  </si>
  <si>
    <t>SEPT</t>
  </si>
  <si>
    <t>PAID ON 13/9</t>
  </si>
  <si>
    <t>ON DEPOSIT</t>
  </si>
  <si>
    <t>STELLA</t>
  </si>
  <si>
    <t>FOR THE MONTH OF OCTOBER 2019</t>
  </si>
  <si>
    <t>OCT</t>
  </si>
  <si>
    <t xml:space="preserve">ANN </t>
  </si>
  <si>
    <t>LL2000</t>
  </si>
  <si>
    <t>VACCATED</t>
  </si>
  <si>
    <t>PAID ON 12/10</t>
  </si>
  <si>
    <t>LL</t>
  </si>
  <si>
    <t>NOVEMBER</t>
  </si>
  <si>
    <t>STANELY</t>
  </si>
  <si>
    <t>0….</t>
  </si>
  <si>
    <t>ANN</t>
  </si>
  <si>
    <t>FOR THE MONTH OF NOVEMBER 2019</t>
  </si>
  <si>
    <t>PAID ON 14/11</t>
  </si>
  <si>
    <t>GARRY OTIENDE</t>
  </si>
  <si>
    <t>FOR THE MONTH OF DECEMBER 2019</t>
  </si>
  <si>
    <t>DECEMBER</t>
  </si>
  <si>
    <t>PAID ON 30/11</t>
  </si>
  <si>
    <t>DANIEL KIMANI</t>
  </si>
  <si>
    <t>PAID ON 12/12</t>
  </si>
  <si>
    <t>PAID ON23/12</t>
  </si>
  <si>
    <t>JANUARY</t>
  </si>
  <si>
    <t>FOR THE MONTH OF JANUARY 2020</t>
  </si>
  <si>
    <t>PAID ON 7/1</t>
  </si>
  <si>
    <t>PAID ON 12/1</t>
  </si>
  <si>
    <t>LETTING FEE</t>
  </si>
  <si>
    <t>FOR THE MONTH OF FEBRUARY 2020</t>
  </si>
  <si>
    <t>FEBRUARY</t>
  </si>
  <si>
    <t>PAID ON 15/2</t>
  </si>
  <si>
    <t>MARCH</t>
  </si>
  <si>
    <t>FOR THE MONTH OF MARCH 2020</t>
  </si>
  <si>
    <t>PAID ON 4/3</t>
  </si>
  <si>
    <t>GEORGE MWANGI</t>
  </si>
  <si>
    <t>PAID ON 14/3</t>
  </si>
  <si>
    <t>FOR THE MONTH OF APRIL 2020</t>
  </si>
  <si>
    <t>APRIL</t>
  </si>
  <si>
    <t>PAID ON 30/3</t>
  </si>
  <si>
    <t>PAID ON 18/4</t>
  </si>
  <si>
    <t>MAY</t>
  </si>
  <si>
    <t>FOR THE MONTH OF MAY  2020</t>
  </si>
  <si>
    <t>GARRY</t>
  </si>
  <si>
    <t>ON DEPOSIT LL6600</t>
  </si>
  <si>
    <t>DAMARIS WAIHIGA</t>
  </si>
  <si>
    <t>JUSHUA GITUMA</t>
  </si>
  <si>
    <t>PAID ON 12/5</t>
  </si>
  <si>
    <t>JUNE</t>
  </si>
  <si>
    <t>FOR THE MONTH OF JUNE 2020</t>
  </si>
  <si>
    <t>PAID ON 26/5</t>
  </si>
  <si>
    <t>FOR THE MONTH OF JULY 2020</t>
  </si>
  <si>
    <t>PAID ON 6/7</t>
  </si>
  <si>
    <t>ELIAS GITHINJI</t>
  </si>
  <si>
    <t>PAID ON 18/7</t>
  </si>
  <si>
    <t>AUGUST</t>
  </si>
  <si>
    <t>FOR THE MONTH OF AUGUST 2020</t>
  </si>
  <si>
    <t>PAID ON 10/8</t>
  </si>
  <si>
    <t>PAID ON  22/8</t>
  </si>
  <si>
    <t>FOR THE MONTH OF SEPTEMBER 2020</t>
  </si>
  <si>
    <t>SEPTEMBER</t>
  </si>
  <si>
    <t>JOSEPH KABABU</t>
  </si>
  <si>
    <t>PAID ON 19/9</t>
  </si>
  <si>
    <t>FOR THE MONTH OF OCTOBER 2020</t>
  </si>
  <si>
    <t>OCTOBER</t>
  </si>
  <si>
    <t>PAID ON 7/9</t>
  </si>
  <si>
    <t>PAID ON 15/10</t>
  </si>
  <si>
    <t>FOR THE MONTH OF NOVEMBER 2020</t>
  </si>
  <si>
    <t>PAID ON 7/11</t>
  </si>
  <si>
    <t>FOR THE MONTH OF DECEMBER 2020</t>
  </si>
  <si>
    <t>PAID ON 2/12</t>
  </si>
  <si>
    <t>PAID ON 24/12</t>
  </si>
  <si>
    <t>FOR THE MONTH OF JANUARY 2021</t>
  </si>
  <si>
    <t>PAID ON 16/1</t>
  </si>
  <si>
    <t>FOR THE MONTH OF FEBRUARY 2021</t>
  </si>
  <si>
    <t>PAID ON 30/1</t>
  </si>
  <si>
    <t>PAID ON 4/2</t>
  </si>
  <si>
    <t>JOSEPH KABABU/ZILPA OKEYO</t>
  </si>
  <si>
    <t>PAID ON 16/2</t>
  </si>
  <si>
    <t>FOR THE MONTH OF MARCH 2021</t>
  </si>
  <si>
    <t>PAID ON 8/3</t>
  </si>
  <si>
    <t>PAID ON 13/3</t>
  </si>
  <si>
    <t>FOR THE MONTH OF APRIL 2021</t>
  </si>
  <si>
    <t>PAID ON 17/4</t>
  </si>
  <si>
    <t>FOR THE MONTH OF MAY 2021</t>
  </si>
  <si>
    <t>PAID ON 6/5</t>
  </si>
  <si>
    <t>FOR THE MONTH OF JUNE 2021</t>
  </si>
  <si>
    <t>DAVID SILA IKANDI</t>
  </si>
  <si>
    <t>PAID ON 7/6</t>
  </si>
  <si>
    <t>ON DEP</t>
  </si>
  <si>
    <t>PAID ON 25/5</t>
  </si>
  <si>
    <t>KENN ON DEP</t>
  </si>
  <si>
    <t>PAID ON 17/6</t>
  </si>
  <si>
    <t>FOR THE MONTH OF JULY 2021</t>
  </si>
  <si>
    <t>PAID ON 10/7</t>
  </si>
  <si>
    <t>PAID ON 24/7</t>
  </si>
  <si>
    <t>FOR THE MONTH OF AUGUST 2021</t>
  </si>
  <si>
    <t>PAID ON 14/8</t>
  </si>
  <si>
    <t>PAID ON 21/8</t>
  </si>
  <si>
    <t>PAID ON 26/8</t>
  </si>
  <si>
    <t>FOR THE MONTH OF SEPTEMBER 2021</t>
  </si>
  <si>
    <t>PAID ON 3/9</t>
  </si>
  <si>
    <t>PAID ON 8/9</t>
  </si>
  <si>
    <t>PAID ON 23/9</t>
  </si>
  <si>
    <t>FOR THE MONTH OF OCTOBER 2021</t>
  </si>
  <si>
    <t>B\F</t>
  </si>
  <si>
    <t>PAID ON 29/9</t>
  </si>
  <si>
    <t>PAID ON 27/9</t>
  </si>
  <si>
    <t>PAID ON 2/10</t>
  </si>
  <si>
    <t>PAID ON 11/10</t>
  </si>
  <si>
    <t>PAID ON 4/10</t>
  </si>
  <si>
    <t>PAID ON 14/10</t>
  </si>
  <si>
    <t>FOR THE MONTH OF NOVEMBER 2021</t>
  </si>
  <si>
    <t>PAID ON 23/10</t>
  </si>
  <si>
    <t>PAID ON 18/10</t>
  </si>
  <si>
    <t>NOV</t>
  </si>
  <si>
    <t>PAID ON 26/10</t>
  </si>
  <si>
    <t>PAID ON 28/10</t>
  </si>
  <si>
    <t>PAID ON 10/11</t>
  </si>
  <si>
    <t>PAID ON 3/10</t>
  </si>
  <si>
    <t>PAID ON25/11</t>
  </si>
  <si>
    <t>FOR THE MONTH OF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</si>
</sst>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7" fillId="0" borderId="1" xfId="0" applyNumberFormat="1" applyFont="1" applyBorder="1"/>
    <xf numFmtId="3" fontId="11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1" fillId="0" borderId="0" xfId="0" applyFont="1"/>
    <xf numFmtId="43" fontId="0" fillId="0" borderId="0" xfId="0" applyNumberFormat="1"/>
    <xf numFmtId="0" fontId="2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3" fontId="9" fillId="0" borderId="1" xfId="0" applyNumberFormat="1" applyFont="1" applyBorder="1"/>
    <xf numFmtId="9" fontId="9" fillId="0" borderId="1" xfId="0" applyNumberFormat="1" applyFont="1" applyBorder="1"/>
    <xf numFmtId="14" fontId="9" fillId="0" borderId="1" xfId="0" applyNumberFormat="1" applyFont="1" applyBorder="1"/>
    <xf numFmtId="14" fontId="9" fillId="0" borderId="1" xfId="0" applyNumberFormat="1" applyFont="1" applyFill="1" applyBorder="1"/>
    <xf numFmtId="0" fontId="9" fillId="0" borderId="1" xfId="0" applyFont="1" applyFill="1" applyBorder="1"/>
    <xf numFmtId="0" fontId="17" fillId="0" borderId="0" xfId="0" applyFont="1"/>
    <xf numFmtId="0" fontId="11" fillId="0" borderId="1" xfId="0" applyFont="1" applyBorder="1"/>
    <xf numFmtId="14" fontId="9" fillId="0" borderId="2" xfId="0" applyNumberFormat="1" applyFont="1" applyFill="1" applyBorder="1"/>
    <xf numFmtId="0" fontId="9" fillId="0" borderId="2" xfId="0" applyFont="1" applyFill="1" applyBorder="1"/>
    <xf numFmtId="3" fontId="0" fillId="0" borderId="0" xfId="0" applyNumberFormat="1"/>
    <xf numFmtId="0" fontId="18" fillId="0" borderId="1" xfId="0" applyFont="1" applyBorder="1"/>
    <xf numFmtId="0" fontId="9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22" sqref="L22"/>
    </sheetView>
  </sheetViews>
  <sheetFormatPr defaultRowHeight="15" x14ac:dyDescent="0.25"/>
  <cols>
    <col min="1" max="1" width="2.28515625" customWidth="1"/>
    <col min="2" max="2" width="17" customWidth="1"/>
    <col min="3" max="5" width="9.7109375" customWidth="1"/>
    <col min="6" max="6" width="11.28515625" customWidth="1"/>
  </cols>
  <sheetData>
    <row r="1" spans="1:9" ht="15.75" x14ac:dyDescent="0.25">
      <c r="A1" s="1"/>
      <c r="B1" s="2"/>
      <c r="C1" s="3" t="s">
        <v>25</v>
      </c>
      <c r="D1" s="4"/>
      <c r="E1" s="5"/>
      <c r="F1" s="1"/>
    </row>
    <row r="2" spans="1:9" ht="15.75" x14ac:dyDescent="0.25">
      <c r="A2" s="1"/>
      <c r="B2" s="2"/>
      <c r="C2" s="3" t="s">
        <v>0</v>
      </c>
      <c r="D2" s="6"/>
      <c r="E2" s="5"/>
      <c r="F2" s="1"/>
    </row>
    <row r="3" spans="1:9" ht="15.75" x14ac:dyDescent="0.25">
      <c r="A3" s="1"/>
      <c r="B3" s="2" t="s">
        <v>1</v>
      </c>
      <c r="C3" s="3" t="s">
        <v>2</v>
      </c>
      <c r="D3" s="2"/>
      <c r="E3" s="5"/>
      <c r="F3" s="1"/>
    </row>
    <row r="4" spans="1:9" x14ac:dyDescent="0.25">
      <c r="A4" s="7"/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10" t="s">
        <v>8</v>
      </c>
    </row>
    <row r="5" spans="1:9" x14ac:dyDescent="0.25">
      <c r="A5" s="7">
        <v>1</v>
      </c>
      <c r="B5" s="7" t="s">
        <v>33</v>
      </c>
      <c r="C5" s="7"/>
      <c r="D5" s="7">
        <v>5000</v>
      </c>
      <c r="E5" s="11">
        <f>C5+D5</f>
        <v>5000</v>
      </c>
      <c r="F5" s="12">
        <v>5000</v>
      </c>
      <c r="G5" s="11">
        <f>E5-F5</f>
        <v>0</v>
      </c>
    </row>
    <row r="6" spans="1:9" x14ac:dyDescent="0.25">
      <c r="A6" s="7">
        <v>2</v>
      </c>
      <c r="B6" s="13" t="s">
        <v>32</v>
      </c>
      <c r="C6" s="13"/>
      <c r="D6" s="7">
        <v>5000</v>
      </c>
      <c r="E6" s="11">
        <f>C6+D6</f>
        <v>5000</v>
      </c>
      <c r="F6" s="12">
        <v>5000</v>
      </c>
      <c r="G6" s="11">
        <f>E6-F6</f>
        <v>0</v>
      </c>
      <c r="H6" t="s">
        <v>30</v>
      </c>
    </row>
    <row r="7" spans="1:9" x14ac:dyDescent="0.25">
      <c r="A7" s="7">
        <v>3</v>
      </c>
      <c r="B7" s="7" t="s">
        <v>26</v>
      </c>
      <c r="C7" s="7">
        <v>7000</v>
      </c>
      <c r="D7" s="7">
        <v>5000</v>
      </c>
      <c r="E7" s="11">
        <f>C7+D7</f>
        <v>12000</v>
      </c>
      <c r="F7" s="12">
        <v>5500</v>
      </c>
      <c r="G7" s="11">
        <f>E7-F7</f>
        <v>6500</v>
      </c>
    </row>
    <row r="8" spans="1:9" x14ac:dyDescent="0.25">
      <c r="A8" s="7">
        <v>4</v>
      </c>
      <c r="B8" s="7" t="s">
        <v>27</v>
      </c>
      <c r="C8" s="7"/>
      <c r="D8" s="7">
        <v>5000</v>
      </c>
      <c r="E8" s="11">
        <f>C8+D8</f>
        <v>5000</v>
      </c>
      <c r="F8" s="12">
        <v>3000</v>
      </c>
      <c r="G8" s="11">
        <f>E8-F8</f>
        <v>2000</v>
      </c>
    </row>
    <row r="9" spans="1:9" x14ac:dyDescent="0.25">
      <c r="A9" s="7">
        <v>5</v>
      </c>
      <c r="B9" s="14" t="s">
        <v>28</v>
      </c>
      <c r="C9" s="14"/>
      <c r="D9" s="7">
        <v>7000</v>
      </c>
      <c r="E9" s="11">
        <f>C9+D9</f>
        <v>7000</v>
      </c>
      <c r="F9" s="12">
        <v>5000</v>
      </c>
      <c r="G9" s="11">
        <f>E9-F9</f>
        <v>2000</v>
      </c>
    </row>
    <row r="10" spans="1:9" x14ac:dyDescent="0.25">
      <c r="A10" s="7"/>
      <c r="B10" s="15" t="s">
        <v>9</v>
      </c>
      <c r="C10" s="15"/>
      <c r="D10" s="9">
        <f>SUM(D5:D9)</f>
        <v>27000</v>
      </c>
      <c r="E10" s="16">
        <f>SUM(E5:E9)</f>
        <v>34000</v>
      </c>
      <c r="F10" s="17">
        <f>SUM(F5:F9)</f>
        <v>23500</v>
      </c>
      <c r="G10" s="16">
        <f>SUM(G5:G9)</f>
        <v>10500</v>
      </c>
    </row>
    <row r="11" spans="1:9" x14ac:dyDescent="0.25">
      <c r="A11" s="7"/>
      <c r="B11" s="18"/>
      <c r="C11" s="18"/>
      <c r="D11" s="7"/>
      <c r="E11" s="19"/>
      <c r="F11" s="20"/>
      <c r="G11" s="19"/>
    </row>
    <row r="12" spans="1:9" x14ac:dyDescent="0.25">
      <c r="A12" s="21"/>
      <c r="B12" s="22"/>
      <c r="C12" s="22"/>
      <c r="D12" s="21"/>
      <c r="E12" s="23"/>
      <c r="F12" s="24"/>
      <c r="G12" s="23"/>
    </row>
    <row r="13" spans="1:9" ht="15.75" x14ac:dyDescent="0.25">
      <c r="B13" s="36" t="s">
        <v>10</v>
      </c>
      <c r="C13" s="28"/>
      <c r="D13" s="28"/>
      <c r="E13" s="28"/>
      <c r="F13" s="28"/>
      <c r="G13" s="28"/>
      <c r="H13" s="28"/>
      <c r="I13" s="28"/>
    </row>
    <row r="14" spans="1:9" s="25" customFormat="1" x14ac:dyDescent="0.25">
      <c r="B14" s="29" t="s">
        <v>11</v>
      </c>
      <c r="C14" s="29"/>
      <c r="D14" s="29"/>
      <c r="E14" s="29"/>
      <c r="F14" s="29" t="s">
        <v>12</v>
      </c>
      <c r="G14" s="29"/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D10</f>
        <v>27000</v>
      </c>
      <c r="D16" s="13"/>
      <c r="E16" s="13"/>
      <c r="F16" s="13" t="s">
        <v>17</v>
      </c>
      <c r="G16" s="31">
        <f>F10</f>
        <v>23500</v>
      </c>
      <c r="H16" s="13"/>
      <c r="I16" s="13"/>
    </row>
    <row r="17" spans="1:11" x14ac:dyDescent="0.25">
      <c r="B17" s="13" t="s">
        <v>4</v>
      </c>
      <c r="C17" s="31">
        <v>500</v>
      </c>
      <c r="D17" s="13"/>
      <c r="E17" s="13"/>
      <c r="F17" s="13" t="s">
        <v>4</v>
      </c>
      <c r="G17" s="31">
        <v>0</v>
      </c>
      <c r="H17" s="13"/>
      <c r="I17" s="13"/>
    </row>
    <row r="18" spans="1:11" x14ac:dyDescent="0.25">
      <c r="B18" s="37" t="s">
        <v>29</v>
      </c>
      <c r="C18" s="13"/>
      <c r="D18" s="13"/>
      <c r="E18" s="13"/>
      <c r="F18" s="37" t="s">
        <v>29</v>
      </c>
      <c r="G18" s="13"/>
      <c r="H18" s="13"/>
      <c r="I18" s="13"/>
    </row>
    <row r="19" spans="1:11" x14ac:dyDescent="0.25">
      <c r="B19" s="13" t="s">
        <v>18</v>
      </c>
      <c r="C19" s="32">
        <v>0.1</v>
      </c>
      <c r="D19" s="13">
        <f>C19*C16</f>
        <v>2700</v>
      </c>
      <c r="E19" s="28"/>
      <c r="F19" s="13" t="s">
        <v>18</v>
      </c>
      <c r="G19" s="32">
        <v>0.1</v>
      </c>
      <c r="H19" s="13">
        <f>D19</f>
        <v>2700</v>
      </c>
      <c r="I19" s="13"/>
    </row>
    <row r="20" spans="1:11" x14ac:dyDescent="0.25">
      <c r="B20" s="33" t="s">
        <v>31</v>
      </c>
      <c r="C20" s="13"/>
      <c r="D20" s="13">
        <v>2500</v>
      </c>
      <c r="E20" s="13"/>
      <c r="F20" s="33" t="s">
        <v>31</v>
      </c>
      <c r="G20" s="13"/>
      <c r="H20" s="13">
        <v>2500</v>
      </c>
      <c r="I20" s="13"/>
    </row>
    <row r="21" spans="1:11" x14ac:dyDescent="0.25">
      <c r="B21" s="34" t="s">
        <v>34</v>
      </c>
      <c r="C21" s="13"/>
      <c r="D21" s="13">
        <v>13097</v>
      </c>
      <c r="E21" s="13"/>
      <c r="F21" s="34" t="s">
        <v>34</v>
      </c>
      <c r="G21" s="13"/>
      <c r="H21" s="13">
        <v>13097</v>
      </c>
      <c r="I21" s="13"/>
    </row>
    <row r="22" spans="1:11" x14ac:dyDescent="0.25">
      <c r="B22" s="33" t="s">
        <v>35</v>
      </c>
      <c r="C22" s="13"/>
      <c r="D22" s="13">
        <v>4661</v>
      </c>
      <c r="E22" s="13"/>
      <c r="F22" s="33" t="s">
        <v>35</v>
      </c>
      <c r="G22" s="13"/>
      <c r="H22" s="13">
        <v>4661</v>
      </c>
      <c r="I22" s="13"/>
      <c r="K22" s="40"/>
    </row>
    <row r="23" spans="1:11" x14ac:dyDescent="0.25">
      <c r="B23" s="35"/>
      <c r="C23" s="13"/>
      <c r="D23" s="13"/>
      <c r="E23" s="13"/>
      <c r="F23" s="35"/>
      <c r="G23" s="13"/>
      <c r="H23" s="13"/>
      <c r="I23" s="13"/>
    </row>
    <row r="24" spans="1:11" x14ac:dyDescent="0.25">
      <c r="A24" s="26"/>
      <c r="B24" s="37" t="s">
        <v>9</v>
      </c>
      <c r="C24" s="17">
        <f>C16+C17-D19</f>
        <v>24800</v>
      </c>
      <c r="D24" s="17">
        <f>SUM(D20:D23)</f>
        <v>20258</v>
      </c>
      <c r="E24" s="17">
        <f>C24-D24</f>
        <v>4542</v>
      </c>
      <c r="F24" s="37" t="s">
        <v>9</v>
      </c>
      <c r="G24" s="17">
        <f>G16+G17-H19</f>
        <v>20800</v>
      </c>
      <c r="H24" s="17">
        <f>SUM(H20:H23)</f>
        <v>20258</v>
      </c>
      <c r="I24" s="17">
        <f>G24-H24</f>
        <v>542</v>
      </c>
    </row>
    <row r="25" spans="1:11" x14ac:dyDescent="0.25">
      <c r="A25" s="26"/>
      <c r="B25" s="1"/>
      <c r="C25" s="1"/>
      <c r="D25" s="1"/>
    </row>
    <row r="26" spans="1:11" x14ac:dyDescent="0.25">
      <c r="B26" s="1" t="s">
        <v>19</v>
      </c>
      <c r="D26" s="27" t="s">
        <v>20</v>
      </c>
      <c r="F26" s="1" t="s">
        <v>21</v>
      </c>
    </row>
    <row r="27" spans="1:11" x14ac:dyDescent="0.25">
      <c r="D27" s="1"/>
    </row>
    <row r="28" spans="1:11" x14ac:dyDescent="0.25">
      <c r="B28" s="1" t="s">
        <v>22</v>
      </c>
      <c r="C28" s="1"/>
      <c r="D28" s="1" t="s">
        <v>23</v>
      </c>
      <c r="F28" s="1" t="s">
        <v>24</v>
      </c>
    </row>
    <row r="33" spans="5:6" x14ac:dyDescent="0.25">
      <c r="F33" s="40"/>
    </row>
    <row r="34" spans="5:6" x14ac:dyDescent="0.25">
      <c r="E34">
        <f>D21+D22</f>
        <v>17758</v>
      </c>
      <c r="F34" s="40"/>
    </row>
    <row r="35" spans="5:6" x14ac:dyDescent="0.25">
      <c r="F35" s="40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8" sqref="J28"/>
    </sheetView>
  </sheetViews>
  <sheetFormatPr defaultRowHeight="15" x14ac:dyDescent="0.25"/>
  <cols>
    <col min="1" max="1" width="2" bestFit="1" customWidth="1"/>
    <col min="2" max="2" width="18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83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/>
      <c r="C5" s="7"/>
      <c r="D5" s="11">
        <f>'MARCH 20'!H5:H9</f>
        <v>0</v>
      </c>
      <c r="E5" s="7"/>
      <c r="F5" s="11">
        <f t="shared" ref="F5:F10" si="0">C5+D5+E5</f>
        <v>0</v>
      </c>
      <c r="G5" s="12"/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'MARCH 20'!H6:H10</f>
        <v>2000</v>
      </c>
      <c r="E6" s="7">
        <v>5000</v>
      </c>
      <c r="F6" s="11">
        <f t="shared" si="0"/>
        <v>7000</v>
      </c>
      <c r="G6" s="12">
        <f>400+6600</f>
        <v>7000</v>
      </c>
      <c r="H6" s="11">
        <f>F6-G6</f>
        <v>0</v>
      </c>
      <c r="I6" t="s">
        <v>90</v>
      </c>
    </row>
    <row r="7" spans="1:9" x14ac:dyDescent="0.25">
      <c r="A7" s="7">
        <v>3</v>
      </c>
      <c r="B7" s="7" t="s">
        <v>42</v>
      </c>
      <c r="C7" s="7"/>
      <c r="D7" s="11">
        <f>'MARCH 20'!H7:H11</f>
        <v>0</v>
      </c>
      <c r="E7" s="7">
        <v>5000</v>
      </c>
      <c r="F7" s="11">
        <f t="shared" si="0"/>
        <v>5000</v>
      </c>
      <c r="G7" s="12">
        <f>3000+1500</f>
        <v>4500</v>
      </c>
      <c r="H7" s="11">
        <f>F7-G7</f>
        <v>500</v>
      </c>
    </row>
    <row r="8" spans="1:9" x14ac:dyDescent="0.25">
      <c r="A8" s="7">
        <v>4</v>
      </c>
      <c r="B8" s="13" t="s">
        <v>81</v>
      </c>
      <c r="C8" s="7"/>
      <c r="D8" s="11">
        <f>'MARCH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2000</v>
      </c>
      <c r="E10" s="9">
        <f>SUM(E5:E9)</f>
        <v>22000</v>
      </c>
      <c r="F10" s="11">
        <f t="shared" si="0"/>
        <v>24000</v>
      </c>
      <c r="G10" s="17">
        <f>SUM(G5:G9)</f>
        <v>23500</v>
      </c>
      <c r="H10" s="16">
        <f>SUM(H5:H9)</f>
        <v>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84</v>
      </c>
      <c r="C16" s="31">
        <f>E10</f>
        <v>22000</v>
      </c>
      <c r="D16" s="13"/>
      <c r="E16" s="13"/>
      <c r="F16" s="13" t="s">
        <v>84</v>
      </c>
      <c r="G16" s="31">
        <f>G10</f>
        <v>23500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'MARCH 20'!E25</f>
        <v>2769</v>
      </c>
      <c r="D18" s="13"/>
      <c r="E18" s="13"/>
      <c r="F18" s="13" t="s">
        <v>4</v>
      </c>
      <c r="G18" s="31">
        <f>'MARCH 20'!I25</f>
        <v>769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G20*C16</f>
        <v>2200</v>
      </c>
      <c r="I20" s="13"/>
    </row>
    <row r="21" spans="1:9" x14ac:dyDescent="0.25">
      <c r="B21" s="33" t="s">
        <v>86</v>
      </c>
      <c r="C21" s="32"/>
      <c r="D21" s="13">
        <v>14000</v>
      </c>
      <c r="E21" s="13"/>
      <c r="F21" s="33" t="s">
        <v>86</v>
      </c>
      <c r="G21" s="32"/>
      <c r="H21" s="13">
        <v>14000</v>
      </c>
      <c r="I21" s="13"/>
    </row>
    <row r="22" spans="1:9" x14ac:dyDescent="0.25">
      <c r="B22" s="34" t="s">
        <v>89</v>
      </c>
      <c r="C22" s="13"/>
      <c r="D22" s="31">
        <f>6600</f>
        <v>6600</v>
      </c>
      <c r="E22" s="13"/>
      <c r="F22" s="34" t="s">
        <v>89</v>
      </c>
      <c r="G22" s="13"/>
      <c r="H22" s="31">
        <f>6600</f>
        <v>6600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22569</v>
      </c>
      <c r="D25" s="17">
        <f>SUM(D21:D24)</f>
        <v>20600</v>
      </c>
      <c r="E25" s="17">
        <f>C25-D25</f>
        <v>1969</v>
      </c>
      <c r="F25" s="37" t="s">
        <v>9</v>
      </c>
      <c r="G25" s="17">
        <f>G16+G18-H20</f>
        <v>22069</v>
      </c>
      <c r="H25" s="17">
        <f>SUM(H21:H24)</f>
        <v>20600</v>
      </c>
      <c r="I25" s="17">
        <f>G25-H25</f>
        <v>1469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6" sqref="M16"/>
    </sheetView>
  </sheetViews>
  <sheetFormatPr defaultRowHeight="15" x14ac:dyDescent="0.25"/>
  <cols>
    <col min="1" max="1" width="6.42578125" customWidth="1"/>
    <col min="2" max="2" width="15.28515625" customWidth="1"/>
    <col min="6" max="6" width="12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88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'APRIL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>
        <v>5000</v>
      </c>
      <c r="D6" s="11">
        <f>'APRIL 20'!H6:H10</f>
        <v>0</v>
      </c>
      <c r="E6" s="7">
        <v>5000</v>
      </c>
      <c r="F6" s="11">
        <f t="shared" si="0"/>
        <v>10000</v>
      </c>
      <c r="G6" s="12"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'APRIL 20'!H7:H11</f>
        <v>500</v>
      </c>
      <c r="E7" s="7">
        <v>5000</v>
      </c>
      <c r="F7" s="11">
        <f t="shared" si="0"/>
        <v>5500</v>
      </c>
      <c r="G7" s="12">
        <f>3200+500</f>
        <v>3700</v>
      </c>
      <c r="H7" s="11">
        <f>F7-G7</f>
        <v>1800</v>
      </c>
    </row>
    <row r="8" spans="1:9" x14ac:dyDescent="0.25">
      <c r="A8" s="7">
        <v>4</v>
      </c>
      <c r="B8" s="13" t="s">
        <v>81</v>
      </c>
      <c r="C8" s="7"/>
      <c r="D8" s="11">
        <f>'APRIL 20'!H8:H12</f>
        <v>0</v>
      </c>
      <c r="E8" s="7">
        <v>5000</v>
      </c>
      <c r="F8" s="11">
        <f t="shared" si="0"/>
        <v>5000</v>
      </c>
      <c r="G8" s="12">
        <f>3000</f>
        <v>3000</v>
      </c>
      <c r="H8" s="11">
        <f>F8-G8</f>
        <v>2000</v>
      </c>
    </row>
    <row r="9" spans="1:9" x14ac:dyDescent="0.25">
      <c r="A9" s="7">
        <v>5</v>
      </c>
      <c r="B9" s="14" t="s">
        <v>28</v>
      </c>
      <c r="C9" s="14"/>
      <c r="D9" s="11">
        <f>'APRIL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</v>
      </c>
      <c r="E10" s="9">
        <f>SUM(E5:E9)</f>
        <v>27000</v>
      </c>
      <c r="F10" s="11">
        <f t="shared" si="0"/>
        <v>27500</v>
      </c>
      <c r="G10" s="17">
        <f>SUM(G5:G9)</f>
        <v>28700</v>
      </c>
      <c r="H10" s="16">
        <f>SUM(H5:H9)</f>
        <v>3800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87</v>
      </c>
      <c r="C16" s="31">
        <f>E10</f>
        <v>27000</v>
      </c>
      <c r="D16" s="13"/>
      <c r="E16" s="13"/>
      <c r="F16" s="13" t="s">
        <v>87</v>
      </c>
      <c r="G16" s="31">
        <f>G10</f>
        <v>28700</v>
      </c>
      <c r="H16" s="13"/>
      <c r="I16" s="13"/>
    </row>
    <row r="17" spans="1:9" x14ac:dyDescent="0.25">
      <c r="B17" s="13" t="s">
        <v>43</v>
      </c>
      <c r="C17" s="31">
        <f>5000</f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'APRIL 20'!E25</f>
        <v>1969</v>
      </c>
      <c r="D18" s="13"/>
      <c r="E18" s="13"/>
      <c r="F18" s="13" t="s">
        <v>4</v>
      </c>
      <c r="G18" s="31">
        <f>'APRIL 20'!I25</f>
        <v>1469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93</v>
      </c>
      <c r="C21" s="32"/>
      <c r="D21" s="13">
        <v>30400</v>
      </c>
      <c r="E21" s="13"/>
      <c r="F21" s="33" t="s">
        <v>93</v>
      </c>
      <c r="G21" s="32"/>
      <c r="H21" s="13">
        <v>30400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31269</v>
      </c>
      <c r="D25" s="17">
        <f>SUM(D21:D24)</f>
        <v>30400</v>
      </c>
      <c r="E25" s="17">
        <f>C25-D25</f>
        <v>869</v>
      </c>
      <c r="F25" s="37" t="s">
        <v>9</v>
      </c>
      <c r="G25" s="17">
        <f>G16+G18-H20</f>
        <v>27469</v>
      </c>
      <c r="H25" s="17">
        <f>SUM(H21:H24)</f>
        <v>30400</v>
      </c>
      <c r="I25" s="17">
        <f>G25-H25</f>
        <v>-2931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10" sqref="J10"/>
    </sheetView>
  </sheetViews>
  <sheetFormatPr defaultRowHeight="15" x14ac:dyDescent="0.25"/>
  <cols>
    <col min="2" max="2" width="17.85546875" customWidth="1"/>
    <col min="7" max="7" width="10.140625" bestFit="1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95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'MAY 20'!H5:H9</f>
        <v>0</v>
      </c>
      <c r="E5" s="7">
        <v>5000</v>
      </c>
      <c r="F5" s="11">
        <f t="shared" ref="F5:F10" si="0">C5+D5+E5</f>
        <v>5000</v>
      </c>
      <c r="G5" s="12">
        <f>3500+1500</f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'MAY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'MAY 20'!H7:H11</f>
        <v>1800</v>
      </c>
      <c r="E7" s="7">
        <v>5000</v>
      </c>
      <c r="F7" s="11">
        <f t="shared" si="0"/>
        <v>6800</v>
      </c>
      <c r="G7" s="12">
        <f>5000</f>
        <v>5000</v>
      </c>
      <c r="H7" s="11">
        <f>F7-G7</f>
        <v>1800</v>
      </c>
    </row>
    <row r="8" spans="1:9" x14ac:dyDescent="0.25">
      <c r="A8" s="7">
        <v>4</v>
      </c>
      <c r="B8" s="13" t="s">
        <v>81</v>
      </c>
      <c r="C8" s="7"/>
      <c r="D8" s="11">
        <f>'MAY 20'!H8:H12</f>
        <v>2000</v>
      </c>
      <c r="E8" s="7">
        <v>5000</v>
      </c>
      <c r="F8" s="11">
        <f t="shared" si="0"/>
        <v>7000</v>
      </c>
      <c r="G8" s="12"/>
      <c r="H8" s="11">
        <f>F8-G8</f>
        <v>7000</v>
      </c>
    </row>
    <row r="9" spans="1:9" x14ac:dyDescent="0.25">
      <c r="A9" s="7">
        <v>5</v>
      </c>
      <c r="B9" s="14" t="s">
        <v>28</v>
      </c>
      <c r="C9" s="14"/>
      <c r="D9" s="11">
        <f>'MAY 20'!H9:H13</f>
        <v>0</v>
      </c>
      <c r="E9" s="7">
        <v>7000</v>
      </c>
      <c r="F9" s="11">
        <f t="shared" si="0"/>
        <v>7000</v>
      </c>
      <c r="G9" s="12">
        <f>4000</f>
        <v>4000</v>
      </c>
      <c r="H9" s="11">
        <f>F9-G9</f>
        <v>3000</v>
      </c>
    </row>
    <row r="10" spans="1:9" x14ac:dyDescent="0.25">
      <c r="A10" s="7"/>
      <c r="B10" s="15" t="s">
        <v>9</v>
      </c>
      <c r="C10" s="15"/>
      <c r="D10" s="11">
        <f>SUM(D5:D9)</f>
        <v>3800</v>
      </c>
      <c r="E10" s="9">
        <f>SUM(E5:E9)</f>
        <v>27000</v>
      </c>
      <c r="F10" s="11">
        <f t="shared" si="0"/>
        <v>30800</v>
      </c>
      <c r="G10" s="17">
        <f>SUM(G5:G9)</f>
        <v>19000</v>
      </c>
      <c r="H10" s="16">
        <f>SUM(H5:H9)</f>
        <v>11800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94</v>
      </c>
      <c r="C16" s="31">
        <f>E10</f>
        <v>27000</v>
      </c>
      <c r="D16" s="13"/>
      <c r="E16" s="13"/>
      <c r="F16" s="13" t="s">
        <v>94</v>
      </c>
      <c r="G16" s="31">
        <f>G10</f>
        <v>19000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'MAY 20'!E25</f>
        <v>869</v>
      </c>
      <c r="D18" s="13"/>
      <c r="E18" s="13"/>
      <c r="F18" s="13" t="s">
        <v>4</v>
      </c>
      <c r="G18" s="31">
        <f>'MAY 20'!I25</f>
        <v>-2931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96</v>
      </c>
      <c r="C21" s="32"/>
      <c r="D21" s="13">
        <v>15000</v>
      </c>
      <c r="E21" s="13"/>
      <c r="F21" s="33" t="s">
        <v>96</v>
      </c>
      <c r="G21" s="32"/>
      <c r="H21" s="13">
        <v>15000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25169</v>
      </c>
      <c r="D25" s="17">
        <f>SUM(D21:D24)</f>
        <v>15000</v>
      </c>
      <c r="E25" s="17">
        <f>C25-D25</f>
        <v>10169</v>
      </c>
      <c r="F25" s="37" t="s">
        <v>9</v>
      </c>
      <c r="G25" s="17">
        <f>G16+G18-H20</f>
        <v>13369</v>
      </c>
      <c r="H25" s="17">
        <f>SUM(H21:H24)</f>
        <v>15000</v>
      </c>
      <c r="I25" s="17">
        <f>G25-H25</f>
        <v>-1631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97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'JUNE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'JUNE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'JUNE 20'!H7:H11</f>
        <v>1800</v>
      </c>
      <c r="E7" s="7">
        <v>5000</v>
      </c>
      <c r="F7" s="11">
        <f t="shared" si="0"/>
        <v>6800</v>
      </c>
      <c r="G7" s="12">
        <f>5000+1800</f>
        <v>6800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'JUNE 20'!H8:H12</f>
        <v>7000</v>
      </c>
      <c r="E8" s="7">
        <v>5000</v>
      </c>
      <c r="F8" s="11">
        <f t="shared" si="0"/>
        <v>12000</v>
      </c>
      <c r="G8" s="12">
        <f>5000+7000</f>
        <v>12000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'JUNE 20'!H9:H13</f>
        <v>3000</v>
      </c>
      <c r="E9" s="7">
        <v>7000</v>
      </c>
      <c r="F9" s="11">
        <f t="shared" si="0"/>
        <v>10000</v>
      </c>
      <c r="G9" s="12">
        <f>1300+7000</f>
        <v>8300</v>
      </c>
      <c r="H9" s="11">
        <f>F9-G9</f>
        <v>1700</v>
      </c>
    </row>
    <row r="10" spans="1:9" x14ac:dyDescent="0.25">
      <c r="A10" s="7"/>
      <c r="B10" s="15" t="s">
        <v>9</v>
      </c>
      <c r="C10" s="15"/>
      <c r="D10" s="11">
        <f>SUM(D5:D9)</f>
        <v>11800</v>
      </c>
      <c r="E10" s="9">
        <f>SUM(E5:E9)</f>
        <v>27000</v>
      </c>
      <c r="F10" s="11">
        <f t="shared" si="0"/>
        <v>38800</v>
      </c>
      <c r="G10" s="17">
        <f>SUM(G5:G9)</f>
        <v>37100</v>
      </c>
      <c r="H10" s="16">
        <f>SUM(H5:H9)</f>
        <v>1700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E10</f>
        <v>27000</v>
      </c>
      <c r="D16" s="13"/>
      <c r="E16" s="13"/>
      <c r="F16" s="13" t="s">
        <v>17</v>
      </c>
      <c r="G16" s="31">
        <f>G10</f>
        <v>37100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'JUNE 20'!E25</f>
        <v>10169</v>
      </c>
      <c r="D18" s="13"/>
      <c r="E18" s="13"/>
      <c r="F18" s="13" t="s">
        <v>4</v>
      </c>
      <c r="G18" s="31">
        <f>'JUNE 20'!I25</f>
        <v>-1631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98</v>
      </c>
      <c r="C21" s="32"/>
      <c r="D21" s="13">
        <v>4500</v>
      </c>
      <c r="E21" s="13"/>
      <c r="F21" s="33" t="s">
        <v>98</v>
      </c>
      <c r="G21" s="32"/>
      <c r="H21" s="13">
        <v>4500</v>
      </c>
      <c r="I21" s="13"/>
    </row>
    <row r="22" spans="1:9" x14ac:dyDescent="0.25">
      <c r="B22" s="34" t="s">
        <v>100</v>
      </c>
      <c r="C22" s="13"/>
      <c r="D22" s="13">
        <v>20000</v>
      </c>
      <c r="E22" s="13"/>
      <c r="F22" s="34" t="s">
        <v>100</v>
      </c>
      <c r="G22" s="13"/>
      <c r="H22" s="13">
        <v>20000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34469</v>
      </c>
      <c r="D25" s="17">
        <f>SUM(D21:D24)</f>
        <v>24500</v>
      </c>
      <c r="E25" s="17">
        <f>C25-D25</f>
        <v>9969</v>
      </c>
      <c r="F25" s="37" t="s">
        <v>9</v>
      </c>
      <c r="G25" s="17">
        <f>G16+G18-H20</f>
        <v>32769</v>
      </c>
      <c r="H25" s="17">
        <f>SUM(H21:H24)</f>
        <v>24500</v>
      </c>
      <c r="I25" s="17">
        <f>G25-H25</f>
        <v>8269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L34" sqref="L34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102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'JULY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91</v>
      </c>
      <c r="C6" s="13"/>
      <c r="D6" s="11">
        <f>'JULY 20'!H6:H10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'JULY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'JULY 20'!H8:H12</f>
        <v>0</v>
      </c>
      <c r="E8" s="7">
        <v>5000</v>
      </c>
      <c r="F8" s="11">
        <f t="shared" si="0"/>
        <v>5000</v>
      </c>
      <c r="G8" s="12">
        <f>4000</f>
        <v>4000</v>
      </c>
      <c r="H8" s="11">
        <f>F8-G8</f>
        <v>1000</v>
      </c>
    </row>
    <row r="9" spans="1:9" x14ac:dyDescent="0.25">
      <c r="A9" s="7">
        <v>5</v>
      </c>
      <c r="B9" s="14" t="s">
        <v>28</v>
      </c>
      <c r="C9" s="14"/>
      <c r="D9" s="11">
        <f>'JULY 20'!H9:H13</f>
        <v>1700</v>
      </c>
      <c r="E9" s="7">
        <v>7000</v>
      </c>
      <c r="F9" s="11">
        <f t="shared" si="0"/>
        <v>8700</v>
      </c>
      <c r="G9" s="12">
        <f>4000+3200</f>
        <v>7200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SUM(D5:D9)</f>
        <v>1700</v>
      </c>
      <c r="E10" s="9">
        <f>SUM(E5:E9)</f>
        <v>27000</v>
      </c>
      <c r="F10" s="11">
        <f t="shared" si="0"/>
        <v>28700</v>
      </c>
      <c r="G10" s="17">
        <f>SUM(G5:G9)</f>
        <v>26200</v>
      </c>
      <c r="H10" s="16">
        <f>SUM(H5:H9)</f>
        <v>2500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101</v>
      </c>
      <c r="C16" s="31">
        <f>E10</f>
        <v>27000</v>
      </c>
      <c r="D16" s="13"/>
      <c r="E16" s="13"/>
      <c r="F16" s="13" t="s">
        <v>101</v>
      </c>
      <c r="G16" s="31">
        <f>G10</f>
        <v>26200</v>
      </c>
      <c r="H16" s="13"/>
      <c r="I16" s="13"/>
    </row>
    <row r="17" spans="1:11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1" x14ac:dyDescent="0.25">
      <c r="B18" s="13" t="s">
        <v>4</v>
      </c>
      <c r="C18" s="31">
        <f>'JULY 20'!E25</f>
        <v>9969</v>
      </c>
      <c r="D18" s="13"/>
      <c r="E18" s="13"/>
      <c r="F18" s="13" t="s">
        <v>4</v>
      </c>
      <c r="G18" s="31">
        <f>'JULY 20'!I25</f>
        <v>8269</v>
      </c>
      <c r="H18" s="13"/>
      <c r="I18" s="13"/>
      <c r="K18" s="40"/>
    </row>
    <row r="19" spans="1:11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  <c r="K19" s="40"/>
    </row>
    <row r="20" spans="1:11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  <c r="K20" s="40"/>
    </row>
    <row r="21" spans="1:11" x14ac:dyDescent="0.25">
      <c r="B21" s="33" t="s">
        <v>103</v>
      </c>
      <c r="C21" s="32"/>
      <c r="D21" s="13">
        <v>10000</v>
      </c>
      <c r="E21" s="13"/>
      <c r="F21" s="33" t="s">
        <v>103</v>
      </c>
      <c r="G21" s="32"/>
      <c r="H21" s="13">
        <v>10000</v>
      </c>
      <c r="I21" s="13"/>
      <c r="K21" s="40"/>
    </row>
    <row r="22" spans="1:11" x14ac:dyDescent="0.25">
      <c r="B22" s="34" t="s">
        <v>104</v>
      </c>
      <c r="C22" s="13"/>
      <c r="D22" s="13">
        <v>12097</v>
      </c>
      <c r="E22" s="13"/>
      <c r="F22" s="34" t="s">
        <v>104</v>
      </c>
      <c r="G22" s="13"/>
      <c r="H22" s="13">
        <v>12097</v>
      </c>
      <c r="I22" s="13"/>
    </row>
    <row r="23" spans="1:11" x14ac:dyDescent="0.25">
      <c r="B23" s="33"/>
      <c r="C23" s="13"/>
      <c r="D23" s="13"/>
      <c r="E23" s="13"/>
      <c r="F23" s="33"/>
      <c r="G23" s="13"/>
      <c r="H23" s="13"/>
      <c r="I23" s="13"/>
    </row>
    <row r="24" spans="1:11" x14ac:dyDescent="0.25">
      <c r="B24" s="35"/>
      <c r="C24" s="13"/>
      <c r="D24" s="13"/>
      <c r="E24" s="13"/>
      <c r="F24" s="35"/>
      <c r="G24" s="13"/>
      <c r="H24" s="13"/>
      <c r="I24" s="13"/>
    </row>
    <row r="25" spans="1:11" x14ac:dyDescent="0.25">
      <c r="A25" s="26"/>
      <c r="B25" s="37" t="s">
        <v>9</v>
      </c>
      <c r="C25" s="17">
        <f>C16+C18+C17-D20</f>
        <v>34269</v>
      </c>
      <c r="D25" s="17">
        <f>SUM(D21:D24)</f>
        <v>22097</v>
      </c>
      <c r="E25" s="17">
        <f>C25-D25</f>
        <v>12172</v>
      </c>
      <c r="F25" s="37" t="s">
        <v>9</v>
      </c>
      <c r="G25" s="17">
        <f>G16+G18-H20</f>
        <v>31769</v>
      </c>
      <c r="H25" s="17">
        <f>SUM(H21:H24)</f>
        <v>22097</v>
      </c>
      <c r="I25" s="17">
        <f>G25-H25</f>
        <v>9672</v>
      </c>
    </row>
    <row r="26" spans="1:11" x14ac:dyDescent="0.25">
      <c r="A26" s="26"/>
      <c r="B26" s="1"/>
      <c r="C26" s="1"/>
      <c r="D26" s="1"/>
      <c r="E26" s="1"/>
    </row>
    <row r="27" spans="1:11" x14ac:dyDescent="0.25">
      <c r="B27" s="1" t="s">
        <v>19</v>
      </c>
      <c r="C27" s="1"/>
      <c r="E27" s="27" t="s">
        <v>20</v>
      </c>
      <c r="G27" s="1" t="s">
        <v>21</v>
      </c>
    </row>
    <row r="28" spans="1:11" x14ac:dyDescent="0.25">
      <c r="E28" s="1"/>
    </row>
    <row r="29" spans="1:11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30" sqref="I30"/>
    </sheetView>
  </sheetViews>
  <sheetFormatPr defaultRowHeight="15" x14ac:dyDescent="0.25"/>
  <cols>
    <col min="2" max="2" width="17.5703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'AUGUST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'AUGUST 20'!H6:H10</f>
        <v>0</v>
      </c>
      <c r="E6" s="7"/>
      <c r="F6" s="11">
        <f t="shared" si="0"/>
        <v>0</v>
      </c>
      <c r="G6" s="12"/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'AUGUST 20'!H7:H11</f>
        <v>0</v>
      </c>
      <c r="E7" s="7">
        <v>5000</v>
      </c>
      <c r="F7" s="11">
        <f t="shared" si="0"/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'AUGUST 20'!H8:H12</f>
        <v>1000</v>
      </c>
      <c r="E8" s="7">
        <v>5000</v>
      </c>
      <c r="F8" s="11">
        <f t="shared" si="0"/>
        <v>6000</v>
      </c>
      <c r="G8" s="12">
        <v>6000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'AUGUST 20'!H9:H13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SUM(D5:D9)</f>
        <v>2500</v>
      </c>
      <c r="E10" s="9">
        <f>SUM(E5:E9)</f>
        <v>22000</v>
      </c>
      <c r="F10" s="11">
        <f t="shared" si="0"/>
        <v>24500</v>
      </c>
      <c r="G10" s="17">
        <f>SUM(G5:G9)</f>
        <v>23000</v>
      </c>
      <c r="H10" s="16">
        <f>SUM(H5:H9)</f>
        <v>1500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106</v>
      </c>
      <c r="C16" s="31">
        <f>E10</f>
        <v>22000</v>
      </c>
      <c r="D16" s="13"/>
      <c r="E16" s="13"/>
      <c r="F16" s="13" t="s">
        <v>106</v>
      </c>
      <c r="G16" s="31">
        <f>G10</f>
        <v>23000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'AUGUST 20'!E25</f>
        <v>12172</v>
      </c>
      <c r="D18" s="13"/>
      <c r="E18" s="13"/>
      <c r="F18" s="13" t="s">
        <v>4</v>
      </c>
      <c r="G18" s="31">
        <f>'AUGUST 20'!I25</f>
        <v>9672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G20*C16</f>
        <v>2200</v>
      </c>
      <c r="I20" s="13"/>
    </row>
    <row r="21" spans="1:9" x14ac:dyDescent="0.25">
      <c r="B21" s="33" t="s">
        <v>111</v>
      </c>
      <c r="C21" s="32"/>
      <c r="D21" s="13">
        <v>12097</v>
      </c>
      <c r="E21" s="13"/>
      <c r="F21" s="33" t="s">
        <v>111</v>
      </c>
      <c r="G21" s="32"/>
      <c r="H21" s="13">
        <v>12097</v>
      </c>
      <c r="I21" s="13"/>
    </row>
    <row r="22" spans="1:9" x14ac:dyDescent="0.25">
      <c r="B22" s="33" t="s">
        <v>108</v>
      </c>
      <c r="C22" s="32"/>
      <c r="D22" s="13">
        <v>24000</v>
      </c>
      <c r="E22" s="13"/>
      <c r="F22" s="33" t="s">
        <v>108</v>
      </c>
      <c r="G22" s="32"/>
      <c r="H22" s="13">
        <v>24000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31972</v>
      </c>
      <c r="D25" s="17">
        <f>SUM(D21:D24)</f>
        <v>36097</v>
      </c>
      <c r="E25" s="17">
        <f>C25-D25</f>
        <v>-4125</v>
      </c>
      <c r="F25" s="37" t="s">
        <v>9</v>
      </c>
      <c r="G25" s="17">
        <f>G16+G18-H20</f>
        <v>30472</v>
      </c>
      <c r="H25" s="17">
        <f>SUM(H21:H24)</f>
        <v>36097</v>
      </c>
      <c r="I25" s="17">
        <f>G25-H25</f>
        <v>-5625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H26" sqref="H26"/>
    </sheetView>
  </sheetViews>
  <sheetFormatPr defaultRowHeight="15" x14ac:dyDescent="0.25"/>
  <cols>
    <col min="1" max="1" width="4.28515625" customWidth="1"/>
    <col min="2" max="2" width="18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109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SEPTEMBER20!H5:H10</f>
        <v>0</v>
      </c>
      <c r="E5" s="7">
        <v>5000</v>
      </c>
      <c r="F5" s="11">
        <f t="shared" ref="F5:F10" si="0"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>
        <v>5000</v>
      </c>
      <c r="D6" s="11">
        <f>SEPTEMBER20!H6:H11</f>
        <v>0</v>
      </c>
      <c r="E6" s="7">
        <v>5000</v>
      </c>
      <c r="F6" s="11">
        <f t="shared" si="0"/>
        <v>10000</v>
      </c>
      <c r="G6" s="12"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SEPTEMBER20!H7:H12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SEPTEMBER20!H8:H13</f>
        <v>0</v>
      </c>
      <c r="E8" s="7">
        <v>5000</v>
      </c>
      <c r="F8" s="11">
        <f t="shared" si="0"/>
        <v>5000</v>
      </c>
      <c r="G8" s="12"/>
      <c r="H8" s="11">
        <f>F8-G8</f>
        <v>5000</v>
      </c>
    </row>
    <row r="9" spans="1:9" x14ac:dyDescent="0.25">
      <c r="A9" s="7">
        <v>5</v>
      </c>
      <c r="B9" s="14" t="s">
        <v>28</v>
      </c>
      <c r="C9" s="14"/>
      <c r="D9" s="11">
        <f>SEPTEMBER20!H9:H14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SEPTEMBER20!H10:H15</f>
        <v>1500</v>
      </c>
      <c r="E10" s="9">
        <f>SUM(E5:E9)</f>
        <v>27000</v>
      </c>
      <c r="F10" s="11">
        <f t="shared" si="0"/>
        <v>28500</v>
      </c>
      <c r="G10" s="17">
        <f>SUM(G5:G9)</f>
        <v>27000</v>
      </c>
      <c r="H10" s="16">
        <f>SUM(H5:H9)</f>
        <v>6500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110</v>
      </c>
      <c r="C16" s="31">
        <f>E10</f>
        <v>27000</v>
      </c>
      <c r="D16" s="13"/>
      <c r="E16" s="13"/>
      <c r="F16" s="13" t="s">
        <v>110</v>
      </c>
      <c r="G16" s="31">
        <f>G10</f>
        <v>27000</v>
      </c>
      <c r="H16" s="13"/>
      <c r="I16" s="13"/>
    </row>
    <row r="17" spans="1:14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14" x14ac:dyDescent="0.25">
      <c r="B18" s="13" t="s">
        <v>4</v>
      </c>
      <c r="C18" s="31">
        <f>SEPTEMBER20!E25</f>
        <v>-4125</v>
      </c>
      <c r="D18" s="13"/>
      <c r="E18" s="13"/>
      <c r="F18" s="13" t="s">
        <v>4</v>
      </c>
      <c r="G18" s="31">
        <f>SEPTEMBER20!I25</f>
        <v>-5625</v>
      </c>
      <c r="H18" s="13"/>
      <c r="I18" s="13"/>
    </row>
    <row r="19" spans="1:14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4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4" x14ac:dyDescent="0.25">
      <c r="B21" s="33" t="s">
        <v>74</v>
      </c>
      <c r="C21" s="32">
        <v>0.3</v>
      </c>
      <c r="D21" s="13">
        <f>C21*E6</f>
        <v>1500</v>
      </c>
      <c r="E21" s="13"/>
      <c r="F21" s="33" t="s">
        <v>74</v>
      </c>
      <c r="G21" s="32">
        <v>0.3</v>
      </c>
      <c r="H21" s="13">
        <f>G21*E6</f>
        <v>1500</v>
      </c>
      <c r="I21" s="13"/>
    </row>
    <row r="22" spans="1:14" x14ac:dyDescent="0.25">
      <c r="B22" s="34" t="s">
        <v>112</v>
      </c>
      <c r="C22" s="13"/>
      <c r="D22" s="13">
        <v>17000</v>
      </c>
      <c r="E22" s="13"/>
      <c r="F22" s="34" t="s">
        <v>112</v>
      </c>
      <c r="G22" s="13"/>
      <c r="H22" s="13">
        <v>17000</v>
      </c>
      <c r="I22" s="13"/>
    </row>
    <row r="23" spans="1:14" x14ac:dyDescent="0.25">
      <c r="B23" s="33"/>
      <c r="C23" s="13"/>
      <c r="D23" s="13"/>
      <c r="E23" s="13"/>
      <c r="F23" s="33"/>
      <c r="G23" s="13"/>
      <c r="H23" s="13"/>
      <c r="I23" s="13"/>
    </row>
    <row r="24" spans="1:14" x14ac:dyDescent="0.25">
      <c r="B24" s="35"/>
      <c r="C24" s="13"/>
      <c r="D24" s="13"/>
      <c r="E24" s="13"/>
      <c r="F24" s="35"/>
      <c r="G24" s="13"/>
      <c r="H24" s="13"/>
      <c r="I24" s="13"/>
    </row>
    <row r="25" spans="1:14" x14ac:dyDescent="0.25">
      <c r="A25" s="26"/>
      <c r="B25" s="37" t="s">
        <v>9</v>
      </c>
      <c r="C25" s="17">
        <f>C16+C18+C17-D20</f>
        <v>25175</v>
      </c>
      <c r="D25" s="17">
        <f>SUM(D21:D24)</f>
        <v>18500</v>
      </c>
      <c r="E25" s="17">
        <f>C25-D25</f>
        <v>6675</v>
      </c>
      <c r="F25" s="37" t="s">
        <v>9</v>
      </c>
      <c r="G25" s="17">
        <f>G16+G18-H20</f>
        <v>18675</v>
      </c>
      <c r="H25" s="17">
        <f>SUM(H21:H24)</f>
        <v>18500</v>
      </c>
      <c r="I25" s="17">
        <f>G25-H25</f>
        <v>175</v>
      </c>
    </row>
    <row r="26" spans="1:14" x14ac:dyDescent="0.25">
      <c r="A26" s="26"/>
      <c r="B26" s="1"/>
      <c r="C26" s="1"/>
      <c r="D26" s="1"/>
      <c r="E26" s="1"/>
    </row>
    <row r="27" spans="1:14" x14ac:dyDescent="0.25">
      <c r="B27" s="1" t="s">
        <v>19</v>
      </c>
      <c r="C27" s="1"/>
      <c r="E27" s="27" t="s">
        <v>20</v>
      </c>
      <c r="G27" s="1" t="s">
        <v>21</v>
      </c>
    </row>
    <row r="28" spans="1:14" x14ac:dyDescent="0.25">
      <c r="B28" s="1" t="s">
        <v>41</v>
      </c>
      <c r="C28" s="1"/>
      <c r="D28" s="1"/>
      <c r="E28" s="1" t="s">
        <v>23</v>
      </c>
      <c r="G28" s="1" t="s">
        <v>25</v>
      </c>
      <c r="N28">
        <f>14500-14180</f>
        <v>320</v>
      </c>
    </row>
    <row r="29" spans="1:14" x14ac:dyDescent="0.25">
      <c r="I29" s="40">
        <f>E25-I25</f>
        <v>6500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34" sqref="F34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113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'OCTOBER 20'!H5:H10</f>
        <v>0</v>
      </c>
      <c r="E5" s="7">
        <v>5000</v>
      </c>
      <c r="F5" s="11">
        <f t="shared" ref="F5:F10" si="0"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'OCTOBER 20'!H6:H11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'OCTOBER 20'!H7:H12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'OCTOBER 20'!H8:H13</f>
        <v>5000</v>
      </c>
      <c r="E8" s="7">
        <v>5000</v>
      </c>
      <c r="F8" s="11">
        <f t="shared" si="0"/>
        <v>10000</v>
      </c>
      <c r="G8" s="12">
        <f>5000+5000</f>
        <v>10000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'OCTOBER 20'!H9:H14</f>
        <v>1500</v>
      </c>
      <c r="E9" s="7">
        <v>7000</v>
      </c>
      <c r="F9" s="11">
        <f t="shared" si="0"/>
        <v>8500</v>
      </c>
      <c r="G9" s="12">
        <f>7000</f>
        <v>7000</v>
      </c>
      <c r="H9" s="11">
        <f>F9-G9</f>
        <v>1500</v>
      </c>
    </row>
    <row r="10" spans="1:9" x14ac:dyDescent="0.25">
      <c r="A10" s="7"/>
      <c r="B10" s="15" t="s">
        <v>9</v>
      </c>
      <c r="C10" s="15"/>
      <c r="D10" s="11">
        <f>'OCTOBER 20'!H10:H15</f>
        <v>6500</v>
      </c>
      <c r="E10" s="9">
        <f>SUM(E5:E9)</f>
        <v>27000</v>
      </c>
      <c r="F10" s="11">
        <f t="shared" si="0"/>
        <v>33500</v>
      </c>
      <c r="G10" s="17">
        <f>SUM(G5:G9)</f>
        <v>32000</v>
      </c>
      <c r="H10" s="16">
        <f>SUM(H5:H9)</f>
        <v>1500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57</v>
      </c>
      <c r="C16" s="31">
        <f>E10</f>
        <v>27000</v>
      </c>
      <c r="D16" s="13"/>
      <c r="E16" s="13"/>
      <c r="F16" s="13" t="s">
        <v>57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'OCTOBER 20'!E25</f>
        <v>6675</v>
      </c>
      <c r="D18" s="13"/>
      <c r="E18" s="13"/>
      <c r="F18" s="13" t="s">
        <v>4</v>
      </c>
      <c r="G18" s="31">
        <f>'OCTOBER 20'!I25</f>
        <v>175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114</v>
      </c>
      <c r="C22" s="13"/>
      <c r="D22" s="13">
        <v>8087</v>
      </c>
      <c r="E22" s="13"/>
      <c r="F22" s="34" t="s">
        <v>114</v>
      </c>
      <c r="G22" s="13"/>
      <c r="H22" s="13">
        <v>8087</v>
      </c>
      <c r="I22" s="13"/>
    </row>
    <row r="23" spans="1:9" x14ac:dyDescent="0.25">
      <c r="B23" s="33" t="s">
        <v>62</v>
      </c>
      <c r="C23" s="13"/>
      <c r="D23" s="13">
        <v>21000</v>
      </c>
      <c r="E23" s="13"/>
      <c r="F23" s="33" t="s">
        <v>62</v>
      </c>
      <c r="G23" s="13"/>
      <c r="H23" s="13">
        <v>21000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30975</v>
      </c>
      <c r="D25" s="17">
        <f>SUM(D21:D24)</f>
        <v>29087</v>
      </c>
      <c r="E25" s="17">
        <f>C25-D25</f>
        <v>1888</v>
      </c>
      <c r="F25" s="37" t="s">
        <v>9</v>
      </c>
      <c r="G25" s="17">
        <f>G16+G18-H20</f>
        <v>29475</v>
      </c>
      <c r="H25" s="17">
        <f>SUM(H21:H24)</f>
        <v>29087</v>
      </c>
      <c r="I25" s="17">
        <f>G25-H25</f>
        <v>388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32" sqref="G32"/>
    </sheetView>
  </sheetViews>
  <sheetFormatPr defaultRowHeight="15" x14ac:dyDescent="0.25"/>
  <cols>
    <col min="1" max="1" width="6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NOVEMBER20!H5:H9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NOVEMBER20!H6:H10</f>
        <v>0</v>
      </c>
      <c r="E6" s="7">
        <v>5000</v>
      </c>
      <c r="F6" s="11">
        <f>C6+D6+E6</f>
        <v>5000</v>
      </c>
      <c r="G6" s="12"/>
      <c r="H6" s="11">
        <f>F6-G6</f>
        <v>5000</v>
      </c>
    </row>
    <row r="7" spans="1:9" x14ac:dyDescent="0.25">
      <c r="A7" s="7">
        <v>3</v>
      </c>
      <c r="B7" s="7" t="s">
        <v>42</v>
      </c>
      <c r="C7" s="7"/>
      <c r="D7" s="11">
        <f>NOVEMBER20!H7:H11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NOVEMBER20!H8:H12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NOVEMBER20!H9:H13</f>
        <v>1500</v>
      </c>
      <c r="E9" s="7">
        <v>7000</v>
      </c>
      <c r="F9" s="11">
        <f>C9+D9+E9</f>
        <v>8500</v>
      </c>
      <c r="G9" s="12">
        <f>8500</f>
        <v>8500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1500</v>
      </c>
      <c r="E10" s="9">
        <f>SUM(E5:E9)</f>
        <v>27000</v>
      </c>
      <c r="F10" s="11">
        <f>SUM(F5:F9)</f>
        <v>28500</v>
      </c>
      <c r="G10" s="17">
        <f>SUM(G5:G9)</f>
        <v>23500</v>
      </c>
      <c r="H10" s="16">
        <f>SUM(H5:H9)</f>
        <v>5000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23500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NOVEMBER20!E25</f>
        <v>1888</v>
      </c>
      <c r="D18" s="13"/>
      <c r="E18" s="13"/>
      <c r="F18" s="13" t="s">
        <v>4</v>
      </c>
      <c r="G18" s="31">
        <f>NOVEMBER20!I25</f>
        <v>388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116</v>
      </c>
      <c r="C22" s="13"/>
      <c r="D22" s="13">
        <v>2041</v>
      </c>
      <c r="E22" s="13"/>
      <c r="F22" s="34" t="s">
        <v>116</v>
      </c>
      <c r="G22" s="13"/>
      <c r="H22" s="13">
        <v>2041</v>
      </c>
      <c r="I22" s="13"/>
    </row>
    <row r="23" spans="1:9" x14ac:dyDescent="0.25">
      <c r="B23" s="33" t="s">
        <v>68</v>
      </c>
      <c r="C23" s="13"/>
      <c r="D23" s="13">
        <v>18697</v>
      </c>
      <c r="E23" s="13"/>
      <c r="F23" s="33" t="s">
        <v>68</v>
      </c>
      <c r="G23" s="13"/>
      <c r="H23" s="13">
        <v>18697</v>
      </c>
      <c r="I23" s="13"/>
    </row>
    <row r="24" spans="1:9" x14ac:dyDescent="0.25">
      <c r="B24" s="35" t="s">
        <v>117</v>
      </c>
      <c r="C24" s="13"/>
      <c r="D24" s="13">
        <v>4061</v>
      </c>
      <c r="E24" s="13"/>
      <c r="F24" s="35" t="s">
        <v>117</v>
      </c>
      <c r="G24" s="13"/>
      <c r="H24" s="13">
        <v>4061</v>
      </c>
      <c r="I24" s="13"/>
    </row>
    <row r="25" spans="1:9" x14ac:dyDescent="0.25">
      <c r="A25" s="26"/>
      <c r="B25" s="37" t="s">
        <v>9</v>
      </c>
      <c r="C25" s="17">
        <f>C16+C18+C17-D20</f>
        <v>26188</v>
      </c>
      <c r="D25" s="17">
        <f>SUM(D21:D24)</f>
        <v>24799</v>
      </c>
      <c r="E25" s="17">
        <f>C25-D25</f>
        <v>1389</v>
      </c>
      <c r="F25" s="37" t="s">
        <v>9</v>
      </c>
      <c r="G25" s="17">
        <f>G16+G18-H20</f>
        <v>21188</v>
      </c>
      <c r="H25" s="17">
        <f>SUM(H21:H24)</f>
        <v>24799</v>
      </c>
      <c r="I25" s="17">
        <f>G25-H25</f>
        <v>-3611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3" sqref="J23"/>
    </sheetView>
  </sheetViews>
  <sheetFormatPr defaultRowHeight="15" x14ac:dyDescent="0.25"/>
  <cols>
    <col min="1" max="1" width="5.42578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118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'DECEMBER 20'!H5:H9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107</v>
      </c>
      <c r="C6" s="13"/>
      <c r="D6" s="11">
        <f>'DECEMBER 20'!H6:H10</f>
        <v>5000</v>
      </c>
      <c r="E6" s="7">
        <v>5000</v>
      </c>
      <c r="F6" s="11">
        <f>C6+D6+E6</f>
        <v>10000</v>
      </c>
      <c r="G6" s="12">
        <f>5000</f>
        <v>5000</v>
      </c>
      <c r="H6" s="11">
        <f>F6-G6</f>
        <v>5000</v>
      </c>
    </row>
    <row r="7" spans="1:9" x14ac:dyDescent="0.25">
      <c r="A7" s="7">
        <v>3</v>
      </c>
      <c r="B7" s="7" t="s">
        <v>42</v>
      </c>
      <c r="C7" s="7"/>
      <c r="D7" s="11">
        <f>'DECEMBER 20'!H7:H11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'DECEMBER 20'!H8:H12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'DECEMBER 20'!H9:H13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5000</v>
      </c>
      <c r="E10" s="9">
        <f>SUM(E5:E9)</f>
        <v>27000</v>
      </c>
      <c r="F10" s="11">
        <f>SUM(F5:F9)</f>
        <v>32000</v>
      </c>
      <c r="G10" s="17">
        <f>SUM(G5:G9)</f>
        <v>27000</v>
      </c>
      <c r="H10" s="16">
        <f>SUM(H5:H9)</f>
        <v>5000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70</v>
      </c>
      <c r="C16" s="31">
        <f>E10</f>
        <v>27000</v>
      </c>
      <c r="D16" s="13"/>
      <c r="E16" s="13"/>
      <c r="F16" s="13" t="s">
        <v>70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'DECEMBER 20'!E25</f>
        <v>1389</v>
      </c>
      <c r="D18" s="13"/>
      <c r="E18" s="13"/>
      <c r="F18" s="13" t="s">
        <v>4</v>
      </c>
      <c r="G18" s="31">
        <f>'DECEMBER 20'!I25</f>
        <v>-3611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119</v>
      </c>
      <c r="C22" s="13"/>
      <c r="D22" s="13">
        <v>15097</v>
      </c>
      <c r="E22" s="13"/>
      <c r="F22" s="34" t="s">
        <v>119</v>
      </c>
      <c r="G22" s="13"/>
      <c r="H22" s="13">
        <v>15097</v>
      </c>
      <c r="I22" s="13"/>
    </row>
    <row r="23" spans="1:9" x14ac:dyDescent="0.25">
      <c r="B23" s="33" t="s">
        <v>121</v>
      </c>
      <c r="C23" s="13"/>
      <c r="D23" s="13">
        <v>5106</v>
      </c>
      <c r="E23" s="13"/>
      <c r="F23" s="33" t="s">
        <v>121</v>
      </c>
      <c r="G23" s="13"/>
      <c r="H23" s="13">
        <v>5106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25689</v>
      </c>
      <c r="D25" s="17">
        <f>SUM(D21:D24)</f>
        <v>20203</v>
      </c>
      <c r="E25" s="17">
        <f>C25-D25</f>
        <v>5486</v>
      </c>
      <c r="F25" s="37" t="s">
        <v>9</v>
      </c>
      <c r="G25" s="17">
        <f>G16+G18-H20</f>
        <v>20689</v>
      </c>
      <c r="H25" s="17">
        <f>SUM(H21:H24)</f>
        <v>20203</v>
      </c>
      <c r="I25" s="17">
        <f>G25-H25</f>
        <v>486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F8" sqref="F8"/>
    </sheetView>
  </sheetViews>
  <sheetFormatPr defaultRowHeight="15" x14ac:dyDescent="0.25"/>
  <cols>
    <col min="2" max="2" width="16.7109375" customWidth="1"/>
  </cols>
  <sheetData>
    <row r="1" spans="1:14" ht="15.75" x14ac:dyDescent="0.25">
      <c r="A1" s="1"/>
      <c r="B1" s="2"/>
      <c r="C1" s="3" t="s">
        <v>25</v>
      </c>
      <c r="D1" s="4"/>
      <c r="E1" s="5"/>
      <c r="F1" s="1"/>
    </row>
    <row r="2" spans="1:14" ht="15.75" x14ac:dyDescent="0.25">
      <c r="A2" s="1"/>
      <c r="B2" s="2"/>
      <c r="C2" s="3" t="s">
        <v>0</v>
      </c>
      <c r="D2" s="6"/>
      <c r="E2" s="5"/>
      <c r="F2" s="1"/>
    </row>
    <row r="3" spans="1:14" ht="15.75" x14ac:dyDescent="0.25">
      <c r="A3" s="1"/>
      <c r="B3" s="2" t="s">
        <v>1</v>
      </c>
      <c r="C3" s="3" t="s">
        <v>36</v>
      </c>
      <c r="D3" s="2"/>
      <c r="E3" s="5"/>
      <c r="F3" s="1"/>
    </row>
    <row r="4" spans="1:14" x14ac:dyDescent="0.25">
      <c r="A4" s="7"/>
      <c r="B4" s="8" t="s">
        <v>3</v>
      </c>
      <c r="C4" s="8" t="s">
        <v>4</v>
      </c>
      <c r="D4" s="8" t="s">
        <v>5</v>
      </c>
      <c r="E4" s="9" t="s">
        <v>6</v>
      </c>
      <c r="F4" s="8" t="s">
        <v>7</v>
      </c>
      <c r="G4" s="10" t="s">
        <v>8</v>
      </c>
    </row>
    <row r="5" spans="1:14" x14ac:dyDescent="0.25">
      <c r="A5" s="7">
        <v>1</v>
      </c>
      <c r="B5" s="7" t="s">
        <v>33</v>
      </c>
      <c r="C5" s="11">
        <f>Sheet1!G5:G10</f>
        <v>0</v>
      </c>
      <c r="D5" s="7">
        <v>5000</v>
      </c>
      <c r="E5" s="11">
        <f>C5+D5</f>
        <v>5000</v>
      </c>
      <c r="F5" s="12">
        <v>5000</v>
      </c>
      <c r="G5" s="11">
        <f>E5-F5</f>
        <v>0</v>
      </c>
    </row>
    <row r="6" spans="1:14" x14ac:dyDescent="0.25">
      <c r="A6" s="7">
        <v>2</v>
      </c>
      <c r="B6" s="13" t="s">
        <v>32</v>
      </c>
      <c r="C6" s="11">
        <f>Sheet1!G6:G11</f>
        <v>0</v>
      </c>
      <c r="D6" s="7">
        <v>5000</v>
      </c>
      <c r="E6" s="11">
        <f>C6+D6</f>
        <v>5000</v>
      </c>
      <c r="F6" s="12">
        <v>5000</v>
      </c>
      <c r="G6" s="11">
        <f>E6-F6</f>
        <v>0</v>
      </c>
    </row>
    <row r="7" spans="1:14" x14ac:dyDescent="0.25">
      <c r="A7" s="7">
        <v>3</v>
      </c>
      <c r="B7" s="7" t="s">
        <v>26</v>
      </c>
      <c r="C7" s="11">
        <f>Sheet1!G7:G12</f>
        <v>6500</v>
      </c>
      <c r="D7" s="7">
        <v>5000</v>
      </c>
      <c r="E7" s="11">
        <f>C7+D7</f>
        <v>11500</v>
      </c>
      <c r="F7" s="12">
        <v>5000</v>
      </c>
      <c r="G7" s="11">
        <f>E7-F7</f>
        <v>6500</v>
      </c>
      <c r="H7" t="s">
        <v>54</v>
      </c>
    </row>
    <row r="8" spans="1:14" x14ac:dyDescent="0.25">
      <c r="A8" s="7">
        <v>4</v>
      </c>
      <c r="B8" s="7" t="s">
        <v>27</v>
      </c>
      <c r="C8" s="11">
        <f>Sheet1!G8:G13</f>
        <v>2000</v>
      </c>
      <c r="D8" s="7">
        <v>5000</v>
      </c>
      <c r="E8" s="11">
        <f>C8+D8</f>
        <v>7000</v>
      </c>
      <c r="F8" s="12">
        <f>4500+2000</f>
        <v>6500</v>
      </c>
      <c r="G8" s="11">
        <f>E8-F8</f>
        <v>500</v>
      </c>
      <c r="H8" t="s">
        <v>53</v>
      </c>
    </row>
    <row r="9" spans="1:14" x14ac:dyDescent="0.25">
      <c r="A9" s="7">
        <v>5</v>
      </c>
      <c r="B9" s="14" t="s">
        <v>28</v>
      </c>
      <c r="C9" s="11">
        <f>Sheet1!G9:G14</f>
        <v>2000</v>
      </c>
      <c r="D9" s="7">
        <v>7000</v>
      </c>
      <c r="E9" s="11">
        <f>C9+D9</f>
        <v>9000</v>
      </c>
      <c r="F9" s="12">
        <v>9000</v>
      </c>
      <c r="G9" s="11">
        <f>E9-F9</f>
        <v>0</v>
      </c>
    </row>
    <row r="10" spans="1:14" x14ac:dyDescent="0.25">
      <c r="A10" s="7"/>
      <c r="B10" s="15" t="s">
        <v>9</v>
      </c>
      <c r="C10" s="11">
        <f>Sheet1!G10:G15</f>
        <v>10500</v>
      </c>
      <c r="D10" s="9">
        <f>SUM(D5:D9)</f>
        <v>27000</v>
      </c>
      <c r="E10" s="16">
        <f>SUM(E5:E9)</f>
        <v>37500</v>
      </c>
      <c r="F10" s="17">
        <f>SUM(F5:F9)</f>
        <v>30500</v>
      </c>
      <c r="G10" s="16">
        <f>SUM(G5:G9)</f>
        <v>7000</v>
      </c>
    </row>
    <row r="11" spans="1:14" x14ac:dyDescent="0.25">
      <c r="A11" s="7"/>
      <c r="B11" s="18"/>
      <c r="C11" s="18"/>
      <c r="D11" s="7"/>
      <c r="E11" s="19"/>
      <c r="F11" s="20"/>
      <c r="G11" s="19"/>
    </row>
    <row r="12" spans="1:14" x14ac:dyDescent="0.25">
      <c r="A12" s="21"/>
      <c r="B12" s="22"/>
      <c r="C12" s="22"/>
      <c r="D12" s="21"/>
      <c r="E12" s="23"/>
      <c r="F12" s="24"/>
      <c r="G12" s="23"/>
    </row>
    <row r="13" spans="1:14" ht="15.75" x14ac:dyDescent="0.25">
      <c r="B13" s="36" t="s">
        <v>10</v>
      </c>
      <c r="C13" s="28"/>
      <c r="D13" s="28"/>
      <c r="E13" s="28"/>
      <c r="F13" s="28"/>
      <c r="G13" s="28"/>
      <c r="H13" s="28"/>
      <c r="I13" s="28"/>
    </row>
    <row r="14" spans="1:14" x14ac:dyDescent="0.25">
      <c r="A14" s="25"/>
      <c r="B14" s="29" t="s">
        <v>11</v>
      </c>
      <c r="C14" s="29"/>
      <c r="D14" s="29"/>
      <c r="E14" s="29"/>
      <c r="F14" s="29" t="s">
        <v>12</v>
      </c>
      <c r="G14" s="29"/>
      <c r="H14" s="29"/>
      <c r="I14" s="29"/>
      <c r="J14" s="25"/>
      <c r="K14" s="25"/>
      <c r="L14" s="25"/>
      <c r="M14" s="25"/>
      <c r="N14" s="25"/>
    </row>
    <row r="15" spans="1:14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4" x14ac:dyDescent="0.25">
      <c r="B16" s="13" t="s">
        <v>37</v>
      </c>
      <c r="C16" s="31">
        <f>D10</f>
        <v>27000</v>
      </c>
      <c r="D16" s="13"/>
      <c r="E16" s="13"/>
      <c r="F16" s="13" t="s">
        <v>37</v>
      </c>
      <c r="G16" s="31">
        <f>F10</f>
        <v>30500</v>
      </c>
      <c r="H16" s="13"/>
      <c r="I16" s="13"/>
    </row>
    <row r="17" spans="1:9" x14ac:dyDescent="0.25">
      <c r="B17" s="13" t="s">
        <v>4</v>
      </c>
      <c r="C17" s="31">
        <f>Sheet1!E24</f>
        <v>4542</v>
      </c>
      <c r="D17" s="13"/>
      <c r="E17" s="13"/>
      <c r="F17" s="13" t="s">
        <v>4</v>
      </c>
      <c r="G17" s="31">
        <f>Sheet1!I24</f>
        <v>542</v>
      </c>
      <c r="H17" s="13"/>
      <c r="I17" s="13"/>
    </row>
    <row r="18" spans="1:9" x14ac:dyDescent="0.25">
      <c r="B18" s="37" t="s">
        <v>29</v>
      </c>
      <c r="C18" s="13"/>
      <c r="D18" s="13"/>
      <c r="E18" s="13"/>
      <c r="F18" s="37" t="s">
        <v>29</v>
      </c>
      <c r="G18" s="13"/>
      <c r="H18" s="13"/>
      <c r="I18" s="13"/>
    </row>
    <row r="19" spans="1:9" x14ac:dyDescent="0.25">
      <c r="B19" s="13" t="s">
        <v>18</v>
      </c>
      <c r="C19" s="32">
        <v>0.1</v>
      </c>
      <c r="D19" s="13">
        <f>C19*C16</f>
        <v>2700</v>
      </c>
      <c r="E19" s="28"/>
      <c r="F19" s="13" t="s">
        <v>18</v>
      </c>
      <c r="G19" s="32">
        <v>0.1</v>
      </c>
      <c r="H19" s="13">
        <f>D19</f>
        <v>2700</v>
      </c>
      <c r="I19" s="13"/>
    </row>
    <row r="20" spans="1:9" x14ac:dyDescent="0.25">
      <c r="B20" s="33" t="s">
        <v>38</v>
      </c>
      <c r="C20" s="13"/>
      <c r="D20" s="13">
        <v>4061</v>
      </c>
      <c r="E20" s="13"/>
      <c r="F20" s="33" t="s">
        <v>38</v>
      </c>
      <c r="G20" s="33"/>
      <c r="H20" s="13">
        <f>D20</f>
        <v>4061</v>
      </c>
      <c r="I20" s="13"/>
    </row>
    <row r="21" spans="1:9" x14ac:dyDescent="0.25">
      <c r="B21" s="34" t="s">
        <v>39</v>
      </c>
      <c r="C21" s="13"/>
      <c r="D21" s="31">
        <f>E7</f>
        <v>11500</v>
      </c>
      <c r="E21" s="13"/>
      <c r="F21" s="34" t="s">
        <v>39</v>
      </c>
      <c r="G21" s="34"/>
      <c r="H21" s="31">
        <f>D21</f>
        <v>11500</v>
      </c>
      <c r="I21" s="13"/>
    </row>
    <row r="22" spans="1:9" x14ac:dyDescent="0.25">
      <c r="B22" s="35" t="s">
        <v>40</v>
      </c>
      <c r="C22" s="13"/>
      <c r="D22" s="13">
        <v>14097</v>
      </c>
      <c r="E22" s="13"/>
      <c r="F22" s="35" t="s">
        <v>40</v>
      </c>
      <c r="G22" s="13"/>
      <c r="H22" s="13">
        <f>D22</f>
        <v>14097</v>
      </c>
      <c r="I22" s="13"/>
    </row>
    <row r="23" spans="1:9" x14ac:dyDescent="0.25">
      <c r="B23" s="38" t="s">
        <v>44</v>
      </c>
      <c r="D23" s="39">
        <v>5177</v>
      </c>
      <c r="F23" s="38" t="s">
        <v>44</v>
      </c>
      <c r="H23">
        <v>5177</v>
      </c>
      <c r="I23" s="13"/>
    </row>
    <row r="24" spans="1:9" x14ac:dyDescent="0.25">
      <c r="B24" s="38" t="s">
        <v>52</v>
      </c>
      <c r="D24" s="39">
        <v>2000</v>
      </c>
      <c r="F24" s="38" t="s">
        <v>52</v>
      </c>
      <c r="H24" s="39">
        <v>2000</v>
      </c>
    </row>
    <row r="25" spans="1:9" x14ac:dyDescent="0.25">
      <c r="A25" s="26"/>
      <c r="B25" s="37" t="s">
        <v>9</v>
      </c>
      <c r="C25" s="17">
        <f>C16+C17-D19</f>
        <v>28842</v>
      </c>
      <c r="D25" s="17">
        <f>SUM(D20:D24)</f>
        <v>36835</v>
      </c>
      <c r="E25" s="17">
        <f>C25-D25</f>
        <v>-7993</v>
      </c>
      <c r="F25" s="37" t="s">
        <v>9</v>
      </c>
      <c r="G25" s="17">
        <f>G16+G17-H19</f>
        <v>28342</v>
      </c>
      <c r="H25" s="17">
        <f>SUM(H20:H24)</f>
        <v>36835</v>
      </c>
      <c r="I25" s="17">
        <f>G25-H25</f>
        <v>-8493</v>
      </c>
    </row>
    <row r="26" spans="1:9" x14ac:dyDescent="0.25">
      <c r="A26" s="26"/>
      <c r="B26" s="1"/>
      <c r="C26" s="1"/>
      <c r="D26" s="1"/>
    </row>
    <row r="27" spans="1:9" x14ac:dyDescent="0.25">
      <c r="B27" s="1" t="s">
        <v>19</v>
      </c>
      <c r="D27" s="27" t="s">
        <v>20</v>
      </c>
      <c r="F27" s="1" t="s">
        <v>21</v>
      </c>
    </row>
    <row r="28" spans="1:9" x14ac:dyDescent="0.25">
      <c r="D28" s="1"/>
    </row>
    <row r="29" spans="1:9" x14ac:dyDescent="0.25">
      <c r="B29" s="1" t="s">
        <v>41</v>
      </c>
      <c r="C29" s="1"/>
      <c r="D29" s="1" t="s">
        <v>23</v>
      </c>
      <c r="F29" s="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26" sqref="K26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'JANUARY 21'!H5:H9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'JANUARY 21'!H6:H10</f>
        <v>5000</v>
      </c>
      <c r="E6" s="7">
        <v>5000</v>
      </c>
      <c r="F6" s="11">
        <f>C6+D6+E6</f>
        <v>10000</v>
      </c>
      <c r="G6" s="12">
        <f>5000+5000</f>
        <v>10000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'JANUARY 21'!H7:H11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'JANUARY 21'!H8:H12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'JANUARY 21'!H9:H13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5000</v>
      </c>
      <c r="E10" s="9">
        <f>SUM(E5:E9)</f>
        <v>27000</v>
      </c>
      <c r="F10" s="11">
        <f>SUM(F5:F9)</f>
        <v>32000</v>
      </c>
      <c r="G10" s="17">
        <f>SUM(G5:G9)</f>
        <v>32000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76</v>
      </c>
      <c r="C16" s="31">
        <f>E10</f>
        <v>27000</v>
      </c>
      <c r="D16" s="13"/>
      <c r="E16" s="13"/>
      <c r="F16" s="13" t="s">
        <v>76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'JANUARY 21'!E25</f>
        <v>5486</v>
      </c>
      <c r="D18" s="13"/>
      <c r="E18" s="13"/>
      <c r="F18" s="13" t="s">
        <v>4</v>
      </c>
      <c r="G18" s="31">
        <f>'JANUARY 21'!I25</f>
        <v>486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122</v>
      </c>
      <c r="C22" s="13"/>
      <c r="D22" s="13">
        <v>5055</v>
      </c>
      <c r="E22" s="13"/>
      <c r="F22" s="34" t="s">
        <v>122</v>
      </c>
      <c r="G22" s="13"/>
      <c r="H22" s="13">
        <v>5055</v>
      </c>
      <c r="I22" s="13"/>
    </row>
    <row r="23" spans="1:9" x14ac:dyDescent="0.25">
      <c r="B23" s="33" t="s">
        <v>124</v>
      </c>
      <c r="C23" s="13"/>
      <c r="D23" s="13">
        <v>19000</v>
      </c>
      <c r="E23" s="13"/>
      <c r="F23" s="33" t="s">
        <v>124</v>
      </c>
      <c r="G23" s="13"/>
      <c r="H23" s="13">
        <v>19000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29786</v>
      </c>
      <c r="D25" s="17">
        <f>SUM(D21:D24)</f>
        <v>24055</v>
      </c>
      <c r="E25" s="17">
        <f>C25-D25</f>
        <v>5731</v>
      </c>
      <c r="F25" s="37" t="s">
        <v>9</v>
      </c>
      <c r="G25" s="17">
        <f>G16+G18-H20</f>
        <v>29786</v>
      </c>
      <c r="H25" s="17">
        <f>SUM(H21:H24)</f>
        <v>24055</v>
      </c>
      <c r="I25" s="17">
        <f>G25-H25</f>
        <v>5731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8" sqref="G8"/>
    </sheetView>
  </sheetViews>
  <sheetFormatPr defaultRowHeight="15" x14ac:dyDescent="0.25"/>
  <cols>
    <col min="1" max="1" width="7.85546875" customWidth="1"/>
    <col min="3" max="3" width="12.710937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'FEBRUARY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'FEBRUARY 21'!H6:H12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'FEBRUARY 21'!H7:H13</f>
        <v>0</v>
      </c>
      <c r="E7" s="7">
        <v>5000</v>
      </c>
      <c r="F7" s="11">
        <f>C7+D7+E7</f>
        <v>5000</v>
      </c>
      <c r="G7" s="12">
        <f>4800+200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'FEBRUARY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'FEBRUARY 21'!H9:H15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78</v>
      </c>
      <c r="C16" s="31">
        <f>E10</f>
        <v>27000</v>
      </c>
      <c r="D16" s="13"/>
      <c r="E16" s="13"/>
      <c r="F16" s="13" t="s">
        <v>78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'FEBRUARY 21'!E25</f>
        <v>5731</v>
      </c>
      <c r="D18" s="13"/>
      <c r="E18" s="13"/>
      <c r="F18" s="13" t="s">
        <v>4</v>
      </c>
      <c r="G18" s="31">
        <f>'FEBRUARY 21'!I25</f>
        <v>5731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126</v>
      </c>
      <c r="C22" s="13"/>
      <c r="D22" s="13">
        <v>5775</v>
      </c>
      <c r="E22" s="13"/>
      <c r="F22" s="34" t="s">
        <v>126</v>
      </c>
      <c r="G22" s="13"/>
      <c r="H22" s="13">
        <v>5775</v>
      </c>
      <c r="I22" s="13"/>
    </row>
    <row r="23" spans="1:9" x14ac:dyDescent="0.25">
      <c r="B23" s="33" t="s">
        <v>127</v>
      </c>
      <c r="C23" s="13"/>
      <c r="D23" s="13">
        <v>24105</v>
      </c>
      <c r="E23" s="13"/>
      <c r="F23" s="33" t="s">
        <v>127</v>
      </c>
      <c r="G23" s="13"/>
      <c r="H23" s="13">
        <v>24105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30031</v>
      </c>
      <c r="D25" s="17">
        <f>SUM(D21:D24)</f>
        <v>29880</v>
      </c>
      <c r="E25" s="17">
        <f>C25-D25</f>
        <v>151</v>
      </c>
      <c r="F25" s="37" t="s">
        <v>9</v>
      </c>
      <c r="G25" s="17">
        <f>G16+G18-H20</f>
        <v>30031</v>
      </c>
      <c r="H25" s="17">
        <f>SUM(H21:H24)</f>
        <v>29880</v>
      </c>
      <c r="I25" s="17">
        <f>G25-H25</f>
        <v>151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14" sqref="K14:K15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128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'MARCH 21'!H5:H10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'MARCH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'MARCH 21'!H7:H12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'MARCH 21'!H8:H13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21'!H9:H14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'MARCH 21'!H10:H15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84</v>
      </c>
      <c r="C16" s="31">
        <f>E10</f>
        <v>27000</v>
      </c>
      <c r="D16" s="13"/>
      <c r="E16" s="13"/>
      <c r="F16" s="13" t="s">
        <v>84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'MARCH 21'!E25</f>
        <v>151</v>
      </c>
      <c r="D18" s="13"/>
      <c r="E18" s="13"/>
      <c r="F18" s="13" t="s">
        <v>4</v>
      </c>
      <c r="G18" s="31">
        <f>'MARCH 21'!I25</f>
        <v>151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129</v>
      </c>
      <c r="C22" s="13"/>
      <c r="D22" s="13">
        <v>18102</v>
      </c>
      <c r="E22" s="13"/>
      <c r="F22" s="34" t="s">
        <v>129</v>
      </c>
      <c r="G22" s="13"/>
      <c r="H22" s="13">
        <v>18102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24451</v>
      </c>
      <c r="D25" s="17">
        <f>SUM(D21:D24)</f>
        <v>18102</v>
      </c>
      <c r="E25" s="17">
        <f>C25-D25</f>
        <v>6349</v>
      </c>
      <c r="F25" s="37" t="s">
        <v>9</v>
      </c>
      <c r="G25" s="17">
        <f>G16+G18-H20</f>
        <v>24451</v>
      </c>
      <c r="H25" s="17">
        <f>SUM(H21:H24)</f>
        <v>18102</v>
      </c>
      <c r="I25" s="17">
        <f>G25-H25</f>
        <v>6349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10" sqref="H10"/>
    </sheetView>
  </sheetViews>
  <sheetFormatPr defaultRowHeight="15" x14ac:dyDescent="0.25"/>
  <cols>
    <col min="3" max="3" width="14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APRIL21!H5:H10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APRIL21!H6:H11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APRIL21!H7:H12</f>
        <v>0</v>
      </c>
      <c r="E7" s="7">
        <v>5000</v>
      </c>
      <c r="F7" s="11">
        <f>C7+D7+E7</f>
        <v>5000</v>
      </c>
      <c r="G7" s="12"/>
      <c r="H7" s="11">
        <f>F7-G7</f>
        <v>5000</v>
      </c>
      <c r="I7" t="s">
        <v>135</v>
      </c>
    </row>
    <row r="8" spans="1:9" x14ac:dyDescent="0.25">
      <c r="A8" s="7">
        <v>4</v>
      </c>
      <c r="B8" s="13" t="s">
        <v>99</v>
      </c>
      <c r="C8" s="7"/>
      <c r="D8" s="11">
        <f>APRIL21!H8:H13</f>
        <v>0</v>
      </c>
      <c r="E8" s="7">
        <v>5000</v>
      </c>
      <c r="F8" s="11">
        <f>C8+D8+E8</f>
        <v>5000</v>
      </c>
      <c r="G8" s="12">
        <f>5000</f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'MARCH 21'!H9:H14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22000</v>
      </c>
      <c r="H10" s="16"/>
    </row>
    <row r="11" spans="1:9" x14ac:dyDescent="0.25">
      <c r="A11" s="7"/>
      <c r="B11" s="18"/>
      <c r="C11" s="18"/>
      <c r="D11" s="11">
        <f>SEPTEMBER20!H11:H16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87</v>
      </c>
      <c r="C16" s="31">
        <f>E10</f>
        <v>27000</v>
      </c>
      <c r="D16" s="13"/>
      <c r="E16" s="13"/>
      <c r="F16" s="13" t="s">
        <v>87</v>
      </c>
      <c r="G16" s="31">
        <f>G10</f>
        <v>22000</v>
      </c>
      <c r="H16" s="13"/>
      <c r="I16" s="13"/>
    </row>
    <row r="17" spans="1:11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1" x14ac:dyDescent="0.25">
      <c r="B18" s="13" t="s">
        <v>4</v>
      </c>
      <c r="C18" s="31">
        <f>APRIL21!E25</f>
        <v>6349</v>
      </c>
      <c r="D18" s="13"/>
      <c r="E18" s="13"/>
      <c r="F18" s="13" t="s">
        <v>4</v>
      </c>
      <c r="G18" s="31">
        <f>APRIL21!I25</f>
        <v>6349</v>
      </c>
      <c r="H18" s="13"/>
      <c r="I18" s="13"/>
    </row>
    <row r="19" spans="1:11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1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1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1" x14ac:dyDescent="0.25">
      <c r="B22" s="34" t="s">
        <v>131</v>
      </c>
      <c r="C22" s="13"/>
      <c r="D22" s="13">
        <v>15097</v>
      </c>
      <c r="E22" s="13"/>
      <c r="F22" s="34" t="s">
        <v>131</v>
      </c>
      <c r="G22" s="13"/>
      <c r="H22" s="13">
        <v>15097</v>
      </c>
      <c r="I22" s="13"/>
    </row>
    <row r="23" spans="1:11" x14ac:dyDescent="0.25">
      <c r="B23" s="33" t="s">
        <v>136</v>
      </c>
      <c r="C23" s="13"/>
      <c r="D23" s="13">
        <f>H23</f>
        <v>10110</v>
      </c>
      <c r="E23" s="13"/>
      <c r="F23" s="33" t="s">
        <v>136</v>
      </c>
      <c r="G23" s="13"/>
      <c r="H23" s="13">
        <f>5055+5055</f>
        <v>10110</v>
      </c>
      <c r="I23" s="13"/>
    </row>
    <row r="24" spans="1:11" x14ac:dyDescent="0.25">
      <c r="B24" s="35" t="s">
        <v>137</v>
      </c>
      <c r="C24" s="13"/>
      <c r="D24" s="13">
        <v>5000</v>
      </c>
      <c r="E24" s="13"/>
      <c r="F24" s="35"/>
      <c r="G24" s="13"/>
      <c r="H24" s="13"/>
      <c r="I24" s="13"/>
    </row>
    <row r="25" spans="1:11" x14ac:dyDescent="0.25">
      <c r="A25" s="26"/>
      <c r="B25" s="37" t="s">
        <v>9</v>
      </c>
      <c r="C25" s="17">
        <f>C16+C18+C17-D20</f>
        <v>30649</v>
      </c>
      <c r="D25" s="17">
        <f>SUM(D21:D24)</f>
        <v>30207</v>
      </c>
      <c r="E25" s="17">
        <f>C25-D25</f>
        <v>442</v>
      </c>
      <c r="F25" s="37" t="s">
        <v>9</v>
      </c>
      <c r="G25" s="17">
        <f>G16+G18-H20</f>
        <v>25649</v>
      </c>
      <c r="H25" s="17">
        <f>SUM(H21:H24)</f>
        <v>25207</v>
      </c>
      <c r="I25" s="17">
        <f>G25-H25</f>
        <v>442</v>
      </c>
    </row>
    <row r="26" spans="1:11" x14ac:dyDescent="0.25">
      <c r="A26" s="26"/>
      <c r="B26" s="1"/>
      <c r="C26" s="1"/>
      <c r="D26" s="1"/>
      <c r="E26" s="1"/>
    </row>
    <row r="27" spans="1:11" x14ac:dyDescent="0.25">
      <c r="B27" s="1" t="s">
        <v>19</v>
      </c>
      <c r="C27" s="1"/>
      <c r="E27" s="27" t="s">
        <v>20</v>
      </c>
      <c r="G27" s="1" t="s">
        <v>21</v>
      </c>
    </row>
    <row r="28" spans="1:11" x14ac:dyDescent="0.25">
      <c r="E28" s="1"/>
    </row>
    <row r="29" spans="1:11" x14ac:dyDescent="0.25">
      <c r="B29" s="1" t="s">
        <v>41</v>
      </c>
      <c r="C29" s="1"/>
      <c r="D29" s="1"/>
      <c r="E29" s="1" t="s">
        <v>23</v>
      </c>
      <c r="G29" s="1" t="s">
        <v>25</v>
      </c>
    </row>
    <row r="30" spans="1:11" x14ac:dyDescent="0.25">
      <c r="K30">
        <f>6500/30</f>
        <v>216.66666666666666</v>
      </c>
    </row>
    <row r="31" spans="1:11" x14ac:dyDescent="0.25">
      <c r="K31">
        <f>K30*12</f>
        <v>2600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26" sqref="C26"/>
    </sheetView>
  </sheetViews>
  <sheetFormatPr defaultRowHeight="15" x14ac:dyDescent="0.25"/>
  <cols>
    <col min="2" max="2" width="13.8554687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132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'MAY 21'!H5:H10</f>
        <v>0</v>
      </c>
      <c r="E5" s="7">
        <v>5000</v>
      </c>
      <c r="F5" s="11">
        <f>C5+D5+E5</f>
        <v>5000</v>
      </c>
      <c r="G5" s="12">
        <f>5000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'MAY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>
        <v>5000</v>
      </c>
      <c r="D7" s="11"/>
      <c r="E7" s="7">
        <v>5000</v>
      </c>
      <c r="F7" s="11">
        <f>C7+D7+E7</f>
        <v>10000</v>
      </c>
      <c r="G7" s="12">
        <f>5000+5000</f>
        <v>10000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'MAY 21'!H8:H13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'MAY 21'!H9:H14</f>
        <v>0</v>
      </c>
      <c r="E9" s="7">
        <v>7000</v>
      </c>
      <c r="F9" s="11">
        <f>C9+D9+E9</f>
        <v>7000</v>
      </c>
      <c r="G9" s="12">
        <f>7000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>
        <f>SUM(C5:C9)</f>
        <v>5000</v>
      </c>
      <c r="D10" s="11">
        <f>'MAY 21'!H10:H15</f>
        <v>0</v>
      </c>
      <c r="E10" s="9">
        <f>SUM(E5:E9)</f>
        <v>27000</v>
      </c>
      <c r="F10" s="11">
        <f>SUM(F5:F9)</f>
        <v>32000</v>
      </c>
      <c r="G10" s="17">
        <f>SUM(G5:G9)</f>
        <v>32000</v>
      </c>
      <c r="H10" s="16">
        <f>SUM(H5:H9)</f>
        <v>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94</v>
      </c>
      <c r="C16" s="31">
        <f>E10</f>
        <v>27000</v>
      </c>
      <c r="D16" s="13"/>
      <c r="E16" s="13"/>
      <c r="F16" s="13" t="s">
        <v>94</v>
      </c>
      <c r="G16" s="31">
        <f>G10</f>
        <v>32000</v>
      </c>
      <c r="H16" s="13"/>
      <c r="I16" s="13"/>
    </row>
    <row r="17" spans="1:13" x14ac:dyDescent="0.25">
      <c r="B17" s="13" t="s">
        <v>43</v>
      </c>
      <c r="C17" s="31">
        <f>C10</f>
        <v>5000</v>
      </c>
      <c r="D17" s="13"/>
      <c r="E17" s="13"/>
      <c r="F17" s="13"/>
      <c r="G17" s="31"/>
      <c r="H17" s="13"/>
      <c r="I17" s="13"/>
    </row>
    <row r="18" spans="1:13" x14ac:dyDescent="0.25">
      <c r="B18" s="13" t="s">
        <v>4</v>
      </c>
      <c r="C18" s="31">
        <f>'MAY 21'!E25</f>
        <v>442</v>
      </c>
      <c r="D18" s="13"/>
      <c r="E18" s="13"/>
      <c r="F18" s="13" t="s">
        <v>4</v>
      </c>
      <c r="G18" s="31">
        <f>'MAY 21'!I25</f>
        <v>442</v>
      </c>
      <c r="H18" s="13"/>
      <c r="I18" s="13"/>
    </row>
    <row r="19" spans="1:13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3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3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3" x14ac:dyDescent="0.25">
      <c r="B22" s="34" t="s">
        <v>134</v>
      </c>
      <c r="C22" s="13"/>
      <c r="D22" s="13">
        <v>5055</v>
      </c>
      <c r="E22" s="13"/>
      <c r="F22" s="34" t="s">
        <v>134</v>
      </c>
      <c r="G22" s="13"/>
      <c r="H22" s="13">
        <v>5055</v>
      </c>
      <c r="I22" s="13"/>
    </row>
    <row r="23" spans="1:13" x14ac:dyDescent="0.25">
      <c r="B23" s="33" t="s">
        <v>138</v>
      </c>
      <c r="C23" s="13"/>
      <c r="D23" s="13">
        <v>24702</v>
      </c>
      <c r="E23" s="13"/>
      <c r="F23" s="33" t="s">
        <v>138</v>
      </c>
      <c r="G23" s="13"/>
      <c r="H23" s="13">
        <v>24702</v>
      </c>
      <c r="I23" s="13"/>
    </row>
    <row r="24" spans="1:13" x14ac:dyDescent="0.25">
      <c r="B24" s="35"/>
      <c r="C24" s="13"/>
      <c r="D24" s="13"/>
      <c r="E24" s="13"/>
      <c r="F24" s="35"/>
      <c r="G24" s="13"/>
      <c r="H24" s="13"/>
      <c r="I24" s="13"/>
    </row>
    <row r="25" spans="1:13" x14ac:dyDescent="0.25">
      <c r="A25" s="26"/>
      <c r="B25" s="37" t="s">
        <v>9</v>
      </c>
      <c r="C25" s="17">
        <f>C16+C18+C17-D20</f>
        <v>29742</v>
      </c>
      <c r="D25" s="17">
        <f>SUM(D21:D24)</f>
        <v>29757</v>
      </c>
      <c r="E25" s="17">
        <f>C25-D25</f>
        <v>-15</v>
      </c>
      <c r="F25" s="37" t="s">
        <v>9</v>
      </c>
      <c r="G25" s="17">
        <f>G16+G18-H20</f>
        <v>29742</v>
      </c>
      <c r="H25" s="17">
        <f>SUM(H21:H24)</f>
        <v>29757</v>
      </c>
      <c r="I25" s="17">
        <f>G25-H25</f>
        <v>-15</v>
      </c>
    </row>
    <row r="26" spans="1:13" x14ac:dyDescent="0.25">
      <c r="A26" s="26"/>
      <c r="B26" s="1"/>
      <c r="C26" s="1"/>
      <c r="D26" s="1"/>
      <c r="E26" s="1"/>
    </row>
    <row r="27" spans="1:13" x14ac:dyDescent="0.25">
      <c r="B27" s="1" t="s">
        <v>19</v>
      </c>
      <c r="C27" s="1"/>
      <c r="E27" s="27" t="s">
        <v>20</v>
      </c>
      <c r="G27" s="1" t="s">
        <v>21</v>
      </c>
    </row>
    <row r="28" spans="1:13" x14ac:dyDescent="0.25">
      <c r="E28" s="1"/>
    </row>
    <row r="29" spans="1:13" x14ac:dyDescent="0.25">
      <c r="B29" s="1" t="s">
        <v>41</v>
      </c>
      <c r="C29" s="1"/>
      <c r="D29" s="1"/>
      <c r="E29" s="1" t="s">
        <v>23</v>
      </c>
      <c r="G29" s="1" t="s">
        <v>25</v>
      </c>
    </row>
    <row r="30" spans="1:13" x14ac:dyDescent="0.25">
      <c r="M30">
        <f>3500/30</f>
        <v>116.66666666666667</v>
      </c>
    </row>
    <row r="31" spans="1:13" x14ac:dyDescent="0.25">
      <c r="M31">
        <f>M30*14</f>
        <v>1633.3333333333335</v>
      </c>
    </row>
    <row r="32" spans="1:13" x14ac:dyDescent="0.25">
      <c r="M32">
        <v>3500</v>
      </c>
    </row>
    <row r="33" spans="11:13" x14ac:dyDescent="0.25">
      <c r="M33">
        <f>M32+1630</f>
        <v>5130</v>
      </c>
    </row>
    <row r="35" spans="11:13" x14ac:dyDescent="0.25">
      <c r="K35">
        <f>3500/30</f>
        <v>116.66666666666667</v>
      </c>
    </row>
    <row r="36" spans="11:13" x14ac:dyDescent="0.25">
      <c r="K36">
        <f>K35*14</f>
        <v>1633.3333333333335</v>
      </c>
    </row>
    <row r="38" spans="11:13" x14ac:dyDescent="0.25">
      <c r="K38">
        <f>K36+L39</f>
        <v>5133.3333333333339</v>
      </c>
      <c r="L38">
        <f>3500/2</f>
        <v>1750</v>
      </c>
    </row>
    <row r="39" spans="11:13" x14ac:dyDescent="0.25">
      <c r="L39">
        <v>3500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1" sqref="E31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139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'JUNE 21'!H5:H10</f>
        <v>0</v>
      </c>
      <c r="E5" s="7">
        <v>5000</v>
      </c>
      <c r="F5" s="11">
        <f>C5+D5+E5</f>
        <v>5000</v>
      </c>
      <c r="G5" s="12">
        <f>500+4500</f>
        <v>5000</v>
      </c>
      <c r="H5" s="11">
        <f>F5-G5</f>
        <v>0</v>
      </c>
    </row>
    <row r="6" spans="1:9" x14ac:dyDescent="0.25">
      <c r="A6" s="7">
        <v>2</v>
      </c>
      <c r="B6" s="13" t="s">
        <v>123</v>
      </c>
      <c r="C6" s="13"/>
      <c r="D6" s="11">
        <f>'JUNE 21'!H6:H11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'JUNE 21'!H7:H12</f>
        <v>0</v>
      </c>
      <c r="E7" s="7">
        <v>5000</v>
      </c>
      <c r="F7" s="11">
        <f>C7+D7+E7</f>
        <v>5000</v>
      </c>
      <c r="G7" s="12">
        <f>5000</f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'JUNE 21'!H8:H13</f>
        <v>0</v>
      </c>
      <c r="E8" s="7">
        <v>5000</v>
      </c>
      <c r="F8" s="11">
        <f>C8+D8+E8</f>
        <v>5000</v>
      </c>
      <c r="G8" s="12">
        <f>500+2000</f>
        <v>2500</v>
      </c>
      <c r="H8" s="11">
        <f>F8-G8</f>
        <v>2500</v>
      </c>
    </row>
    <row r="9" spans="1:9" x14ac:dyDescent="0.25">
      <c r="A9" s="7">
        <v>5</v>
      </c>
      <c r="B9" s="14" t="s">
        <v>28</v>
      </c>
      <c r="C9" s="14"/>
      <c r="D9" s="11">
        <f>'JUNE 21'!H9:H14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'JUNE 21'!H10:H15</f>
        <v>0</v>
      </c>
      <c r="E10" s="9">
        <f>SUM(E5:E9)</f>
        <v>27000</v>
      </c>
      <c r="F10" s="11">
        <f>SUM(F5:F9)</f>
        <v>27000</v>
      </c>
      <c r="G10" s="17">
        <f>SUM(G5:G9)</f>
        <v>24500</v>
      </c>
      <c r="H10" s="16">
        <f>SUM(H5:H9)</f>
        <v>2500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17</v>
      </c>
      <c r="C16" s="31">
        <f>E10</f>
        <v>27000</v>
      </c>
      <c r="D16" s="13"/>
      <c r="E16" s="13"/>
      <c r="F16" s="13" t="s">
        <v>17</v>
      </c>
      <c r="G16" s="31">
        <f>G10</f>
        <v>24500</v>
      </c>
      <c r="H16" s="13"/>
      <c r="I16" s="13"/>
    </row>
    <row r="17" spans="1:9" x14ac:dyDescent="0.25">
      <c r="B17" s="13" t="s">
        <v>43</v>
      </c>
      <c r="C17" s="31">
        <f>D10</f>
        <v>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 xml:space="preserve"> 'JUNE 21'!E25</f>
        <v>-15</v>
      </c>
      <c r="D18" s="13"/>
      <c r="E18" s="13"/>
      <c r="F18" s="13" t="s">
        <v>4</v>
      </c>
      <c r="G18" s="31">
        <f>'JUNE 21'!I25</f>
        <v>-15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140</v>
      </c>
      <c r="C22" s="13"/>
      <c r="D22" s="13">
        <v>10087</v>
      </c>
      <c r="E22" s="13"/>
      <c r="F22" s="34" t="s">
        <v>140</v>
      </c>
      <c r="G22" s="13"/>
      <c r="H22" s="13">
        <v>10087</v>
      </c>
      <c r="I22" s="13"/>
    </row>
    <row r="23" spans="1:9" x14ac:dyDescent="0.25">
      <c r="B23" s="33" t="s">
        <v>141</v>
      </c>
      <c r="C23" s="13"/>
      <c r="D23" s="13">
        <f>7000+7075</f>
        <v>14075</v>
      </c>
      <c r="E23" s="13"/>
      <c r="F23" s="33" t="s">
        <v>141</v>
      </c>
      <c r="G23" s="13"/>
      <c r="H23" s="13">
        <f>7000+7075</f>
        <v>14075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24285</v>
      </c>
      <c r="D25" s="17">
        <f>SUM(D21:D24)</f>
        <v>24162</v>
      </c>
      <c r="E25" s="17">
        <f>C25-D25</f>
        <v>123</v>
      </c>
      <c r="F25" s="37" t="s">
        <v>9</v>
      </c>
      <c r="G25" s="17">
        <f>G16+G18-H20</f>
        <v>21785</v>
      </c>
      <c r="H25" s="17">
        <f>SUM(H21:H24)</f>
        <v>24162</v>
      </c>
      <c r="I25" s="17">
        <f>G25-H25</f>
        <v>-2377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J31"/>
    </sheetView>
  </sheetViews>
  <sheetFormatPr defaultRowHeight="15" x14ac:dyDescent="0.25"/>
  <sheetData>
    <row r="1" spans="1:12" x14ac:dyDescent="0.25">
      <c r="A1" s="1"/>
      <c r="F1" s="5"/>
      <c r="G1" s="1"/>
      <c r="L1" s="40">
        <f>C16-D20</f>
        <v>24300</v>
      </c>
    </row>
    <row r="2" spans="1:12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12" ht="15.75" x14ac:dyDescent="0.25">
      <c r="A3" s="1"/>
      <c r="B3" s="2" t="s">
        <v>1</v>
      </c>
      <c r="C3" s="2"/>
      <c r="D3" s="3" t="s">
        <v>142</v>
      </c>
      <c r="E3" s="2"/>
      <c r="F3" s="5"/>
      <c r="G3" s="1"/>
    </row>
    <row r="4" spans="1:12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12" x14ac:dyDescent="0.25">
      <c r="A5" s="7">
        <v>1</v>
      </c>
      <c r="B5" s="7" t="s">
        <v>92</v>
      </c>
      <c r="C5" s="7"/>
      <c r="D5" s="11">
        <f>'JULY 21'!H5:H9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12" x14ac:dyDescent="0.25">
      <c r="A6" s="7">
        <v>2</v>
      </c>
      <c r="B6" s="13" t="s">
        <v>123</v>
      </c>
      <c r="C6" s="13"/>
      <c r="D6" s="11">
        <f>'JULY 21'!H6:H10</f>
        <v>0</v>
      </c>
      <c r="E6" s="7">
        <v>5000</v>
      </c>
      <c r="F6" s="11">
        <f>C6+D6+E6</f>
        <v>5000</v>
      </c>
      <c r="G6" s="12">
        <f>5000</f>
        <v>5000</v>
      </c>
      <c r="H6" s="11">
        <f>F6-G6</f>
        <v>0</v>
      </c>
    </row>
    <row r="7" spans="1:12" x14ac:dyDescent="0.25">
      <c r="A7" s="7">
        <v>3</v>
      </c>
      <c r="B7" s="7" t="s">
        <v>133</v>
      </c>
      <c r="C7" s="7"/>
      <c r="D7" s="11">
        <f>'JULY 21'!H7:H11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12" x14ac:dyDescent="0.25">
      <c r="A8" s="7">
        <v>4</v>
      </c>
      <c r="B8" s="13" t="s">
        <v>99</v>
      </c>
      <c r="C8" s="7"/>
      <c r="D8" s="11">
        <f>'JULY 21'!H8:H12</f>
        <v>2500</v>
      </c>
      <c r="E8" s="7">
        <v>5000</v>
      </c>
      <c r="F8" s="11">
        <f>C8+D8+E8</f>
        <v>7500</v>
      </c>
      <c r="G8" s="12">
        <v>7500</v>
      </c>
      <c r="H8" s="11">
        <f>F8-G8</f>
        <v>0</v>
      </c>
    </row>
    <row r="9" spans="1:12" x14ac:dyDescent="0.25">
      <c r="A9" s="7">
        <v>5</v>
      </c>
      <c r="B9" s="14" t="s">
        <v>28</v>
      </c>
      <c r="C9" s="14"/>
      <c r="D9" s="11">
        <f>'JULY 21'!H9:H13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12" x14ac:dyDescent="0.25">
      <c r="A10" s="7"/>
      <c r="B10" s="15" t="s">
        <v>9</v>
      </c>
      <c r="C10" s="15"/>
      <c r="D10" s="11">
        <f>SUM(D5:D9)</f>
        <v>2500</v>
      </c>
      <c r="E10" s="9">
        <f>SUM(E5:E9)</f>
        <v>27000</v>
      </c>
      <c r="F10" s="11">
        <f>SUM(F5:F9)</f>
        <v>29500</v>
      </c>
      <c r="G10" s="17">
        <f>SUM(G5:G9)</f>
        <v>29500</v>
      </c>
      <c r="H10" s="16">
        <f>SUM(H5:H9)</f>
        <v>0</v>
      </c>
    </row>
    <row r="11" spans="1:12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12" x14ac:dyDescent="0.25">
      <c r="A12" s="21"/>
      <c r="B12" s="22"/>
      <c r="C12" s="22"/>
      <c r="D12" s="22"/>
      <c r="E12" s="21"/>
      <c r="F12" s="23"/>
      <c r="G12" s="24"/>
      <c r="H12" s="23"/>
    </row>
    <row r="13" spans="1:12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12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12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2" x14ac:dyDescent="0.25">
      <c r="B16" s="13" t="s">
        <v>101</v>
      </c>
      <c r="C16" s="31">
        <f>E10</f>
        <v>27000</v>
      </c>
      <c r="D16" s="13"/>
      <c r="E16" s="13"/>
      <c r="F16" s="13" t="s">
        <v>101</v>
      </c>
      <c r="G16" s="31">
        <f>G10</f>
        <v>29500</v>
      </c>
      <c r="H16" s="13"/>
      <c r="I16" s="13"/>
    </row>
    <row r="17" spans="1:9" x14ac:dyDescent="0.25">
      <c r="B17" s="13" t="s">
        <v>43</v>
      </c>
      <c r="C17" s="31">
        <f>C10</f>
        <v>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'JULY 21'!E25</f>
        <v>123</v>
      </c>
      <c r="D18" s="13"/>
      <c r="E18" s="13"/>
      <c r="F18" s="13" t="s">
        <v>4</v>
      </c>
      <c r="G18" s="31">
        <f>'JULY 21'!I25</f>
        <v>-2377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143</v>
      </c>
      <c r="C22" s="13"/>
      <c r="D22" s="13">
        <v>14097</v>
      </c>
      <c r="E22" s="13"/>
      <c r="F22" s="34" t="s">
        <v>143</v>
      </c>
      <c r="G22" s="13"/>
      <c r="H22" s="13">
        <v>14097</v>
      </c>
      <c r="I22" s="13"/>
    </row>
    <row r="23" spans="1:9" x14ac:dyDescent="0.25">
      <c r="B23" s="33" t="s">
        <v>144</v>
      </c>
      <c r="C23" s="13"/>
      <c r="D23" s="13">
        <v>5055</v>
      </c>
      <c r="E23" s="13"/>
      <c r="F23" s="33" t="s">
        <v>144</v>
      </c>
      <c r="G23" s="13"/>
      <c r="H23" s="13">
        <v>5055</v>
      </c>
      <c r="I23" s="13"/>
    </row>
    <row r="24" spans="1:9" x14ac:dyDescent="0.25">
      <c r="B24" s="35" t="s">
        <v>145</v>
      </c>
      <c r="C24" s="13"/>
      <c r="D24" s="13">
        <v>5055</v>
      </c>
      <c r="E24" s="13"/>
      <c r="F24" s="35" t="s">
        <v>145</v>
      </c>
      <c r="G24" s="13"/>
      <c r="H24" s="13">
        <v>5055</v>
      </c>
      <c r="I24" s="13"/>
    </row>
    <row r="25" spans="1:9" x14ac:dyDescent="0.25">
      <c r="A25" s="26"/>
      <c r="B25" s="37" t="s">
        <v>9</v>
      </c>
      <c r="C25" s="17">
        <f>C16+C18+C17-D20</f>
        <v>24423</v>
      </c>
      <c r="D25" s="17">
        <f>SUM(D21:D24)</f>
        <v>24207</v>
      </c>
      <c r="E25" s="17">
        <f>C25-D25</f>
        <v>216</v>
      </c>
      <c r="F25" s="37" t="s">
        <v>9</v>
      </c>
      <c r="G25" s="17">
        <f>G16+G18-H20</f>
        <v>24423</v>
      </c>
      <c r="H25" s="17">
        <f>SUM(H21:H24)</f>
        <v>24207</v>
      </c>
      <c r="I25" s="17">
        <f>G25-H25</f>
        <v>216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34" sqref="K34"/>
    </sheetView>
  </sheetViews>
  <sheetFormatPr defaultRowHeight="15" x14ac:dyDescent="0.25"/>
  <cols>
    <col min="2" max="2" width="10.140625" customWidth="1"/>
    <col min="3" max="3" width="7.7109375" customWidth="1"/>
    <col min="6" max="6" width="10.28515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146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'AUGUST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42" t="s">
        <v>123</v>
      </c>
      <c r="C6" s="13"/>
      <c r="D6" s="11">
        <f>'AUGUST 21'!H6:H12</f>
        <v>0</v>
      </c>
      <c r="E6" s="7">
        <v>5000</v>
      </c>
      <c r="F6" s="11">
        <f>C6+D6+E6</f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'AUGUST 21'!H7:H13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'AUGUST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'AUGUST 21'!H9:H15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'MAY 21'!H11:H16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106</v>
      </c>
      <c r="C16" s="31">
        <f>E10</f>
        <v>27000</v>
      </c>
      <c r="D16" s="13"/>
      <c r="E16" s="13"/>
      <c r="F16" s="13" t="s">
        <v>106</v>
      </c>
      <c r="G16" s="31">
        <f>G10</f>
        <v>27000</v>
      </c>
      <c r="H16" s="13"/>
      <c r="I16" s="13"/>
    </row>
    <row r="17" spans="1:9" x14ac:dyDescent="0.25">
      <c r="B17" s="13" t="s">
        <v>151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43</v>
      </c>
      <c r="C18" s="31">
        <f>'AUGUST 21'!E25</f>
        <v>216</v>
      </c>
      <c r="D18" s="13"/>
      <c r="E18" s="13"/>
      <c r="F18" s="13" t="s">
        <v>4</v>
      </c>
      <c r="G18" s="31">
        <f>'AUGUST 21'!I25</f>
        <v>216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147</v>
      </c>
      <c r="C22" s="13"/>
      <c r="D22" s="13">
        <v>3051</v>
      </c>
      <c r="E22" s="13"/>
      <c r="F22" s="34" t="s">
        <v>147</v>
      </c>
      <c r="G22" s="13"/>
      <c r="H22" s="13">
        <v>3051</v>
      </c>
      <c r="I22" s="13"/>
    </row>
    <row r="23" spans="1:9" x14ac:dyDescent="0.25">
      <c r="B23" s="33" t="s">
        <v>148</v>
      </c>
      <c r="C23" s="13"/>
      <c r="D23" s="13">
        <v>10087</v>
      </c>
      <c r="E23" s="13"/>
      <c r="F23" s="33" t="s">
        <v>148</v>
      </c>
      <c r="G23" s="13"/>
      <c r="H23" s="13">
        <v>10087</v>
      </c>
      <c r="I23" s="13"/>
    </row>
    <row r="24" spans="1:9" x14ac:dyDescent="0.25">
      <c r="B24" s="35" t="s">
        <v>149</v>
      </c>
      <c r="C24" s="13"/>
      <c r="D24" s="13">
        <v>3051</v>
      </c>
      <c r="E24" s="13"/>
      <c r="F24" s="35" t="s">
        <v>149</v>
      </c>
      <c r="G24" s="13"/>
      <c r="H24" s="13">
        <v>3051</v>
      </c>
      <c r="I24" s="13"/>
    </row>
    <row r="25" spans="1:9" x14ac:dyDescent="0.25">
      <c r="B25" s="33" t="s">
        <v>153</v>
      </c>
      <c r="C25" s="13"/>
      <c r="D25" s="13">
        <v>1522</v>
      </c>
      <c r="E25" s="13"/>
      <c r="F25" s="33" t="s">
        <v>153</v>
      </c>
      <c r="G25" s="13"/>
      <c r="H25" s="13">
        <v>1522</v>
      </c>
      <c r="I25" s="13"/>
    </row>
    <row r="26" spans="1:9" x14ac:dyDescent="0.25">
      <c r="B26" s="35" t="s">
        <v>152</v>
      </c>
      <c r="C26" s="13"/>
      <c r="D26" s="13">
        <f>1052+1052</f>
        <v>2104</v>
      </c>
      <c r="E26" s="13"/>
      <c r="F26" s="35" t="s">
        <v>152</v>
      </c>
      <c r="G26" s="13"/>
      <c r="H26" s="13">
        <f>1052+1052</f>
        <v>2104</v>
      </c>
      <c r="I26" s="13"/>
    </row>
    <row r="27" spans="1:9" x14ac:dyDescent="0.25">
      <c r="A27" s="26"/>
      <c r="B27" s="37" t="s">
        <v>9</v>
      </c>
      <c r="C27" s="17">
        <f>C16+C18+C17-D20</f>
        <v>24516</v>
      </c>
      <c r="D27" s="17">
        <f>SUM(D21:D26)</f>
        <v>19815</v>
      </c>
      <c r="E27" s="17">
        <f>C27-D27</f>
        <v>4701</v>
      </c>
      <c r="F27" s="37" t="s">
        <v>9</v>
      </c>
      <c r="G27" s="17">
        <f>G16+G18-H20</f>
        <v>24516</v>
      </c>
      <c r="H27" s="17">
        <f>SUM(H21:H26)</f>
        <v>19815</v>
      </c>
      <c r="I27" s="17">
        <f>G27-H27</f>
        <v>4701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F29" sqref="F29"/>
    </sheetView>
  </sheetViews>
  <sheetFormatPr defaultRowHeight="15" x14ac:dyDescent="0.25"/>
  <cols>
    <col min="2" max="2" width="21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150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ht="22.5" customHeight="1" x14ac:dyDescent="0.25">
      <c r="A5" s="7">
        <v>1</v>
      </c>
      <c r="B5" s="7" t="s">
        <v>92</v>
      </c>
      <c r="C5" s="7"/>
      <c r="D5" s="11">
        <f>'SEPT 21'!H5:H11</f>
        <v>0</v>
      </c>
      <c r="E5" s="7">
        <v>5000</v>
      </c>
      <c r="F5" s="11">
        <f>C5+D5+E5</f>
        <v>5000</v>
      </c>
      <c r="G5" s="12">
        <v>5000</v>
      </c>
      <c r="H5" s="11">
        <f>F5-G5</f>
        <v>0</v>
      </c>
    </row>
    <row r="6" spans="1:9" ht="20.25" customHeight="1" x14ac:dyDescent="0.25">
      <c r="A6" s="7"/>
      <c r="B6" s="42" t="s">
        <v>123</v>
      </c>
      <c r="C6" s="13"/>
      <c r="D6" s="11">
        <f>'SEPT 21'!H6:H12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'SEPT 21'!H7:H13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'SEPT 21'!H8:H14</f>
        <v>0</v>
      </c>
      <c r="E8" s="7">
        <v>5000</v>
      </c>
      <c r="F8" s="11">
        <f>C8+D8+E8</f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'SEPT 21'!H9:H15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21'!H10:H16</f>
        <v>0</v>
      </c>
      <c r="E10" s="9">
        <f>SUM(E5:E9)</f>
        <v>27000</v>
      </c>
      <c r="F10" s="11">
        <f>SUM(F5:F9)</f>
        <v>27000</v>
      </c>
      <c r="G10" s="17">
        <f>SUM(G5:G9)</f>
        <v>27000</v>
      </c>
      <c r="H10" s="16">
        <f>SUM(H5:H9)</f>
        <v>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110</v>
      </c>
      <c r="C16" s="31">
        <f>E10</f>
        <v>27000</v>
      </c>
      <c r="D16" s="13"/>
      <c r="E16" s="13"/>
      <c r="F16" s="13" t="s">
        <v>110</v>
      </c>
      <c r="G16" s="31">
        <f>G10</f>
        <v>27000</v>
      </c>
      <c r="H16" s="13"/>
      <c r="I16" s="13"/>
    </row>
    <row r="17" spans="1:12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12" x14ac:dyDescent="0.25">
      <c r="B18" s="13" t="s">
        <v>4</v>
      </c>
      <c r="C18" s="31">
        <f>'SEPT 21'!E27</f>
        <v>4701</v>
      </c>
      <c r="D18" s="13"/>
      <c r="E18" s="13"/>
      <c r="F18" s="13" t="s">
        <v>4</v>
      </c>
      <c r="G18" s="31">
        <f>'SEPT 21'!I27</f>
        <v>4701</v>
      </c>
      <c r="H18" s="13"/>
      <c r="I18" s="13"/>
    </row>
    <row r="19" spans="1:12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12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12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12" x14ac:dyDescent="0.25">
      <c r="B22" s="34" t="s">
        <v>154</v>
      </c>
      <c r="C22" s="13"/>
      <c r="D22" s="13">
        <v>1562</v>
      </c>
      <c r="E22" s="13"/>
      <c r="F22" s="34" t="s">
        <v>154</v>
      </c>
      <c r="G22" s="13"/>
      <c r="H22" s="13">
        <v>1562</v>
      </c>
      <c r="I22" s="13"/>
    </row>
    <row r="23" spans="1:12" x14ac:dyDescent="0.25">
      <c r="B23" s="33" t="s">
        <v>156</v>
      </c>
      <c r="C23" s="13"/>
      <c r="D23" s="13">
        <v>3265</v>
      </c>
      <c r="E23" s="13"/>
      <c r="F23" s="33" t="s">
        <v>156</v>
      </c>
      <c r="G23" s="13"/>
      <c r="H23" s="13">
        <v>3265</v>
      </c>
      <c r="I23" s="13"/>
    </row>
    <row r="24" spans="1:12" x14ac:dyDescent="0.25">
      <c r="B24" s="33" t="s">
        <v>155</v>
      </c>
      <c r="C24" s="13"/>
      <c r="D24" s="13">
        <v>2032</v>
      </c>
      <c r="E24" s="13"/>
      <c r="F24" s="33" t="s">
        <v>155</v>
      </c>
      <c r="G24" s="13"/>
      <c r="H24" s="13">
        <v>2032</v>
      </c>
      <c r="I24" s="13"/>
    </row>
    <row r="25" spans="1:12" x14ac:dyDescent="0.25">
      <c r="B25" s="33" t="s">
        <v>157</v>
      </c>
      <c r="C25" s="13"/>
      <c r="D25" s="13">
        <v>10087</v>
      </c>
      <c r="E25" s="13"/>
      <c r="F25" s="33" t="s">
        <v>157</v>
      </c>
      <c r="G25" s="13"/>
      <c r="H25" s="13">
        <v>10087</v>
      </c>
      <c r="I25" s="13"/>
    </row>
    <row r="26" spans="1:12" x14ac:dyDescent="0.25">
      <c r="B26" s="33" t="s">
        <v>160</v>
      </c>
      <c r="C26" s="13"/>
      <c r="D26" s="13">
        <v>2032</v>
      </c>
      <c r="E26" s="13"/>
      <c r="F26" s="33" t="s">
        <v>160</v>
      </c>
      <c r="G26" s="13"/>
      <c r="H26" s="13">
        <v>2032</v>
      </c>
      <c r="I26" s="13"/>
    </row>
    <row r="27" spans="1:12" x14ac:dyDescent="0.25">
      <c r="B27" s="33" t="s">
        <v>159</v>
      </c>
      <c r="C27" s="13"/>
      <c r="D27" s="13">
        <v>1052</v>
      </c>
      <c r="E27" s="13"/>
      <c r="F27" s="33" t="s">
        <v>159</v>
      </c>
      <c r="G27" s="13"/>
      <c r="H27" s="13">
        <v>1052</v>
      </c>
      <c r="I27" s="13"/>
    </row>
    <row r="28" spans="1:12" x14ac:dyDescent="0.25">
      <c r="B28" s="33" t="s">
        <v>162</v>
      </c>
      <c r="C28" s="13"/>
      <c r="D28" s="13">
        <v>2552</v>
      </c>
      <c r="E28" s="13"/>
      <c r="F28" s="33" t="s">
        <v>162</v>
      </c>
      <c r="G28" s="13"/>
      <c r="H28" s="13">
        <v>2552</v>
      </c>
      <c r="I28" s="13"/>
    </row>
    <row r="29" spans="1:12" x14ac:dyDescent="0.25">
      <c r="B29" s="33" t="s">
        <v>163</v>
      </c>
      <c r="C29" s="13"/>
      <c r="D29" s="13">
        <v>6075</v>
      </c>
      <c r="E29" s="13"/>
      <c r="F29" s="33" t="s">
        <v>163</v>
      </c>
      <c r="G29" s="13"/>
      <c r="H29" s="13">
        <v>6075</v>
      </c>
      <c r="I29" s="13"/>
    </row>
    <row r="30" spans="1:12" x14ac:dyDescent="0.25">
      <c r="A30" s="26"/>
      <c r="B30" s="37" t="s">
        <v>9</v>
      </c>
      <c r="C30" s="17">
        <f>C16+C18+C17-D20</f>
        <v>29001</v>
      </c>
      <c r="D30" s="17">
        <f>SUM(D21:D29)</f>
        <v>28657</v>
      </c>
      <c r="E30" s="17">
        <f>C30-D30</f>
        <v>344</v>
      </c>
      <c r="F30" s="37" t="s">
        <v>9</v>
      </c>
      <c r="G30" s="17">
        <f>G16+G18-H20</f>
        <v>29001</v>
      </c>
      <c r="H30" s="17">
        <f>SUM(H21:H29)</f>
        <v>28657</v>
      </c>
      <c r="I30" s="17">
        <f>G30-H30</f>
        <v>344</v>
      </c>
      <c r="L30">
        <f>H22+H23</f>
        <v>4827</v>
      </c>
    </row>
    <row r="31" spans="1:12" x14ac:dyDescent="0.25">
      <c r="A31" s="26"/>
      <c r="B31" s="1"/>
      <c r="C31" s="1"/>
      <c r="D31" s="1"/>
      <c r="E31" s="1"/>
    </row>
    <row r="32" spans="1:12" x14ac:dyDescent="0.25">
      <c r="B32" s="1" t="s">
        <v>19</v>
      </c>
      <c r="C32" s="1"/>
      <c r="E32" s="27" t="s">
        <v>20</v>
      </c>
      <c r="G32" s="1" t="s">
        <v>21</v>
      </c>
    </row>
    <row r="33" spans="2:7" x14ac:dyDescent="0.25">
      <c r="E33" s="1"/>
    </row>
    <row r="34" spans="2:7" x14ac:dyDescent="0.25">
      <c r="B34" s="1" t="s">
        <v>41</v>
      </c>
      <c r="C34" s="1"/>
      <c r="D34" s="1"/>
      <c r="E34" s="1" t="s">
        <v>23</v>
      </c>
      <c r="G34" s="1" t="s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6" sqref="G6"/>
    </sheetView>
  </sheetViews>
  <sheetFormatPr defaultRowHeight="15" x14ac:dyDescent="0.25"/>
  <cols>
    <col min="2" max="2" width="21.1406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158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ht="22.5" customHeight="1" x14ac:dyDescent="0.25">
      <c r="A5" s="7">
        <v>1</v>
      </c>
      <c r="B5" s="7" t="s">
        <v>92</v>
      </c>
      <c r="C5" s="7"/>
      <c r="D5" s="11">
        <f>'OCTOBER 21'!H5</f>
        <v>0</v>
      </c>
      <c r="E5" s="7">
        <v>5000</v>
      </c>
      <c r="F5" s="11">
        <f>C5+D5+E5</f>
        <v>5000</v>
      </c>
      <c r="G5" s="12"/>
      <c r="H5" s="11">
        <f>F5-G5</f>
        <v>5000</v>
      </c>
    </row>
    <row r="6" spans="1:9" ht="20.25" customHeight="1" x14ac:dyDescent="0.25">
      <c r="A6" s="7">
        <v>2</v>
      </c>
      <c r="B6" s="42" t="s">
        <v>123</v>
      </c>
      <c r="C6" s="13"/>
      <c r="D6" s="11">
        <f>'OCTOBER 21'!H6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'OCTOBER 21'!H7</f>
        <v>0</v>
      </c>
      <c r="E7" s="7">
        <v>5000</v>
      </c>
      <c r="F7" s="11">
        <f>C7+D7+E7</f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99</v>
      </c>
      <c r="C8" s="7"/>
      <c r="D8" s="11">
        <f>'OCTOBER 21'!H8</f>
        <v>0</v>
      </c>
      <c r="E8" s="7">
        <v>5000</v>
      </c>
      <c r="F8" s="11">
        <f>C8+D8+E8</f>
        <v>5000</v>
      </c>
      <c r="G8" s="12"/>
      <c r="H8" s="11">
        <f>F8-G8</f>
        <v>5000</v>
      </c>
    </row>
    <row r="9" spans="1:9" x14ac:dyDescent="0.25">
      <c r="A9" s="7">
        <v>5</v>
      </c>
      <c r="B9" s="14" t="s">
        <v>28</v>
      </c>
      <c r="C9" s="14"/>
      <c r="D9" s="11">
        <f>'OCTOBER 21'!H9</f>
        <v>0</v>
      </c>
      <c r="E9" s="7">
        <v>7000</v>
      </c>
      <c r="F9" s="11">
        <f>C9+D9+E9</f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21'!H10:H16</f>
        <v>0</v>
      </c>
      <c r="E10" s="9">
        <f>SUM(E5:E9)</f>
        <v>27000</v>
      </c>
      <c r="F10" s="11">
        <f>SUM(F5:F9)</f>
        <v>27000</v>
      </c>
      <c r="G10" s="17">
        <f>SUM(G5:G9)</f>
        <v>17000</v>
      </c>
      <c r="H10" s="16">
        <f>SUM(H5:H9)</f>
        <v>10000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161</v>
      </c>
      <c r="C16" s="31">
        <f>E10</f>
        <v>27000</v>
      </c>
      <c r="D16" s="13"/>
      <c r="E16" s="13"/>
      <c r="F16" s="13" t="s">
        <v>161</v>
      </c>
      <c r="G16" s="31">
        <f>G10</f>
        <v>17000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'OCTOBER 21'!E30</f>
        <v>344</v>
      </c>
      <c r="D18" s="13"/>
      <c r="E18" s="13"/>
      <c r="F18" s="13" t="s">
        <v>4</v>
      </c>
      <c r="G18" s="31">
        <f>'OCTOBER 21'!I30</f>
        <v>344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 t="s">
        <v>164</v>
      </c>
      <c r="C22" s="13"/>
      <c r="D22" s="13">
        <v>10087</v>
      </c>
      <c r="E22" s="13"/>
      <c r="F22" s="34" t="s">
        <v>164</v>
      </c>
      <c r="G22" s="13"/>
      <c r="H22" s="13">
        <v>10087</v>
      </c>
      <c r="I22" s="13"/>
    </row>
    <row r="23" spans="1:9" x14ac:dyDescent="0.25">
      <c r="B23" s="33" t="s">
        <v>165</v>
      </c>
      <c r="C23" s="13"/>
      <c r="D23" s="13">
        <v>5030</v>
      </c>
      <c r="E23" s="13"/>
      <c r="F23" s="33" t="s">
        <v>165</v>
      </c>
      <c r="G23" s="13"/>
      <c r="H23" s="13">
        <v>5030</v>
      </c>
      <c r="I23" s="13"/>
    </row>
    <row r="24" spans="1:9" x14ac:dyDescent="0.25">
      <c r="B24" s="33" t="s">
        <v>166</v>
      </c>
      <c r="C24" s="13"/>
      <c r="D24" s="13">
        <v>2000</v>
      </c>
      <c r="E24" s="13"/>
      <c r="F24" s="33" t="s">
        <v>166</v>
      </c>
      <c r="G24" s="13"/>
      <c r="H24" s="13">
        <v>2000</v>
      </c>
      <c r="I24" s="13"/>
    </row>
    <row r="25" spans="1:9" x14ac:dyDescent="0.25">
      <c r="B25" s="33"/>
      <c r="C25" s="13"/>
      <c r="D25" s="13"/>
      <c r="E25" s="13"/>
      <c r="F25" s="33"/>
      <c r="G25" s="13"/>
      <c r="H25" s="13"/>
      <c r="I25" s="13"/>
    </row>
    <row r="26" spans="1:9" x14ac:dyDescent="0.25">
      <c r="B26" s="33"/>
      <c r="C26" s="13"/>
      <c r="D26" s="13"/>
      <c r="E26" s="13"/>
      <c r="F26" s="33"/>
      <c r="G26" s="13"/>
      <c r="H26" s="13"/>
      <c r="I26" s="13"/>
    </row>
    <row r="27" spans="1:9" x14ac:dyDescent="0.25">
      <c r="A27" s="26"/>
      <c r="B27" s="37" t="s">
        <v>9</v>
      </c>
      <c r="C27" s="17">
        <f>C16+C18+C17-D20</f>
        <v>24644</v>
      </c>
      <c r="D27" s="17">
        <f>SUM(D21:D26)</f>
        <v>17117</v>
      </c>
      <c r="E27" s="17">
        <f>C27-D27</f>
        <v>7527</v>
      </c>
      <c r="F27" s="37" t="s">
        <v>9</v>
      </c>
      <c r="G27" s="17">
        <f>G16+G18-H20</f>
        <v>14644</v>
      </c>
      <c r="H27" s="17">
        <f>SUM(H21:H26)</f>
        <v>17117</v>
      </c>
      <c r="I27" s="17">
        <f>G27-H27</f>
        <v>-2473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C33" sqref="C33"/>
    </sheetView>
  </sheetViews>
  <sheetFormatPr defaultRowHeight="15" x14ac:dyDescent="0.25"/>
  <cols>
    <col min="2" max="2" width="15.85546875" customWidth="1"/>
    <col min="3" max="3" width="12.85546875" customWidth="1"/>
  </cols>
  <sheetData>
    <row r="1" spans="1:11" ht="15.75" x14ac:dyDescent="0.25">
      <c r="A1" s="1"/>
      <c r="B1" s="2"/>
      <c r="C1" s="2"/>
      <c r="D1" s="3" t="s">
        <v>25</v>
      </c>
      <c r="E1" s="4"/>
      <c r="F1" s="5"/>
      <c r="G1" s="1"/>
    </row>
    <row r="2" spans="1:11" ht="15.75" x14ac:dyDescent="0.25">
      <c r="A2" s="1"/>
      <c r="B2" s="2"/>
      <c r="C2" s="2"/>
      <c r="D2" s="3" t="s">
        <v>0</v>
      </c>
      <c r="E2" s="6"/>
      <c r="F2" s="5"/>
      <c r="G2" s="1"/>
    </row>
    <row r="3" spans="1:11" ht="15.75" x14ac:dyDescent="0.25">
      <c r="A3" s="1"/>
      <c r="B3" s="2" t="s">
        <v>1</v>
      </c>
      <c r="C3" s="2"/>
      <c r="D3" s="3" t="s">
        <v>45</v>
      </c>
      <c r="E3" s="2"/>
      <c r="F3" s="5"/>
      <c r="G3" s="1"/>
    </row>
    <row r="4" spans="1:11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11" x14ac:dyDescent="0.25">
      <c r="A5" s="7">
        <v>1</v>
      </c>
      <c r="B5" s="7" t="s">
        <v>33</v>
      </c>
      <c r="C5" s="7"/>
      <c r="D5" s="11">
        <f>AUGUST19!G5:G10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11" x14ac:dyDescent="0.25">
      <c r="A6" s="7">
        <v>2</v>
      </c>
      <c r="B6" s="13" t="s">
        <v>32</v>
      </c>
      <c r="C6" s="13"/>
      <c r="D6" s="11">
        <f>AUGUST19!G6:G11</f>
        <v>0</v>
      </c>
      <c r="E6" s="7">
        <v>5000</v>
      </c>
      <c r="F6" s="11">
        <f t="shared" si="0"/>
        <v>5000</v>
      </c>
      <c r="G6" s="12">
        <v>5000</v>
      </c>
      <c r="H6" s="11">
        <f>F6-G6</f>
        <v>0</v>
      </c>
      <c r="I6" t="s">
        <v>48</v>
      </c>
    </row>
    <row r="7" spans="1:11" x14ac:dyDescent="0.25">
      <c r="A7" s="7">
        <v>3</v>
      </c>
      <c r="B7" s="7" t="s">
        <v>42</v>
      </c>
      <c r="C7" s="7">
        <v>5000</v>
      </c>
      <c r="D7" s="11"/>
      <c r="E7" s="7">
        <v>5000</v>
      </c>
      <c r="F7" s="11">
        <f t="shared" si="0"/>
        <v>10000</v>
      </c>
      <c r="G7" s="12">
        <v>10000</v>
      </c>
      <c r="H7" s="11">
        <f>F7-G7</f>
        <v>0</v>
      </c>
    </row>
    <row r="8" spans="1:11" x14ac:dyDescent="0.25">
      <c r="A8" s="7">
        <v>4</v>
      </c>
      <c r="B8" s="7" t="s">
        <v>27</v>
      </c>
      <c r="C8" s="7"/>
      <c r="D8" s="11">
        <f>AUGUST19!G8:G13</f>
        <v>500</v>
      </c>
      <c r="E8" s="7">
        <v>5000</v>
      </c>
      <c r="F8" s="11">
        <f t="shared" si="0"/>
        <v>5500</v>
      </c>
      <c r="G8" s="12">
        <v>5000</v>
      </c>
      <c r="H8" s="11">
        <f>F8-G8</f>
        <v>500</v>
      </c>
    </row>
    <row r="9" spans="1:11" x14ac:dyDescent="0.25">
      <c r="A9" s="7">
        <v>5</v>
      </c>
      <c r="B9" s="14" t="s">
        <v>28</v>
      </c>
      <c r="C9" s="14"/>
      <c r="D9" s="11">
        <f>AUGUST19!G9:G14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11" x14ac:dyDescent="0.25">
      <c r="A10" s="7"/>
      <c r="B10" s="15" t="s">
        <v>9</v>
      </c>
      <c r="C10" s="15"/>
      <c r="D10" s="11">
        <f>SUM(D5:D9)</f>
        <v>500</v>
      </c>
      <c r="E10" s="9">
        <f>SUM(E5:E9)</f>
        <v>27000</v>
      </c>
      <c r="F10" s="11">
        <f t="shared" si="0"/>
        <v>27500</v>
      </c>
      <c r="G10" s="17">
        <f>SUM(G5:G9)</f>
        <v>32000</v>
      </c>
      <c r="H10" s="16">
        <f>SUM(H5:H9)</f>
        <v>500</v>
      </c>
    </row>
    <row r="11" spans="1:11" x14ac:dyDescent="0.25">
      <c r="A11" s="7"/>
      <c r="B11" s="18"/>
      <c r="C11" s="18"/>
      <c r="D11" s="18"/>
      <c r="E11" s="7"/>
      <c r="F11" s="19"/>
      <c r="G11" s="20"/>
      <c r="H11" s="19"/>
    </row>
    <row r="12" spans="1:11" x14ac:dyDescent="0.25">
      <c r="A12" s="21"/>
      <c r="B12" s="22"/>
      <c r="C12" s="22"/>
      <c r="D12" s="22"/>
      <c r="E12" s="21"/>
      <c r="F12" s="23"/>
      <c r="G12" s="24"/>
      <c r="H12" s="23"/>
    </row>
    <row r="13" spans="1:11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  <c r="J13" s="28"/>
    </row>
    <row r="14" spans="1:11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  <c r="J14" s="29"/>
      <c r="K14" s="25"/>
    </row>
    <row r="15" spans="1:11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11" x14ac:dyDescent="0.25">
      <c r="B16" s="13" t="s">
        <v>46</v>
      </c>
      <c r="C16" s="31">
        <f>E10</f>
        <v>27000</v>
      </c>
      <c r="D16" s="13"/>
      <c r="E16" s="13"/>
      <c r="F16" s="13" t="s">
        <v>46</v>
      </c>
      <c r="G16" s="31">
        <f>G10</f>
        <v>32000</v>
      </c>
      <c r="H16" s="13"/>
      <c r="I16" s="13"/>
    </row>
    <row r="17" spans="1:9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AUGUST19!E25</f>
        <v>-7993</v>
      </c>
      <c r="D18" s="13"/>
      <c r="E18" s="13"/>
      <c r="F18" s="13" t="s">
        <v>4</v>
      </c>
      <c r="G18" s="31">
        <f>AUGUST19!I25</f>
        <v>-8493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/>
      <c r="C21" s="32"/>
      <c r="D21" s="13"/>
      <c r="E21" s="13"/>
      <c r="F21" s="33"/>
      <c r="G21" s="32"/>
      <c r="H21" s="13"/>
      <c r="I21" s="13"/>
    </row>
    <row r="22" spans="1:9" x14ac:dyDescent="0.25">
      <c r="B22" s="34" t="s">
        <v>47</v>
      </c>
      <c r="C22" s="13"/>
      <c r="D22" s="13">
        <v>16102</v>
      </c>
      <c r="E22" s="13"/>
      <c r="F22" s="34" t="s">
        <v>47</v>
      </c>
      <c r="G22" s="13"/>
      <c r="H22" s="13">
        <v>16102</v>
      </c>
      <c r="I22" s="13"/>
    </row>
    <row r="23" spans="1:9" x14ac:dyDescent="0.25">
      <c r="B23" s="33" t="s">
        <v>49</v>
      </c>
      <c r="C23" s="13"/>
      <c r="D23" s="13">
        <v>5000</v>
      </c>
      <c r="E23" s="13"/>
      <c r="F23" s="33" t="s">
        <v>49</v>
      </c>
      <c r="G23" s="13"/>
      <c r="H23" s="13">
        <v>5000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21307</v>
      </c>
      <c r="D25" s="17">
        <f>SUM(D21:D24)</f>
        <v>21102</v>
      </c>
      <c r="E25" s="17">
        <f>C25-D25</f>
        <v>205</v>
      </c>
      <c r="F25" s="37" t="s">
        <v>9</v>
      </c>
      <c r="G25" s="17">
        <f>G16+G18-H20</f>
        <v>20807</v>
      </c>
      <c r="H25" s="17">
        <f>SUM(H21:H24)</f>
        <v>21102</v>
      </c>
      <c r="I25" s="17">
        <f>G25-H25</f>
        <v>-295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10" sqref="I10"/>
    </sheetView>
  </sheetViews>
  <sheetFormatPr defaultRowHeight="15" x14ac:dyDescent="0.25"/>
  <cols>
    <col min="2" max="2" width="24.8554687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167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12</v>
      </c>
      <c r="H4" s="10" t="s">
        <v>8</v>
      </c>
    </row>
    <row r="5" spans="1:9" x14ac:dyDescent="0.25">
      <c r="A5" s="7">
        <v>1</v>
      </c>
      <c r="B5" s="7" t="s">
        <v>92</v>
      </c>
      <c r="C5" s="7"/>
      <c r="D5" s="11">
        <f>'NOVEMBER 21'!H5:H9</f>
        <v>5000</v>
      </c>
      <c r="E5" s="7">
        <v>5000</v>
      </c>
      <c r="F5" s="11">
        <f>C5+D5+E5</f>
        <v>10000</v>
      </c>
      <c r="G5" s="12"/>
      <c r="H5" s="11">
        <f>F5-G5</f>
        <v>10000</v>
      </c>
    </row>
    <row r="6" spans="1:9" x14ac:dyDescent="0.25">
      <c r="A6" s="7">
        <v>2</v>
      </c>
      <c r="B6" s="42" t="s">
        <v>123</v>
      </c>
      <c r="C6" s="13"/>
      <c r="D6" s="11">
        <f>'NOVEMBER 21'!H6:H10</f>
        <v>0</v>
      </c>
      <c r="E6" s="7">
        <v>5000</v>
      </c>
      <c r="F6" s="11">
        <v>5000</v>
      </c>
      <c r="G6" s="12">
        <v>5000</v>
      </c>
      <c r="H6" s="11">
        <f>F6-G6</f>
        <v>0</v>
      </c>
    </row>
    <row r="7" spans="1:9" x14ac:dyDescent="0.25">
      <c r="A7" s="7">
        <v>3</v>
      </c>
      <c r="B7" s="7" t="s">
        <v>133</v>
      </c>
      <c r="C7" s="7"/>
      <c r="D7" s="11">
        <f>'NOVEMBER 21'!H7:H11</f>
        <v>0</v>
      </c>
      <c r="E7" s="7">
        <v>5000</v>
      </c>
      <c r="F7" s="11">
        <f>C7+D7+E7</f>
        <v>5000</v>
      </c>
      <c r="G7" s="12"/>
      <c r="H7" s="11">
        <f>F7-G7</f>
        <v>5000</v>
      </c>
    </row>
    <row r="8" spans="1:9" x14ac:dyDescent="0.25">
      <c r="A8" s="7">
        <v>4</v>
      </c>
      <c r="B8" s="13" t="s">
        <v>99</v>
      </c>
      <c r="C8" s="7"/>
      <c r="D8" s="11">
        <f>'NOVEMBER 21'!H8:H12</f>
        <v>5000</v>
      </c>
      <c r="E8" s="7">
        <v>5000</v>
      </c>
      <c r="F8" s="11">
        <f>C8+D8+E8</f>
        <v>10000</v>
      </c>
      <c r="G8" s="12"/>
      <c r="H8" s="11">
        <f>F8-G8</f>
        <v>10000</v>
      </c>
    </row>
    <row r="9" spans="1:9" x14ac:dyDescent="0.25">
      <c r="A9" s="7">
        <v>5</v>
      </c>
      <c r="B9" s="14" t="s">
        <v>28</v>
      </c>
      <c r="C9" s="14"/>
      <c r="D9" s="11">
        <f>'NOVEMBER 21'!H9:H13</f>
        <v>0</v>
      </c>
      <c r="E9" s="7">
        <v>7000</v>
      </c>
      <c r="F9" s="11">
        <f>C9+D9+E9</f>
        <v>7000</v>
      </c>
      <c r="G9" s="12"/>
      <c r="H9" s="11">
        <f>F9-G9</f>
        <v>7000</v>
      </c>
    </row>
    <row r="10" spans="1:9" x14ac:dyDescent="0.25">
      <c r="A10" s="7"/>
      <c r="B10" s="15" t="s">
        <v>9</v>
      </c>
      <c r="C10" s="15"/>
      <c r="D10" s="11">
        <f>SUM(D5:D9)</f>
        <v>10000</v>
      </c>
      <c r="E10" s="9">
        <f>SUM(E5:E9)</f>
        <v>27000</v>
      </c>
      <c r="F10" s="11">
        <f>SUM(F5:F9)</f>
        <v>37000</v>
      </c>
      <c r="G10" s="17">
        <f>SUM(G5:G9)</f>
        <v>5000</v>
      </c>
      <c r="H10" s="16">
        <f>SUM(H5:H9)</f>
        <v>32000</v>
      </c>
    </row>
    <row r="11" spans="1:9" x14ac:dyDescent="0.25">
      <c r="A11" s="7"/>
      <c r="B11" s="18"/>
      <c r="C11" s="18"/>
      <c r="D11" s="11">
        <f>'SEPT 21'!H11:H17</f>
        <v>0</v>
      </c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5000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'NOVEMBER 21'!E27</f>
        <v>7527</v>
      </c>
      <c r="D18" s="13"/>
      <c r="E18" s="13"/>
      <c r="F18" s="13" t="s">
        <v>4</v>
      </c>
      <c r="G18" s="31">
        <f>'NOVEMBER 21'!I27</f>
        <v>-2473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G20*C16</f>
        <v>2700</v>
      </c>
      <c r="I20" s="13"/>
    </row>
    <row r="21" spans="1:9" x14ac:dyDescent="0.25">
      <c r="B21" s="33" t="s">
        <v>74</v>
      </c>
      <c r="C21" s="32">
        <v>0.3</v>
      </c>
      <c r="D21" s="13"/>
      <c r="E21" s="13"/>
      <c r="F21" s="33" t="s">
        <v>74</v>
      </c>
      <c r="G21" s="32">
        <v>0.3</v>
      </c>
      <c r="H21" s="13"/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3"/>
      <c r="C24" s="13"/>
      <c r="D24" s="13"/>
      <c r="E24" s="13"/>
      <c r="F24" s="33"/>
      <c r="G24" s="13"/>
      <c r="H24" s="13"/>
      <c r="I24" s="13"/>
    </row>
    <row r="25" spans="1:9" x14ac:dyDescent="0.25">
      <c r="B25" s="33"/>
      <c r="C25" s="13"/>
      <c r="D25" s="13"/>
      <c r="E25" s="13"/>
      <c r="F25" s="33"/>
      <c r="G25" s="13"/>
      <c r="H25" s="13"/>
      <c r="I25" s="13"/>
    </row>
    <row r="26" spans="1:9" x14ac:dyDescent="0.25">
      <c r="B26" s="33"/>
      <c r="C26" s="13"/>
      <c r="D26" s="13"/>
      <c r="E26" s="13"/>
      <c r="F26" s="33"/>
      <c r="G26" s="13"/>
      <c r="H26" s="13"/>
      <c r="I26" s="13"/>
    </row>
    <row r="27" spans="1:9" x14ac:dyDescent="0.25">
      <c r="A27" s="26"/>
      <c r="B27" s="37" t="s">
        <v>9</v>
      </c>
      <c r="C27" s="17">
        <f>C16+C18+C17-D20</f>
        <v>31827</v>
      </c>
      <c r="D27" s="17">
        <f>SUM(D21:D26)</f>
        <v>0</v>
      </c>
      <c r="E27" s="17">
        <f>C27-D27</f>
        <v>31827</v>
      </c>
      <c r="F27" s="37" t="s">
        <v>9</v>
      </c>
      <c r="G27" s="17">
        <f>G16+G18-H20</f>
        <v>-173</v>
      </c>
      <c r="H27" s="17">
        <f>SUM(H21:H26)</f>
        <v>0</v>
      </c>
      <c r="I27" s="17">
        <f>G27-H27</f>
        <v>-173</v>
      </c>
    </row>
    <row r="28" spans="1:9" x14ac:dyDescent="0.25">
      <c r="A28" s="26"/>
      <c r="B28" s="1"/>
      <c r="C28" s="1"/>
      <c r="D28" s="1"/>
      <c r="E28" s="1"/>
    </row>
    <row r="29" spans="1:9" x14ac:dyDescent="0.25">
      <c r="B29" s="1" t="s">
        <v>19</v>
      </c>
      <c r="C29" s="1"/>
      <c r="E29" s="27" t="s">
        <v>20</v>
      </c>
      <c r="G29" s="1" t="s">
        <v>21</v>
      </c>
    </row>
    <row r="30" spans="1:9" x14ac:dyDescent="0.25">
      <c r="E30" s="1"/>
    </row>
    <row r="31" spans="1:9" x14ac:dyDescent="0.25">
      <c r="B31" s="1" t="s">
        <v>41</v>
      </c>
      <c r="C31" s="1"/>
      <c r="D31" s="1"/>
      <c r="E31" s="1" t="s">
        <v>23</v>
      </c>
      <c r="G31" s="1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N25" sqref="N25"/>
    </sheetView>
  </sheetViews>
  <sheetFormatPr defaultRowHeight="15" x14ac:dyDescent="0.25"/>
  <sheetData>
    <row r="1" spans="1:9" ht="15.75" x14ac:dyDescent="0.25">
      <c r="A1" s="1"/>
      <c r="B1" s="2"/>
      <c r="C1" s="2"/>
      <c r="D1" s="3" t="s">
        <v>25</v>
      </c>
      <c r="E1" s="4"/>
      <c r="F1" s="5"/>
      <c r="G1" s="1"/>
    </row>
    <row r="2" spans="1:9" ht="15.75" x14ac:dyDescent="0.25">
      <c r="A2" s="1"/>
      <c r="B2" s="2"/>
      <c r="C2" s="2"/>
      <c r="D2" s="3" t="s">
        <v>0</v>
      </c>
      <c r="E2" s="6"/>
      <c r="F2" s="5"/>
      <c r="G2" s="1"/>
    </row>
    <row r="3" spans="1:9" ht="15.75" x14ac:dyDescent="0.25">
      <c r="A3" s="1"/>
      <c r="B3" s="2" t="s">
        <v>1</v>
      </c>
      <c r="C3" s="2"/>
      <c r="D3" s="3" t="s">
        <v>50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'SEPT 19'!H5:H9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  <c r="I5" t="s">
        <v>56</v>
      </c>
    </row>
    <row r="6" spans="1:9" x14ac:dyDescent="0.25">
      <c r="A6" s="7">
        <v>2</v>
      </c>
      <c r="B6" s="13"/>
      <c r="C6" s="13"/>
      <c r="D6" s="11">
        <f>'SEPT 19'!H6:H10</f>
        <v>0</v>
      </c>
      <c r="E6" s="7"/>
      <c r="F6" s="11">
        <f t="shared" si="0"/>
        <v>0</v>
      </c>
      <c r="G6" s="12"/>
      <c r="H6" s="11">
        <f>F6-G6</f>
        <v>0</v>
      </c>
    </row>
    <row r="7" spans="1:9" x14ac:dyDescent="0.25">
      <c r="A7" s="7">
        <v>3</v>
      </c>
      <c r="B7" s="7" t="s">
        <v>42</v>
      </c>
      <c r="C7" s="7"/>
      <c r="D7" s="11">
        <f>'SEPT 19'!H7:H11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7" t="s">
        <v>27</v>
      </c>
      <c r="C8" s="7"/>
      <c r="D8" s="11">
        <f>'SEPT 19'!H8:H12</f>
        <v>500</v>
      </c>
      <c r="E8" s="7">
        <v>5000</v>
      </c>
      <c r="F8" s="11">
        <f t="shared" si="0"/>
        <v>5500</v>
      </c>
      <c r="G8" s="12">
        <f>5000+500</f>
        <v>5500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'SEPT 19'!H9:H13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'SEPT 19'!H10:H14</f>
        <v>500</v>
      </c>
      <c r="E10" s="9">
        <f>SUM(E5:E9)</f>
        <v>22000</v>
      </c>
      <c r="F10" s="11">
        <f t="shared" si="0"/>
        <v>22500</v>
      </c>
      <c r="G10" s="17">
        <f>SUM(G5:G9)</f>
        <v>22500</v>
      </c>
      <c r="H10" s="16">
        <f>SUM(H5:H9)</f>
        <v>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51</v>
      </c>
      <c r="C16" s="31">
        <f>E10</f>
        <v>22000</v>
      </c>
      <c r="D16" s="13"/>
      <c r="E16" s="13"/>
      <c r="F16" s="13" t="s">
        <v>51</v>
      </c>
      <c r="G16" s="31">
        <f>G10</f>
        <v>22500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'SEPT 19'!E25</f>
        <v>205</v>
      </c>
      <c r="D18" s="13"/>
      <c r="E18" s="13"/>
      <c r="F18" s="13" t="s">
        <v>4</v>
      </c>
      <c r="G18" s="31">
        <f>'SEPT 19'!I25</f>
        <v>-295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2200</v>
      </c>
      <c r="E20" s="28"/>
      <c r="F20" s="13" t="s">
        <v>18</v>
      </c>
      <c r="G20" s="32">
        <v>0.1</v>
      </c>
      <c r="H20" s="13">
        <f>D20</f>
        <v>2200</v>
      </c>
      <c r="I20" s="13"/>
    </row>
    <row r="21" spans="1:9" x14ac:dyDescent="0.25">
      <c r="B21" s="33" t="s">
        <v>52</v>
      </c>
      <c r="C21" s="32"/>
      <c r="D21" s="13">
        <v>500</v>
      </c>
      <c r="E21" s="13"/>
      <c r="F21" s="33" t="s">
        <v>52</v>
      </c>
      <c r="G21" s="32"/>
      <c r="H21" s="13">
        <v>500</v>
      </c>
      <c r="I21" s="13"/>
    </row>
    <row r="22" spans="1:9" x14ac:dyDescent="0.25">
      <c r="B22" s="34" t="s">
        <v>55</v>
      </c>
      <c r="C22" s="13"/>
      <c r="D22" s="13">
        <v>14097</v>
      </c>
      <c r="E22" s="13"/>
      <c r="F22" s="34" t="s">
        <v>55</v>
      </c>
      <c r="G22" s="13"/>
      <c r="H22" s="13">
        <v>14097</v>
      </c>
      <c r="I22" s="13"/>
    </row>
    <row r="23" spans="1:9" x14ac:dyDescent="0.25">
      <c r="B23" s="33" t="s">
        <v>58</v>
      </c>
      <c r="C23" s="13"/>
      <c r="D23" s="13">
        <v>5000</v>
      </c>
      <c r="E23" s="13"/>
      <c r="F23" s="33" t="s">
        <v>58</v>
      </c>
      <c r="G23" s="13"/>
      <c r="H23" s="13">
        <v>5000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20005</v>
      </c>
      <c r="D25" s="17">
        <f>SUM(D21:D24)</f>
        <v>19597</v>
      </c>
      <c r="E25" s="17">
        <f>C25-D25</f>
        <v>408</v>
      </c>
      <c r="F25" s="37" t="s">
        <v>9</v>
      </c>
      <c r="G25" s="17">
        <f>G16+G18-H20</f>
        <v>20005</v>
      </c>
      <c r="H25" s="17">
        <f>SUM(H21:H24)</f>
        <v>19597</v>
      </c>
      <c r="I25" s="17">
        <f>G25-H25</f>
        <v>408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  <row r="31" spans="1:9" x14ac:dyDescent="0.25">
      <c r="H31">
        <f>D22+D23+D21+D20</f>
        <v>21797</v>
      </c>
    </row>
    <row r="34" spans="6:13" x14ac:dyDescent="0.25">
      <c r="M34" t="s">
        <v>59</v>
      </c>
    </row>
    <row r="35" spans="6:13" x14ac:dyDescent="0.25">
      <c r="F35" s="40">
        <f>C16-D20</f>
        <v>19800</v>
      </c>
    </row>
    <row r="36" spans="6:13" x14ac:dyDescent="0.25">
      <c r="F36" s="40">
        <f>F35-D21-D22-D23</f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2" zoomScaleNormal="100" workbookViewId="0">
      <selection activeCell="F38" sqref="F37:F38"/>
    </sheetView>
  </sheetViews>
  <sheetFormatPr defaultRowHeight="15" x14ac:dyDescent="0.25"/>
  <sheetData>
    <row r="1" spans="1:9" ht="15.75" x14ac:dyDescent="0.25">
      <c r="A1" s="1"/>
      <c r="B1" s="2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61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OCTOBER19!H5:H10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OCTOBER19!H6:H11</f>
        <v>0</v>
      </c>
      <c r="E6" s="7">
        <v>5000</v>
      </c>
      <c r="F6" s="11">
        <f t="shared" si="0"/>
        <v>5000</v>
      </c>
      <c r="G6" s="12">
        <f>3500+600+400+100+100+200</f>
        <v>4900</v>
      </c>
      <c r="H6" s="11">
        <f>F6-G6</f>
        <v>100</v>
      </c>
    </row>
    <row r="7" spans="1:9" x14ac:dyDescent="0.25">
      <c r="A7" s="7">
        <v>3</v>
      </c>
      <c r="B7" s="7" t="s">
        <v>42</v>
      </c>
      <c r="C7" s="7"/>
      <c r="D7" s="11">
        <f>OCTOBER19!H7:H12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7" t="s">
        <v>27</v>
      </c>
      <c r="C8" s="7"/>
      <c r="D8" s="11">
        <f>OCTOBER19!H8:H13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  <c r="I8" t="s">
        <v>48</v>
      </c>
    </row>
    <row r="9" spans="1:9" x14ac:dyDescent="0.25">
      <c r="A9" s="7">
        <v>5</v>
      </c>
      <c r="B9" s="14" t="s">
        <v>28</v>
      </c>
      <c r="C9" s="14"/>
      <c r="D9" s="11">
        <f>OCTOBER19!H9:H14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0</v>
      </c>
      <c r="E10" s="9">
        <f>SUM(E5:E9)</f>
        <v>27000</v>
      </c>
      <c r="F10" s="11">
        <f t="shared" si="0"/>
        <v>27000</v>
      </c>
      <c r="G10" s="17">
        <f>SUM(G5:G9)</f>
        <v>26900</v>
      </c>
      <c r="H10" s="16">
        <f>SUM(H5:H9)</f>
        <v>100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57</v>
      </c>
      <c r="C16" s="31">
        <f>E10</f>
        <v>27000</v>
      </c>
      <c r="D16" s="13"/>
      <c r="E16" s="13"/>
      <c r="F16" s="13" t="s">
        <v>57</v>
      </c>
      <c r="G16" s="31">
        <f>G10</f>
        <v>26900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OCTOBER19!E25</f>
        <v>408</v>
      </c>
      <c r="D18" s="13"/>
      <c r="E18" s="13"/>
      <c r="F18" s="13" t="s">
        <v>4</v>
      </c>
      <c r="G18" s="31">
        <f>OCTOBER19!I25</f>
        <v>408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62</v>
      </c>
      <c r="C21" s="32"/>
      <c r="D21" s="13">
        <v>10087</v>
      </c>
      <c r="E21" s="13"/>
      <c r="F21" s="33" t="s">
        <v>62</v>
      </c>
      <c r="G21" s="32"/>
      <c r="H21" s="13">
        <v>10087</v>
      </c>
      <c r="I21" s="13"/>
    </row>
    <row r="22" spans="1:9" x14ac:dyDescent="0.25">
      <c r="B22" s="34" t="s">
        <v>60</v>
      </c>
      <c r="C22" s="13"/>
      <c r="D22" s="13">
        <v>5000</v>
      </c>
      <c r="E22" s="13"/>
      <c r="F22" s="34" t="s">
        <v>60</v>
      </c>
      <c r="G22" s="13"/>
      <c r="H22" s="13">
        <v>5000</v>
      </c>
      <c r="I22" s="13"/>
    </row>
    <row r="23" spans="1:9" x14ac:dyDescent="0.25">
      <c r="B23" s="33" t="s">
        <v>66</v>
      </c>
      <c r="C23" s="13"/>
      <c r="D23" s="13">
        <v>9087</v>
      </c>
      <c r="E23" s="13"/>
      <c r="F23" s="33" t="s">
        <v>66</v>
      </c>
      <c r="G23" s="13"/>
      <c r="H23" s="13">
        <v>9087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24708</v>
      </c>
      <c r="D25" s="17">
        <f>SUM(D21:D24)</f>
        <v>24174</v>
      </c>
      <c r="E25" s="17">
        <f>C25-D25</f>
        <v>534</v>
      </c>
      <c r="F25" s="37" t="s">
        <v>9</v>
      </c>
      <c r="G25" s="17">
        <f>G16+G18-H20</f>
        <v>24608</v>
      </c>
      <c r="H25" s="17">
        <f>SUM(H21:H24)</f>
        <v>24174</v>
      </c>
      <c r="I25" s="17">
        <f>G25-H25</f>
        <v>434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6" sqref="G6"/>
    </sheetView>
  </sheetViews>
  <sheetFormatPr defaultRowHeight="15" x14ac:dyDescent="0.25"/>
  <sheetData>
    <row r="1" spans="1:9" ht="15.75" x14ac:dyDescent="0.25">
      <c r="A1" s="1"/>
      <c r="D1" s="3" t="s">
        <v>25</v>
      </c>
      <c r="F1" s="5"/>
      <c r="G1" s="1"/>
    </row>
    <row r="2" spans="1:9" ht="15.75" x14ac:dyDescent="0.25">
      <c r="A2" s="1"/>
      <c r="B2" s="2"/>
      <c r="C2" s="2"/>
      <c r="D2" s="3" t="s">
        <v>0</v>
      </c>
      <c r="G2" s="1"/>
    </row>
    <row r="3" spans="1:9" ht="15.75" x14ac:dyDescent="0.25">
      <c r="A3" s="1"/>
      <c r="B3" s="2" t="s">
        <v>1</v>
      </c>
      <c r="C3" s="2"/>
      <c r="D3" s="3" t="s">
        <v>64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'NOVEMBER 19'!H5:H9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'NOVEMBER 19'!H6:H10</f>
        <v>100</v>
      </c>
      <c r="E6" s="7">
        <v>5000</v>
      </c>
      <c r="F6" s="11">
        <f t="shared" si="0"/>
        <v>5100</v>
      </c>
      <c r="G6" s="12">
        <f>500+500+500+2000+400</f>
        <v>3900</v>
      </c>
      <c r="H6" s="11">
        <f>F6-G6</f>
        <v>1200</v>
      </c>
    </row>
    <row r="7" spans="1:9" x14ac:dyDescent="0.25">
      <c r="A7" s="7">
        <v>3</v>
      </c>
      <c r="B7" s="7" t="s">
        <v>42</v>
      </c>
      <c r="C7" s="7"/>
      <c r="D7" s="11">
        <f>'NOVEMBER 19'!H7:H11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>
        <v>5000</v>
      </c>
      <c r="D8" s="11">
        <f>'NOVEMBER 19'!H8:H12</f>
        <v>0</v>
      </c>
      <c r="E8" s="7">
        <v>5000</v>
      </c>
      <c r="F8" s="11">
        <f t="shared" si="0"/>
        <v>10000</v>
      </c>
      <c r="G8" s="12">
        <v>10000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'NOVEMBER 19'!H9:H13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100</v>
      </c>
      <c r="E10" s="9">
        <f>SUM(E5:E9)</f>
        <v>27000</v>
      </c>
      <c r="F10" s="11">
        <f t="shared" si="0"/>
        <v>27100</v>
      </c>
      <c r="G10" s="17">
        <f>SUM(G5:G9)</f>
        <v>30900</v>
      </c>
      <c r="H10" s="16">
        <f>SUM(H5:H9)</f>
        <v>1200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65</v>
      </c>
      <c r="C16" s="31">
        <f>E10</f>
        <v>27000</v>
      </c>
      <c r="D16" s="13"/>
      <c r="E16" s="13"/>
      <c r="F16" s="13" t="s">
        <v>65</v>
      </c>
      <c r="G16" s="31">
        <f>G10</f>
        <v>30900</v>
      </c>
      <c r="H16" s="13"/>
      <c r="I16" s="13"/>
    </row>
    <row r="17" spans="1:9" x14ac:dyDescent="0.25">
      <c r="B17" s="13" t="s">
        <v>43</v>
      </c>
      <c r="C17" s="31">
        <v>5000</v>
      </c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'NOVEMBER 19'!E25</f>
        <v>534</v>
      </c>
      <c r="D18" s="13"/>
      <c r="E18" s="13"/>
      <c r="F18" s="13" t="s">
        <v>4</v>
      </c>
      <c r="G18" s="31">
        <f>'NOVEMBER 19'!I25</f>
        <v>434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74</v>
      </c>
      <c r="C21" s="32">
        <v>0.3</v>
      </c>
      <c r="D21" s="13">
        <f>C21*E8</f>
        <v>1500</v>
      </c>
      <c r="E21" s="13"/>
      <c r="F21" s="33" t="s">
        <v>74</v>
      </c>
      <c r="G21" s="32">
        <v>0.3</v>
      </c>
      <c r="H21" s="13">
        <f>G21*E8</f>
        <v>1500</v>
      </c>
      <c r="I21" s="13"/>
    </row>
    <row r="22" spans="1:9" x14ac:dyDescent="0.25">
      <c r="B22" s="33" t="s">
        <v>68</v>
      </c>
      <c r="C22" s="32"/>
      <c r="D22" s="13">
        <v>12097</v>
      </c>
      <c r="E22" s="13"/>
      <c r="F22" s="33" t="s">
        <v>68</v>
      </c>
      <c r="G22" s="32"/>
      <c r="H22" s="13">
        <v>12097</v>
      </c>
      <c r="I22" s="13"/>
    </row>
    <row r="23" spans="1:9" x14ac:dyDescent="0.25">
      <c r="B23" s="34" t="s">
        <v>69</v>
      </c>
      <c r="C23" s="13"/>
      <c r="D23" s="13">
        <v>6077</v>
      </c>
      <c r="E23" s="13"/>
      <c r="F23" s="34" t="s">
        <v>69</v>
      </c>
      <c r="G23" s="13"/>
      <c r="H23" s="13">
        <v>6077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29834</v>
      </c>
      <c r="D25" s="17">
        <f>SUM(D21:D24)</f>
        <v>19674</v>
      </c>
      <c r="E25" s="17">
        <f>C25-D25</f>
        <v>10160</v>
      </c>
      <c r="F25" s="37" t="s">
        <v>9</v>
      </c>
      <c r="G25" s="17">
        <f>G16+G18-H20</f>
        <v>28634</v>
      </c>
      <c r="H25" s="17">
        <f>SUM(H21:H24)</f>
        <v>19674</v>
      </c>
      <c r="I25" s="17">
        <f>G25-H25</f>
        <v>8960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  <pageSetup paperSize="12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35" sqref="I35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71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'DECEMBER 19'!H5:H10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'DECEMBER 19'!H6:H11</f>
        <v>1200</v>
      </c>
      <c r="E6" s="7">
        <v>5000</v>
      </c>
      <c r="F6" s="11">
        <f t="shared" si="0"/>
        <v>6200</v>
      </c>
      <c r="G6" s="12">
        <f>1000+500+500+500+500+500+200+200+200+200+300+200+200+200+200</f>
        <v>5400</v>
      </c>
      <c r="H6" s="11">
        <f>F6-G6</f>
        <v>800</v>
      </c>
    </row>
    <row r="7" spans="1:9" x14ac:dyDescent="0.25">
      <c r="A7" s="7">
        <v>3</v>
      </c>
      <c r="B7" s="7" t="s">
        <v>42</v>
      </c>
      <c r="C7" s="7"/>
      <c r="D7" s="11">
        <f>'DECEMBER 19'!H7:H12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/>
      <c r="D8" s="11">
        <f>'DECEMBER 19'!H8:H13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'DECEMBER 19'!H9:H14</f>
        <v>0</v>
      </c>
      <c r="E9" s="7">
        <v>7000</v>
      </c>
      <c r="F9" s="11">
        <f t="shared" si="0"/>
        <v>7000</v>
      </c>
      <c r="G9" s="12">
        <f>3000+4000</f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1200</v>
      </c>
      <c r="E10" s="9">
        <f>SUM(E5:E9)</f>
        <v>27000</v>
      </c>
      <c r="F10" s="11">
        <f t="shared" si="0"/>
        <v>28200</v>
      </c>
      <c r="G10" s="17">
        <f>SUM(G5:G9)</f>
        <v>27400</v>
      </c>
      <c r="H10" s="16">
        <f>SUM(H5:H9)</f>
        <v>800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70</v>
      </c>
      <c r="C16" s="31">
        <f>E10</f>
        <v>27000</v>
      </c>
      <c r="D16" s="13"/>
      <c r="E16" s="13"/>
      <c r="F16" s="13" t="s">
        <v>70</v>
      </c>
      <c r="G16" s="31">
        <f>G10</f>
        <v>27400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'DECEMBER 19'!E25</f>
        <v>10160</v>
      </c>
      <c r="D18" s="13"/>
      <c r="E18" s="13"/>
      <c r="F18" s="13" t="s">
        <v>4</v>
      </c>
      <c r="G18" s="31">
        <f>'DECEMBER 19'!I25</f>
        <v>8960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72</v>
      </c>
      <c r="C21" s="32"/>
      <c r="D21" s="13">
        <v>11097</v>
      </c>
      <c r="E21" s="13"/>
      <c r="F21" s="33" t="s">
        <v>72</v>
      </c>
      <c r="G21" s="32"/>
      <c r="H21" s="13">
        <v>11097</v>
      </c>
      <c r="I21" s="13"/>
    </row>
    <row r="22" spans="1:9" x14ac:dyDescent="0.25">
      <c r="B22" s="34" t="s">
        <v>73</v>
      </c>
      <c r="C22" s="13"/>
      <c r="D22" s="13">
        <v>15097</v>
      </c>
      <c r="E22" s="13"/>
      <c r="F22" s="34" t="s">
        <v>73</v>
      </c>
      <c r="G22" s="13"/>
      <c r="H22" s="13">
        <v>15097</v>
      </c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34460</v>
      </c>
      <c r="D25" s="17">
        <f>SUM(D21:D24)</f>
        <v>26194</v>
      </c>
      <c r="E25" s="17">
        <f>C25-D25</f>
        <v>8266</v>
      </c>
      <c r="F25" s="37" t="s">
        <v>9</v>
      </c>
      <c r="G25" s="17">
        <f>G16+G18-H20</f>
        <v>33660</v>
      </c>
      <c r="H25" s="17">
        <f>SUM(H21:H24)</f>
        <v>26194</v>
      </c>
      <c r="I25" s="17">
        <f>G25-H25</f>
        <v>7466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33" sqref="D33"/>
    </sheetView>
  </sheetViews>
  <sheetFormatPr defaultRowHeight="15" x14ac:dyDescent="0.25"/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75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'JANUARY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'JANUARY 20'!H6:H10</f>
        <v>800</v>
      </c>
      <c r="E6" s="7">
        <v>5000</v>
      </c>
      <c r="F6" s="11">
        <f t="shared" si="0"/>
        <v>5800</v>
      </c>
      <c r="G6" s="12">
        <f>2000+500+200+200+200+200+200+200+100</f>
        <v>3800</v>
      </c>
      <c r="H6" s="11">
        <f>F6-G6</f>
        <v>2000</v>
      </c>
    </row>
    <row r="7" spans="1:9" x14ac:dyDescent="0.25">
      <c r="A7" s="7">
        <v>3</v>
      </c>
      <c r="B7" s="7" t="s">
        <v>42</v>
      </c>
      <c r="C7" s="7"/>
      <c r="D7" s="11">
        <f>'JANUARY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41" t="s">
        <v>67</v>
      </c>
      <c r="C8" s="7"/>
      <c r="D8" s="11">
        <f>'JANUARY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'JANUARY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800</v>
      </c>
      <c r="E10" s="9">
        <f>SUM(E5:E9)</f>
        <v>27000</v>
      </c>
      <c r="F10" s="11">
        <f t="shared" si="0"/>
        <v>27800</v>
      </c>
      <c r="G10" s="17">
        <f>SUM(G5:G9)</f>
        <v>25800</v>
      </c>
      <c r="H10" s="16">
        <f>SUM(H5:H9)</f>
        <v>2000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76</v>
      </c>
      <c r="C16" s="31">
        <f>E10</f>
        <v>27000</v>
      </c>
      <c r="D16" s="13"/>
      <c r="E16" s="13"/>
      <c r="F16" s="13" t="s">
        <v>76</v>
      </c>
      <c r="G16" s="31">
        <f>G10</f>
        <v>25800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'JANUARY 20'!E25</f>
        <v>8266</v>
      </c>
      <c r="D18" s="13"/>
      <c r="E18" s="13"/>
      <c r="F18" s="13" t="s">
        <v>4</v>
      </c>
      <c r="G18" s="31">
        <f>'JANUARY 20'!I25</f>
        <v>7466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77</v>
      </c>
      <c r="C21" s="32"/>
      <c r="D21" s="13">
        <v>15097</v>
      </c>
      <c r="E21" s="13"/>
      <c r="F21" s="33" t="s">
        <v>77</v>
      </c>
      <c r="G21" s="32"/>
      <c r="H21" s="13">
        <v>15097</v>
      </c>
      <c r="I21" s="13"/>
    </row>
    <row r="22" spans="1:9" x14ac:dyDescent="0.25">
      <c r="B22" s="34"/>
      <c r="C22" s="13"/>
      <c r="D22" s="13"/>
      <c r="E22" s="13"/>
      <c r="F22" s="34"/>
      <c r="G22" s="13"/>
      <c r="H22" s="13"/>
      <c r="I22" s="13"/>
    </row>
    <row r="23" spans="1:9" x14ac:dyDescent="0.25">
      <c r="B23" s="33"/>
      <c r="C23" s="13"/>
      <c r="D23" s="13"/>
      <c r="E23" s="13"/>
      <c r="F23" s="33"/>
      <c r="G23" s="13"/>
      <c r="H23" s="13"/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32566</v>
      </c>
      <c r="D25" s="17">
        <f>SUM(D21:D24)</f>
        <v>15097</v>
      </c>
      <c r="E25" s="17">
        <f>C25-D25</f>
        <v>17469</v>
      </c>
      <c r="F25" s="37" t="s">
        <v>9</v>
      </c>
      <c r="G25" s="17">
        <f>G16+G18-H20</f>
        <v>30566</v>
      </c>
      <c r="H25" s="17">
        <f>SUM(H21:H24)</f>
        <v>15097</v>
      </c>
      <c r="I25" s="17">
        <f>G25-H25</f>
        <v>15469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  <row r="32" spans="1:9" x14ac:dyDescent="0.25">
      <c r="D32" s="40">
        <f>E25-15097</f>
        <v>2372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M13" sqref="M13"/>
    </sheetView>
  </sheetViews>
  <sheetFormatPr defaultRowHeight="15" x14ac:dyDescent="0.25"/>
  <cols>
    <col min="2" max="2" width="17.5703125" customWidth="1"/>
  </cols>
  <sheetData>
    <row r="1" spans="1:9" x14ac:dyDescent="0.25">
      <c r="A1" s="1"/>
      <c r="F1" s="5"/>
      <c r="G1" s="1"/>
    </row>
    <row r="2" spans="1:9" ht="15.75" x14ac:dyDescent="0.25">
      <c r="A2" s="1"/>
      <c r="B2" s="2"/>
      <c r="C2" s="2"/>
      <c r="D2" s="3" t="s">
        <v>0</v>
      </c>
      <c r="F2" s="3" t="s">
        <v>25</v>
      </c>
      <c r="G2" s="1"/>
    </row>
    <row r="3" spans="1:9" ht="15.75" x14ac:dyDescent="0.25">
      <c r="A3" s="1"/>
      <c r="B3" s="2" t="s">
        <v>1</v>
      </c>
      <c r="C3" s="2"/>
      <c r="D3" s="3" t="s">
        <v>79</v>
      </c>
      <c r="E3" s="2"/>
      <c r="F3" s="5"/>
      <c r="G3" s="1"/>
    </row>
    <row r="4" spans="1:9" x14ac:dyDescent="0.25">
      <c r="A4" s="7"/>
      <c r="B4" s="8" t="s">
        <v>3</v>
      </c>
      <c r="C4" s="8" t="s">
        <v>43</v>
      </c>
      <c r="D4" s="8" t="s">
        <v>4</v>
      </c>
      <c r="E4" s="8" t="s">
        <v>5</v>
      </c>
      <c r="F4" s="9" t="s">
        <v>6</v>
      </c>
      <c r="G4" s="8" t="s">
        <v>7</v>
      </c>
      <c r="H4" s="10" t="s">
        <v>8</v>
      </c>
    </row>
    <row r="5" spans="1:9" x14ac:dyDescent="0.25">
      <c r="A5" s="7">
        <v>1</v>
      </c>
      <c r="B5" s="7" t="s">
        <v>33</v>
      </c>
      <c r="C5" s="7"/>
      <c r="D5" s="11">
        <f>'FEBRUARY 20'!H5:H9</f>
        <v>0</v>
      </c>
      <c r="E5" s="7">
        <v>5000</v>
      </c>
      <c r="F5" s="11">
        <f t="shared" ref="F5:F10" si="0">C5+D5+E5</f>
        <v>5000</v>
      </c>
      <c r="G5" s="12">
        <v>5000</v>
      </c>
      <c r="H5" s="11">
        <f>F5-G5</f>
        <v>0</v>
      </c>
    </row>
    <row r="6" spans="1:9" x14ac:dyDescent="0.25">
      <c r="A6" s="7">
        <v>2</v>
      </c>
      <c r="B6" s="13" t="s">
        <v>63</v>
      </c>
      <c r="C6" s="13"/>
      <c r="D6" s="11">
        <f>'FEBRUARY 20'!H6:H10</f>
        <v>2000</v>
      </c>
      <c r="E6" s="7">
        <v>5000</v>
      </c>
      <c r="F6" s="11">
        <f t="shared" si="0"/>
        <v>7000</v>
      </c>
      <c r="G6" s="12">
        <f>3700+100+100+200+100+100+500+200</f>
        <v>5000</v>
      </c>
      <c r="H6" s="11">
        <f>F6-G6</f>
        <v>2000</v>
      </c>
    </row>
    <row r="7" spans="1:9" x14ac:dyDescent="0.25">
      <c r="A7" s="7">
        <v>3</v>
      </c>
      <c r="B7" s="7" t="s">
        <v>42</v>
      </c>
      <c r="C7" s="7"/>
      <c r="D7" s="11">
        <f>'FEBRUARY 20'!H7:H11</f>
        <v>0</v>
      </c>
      <c r="E7" s="7">
        <v>5000</v>
      </c>
      <c r="F7" s="11">
        <f t="shared" si="0"/>
        <v>5000</v>
      </c>
      <c r="G7" s="12">
        <v>5000</v>
      </c>
      <c r="H7" s="11">
        <f>F7-G7</f>
        <v>0</v>
      </c>
    </row>
    <row r="8" spans="1:9" x14ac:dyDescent="0.25">
      <c r="A8" s="7">
        <v>4</v>
      </c>
      <c r="B8" s="13" t="s">
        <v>81</v>
      </c>
      <c r="C8" s="7"/>
      <c r="D8" s="11">
        <f>'FEBRUARY 20'!H8:H12</f>
        <v>0</v>
      </c>
      <c r="E8" s="7">
        <v>5000</v>
      </c>
      <c r="F8" s="11">
        <f t="shared" si="0"/>
        <v>5000</v>
      </c>
      <c r="G8" s="12">
        <v>5000</v>
      </c>
      <c r="H8" s="11">
        <f>F8-G8</f>
        <v>0</v>
      </c>
    </row>
    <row r="9" spans="1:9" x14ac:dyDescent="0.25">
      <c r="A9" s="7">
        <v>5</v>
      </c>
      <c r="B9" s="14" t="s">
        <v>28</v>
      </c>
      <c r="C9" s="14"/>
      <c r="D9" s="11">
        <f>'FEBRUARY 20'!H9:H13</f>
        <v>0</v>
      </c>
      <c r="E9" s="7">
        <v>7000</v>
      </c>
      <c r="F9" s="11">
        <f t="shared" si="0"/>
        <v>7000</v>
      </c>
      <c r="G9" s="12">
        <v>7000</v>
      </c>
      <c r="H9" s="11">
        <f>F9-G9</f>
        <v>0</v>
      </c>
    </row>
    <row r="10" spans="1:9" x14ac:dyDescent="0.25">
      <c r="A10" s="7"/>
      <c r="B10" s="15" t="s">
        <v>9</v>
      </c>
      <c r="C10" s="15"/>
      <c r="D10" s="11">
        <f>SUM(D5:D9)</f>
        <v>2000</v>
      </c>
      <c r="E10" s="9">
        <f>SUM(E5:E9)</f>
        <v>27000</v>
      </c>
      <c r="F10" s="11">
        <f t="shared" si="0"/>
        <v>29000</v>
      </c>
      <c r="G10" s="17">
        <f>SUM(G5:G9)</f>
        <v>27000</v>
      </c>
      <c r="H10" s="16">
        <f>SUM(H5:H9)</f>
        <v>2000</v>
      </c>
    </row>
    <row r="11" spans="1:9" x14ac:dyDescent="0.25">
      <c r="A11" s="7"/>
      <c r="B11" s="18"/>
      <c r="C11" s="18"/>
      <c r="D11" s="18"/>
      <c r="E11" s="7"/>
      <c r="F11" s="19"/>
      <c r="G11" s="20"/>
      <c r="H11" s="19"/>
    </row>
    <row r="12" spans="1:9" x14ac:dyDescent="0.25">
      <c r="A12" s="21"/>
      <c r="B12" s="22"/>
      <c r="C12" s="22"/>
      <c r="D12" s="22"/>
      <c r="E12" s="21"/>
      <c r="F12" s="23"/>
      <c r="G12" s="24"/>
      <c r="H12" s="23"/>
    </row>
    <row r="13" spans="1:9" ht="15.75" x14ac:dyDescent="0.25">
      <c r="B13" s="36" t="s">
        <v>10</v>
      </c>
      <c r="C13" s="36"/>
      <c r="D13" s="28"/>
      <c r="E13" s="28"/>
      <c r="F13" s="28"/>
      <c r="G13" s="28"/>
      <c r="H13" s="28"/>
      <c r="I13" s="28"/>
    </row>
    <row r="14" spans="1:9" x14ac:dyDescent="0.25">
      <c r="A14" s="25"/>
      <c r="B14" s="29" t="s">
        <v>11</v>
      </c>
      <c r="C14" s="29"/>
      <c r="D14" s="29"/>
      <c r="E14" s="29"/>
      <c r="F14" s="29"/>
      <c r="G14" s="29" t="s">
        <v>12</v>
      </c>
      <c r="H14" s="29"/>
      <c r="I14" s="29"/>
    </row>
    <row r="15" spans="1:9" ht="15.75" x14ac:dyDescent="0.25">
      <c r="B15" s="30" t="s">
        <v>13</v>
      </c>
      <c r="C15" s="30" t="s">
        <v>14</v>
      </c>
      <c r="D15" s="30" t="s">
        <v>15</v>
      </c>
      <c r="E15" s="30" t="s">
        <v>16</v>
      </c>
      <c r="F15" s="30" t="s">
        <v>13</v>
      </c>
      <c r="G15" s="30" t="s">
        <v>14</v>
      </c>
      <c r="H15" s="30" t="s">
        <v>15</v>
      </c>
      <c r="I15" s="30" t="s">
        <v>16</v>
      </c>
    </row>
    <row r="16" spans="1:9" x14ac:dyDescent="0.25">
      <c r="B16" s="13" t="s">
        <v>78</v>
      </c>
      <c r="C16" s="31">
        <f>E10</f>
        <v>27000</v>
      </c>
      <c r="D16" s="13"/>
      <c r="E16" s="13"/>
      <c r="F16" s="13" t="s">
        <v>78</v>
      </c>
      <c r="G16" s="31">
        <f>G10</f>
        <v>27000</v>
      </c>
      <c r="H16" s="13"/>
      <c r="I16" s="13"/>
    </row>
    <row r="17" spans="1:9" x14ac:dyDescent="0.25">
      <c r="B17" s="13" t="s">
        <v>43</v>
      </c>
      <c r="C17" s="31"/>
      <c r="D17" s="13"/>
      <c r="E17" s="13"/>
      <c r="F17" s="13"/>
      <c r="G17" s="31"/>
      <c r="H17" s="13"/>
      <c r="I17" s="13"/>
    </row>
    <row r="18" spans="1:9" x14ac:dyDescent="0.25">
      <c r="B18" s="13" t="s">
        <v>4</v>
      </c>
      <c r="C18" s="31">
        <f>'FEBRUARY 20'!E25</f>
        <v>17469</v>
      </c>
      <c r="D18" s="13"/>
      <c r="E18" s="13"/>
      <c r="F18" s="13" t="s">
        <v>4</v>
      </c>
      <c r="G18" s="31">
        <f>'FEBRUARY 20'!I25</f>
        <v>15469</v>
      </c>
      <c r="H18" s="13"/>
      <c r="I18" s="13"/>
    </row>
    <row r="19" spans="1:9" x14ac:dyDescent="0.25">
      <c r="B19" s="37" t="s">
        <v>29</v>
      </c>
      <c r="C19" s="13"/>
      <c r="D19" s="13"/>
      <c r="E19" s="13"/>
      <c r="F19" s="37" t="s">
        <v>29</v>
      </c>
      <c r="G19" s="13"/>
      <c r="H19" s="13"/>
      <c r="I19" s="13"/>
    </row>
    <row r="20" spans="1:9" x14ac:dyDescent="0.25">
      <c r="B20" s="13" t="s">
        <v>18</v>
      </c>
      <c r="C20" s="32">
        <v>0.1</v>
      </c>
      <c r="D20" s="13">
        <f>C20*C16</f>
        <v>2700</v>
      </c>
      <c r="E20" s="28"/>
      <c r="F20" s="13" t="s">
        <v>18</v>
      </c>
      <c r="G20" s="32">
        <v>0.1</v>
      </c>
      <c r="H20" s="13">
        <f>D20</f>
        <v>2700</v>
      </c>
      <c r="I20" s="13"/>
    </row>
    <row r="21" spans="1:9" x14ac:dyDescent="0.25">
      <c r="B21" s="33" t="s">
        <v>80</v>
      </c>
      <c r="C21" s="32"/>
      <c r="D21" s="13">
        <v>15000</v>
      </c>
      <c r="E21" s="13"/>
      <c r="F21" s="33" t="s">
        <v>80</v>
      </c>
      <c r="G21" s="32"/>
      <c r="H21" s="13">
        <v>15000</v>
      </c>
      <c r="I21" s="13"/>
    </row>
    <row r="22" spans="1:9" x14ac:dyDescent="0.25">
      <c r="B22" s="34" t="s">
        <v>82</v>
      </c>
      <c r="C22" s="13"/>
      <c r="D22" s="13">
        <v>18000</v>
      </c>
      <c r="E22" s="13"/>
      <c r="F22" s="34" t="s">
        <v>82</v>
      </c>
      <c r="G22" s="13"/>
      <c r="H22" s="13">
        <v>18000</v>
      </c>
      <c r="I22" s="13"/>
    </row>
    <row r="23" spans="1:9" x14ac:dyDescent="0.25">
      <c r="B23" s="33" t="s">
        <v>85</v>
      </c>
      <c r="C23" s="13"/>
      <c r="D23" s="13">
        <v>6000</v>
      </c>
      <c r="E23" s="13"/>
      <c r="F23" s="33" t="s">
        <v>85</v>
      </c>
      <c r="G23" s="13"/>
      <c r="H23" s="13">
        <v>6000</v>
      </c>
      <c r="I23" s="13"/>
    </row>
    <row r="24" spans="1:9" x14ac:dyDescent="0.25">
      <c r="B24" s="35"/>
      <c r="C24" s="13"/>
      <c r="D24" s="13"/>
      <c r="E24" s="13"/>
      <c r="F24" s="35"/>
      <c r="G24" s="13"/>
      <c r="H24" s="13"/>
      <c r="I24" s="13"/>
    </row>
    <row r="25" spans="1:9" x14ac:dyDescent="0.25">
      <c r="A25" s="26"/>
      <c r="B25" s="37" t="s">
        <v>9</v>
      </c>
      <c r="C25" s="17">
        <f>C16+C18+C17-D20</f>
        <v>41769</v>
      </c>
      <c r="D25" s="17">
        <f>SUM(D21:D24)</f>
        <v>39000</v>
      </c>
      <c r="E25" s="17">
        <f>C25-D25</f>
        <v>2769</v>
      </c>
      <c r="F25" s="37" t="s">
        <v>9</v>
      </c>
      <c r="G25" s="17">
        <f>G16+G18-H20</f>
        <v>39769</v>
      </c>
      <c r="H25" s="17">
        <f>SUM(H21:H24)</f>
        <v>39000</v>
      </c>
      <c r="I25" s="17">
        <f>G25-H25</f>
        <v>769</v>
      </c>
    </row>
    <row r="26" spans="1:9" x14ac:dyDescent="0.25">
      <c r="A26" s="26"/>
      <c r="B26" s="1"/>
      <c r="C26" s="1"/>
      <c r="D26" s="1"/>
      <c r="E26" s="1"/>
    </row>
    <row r="27" spans="1:9" x14ac:dyDescent="0.25">
      <c r="B27" s="1" t="s">
        <v>19</v>
      </c>
      <c r="C27" s="1"/>
      <c r="E27" s="27" t="s">
        <v>20</v>
      </c>
      <c r="G27" s="1" t="s">
        <v>21</v>
      </c>
    </row>
    <row r="28" spans="1:9" x14ac:dyDescent="0.25">
      <c r="E28" s="1"/>
    </row>
    <row r="29" spans="1:9" x14ac:dyDescent="0.25">
      <c r="B29" s="1" t="s">
        <v>41</v>
      </c>
      <c r="C29" s="1"/>
      <c r="D29" s="1"/>
      <c r="E29" s="1" t="s">
        <v>23</v>
      </c>
      <c r="G29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Sheet1</vt:lpstr>
      <vt:lpstr>AUGUST19</vt:lpstr>
      <vt:lpstr>SEPT 19</vt:lpstr>
      <vt:lpstr>OCTOBER19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2021-12-01T12:01:51Z</dcterms:modified>
</cp:coreProperties>
</file>