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18195" windowHeight="10830" firstSheet="17" activeTab="23"/>
  </bookViews>
  <sheets>
    <sheet name="JANUARY 20" sheetId="1" r:id="rId1"/>
    <sheet name="FEBRUARY" sheetId="2" r:id="rId2"/>
    <sheet name="MARCH 20" sheetId="3" r:id="rId3"/>
    <sheet name="APRIL 20" sheetId="4" r:id="rId4"/>
    <sheet name="MAY 20" sheetId="5" r:id="rId5"/>
    <sheet name="JUNE 20" sheetId="6" r:id="rId6"/>
    <sheet name="JULY 20" sheetId="7" r:id="rId7"/>
    <sheet name="AUGUST 20" sheetId="8" r:id="rId8"/>
    <sheet name="SEPTEMBER20" sheetId="9" r:id="rId9"/>
    <sheet name="OCTOBER20" sheetId="10" r:id="rId10"/>
    <sheet name="NOVEMBER20" sheetId="11" r:id="rId11"/>
    <sheet name="DECEMBER 20" sheetId="12" r:id="rId12"/>
    <sheet name="JANUARY 21" sheetId="13" r:id="rId13"/>
    <sheet name="FEBRUARY 21" sheetId="14" r:id="rId14"/>
    <sheet name="MARCH 21" sheetId="15" r:id="rId15"/>
    <sheet name="APRIL21" sheetId="16" r:id="rId16"/>
    <sheet name="MAY 21" sheetId="17" r:id="rId17"/>
    <sheet name="JUNE 21" sheetId="18" r:id="rId18"/>
    <sheet name="JULY 21" sheetId="19" r:id="rId19"/>
    <sheet name="AUGUST 21" sheetId="20" r:id="rId20"/>
    <sheet name="SEPTEMBER 21" sheetId="21" r:id="rId21"/>
    <sheet name="OCTOBER 21" sheetId="22" r:id="rId22"/>
    <sheet name="NOVEMBER 21" sheetId="23" r:id="rId23"/>
    <sheet name="DECEMBER 21" sheetId="24" r:id="rId24"/>
  </sheets>
  <externalReferences>
    <externalReference r:id="rId25"/>
  </externalReferences>
  <calcPr calcId="144525"/>
</workbook>
</file>

<file path=xl/calcChain.xml><?xml version="1.0" encoding="utf-8"?>
<calcChain xmlns="http://schemas.openxmlformats.org/spreadsheetml/2006/main">
  <c r="S17" i="24" l="1"/>
  <c r="O34" i="16"/>
  <c r="G33" i="23" l="1"/>
  <c r="G32" i="23"/>
  <c r="G19" i="23"/>
  <c r="G28" i="23" l="1"/>
  <c r="G22" i="21" l="1"/>
  <c r="G14" i="23" l="1"/>
  <c r="G55" i="24" l="1"/>
  <c r="C55" i="24"/>
  <c r="D38" i="24"/>
  <c r="D37" i="24"/>
  <c r="D36" i="24"/>
  <c r="D35" i="24"/>
  <c r="E34" i="24"/>
  <c r="L13" i="24" s="1"/>
  <c r="C34" i="24"/>
  <c r="G34" i="24"/>
  <c r="L26" i="24"/>
  <c r="G16" i="24"/>
  <c r="E16" i="24"/>
  <c r="L12" i="24" s="1"/>
  <c r="C16" i="24"/>
  <c r="F37" i="24" l="1"/>
  <c r="L14" i="24"/>
  <c r="B37" i="24"/>
  <c r="B40" i="24"/>
  <c r="C48" i="23"/>
  <c r="C38" i="24" l="1"/>
  <c r="G38" i="24" l="1"/>
  <c r="L15" i="24"/>
  <c r="L16" i="24" s="1"/>
  <c r="L18" i="24" s="1"/>
  <c r="L20" i="24" s="1"/>
  <c r="L22" i="24" s="1"/>
  <c r="G25" i="23" l="1"/>
  <c r="G47" i="22" l="1"/>
  <c r="C47" i="22"/>
  <c r="G33" i="22"/>
  <c r="G55" i="23" l="1"/>
  <c r="C55" i="23"/>
  <c r="D38" i="23"/>
  <c r="D37" i="23"/>
  <c r="D36" i="23"/>
  <c r="D35" i="23"/>
  <c r="G34" i="23" l="1"/>
  <c r="E34" i="23"/>
  <c r="L13" i="23" s="1"/>
  <c r="C34" i="23"/>
  <c r="B40" i="23" s="1"/>
  <c r="L26" i="23"/>
  <c r="E16" i="23"/>
  <c r="L12" i="23" s="1"/>
  <c r="C16" i="23"/>
  <c r="G16" i="23"/>
  <c r="L14" i="23" l="1"/>
  <c r="F37" i="23"/>
  <c r="B37" i="23"/>
  <c r="G10" i="22"/>
  <c r="C38" i="23" l="1"/>
  <c r="G38" i="23" l="1"/>
  <c r="L15" i="23"/>
  <c r="L16" i="23" l="1"/>
  <c r="L18" i="23" s="1"/>
  <c r="L20" i="23" s="1"/>
  <c r="L22" i="23" s="1"/>
  <c r="G32" i="22"/>
  <c r="G28" i="21" l="1"/>
  <c r="G32" i="21"/>
  <c r="D15" i="22" l="1"/>
  <c r="F15" i="22" s="1"/>
  <c r="H15" i="22" s="1"/>
  <c r="D15" i="23" s="1"/>
  <c r="F15" i="23" s="1"/>
  <c r="H15" i="23" s="1"/>
  <c r="D15" i="24" s="1"/>
  <c r="F15" i="24" s="1"/>
  <c r="H15" i="24" s="1"/>
  <c r="G55" i="22"/>
  <c r="C55" i="22"/>
  <c r="D38" i="22"/>
  <c r="D37" i="22"/>
  <c r="D36" i="22"/>
  <c r="D35" i="22"/>
  <c r="E34" i="22"/>
  <c r="L13" i="22" s="1"/>
  <c r="C34" i="22"/>
  <c r="B40" i="22" s="1"/>
  <c r="L26" i="22"/>
  <c r="O22" i="22"/>
  <c r="G34" i="22"/>
  <c r="E16" i="22"/>
  <c r="L12" i="22" s="1"/>
  <c r="C16" i="22"/>
  <c r="G16" i="22"/>
  <c r="L14" i="22" l="1"/>
  <c r="B37" i="22"/>
  <c r="C38" i="22" s="1"/>
  <c r="F37" i="22"/>
  <c r="G55" i="21"/>
  <c r="L15" i="22" l="1"/>
  <c r="L16" i="22" s="1"/>
  <c r="L18" i="22" s="1"/>
  <c r="L20" i="22" s="1"/>
  <c r="G38" i="22"/>
  <c r="G30" i="21" l="1"/>
  <c r="O22" i="21" l="1"/>
  <c r="Q34" i="20"/>
  <c r="O31" i="20"/>
  <c r="O30" i="20"/>
  <c r="G29" i="21" l="1"/>
  <c r="G25" i="21" l="1"/>
  <c r="G10" i="21" l="1"/>
  <c r="G24" i="21" l="1"/>
  <c r="G19" i="21" l="1"/>
  <c r="D18" i="21" l="1"/>
  <c r="D15" i="21"/>
  <c r="F15" i="21" s="1"/>
  <c r="C55" i="21"/>
  <c r="D38" i="21"/>
  <c r="D37" i="21"/>
  <c r="D36" i="21"/>
  <c r="D35" i="21"/>
  <c r="G34" i="21"/>
  <c r="E34" i="21"/>
  <c r="C34" i="21"/>
  <c r="B40" i="21" s="1"/>
  <c r="F18" i="21"/>
  <c r="H18" i="21" s="1"/>
  <c r="D18" i="22" s="1"/>
  <c r="F18" i="22" s="1"/>
  <c r="H18" i="22" s="1"/>
  <c r="D18" i="23" s="1"/>
  <c r="F18" i="23" s="1"/>
  <c r="H18" i="23" s="1"/>
  <c r="D18" i="24" s="1"/>
  <c r="F18" i="24" s="1"/>
  <c r="H18" i="24" s="1"/>
  <c r="G16" i="21"/>
  <c r="E16" i="21"/>
  <c r="L12" i="21" s="1"/>
  <c r="C16" i="21"/>
  <c r="B37" i="21" l="1"/>
  <c r="L13" i="21"/>
  <c r="L14" i="21" s="1"/>
  <c r="C38" i="21"/>
  <c r="L15" i="21" s="1"/>
  <c r="F37" i="21"/>
  <c r="G38" i="21"/>
  <c r="G28" i="20"/>
  <c r="G32" i="20"/>
  <c r="G25" i="20"/>
  <c r="G21" i="20"/>
  <c r="L16" i="21" l="1"/>
  <c r="G26" i="20"/>
  <c r="L26" i="21" l="1"/>
  <c r="L18" i="21"/>
  <c r="L20" i="21" s="1"/>
  <c r="Q18" i="20"/>
  <c r="O18" i="20"/>
  <c r="G31" i="20" l="1"/>
  <c r="G29" i="20" l="1"/>
  <c r="G24" i="20" l="1"/>
  <c r="G30" i="20" l="1"/>
  <c r="G19" i="20" l="1"/>
  <c r="G55" i="20" l="1"/>
  <c r="C55" i="20"/>
  <c r="D38" i="20"/>
  <c r="D37" i="20"/>
  <c r="D36" i="20"/>
  <c r="D35" i="20"/>
  <c r="E34" i="20"/>
  <c r="C34" i="20"/>
  <c r="B40" i="20" s="1"/>
  <c r="G34" i="20"/>
  <c r="G16" i="20"/>
  <c r="E16" i="20"/>
  <c r="L12" i="20" s="1"/>
  <c r="C16" i="20"/>
  <c r="L13" i="20"/>
  <c r="O26" i="20" s="1"/>
  <c r="O25" i="20" l="1"/>
  <c r="O27" i="20" s="1"/>
  <c r="L14" i="20"/>
  <c r="F37" i="20"/>
  <c r="B37" i="20"/>
  <c r="C38" i="20" s="1"/>
  <c r="O28" i="20" s="1"/>
  <c r="G28" i="19"/>
  <c r="G25" i="19"/>
  <c r="G32" i="19"/>
  <c r="G31" i="19"/>
  <c r="G22" i="19"/>
  <c r="O29" i="20" l="1"/>
  <c r="O32" i="20" s="1"/>
  <c r="O34" i="20" s="1"/>
  <c r="Q35" i="20" s="1"/>
  <c r="Q36" i="20" s="1"/>
  <c r="G38" i="20"/>
  <c r="L15" i="20"/>
  <c r="L16" i="20" s="1"/>
  <c r="G7" i="18"/>
  <c r="L18" i="20" l="1"/>
  <c r="L21" i="20" s="1"/>
  <c r="L24" i="20" s="1"/>
  <c r="L26" i="20" s="1"/>
  <c r="G26" i="19"/>
  <c r="G24" i="19" l="1"/>
  <c r="C52" i="18" l="1"/>
  <c r="G55" i="19"/>
  <c r="C55" i="19"/>
  <c r="D38" i="19"/>
  <c r="D37" i="19"/>
  <c r="D36" i="19"/>
  <c r="D35" i="19"/>
  <c r="E34" i="19"/>
  <c r="L13" i="19" s="1"/>
  <c r="C34" i="19"/>
  <c r="B40" i="19" s="1"/>
  <c r="F21" i="19"/>
  <c r="H21" i="19" s="1"/>
  <c r="D21" i="20" s="1"/>
  <c r="F21" i="20" s="1"/>
  <c r="H21" i="20" s="1"/>
  <c r="D21" i="21" s="1"/>
  <c r="F21" i="21" s="1"/>
  <c r="H21" i="21" s="1"/>
  <c r="D21" i="22" s="1"/>
  <c r="F21" i="22" s="1"/>
  <c r="H21" i="22" s="1"/>
  <c r="D21" i="23" s="1"/>
  <c r="G34" i="19"/>
  <c r="G16" i="19"/>
  <c r="E16" i="19"/>
  <c r="L12" i="19" s="1"/>
  <c r="C16" i="19"/>
  <c r="F12" i="19"/>
  <c r="H12" i="19" s="1"/>
  <c r="D12" i="20" s="1"/>
  <c r="F12" i="20" s="1"/>
  <c r="H12" i="20" s="1"/>
  <c r="D12" i="21" s="1"/>
  <c r="F12" i="21" s="1"/>
  <c r="H12" i="21" s="1"/>
  <c r="D12" i="22" s="1"/>
  <c r="F12" i="22" s="1"/>
  <c r="H12" i="22" s="1"/>
  <c r="D12" i="23" s="1"/>
  <c r="F12" i="23" s="1"/>
  <c r="H12" i="23" s="1"/>
  <c r="D12" i="24" s="1"/>
  <c r="F12" i="24" s="1"/>
  <c r="H12" i="24" s="1"/>
  <c r="F11" i="19"/>
  <c r="H11" i="19" s="1"/>
  <c r="D11" i="20" s="1"/>
  <c r="F11" i="20" s="1"/>
  <c r="H11" i="20" s="1"/>
  <c r="D11" i="21" s="1"/>
  <c r="F11" i="21" s="1"/>
  <c r="H11" i="21" s="1"/>
  <c r="F11" i="22" s="1"/>
  <c r="H11" i="22" s="1"/>
  <c r="D11" i="23" s="1"/>
  <c r="F11" i="23" s="1"/>
  <c r="H11" i="23" s="1"/>
  <c r="D11" i="24" s="1"/>
  <c r="F11" i="24" s="1"/>
  <c r="H11" i="24" s="1"/>
  <c r="F7" i="19"/>
  <c r="H7" i="19" s="1"/>
  <c r="D7" i="20" s="1"/>
  <c r="F7" i="20" s="1"/>
  <c r="H7" i="20" s="1"/>
  <c r="D7" i="21" s="1"/>
  <c r="F7" i="21" s="1"/>
  <c r="H7" i="21" s="1"/>
  <c r="D7" i="22" s="1"/>
  <c r="F7" i="22" s="1"/>
  <c r="H7" i="22" s="1"/>
  <c r="F7" i="23" s="1"/>
  <c r="H7" i="23" s="1"/>
  <c r="D7" i="24" s="1"/>
  <c r="F7" i="24" s="1"/>
  <c r="H7" i="24" s="1"/>
  <c r="L14" i="19" l="1"/>
  <c r="F21" i="23"/>
  <c r="H21" i="23" s="1"/>
  <c r="D21" i="24" s="1"/>
  <c r="F21" i="24" s="1"/>
  <c r="H21" i="24" s="1"/>
  <c r="B37" i="19"/>
  <c r="C38" i="19" s="1"/>
  <c r="F37" i="19"/>
  <c r="G25" i="18"/>
  <c r="G38" i="19" l="1"/>
  <c r="L15" i="19"/>
  <c r="L16" i="19" s="1"/>
  <c r="L18" i="19" s="1"/>
  <c r="G12" i="18"/>
  <c r="K21" i="18" l="1"/>
  <c r="O37" i="17"/>
  <c r="O36" i="17"/>
  <c r="O34" i="17"/>
  <c r="K19" i="18" l="1"/>
  <c r="L15" i="17" l="1"/>
  <c r="G11" i="18" l="1"/>
  <c r="G24" i="18" l="1"/>
  <c r="G27" i="18" l="1"/>
  <c r="G26" i="18" l="1"/>
  <c r="G19" i="18" l="1"/>
  <c r="G33" i="18" l="1"/>
  <c r="G6" i="18" l="1"/>
  <c r="G31" i="18" l="1"/>
  <c r="G28" i="18" l="1"/>
  <c r="G9" i="16" l="1"/>
  <c r="G7" i="17"/>
  <c r="G25" i="17"/>
  <c r="G32" i="17"/>
  <c r="G55" i="18" l="1"/>
  <c r="C55" i="18"/>
  <c r="D38" i="18"/>
  <c r="D37" i="18"/>
  <c r="D36" i="18"/>
  <c r="D35" i="18"/>
  <c r="E34" i="18"/>
  <c r="K15" i="18" s="1"/>
  <c r="C34" i="18"/>
  <c r="B40" i="18" s="1"/>
  <c r="G34" i="18"/>
  <c r="E16" i="18"/>
  <c r="K14" i="18" s="1"/>
  <c r="C16" i="18"/>
  <c r="F9" i="18"/>
  <c r="H9" i="18" s="1"/>
  <c r="D9" i="19" s="1"/>
  <c r="F9" i="19" s="1"/>
  <c r="H9" i="19" s="1"/>
  <c r="D9" i="20" s="1"/>
  <c r="F9" i="20" s="1"/>
  <c r="H9" i="20" s="1"/>
  <c r="D9" i="21" s="1"/>
  <c r="F9" i="21" s="1"/>
  <c r="H9" i="21" s="1"/>
  <c r="G16" i="18"/>
  <c r="D9" i="22" l="1"/>
  <c r="F9" i="22" s="1"/>
  <c r="H9" i="22" s="1"/>
  <c r="D9" i="23" s="1"/>
  <c r="F9" i="23" s="1"/>
  <c r="K16" i="18"/>
  <c r="B37" i="18"/>
  <c r="C38" i="18" s="1"/>
  <c r="F37" i="18"/>
  <c r="H9" i="23" l="1"/>
  <c r="D9" i="24" s="1"/>
  <c r="F9" i="24" s="1"/>
  <c r="H9" i="24" s="1"/>
  <c r="G38" i="18"/>
  <c r="K17" i="18"/>
  <c r="G6" i="17"/>
  <c r="K18" i="18" l="1"/>
  <c r="K20" i="18" s="1"/>
  <c r="K22" i="18" s="1"/>
  <c r="K24" i="18" s="1"/>
  <c r="G13" i="16"/>
  <c r="F13" i="20" l="1"/>
  <c r="G28" i="17"/>
  <c r="H13" i="20" l="1"/>
  <c r="D13" i="21" s="1"/>
  <c r="F13" i="21" s="1"/>
  <c r="H13" i="21" s="1"/>
  <c r="D13" i="22" s="1"/>
  <c r="F13" i="22" s="1"/>
  <c r="H13" i="22" s="1"/>
  <c r="D13" i="23" s="1"/>
  <c r="F13" i="23" s="1"/>
  <c r="H13" i="23" s="1"/>
  <c r="D13" i="24" s="1"/>
  <c r="F13" i="24" s="1"/>
  <c r="H13" i="24" s="1"/>
  <c r="K35" i="17"/>
  <c r="L35" i="17" s="1"/>
  <c r="K34" i="17"/>
  <c r="K33" i="17"/>
  <c r="L33" i="17" s="1"/>
  <c r="F26" i="17"/>
  <c r="G12" i="17" l="1"/>
  <c r="G19" i="17" l="1"/>
  <c r="G33" i="17" l="1"/>
  <c r="G26" i="17" l="1"/>
  <c r="H26" i="17" s="1"/>
  <c r="D26" i="18" s="1"/>
  <c r="F26" i="18" s="1"/>
  <c r="H26" i="18" s="1"/>
  <c r="D26" i="19" s="1"/>
  <c r="F26" i="19" s="1"/>
  <c r="H26" i="19" s="1"/>
  <c r="D26" i="20" s="1"/>
  <c r="F26" i="20" s="1"/>
  <c r="H26" i="20" s="1"/>
  <c r="D26" i="21" s="1"/>
  <c r="F26" i="21" s="1"/>
  <c r="H26" i="21" s="1"/>
  <c r="D26" i="22" s="1"/>
  <c r="F26" i="22" s="1"/>
  <c r="H26" i="22" s="1"/>
  <c r="D26" i="23" s="1"/>
  <c r="F26" i="23" s="1"/>
  <c r="H26" i="23" s="1"/>
  <c r="D26" i="24" s="1"/>
  <c r="F26" i="24" s="1"/>
  <c r="H26" i="24" s="1"/>
  <c r="G21" i="17" l="1"/>
  <c r="G24" i="17" l="1"/>
  <c r="G7" i="16" l="1"/>
  <c r="G32" i="16"/>
  <c r="G11" i="16"/>
  <c r="G52" i="17"/>
  <c r="C52" i="17"/>
  <c r="D38" i="17"/>
  <c r="D37" i="17"/>
  <c r="D36" i="17"/>
  <c r="D35" i="17"/>
  <c r="E34" i="17"/>
  <c r="C34" i="17"/>
  <c r="B40" i="17" s="1"/>
  <c r="F30" i="17"/>
  <c r="H30" i="17" s="1"/>
  <c r="D30" i="18" s="1"/>
  <c r="F30" i="18" s="1"/>
  <c r="H30" i="18" s="1"/>
  <c r="D30" i="19" s="1"/>
  <c r="G34" i="17"/>
  <c r="E16" i="17"/>
  <c r="C16" i="17"/>
  <c r="G16" i="17"/>
  <c r="O28" i="17" l="1"/>
  <c r="K30" i="17"/>
  <c r="L30" i="17" s="1"/>
  <c r="L32" i="17" s="1"/>
  <c r="L36" i="17" s="1"/>
  <c r="L7" i="17"/>
  <c r="O27" i="17"/>
  <c r="F30" i="19"/>
  <c r="H30" i="19" s="1"/>
  <c r="D30" i="20" s="1"/>
  <c r="F30" i="20" s="1"/>
  <c r="H30" i="20" s="1"/>
  <c r="D30" i="21" s="1"/>
  <c r="F30" i="21" s="1"/>
  <c r="H30" i="21" s="1"/>
  <c r="D30" i="22" s="1"/>
  <c r="F30" i="22" s="1"/>
  <c r="H30" i="22" s="1"/>
  <c r="D30" i="23" s="1"/>
  <c r="F30" i="23" s="1"/>
  <c r="H30" i="23" s="1"/>
  <c r="D30" i="24" s="1"/>
  <c r="F30" i="24" s="1"/>
  <c r="H30" i="24" s="1"/>
  <c r="B37" i="17"/>
  <c r="C38" i="17" s="1"/>
  <c r="O30" i="17" s="1"/>
  <c r="L8" i="17"/>
  <c r="L9" i="17" s="1"/>
  <c r="F37" i="17"/>
  <c r="O29" i="17" l="1"/>
  <c r="O31" i="17" s="1"/>
  <c r="O33" i="17" s="1"/>
  <c r="O35" i="17" s="1"/>
  <c r="O38" i="17" s="1"/>
  <c r="O40" i="17" s="1"/>
  <c r="O42" i="17" s="1"/>
  <c r="G38" i="17"/>
  <c r="L11" i="17" s="1"/>
  <c r="K31" i="17"/>
  <c r="K32" i="17" s="1"/>
  <c r="K36" i="17" s="1"/>
  <c r="L43" i="17" s="1"/>
  <c r="L44" i="17" s="1"/>
  <c r="L12" i="17"/>
  <c r="L14" i="17" s="1"/>
  <c r="L16" i="17" s="1"/>
  <c r="G28" i="16"/>
  <c r="G6" i="16" l="1"/>
  <c r="G9" i="14" l="1"/>
  <c r="L15" i="16" l="1"/>
  <c r="G24" i="16" l="1"/>
  <c r="G21" i="16" l="1"/>
  <c r="G26" i="16" l="1"/>
  <c r="G30" i="16" l="1"/>
  <c r="G28" i="15" l="1"/>
  <c r="G52" i="16" l="1"/>
  <c r="C52" i="16"/>
  <c r="D38" i="16"/>
  <c r="D37" i="16"/>
  <c r="D36" i="16"/>
  <c r="D35" i="16"/>
  <c r="E34" i="16"/>
  <c r="L8" i="16" s="1"/>
  <c r="C34" i="16"/>
  <c r="B40" i="16" s="1"/>
  <c r="G34" i="16"/>
  <c r="E16" i="16"/>
  <c r="L7" i="16" s="1"/>
  <c r="C16" i="16"/>
  <c r="F14" i="16"/>
  <c r="H14" i="16" s="1"/>
  <c r="D14" i="17" s="1"/>
  <c r="F14" i="17" s="1"/>
  <c r="H14" i="17" s="1"/>
  <c r="D14" i="18" s="1"/>
  <c r="F14" i="18" s="1"/>
  <c r="H14" i="18" s="1"/>
  <c r="D14" i="19" s="1"/>
  <c r="F14" i="19" s="1"/>
  <c r="H14" i="19" s="1"/>
  <c r="D14" i="20" s="1"/>
  <c r="F14" i="20" s="1"/>
  <c r="H14" i="20" s="1"/>
  <c r="D14" i="21" s="1"/>
  <c r="F14" i="21" s="1"/>
  <c r="H14" i="21" s="1"/>
  <c r="D14" i="22" s="1"/>
  <c r="F14" i="22" s="1"/>
  <c r="H14" i="22" s="1"/>
  <c r="D14" i="23" s="1"/>
  <c r="F14" i="23" s="1"/>
  <c r="H14" i="23" s="1"/>
  <c r="D14" i="24" s="1"/>
  <c r="F14" i="24" s="1"/>
  <c r="H14" i="24" s="1"/>
  <c r="G16" i="16"/>
  <c r="L9" i="16" l="1"/>
  <c r="F37" i="16"/>
  <c r="B37" i="16"/>
  <c r="C38" i="16" s="1"/>
  <c r="G38" i="16" s="1"/>
  <c r="L11" i="16" s="1"/>
  <c r="L12" i="16" s="1"/>
  <c r="L14" i="16" s="1"/>
  <c r="L16" i="16" s="1"/>
  <c r="G7" i="15"/>
  <c r="G9" i="15"/>
  <c r="G32" i="15" l="1"/>
  <c r="G22" i="15" l="1"/>
  <c r="G14" i="14" l="1"/>
  <c r="O7" i="15" l="1"/>
  <c r="Q18" i="15"/>
  <c r="Q20" i="15" s="1"/>
  <c r="Q22" i="15" s="1"/>
  <c r="M45" i="15" s="1"/>
  <c r="O37" i="14"/>
  <c r="L24" i="14" l="1"/>
  <c r="L39" i="14"/>
  <c r="G8" i="15" l="1"/>
  <c r="G7" i="14" l="1"/>
  <c r="G25" i="15" l="1"/>
  <c r="G26" i="15" l="1"/>
  <c r="G13" i="15" l="1"/>
  <c r="G6" i="15" l="1"/>
  <c r="G24" i="15" l="1"/>
  <c r="K63" i="14" l="1"/>
  <c r="M56" i="14"/>
  <c r="M57" i="14" s="1"/>
  <c r="M58" i="14" s="1"/>
  <c r="M59" i="14" s="1"/>
  <c r="O56" i="14"/>
  <c r="O57" i="14" s="1"/>
  <c r="O58" i="14" s="1"/>
  <c r="O53" i="14"/>
  <c r="C56" i="14"/>
  <c r="G25" i="14"/>
  <c r="G25" i="12" l="1"/>
  <c r="D35" i="15" l="1"/>
  <c r="D36" i="15"/>
  <c r="D37" i="15"/>
  <c r="D38" i="15"/>
  <c r="G52" i="15"/>
  <c r="C52" i="15"/>
  <c r="E34" i="15"/>
  <c r="M14" i="15" s="1"/>
  <c r="C34" i="15"/>
  <c r="B40" i="15" s="1"/>
  <c r="G34" i="15"/>
  <c r="E16" i="15"/>
  <c r="M13" i="15" s="1"/>
  <c r="C16" i="15"/>
  <c r="G16" i="15"/>
  <c r="M15" i="15" l="1"/>
  <c r="B37" i="15"/>
  <c r="C38" i="15" s="1"/>
  <c r="M16" i="15" s="1"/>
  <c r="M17" i="15" s="1"/>
  <c r="M19" i="15" s="1"/>
  <c r="F37" i="15"/>
  <c r="G9" i="10"/>
  <c r="Q26" i="15" l="1"/>
  <c r="M21" i="15"/>
  <c r="M23" i="15" s="1"/>
  <c r="G38" i="15"/>
  <c r="G9" i="11"/>
  <c r="G13" i="14" l="1"/>
  <c r="G32" i="14" l="1"/>
  <c r="G6" i="14"/>
  <c r="G10" i="14" l="1"/>
  <c r="L31" i="14" l="1"/>
  <c r="L30" i="14"/>
  <c r="L32" i="14" s="1"/>
  <c r="L34" i="14" s="1"/>
  <c r="L36" i="14" s="1"/>
  <c r="L20" i="14"/>
  <c r="L33" i="14" s="1"/>
  <c r="G30" i="14" l="1"/>
  <c r="G6" i="13" l="1"/>
  <c r="G24" i="14" l="1"/>
  <c r="G21" i="14" l="1"/>
  <c r="G30" i="13" l="1"/>
  <c r="G21" i="13" l="1"/>
  <c r="G57" i="14" l="1"/>
  <c r="C57" i="14"/>
  <c r="E34" i="14"/>
  <c r="C34" i="14"/>
  <c r="B40" i="14" s="1"/>
  <c r="F33" i="14"/>
  <c r="H33" i="14" s="1"/>
  <c r="D33" i="15" s="1"/>
  <c r="F33" i="15" s="1"/>
  <c r="H33" i="15" s="1"/>
  <c r="D33" i="16" s="1"/>
  <c r="F33" i="16" s="1"/>
  <c r="H33" i="16" s="1"/>
  <c r="D33" i="17" s="1"/>
  <c r="F33" i="17" s="1"/>
  <c r="H33" i="17" s="1"/>
  <c r="D33" i="18" s="1"/>
  <c r="F33" i="18" s="1"/>
  <c r="H33" i="18" s="1"/>
  <c r="D33" i="19" s="1"/>
  <c r="F33" i="19" s="1"/>
  <c r="H33" i="19" s="1"/>
  <c r="D33" i="20" s="1"/>
  <c r="F33" i="20" s="1"/>
  <c r="H33" i="20" s="1"/>
  <c r="D33" i="21" s="1"/>
  <c r="F33" i="21" s="1"/>
  <c r="H33" i="21" s="1"/>
  <c r="D33" i="22" s="1"/>
  <c r="F33" i="22" s="1"/>
  <c r="H33" i="22" s="1"/>
  <c r="D33" i="23" s="1"/>
  <c r="F33" i="23" s="1"/>
  <c r="H33" i="23" s="1"/>
  <c r="D33" i="24" s="1"/>
  <c r="F33" i="24" s="1"/>
  <c r="H33" i="24" s="1"/>
  <c r="F23" i="14"/>
  <c r="H23" i="14" s="1"/>
  <c r="D23" i="15" s="1"/>
  <c r="F23" i="15" s="1"/>
  <c r="H23" i="15" s="1"/>
  <c r="D23" i="16" s="1"/>
  <c r="F23" i="16" s="1"/>
  <c r="H23" i="16" s="1"/>
  <c r="D23" i="17" s="1"/>
  <c r="F23" i="17" s="1"/>
  <c r="H23" i="17" s="1"/>
  <c r="D23" i="18" s="1"/>
  <c r="F23" i="18" s="1"/>
  <c r="H23" i="18" s="1"/>
  <c r="D23" i="19" s="1"/>
  <c r="F23" i="19" s="1"/>
  <c r="H23" i="19" s="1"/>
  <c r="D23" i="20" s="1"/>
  <c r="F23" i="20" s="1"/>
  <c r="H23" i="20" s="1"/>
  <c r="D23" i="21" s="1"/>
  <c r="F23" i="21" s="1"/>
  <c r="H23" i="21" s="1"/>
  <c r="D23" i="22" s="1"/>
  <c r="F23" i="22" s="1"/>
  <c r="H23" i="22" s="1"/>
  <c r="D23" i="23" s="1"/>
  <c r="F23" i="23" s="1"/>
  <c r="H23" i="23" s="1"/>
  <c r="D23" i="24" s="1"/>
  <c r="F23" i="24" s="1"/>
  <c r="H23" i="24" s="1"/>
  <c r="G34" i="14"/>
  <c r="E16" i="14"/>
  <c r="C16" i="14"/>
  <c r="F14" i="15"/>
  <c r="H14" i="15" s="1"/>
  <c r="F12" i="14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D12" i="18" s="1"/>
  <c r="F12" i="18" s="1"/>
  <c r="H12" i="18" s="1"/>
  <c r="G16" i="14"/>
  <c r="Q13" i="14" l="1"/>
  <c r="O17" i="14"/>
  <c r="F8" i="15"/>
  <c r="H8" i="15" s="1"/>
  <c r="D8" i="16" s="1"/>
  <c r="F8" i="16" s="1"/>
  <c r="H8" i="16" s="1"/>
  <c r="D8" i="17" s="1"/>
  <c r="F8" i="17" s="1"/>
  <c r="H8" i="17" s="1"/>
  <c r="D8" i="18" s="1"/>
  <c r="F8" i="18" s="1"/>
  <c r="H8" i="18" s="1"/>
  <c r="D8" i="19" s="1"/>
  <c r="F8" i="19" s="1"/>
  <c r="H8" i="19" s="1"/>
  <c r="D8" i="20" s="1"/>
  <c r="F8" i="20" s="1"/>
  <c r="H8" i="20" s="1"/>
  <c r="D8" i="21" s="1"/>
  <c r="F8" i="21" s="1"/>
  <c r="H8" i="21" s="1"/>
  <c r="D8" i="22" s="1"/>
  <c r="F8" i="22" s="1"/>
  <c r="H8" i="22" s="1"/>
  <c r="D8" i="23" s="1"/>
  <c r="F8" i="23" s="1"/>
  <c r="H8" i="23" s="1"/>
  <c r="D8" i="24" s="1"/>
  <c r="F8" i="24" s="1"/>
  <c r="H8" i="24" s="1"/>
  <c r="F29" i="15"/>
  <c r="H29" i="15" s="1"/>
  <c r="D29" i="16" s="1"/>
  <c r="F29" i="16" s="1"/>
  <c r="H29" i="16" s="1"/>
  <c r="D29" i="17" s="1"/>
  <c r="F29" i="17" s="1"/>
  <c r="H29" i="17" s="1"/>
  <c r="D29" i="18" s="1"/>
  <c r="F29" i="18" s="1"/>
  <c r="H29" i="18" s="1"/>
  <c r="D29" i="19" s="1"/>
  <c r="F29" i="19" s="1"/>
  <c r="H29" i="19" s="1"/>
  <c r="D29" i="20" s="1"/>
  <c r="F29" i="20" s="1"/>
  <c r="H29" i="20" s="1"/>
  <c r="D29" i="21" s="1"/>
  <c r="F29" i="21" s="1"/>
  <c r="H29" i="21" s="1"/>
  <c r="D29" i="22" s="1"/>
  <c r="F29" i="22" s="1"/>
  <c r="H29" i="22" s="1"/>
  <c r="D29" i="23" s="1"/>
  <c r="F29" i="23" s="1"/>
  <c r="H29" i="23" s="1"/>
  <c r="D29" i="24" s="1"/>
  <c r="F29" i="24" s="1"/>
  <c r="H29" i="24" s="1"/>
  <c r="L12" i="14"/>
  <c r="L13" i="14"/>
  <c r="B37" i="14"/>
  <c r="C38" i="14" s="1"/>
  <c r="F37" i="14"/>
  <c r="G7" i="13"/>
  <c r="L14" i="14" l="1"/>
  <c r="L17" i="14" s="1"/>
  <c r="G38" i="14"/>
  <c r="L18" i="14"/>
  <c r="L37" i="14" s="1"/>
  <c r="L38" i="14" s="1"/>
  <c r="L40" i="14" s="1"/>
  <c r="G32" i="13"/>
  <c r="L19" i="14" l="1"/>
  <c r="L21" i="14" s="1"/>
  <c r="L23" i="14" s="1"/>
  <c r="L25" i="14" s="1"/>
  <c r="M25" i="14" s="1"/>
  <c r="G22" i="13"/>
  <c r="M20" i="13" l="1"/>
  <c r="M25" i="12"/>
  <c r="G33" i="13"/>
  <c r="G33" i="12"/>
  <c r="G28" i="13" l="1"/>
  <c r="G8" i="13" l="1"/>
  <c r="G29" i="13" l="1"/>
  <c r="G25" i="13" l="1"/>
  <c r="G19" i="13" l="1"/>
  <c r="G24" i="13" l="1"/>
  <c r="G18" i="13" l="1"/>
  <c r="G20" i="13" l="1"/>
  <c r="G9" i="13" l="1"/>
  <c r="G31" i="13" l="1"/>
  <c r="G19" i="12" l="1"/>
  <c r="G52" i="13" l="1"/>
  <c r="C52" i="13"/>
  <c r="E34" i="13"/>
  <c r="M14" i="13" s="1"/>
  <c r="C34" i="13"/>
  <c r="B40" i="13" s="1"/>
  <c r="G34" i="13"/>
  <c r="E16" i="13"/>
  <c r="M13" i="13" s="1"/>
  <c r="M15" i="13" s="1"/>
  <c r="C16" i="13"/>
  <c r="G16" i="13"/>
  <c r="B37" i="13" l="1"/>
  <c r="C38" i="13" s="1"/>
  <c r="M16" i="13" s="1"/>
  <c r="M17" i="13" s="1"/>
  <c r="M19" i="13" s="1"/>
  <c r="M22" i="13" s="1"/>
  <c r="F37" i="13"/>
  <c r="G38" i="13" l="1"/>
  <c r="G6" i="12"/>
  <c r="G27" i="12" l="1"/>
  <c r="G47" i="12" l="1"/>
  <c r="C47" i="12"/>
  <c r="G30" i="12" l="1"/>
  <c r="G22" i="12"/>
  <c r="O19" i="12" l="1"/>
  <c r="M21" i="12"/>
  <c r="O21" i="12" s="1"/>
  <c r="M20" i="12"/>
  <c r="O20" i="12" s="1"/>
  <c r="J46" i="11"/>
  <c r="O22" i="12" l="1"/>
  <c r="G24" i="12"/>
  <c r="G32" i="12" l="1"/>
  <c r="G20" i="11" l="1"/>
  <c r="G14" i="11"/>
  <c r="G12" i="11" l="1"/>
  <c r="G52" i="12" l="1"/>
  <c r="E34" i="12"/>
  <c r="C34" i="12"/>
  <c r="B40" i="12" s="1"/>
  <c r="G34" i="12"/>
  <c r="E16" i="12"/>
  <c r="C16" i="12"/>
  <c r="F13" i="12"/>
  <c r="H13" i="12" s="1"/>
  <c r="D13" i="13" s="1"/>
  <c r="F13" i="13" s="1"/>
  <c r="F11" i="12"/>
  <c r="H11" i="12" s="1"/>
  <c r="D11" i="13" s="1"/>
  <c r="F11" i="13" s="1"/>
  <c r="H11" i="13" s="1"/>
  <c r="D11" i="14" s="1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D11" i="18" s="1"/>
  <c r="F11" i="18" s="1"/>
  <c r="H11" i="18" s="1"/>
  <c r="G16" i="12"/>
  <c r="H13" i="13" l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D13" i="18" s="1"/>
  <c r="F13" i="18" s="1"/>
  <c r="H13" i="18" s="1"/>
  <c r="D13" i="19" s="1"/>
  <c r="F13" i="19" s="1"/>
  <c r="H13" i="19" s="1"/>
  <c r="M14" i="12"/>
  <c r="M15" i="12" s="1"/>
  <c r="B37" i="12"/>
  <c r="C38" i="12" s="1"/>
  <c r="M16" i="12" s="1"/>
  <c r="F37" i="12"/>
  <c r="G10" i="11"/>
  <c r="G38" i="12" l="1"/>
  <c r="M17" i="12"/>
  <c r="M19" i="12" s="1"/>
  <c r="G29" i="11"/>
  <c r="M22" i="12" l="1"/>
  <c r="M26" i="12" s="1"/>
  <c r="G45" i="11"/>
  <c r="C45" i="11"/>
  <c r="M18" i="11" l="1"/>
  <c r="O18" i="11"/>
  <c r="M43" i="10"/>
  <c r="M44" i="10" s="1"/>
  <c r="G32" i="11" l="1"/>
  <c r="G10" i="10" l="1"/>
  <c r="G45" i="10"/>
  <c r="L20" i="10"/>
  <c r="K19" i="10"/>
  <c r="C45" i="10"/>
  <c r="D25" i="11" l="1"/>
  <c r="F25" i="11" s="1"/>
  <c r="H25" i="11" s="1"/>
  <c r="G52" i="11"/>
  <c r="C52" i="11"/>
  <c r="E34" i="11"/>
  <c r="L12" i="11" s="1"/>
  <c r="C34" i="11"/>
  <c r="B40" i="11" s="1"/>
  <c r="G34" i="11"/>
  <c r="E16" i="11"/>
  <c r="L11" i="11" s="1"/>
  <c r="C16" i="11"/>
  <c r="F12" i="11"/>
  <c r="H12" i="11" s="1"/>
  <c r="D12" i="12" s="1"/>
  <c r="F8" i="11"/>
  <c r="H8" i="11" s="1"/>
  <c r="D8" i="12" s="1"/>
  <c r="F8" i="12" s="1"/>
  <c r="H8" i="12" s="1"/>
  <c r="D8" i="13" s="1"/>
  <c r="F8" i="13" s="1"/>
  <c r="H8" i="13" s="1"/>
  <c r="D8" i="14" s="1"/>
  <c r="F8" i="14" s="1"/>
  <c r="G16" i="11"/>
  <c r="D25" i="12" l="1"/>
  <c r="F25" i="12" s="1"/>
  <c r="H25" i="12" s="1"/>
  <c r="D25" i="13" s="1"/>
  <c r="F25" i="13" s="1"/>
  <c r="H25" i="13" s="1"/>
  <c r="D25" i="14" s="1"/>
  <c r="F25" i="14" s="1"/>
  <c r="H25" i="14" s="1"/>
  <c r="D25" i="15" s="1"/>
  <c r="F25" i="15" s="1"/>
  <c r="H25" i="15" s="1"/>
  <c r="D25" i="16" s="1"/>
  <c r="F25" i="16" s="1"/>
  <c r="H25" i="16" s="1"/>
  <c r="D25" i="17" s="1"/>
  <c r="F25" i="17" s="1"/>
  <c r="H25" i="17" s="1"/>
  <c r="D25" i="18" s="1"/>
  <c r="F25" i="18" s="1"/>
  <c r="H25" i="18" s="1"/>
  <c r="D25" i="19" s="1"/>
  <c r="F25" i="19" s="1"/>
  <c r="H25" i="19" s="1"/>
  <c r="D25" i="20" s="1"/>
  <c r="F25" i="20" s="1"/>
  <c r="H25" i="20" s="1"/>
  <c r="D25" i="21" s="1"/>
  <c r="F25" i="21" s="1"/>
  <c r="H25" i="21" s="1"/>
  <c r="D25" i="22" s="1"/>
  <c r="F25" i="22" s="1"/>
  <c r="H25" i="22" s="1"/>
  <c r="D25" i="23" s="1"/>
  <c r="F25" i="23" s="1"/>
  <c r="H25" i="23" s="1"/>
  <c r="D25" i="24" s="1"/>
  <c r="F25" i="24" s="1"/>
  <c r="H25" i="24" s="1"/>
  <c r="L13" i="11"/>
  <c r="F12" i="12"/>
  <c r="B37" i="11"/>
  <c r="C38" i="11" s="1"/>
  <c r="F37" i="11"/>
  <c r="G38" i="11" l="1"/>
  <c r="L15" i="11"/>
  <c r="L16" i="11" s="1"/>
  <c r="L18" i="11" s="1"/>
  <c r="L20" i="11" s="1"/>
  <c r="H12" i="12"/>
  <c r="D12" i="13" s="1"/>
  <c r="F12" i="13" s="1"/>
  <c r="H12" i="13" s="1"/>
  <c r="G7" i="10"/>
  <c r="G8" i="10" l="1"/>
  <c r="G29" i="10" l="1"/>
  <c r="G20" i="10" l="1"/>
  <c r="G14" i="10" l="1"/>
  <c r="G48" i="10" l="1"/>
  <c r="C48" i="10"/>
  <c r="G11" i="10" l="1"/>
  <c r="K23" i="10" l="1"/>
  <c r="L23" i="10" s="1"/>
  <c r="K22" i="10"/>
  <c r="L22" i="10" s="1"/>
  <c r="L10" i="9"/>
  <c r="P7" i="9"/>
  <c r="G25" i="10"/>
  <c r="G28" i="10" l="1"/>
  <c r="G19" i="10" l="1"/>
  <c r="G31" i="10" l="1"/>
  <c r="G32" i="10" l="1"/>
  <c r="G52" i="9" l="1"/>
  <c r="C52" i="9"/>
  <c r="G8" i="9"/>
  <c r="C53" i="10" l="1"/>
  <c r="E34" i="10"/>
  <c r="C34" i="10"/>
  <c r="B40" i="10" s="1"/>
  <c r="G34" i="10"/>
  <c r="E16" i="10"/>
  <c r="C16" i="10"/>
  <c r="G16" i="10"/>
  <c r="K21" i="10" l="1"/>
  <c r="K25" i="10" s="1"/>
  <c r="B37" i="10"/>
  <c r="F37" i="10"/>
  <c r="G53" i="10"/>
  <c r="G7" i="9"/>
  <c r="C38" i="10" l="1"/>
  <c r="G38" i="10" s="1"/>
  <c r="L19" i="10"/>
  <c r="L21" i="10" s="1"/>
  <c r="L25" i="10" s="1"/>
  <c r="G23" i="9"/>
  <c r="E34" i="9" l="1"/>
  <c r="Q24" i="9"/>
  <c r="Q25" i="9" s="1"/>
  <c r="O22" i="9"/>
  <c r="N25" i="9"/>
  <c r="N13" i="9"/>
  <c r="G16" i="9" l="1"/>
  <c r="M34" i="8"/>
  <c r="H63" i="9" l="1"/>
  <c r="G32" i="9" l="1"/>
  <c r="C45" i="9"/>
  <c r="G45" i="9" s="1"/>
  <c r="G33" i="8" l="1"/>
  <c r="G28" i="9" l="1"/>
  <c r="G20" i="9" l="1"/>
  <c r="C49" i="8" l="1"/>
  <c r="G30" i="7"/>
  <c r="C54" i="7"/>
  <c r="G54" i="7" l="1"/>
  <c r="J39" i="8"/>
  <c r="G55" i="9" l="1"/>
  <c r="C55" i="9"/>
  <c r="C34" i="9"/>
  <c r="B40" i="9" s="1"/>
  <c r="F23" i="9"/>
  <c r="H23" i="9" s="1"/>
  <c r="D23" i="10" s="1"/>
  <c r="F23" i="10" s="1"/>
  <c r="H23" i="10" s="1"/>
  <c r="D23" i="11" s="1"/>
  <c r="F23" i="11" s="1"/>
  <c r="H23" i="11" s="1"/>
  <c r="G34" i="9"/>
  <c r="F37" i="9" s="1"/>
  <c r="E16" i="9"/>
  <c r="B37" i="9" s="1"/>
  <c r="C16" i="9"/>
  <c r="F7" i="9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7" i="18" s="1"/>
  <c r="F7" i="18" s="1"/>
  <c r="H7" i="18" s="1"/>
  <c r="F6" i="9"/>
  <c r="D23" i="12" l="1"/>
  <c r="F23" i="12" s="1"/>
  <c r="H23" i="12" s="1"/>
  <c r="D23" i="13" s="1"/>
  <c r="F23" i="13" s="1"/>
  <c r="H23" i="13" s="1"/>
  <c r="P13" i="9"/>
  <c r="P15" i="9" s="1"/>
  <c r="Q18" i="9" s="1"/>
  <c r="Q19" i="9" s="1"/>
  <c r="C38" i="9"/>
  <c r="G38" i="9" s="1"/>
  <c r="N14" i="9" s="1"/>
  <c r="N15" i="9" s="1"/>
  <c r="N23" i="9" s="1"/>
  <c r="N26" i="9" s="1"/>
  <c r="H6" i="9"/>
  <c r="D6" i="10" s="1"/>
  <c r="F6" i="10" s="1"/>
  <c r="H6" i="10" s="1"/>
  <c r="D6" i="11" s="1"/>
  <c r="F6" i="11" s="1"/>
  <c r="H6" i="11" s="1"/>
  <c r="D6" i="12" s="1"/>
  <c r="F6" i="12" s="1"/>
  <c r="H6" i="12" s="1"/>
  <c r="D6" i="13" s="1"/>
  <c r="G47" i="8"/>
  <c r="C47" i="8"/>
  <c r="G33" i="7"/>
  <c r="F6" i="13" l="1"/>
  <c r="G10" i="8"/>
  <c r="H6" i="13" l="1"/>
  <c r="D6" i="14" s="1"/>
  <c r="F6" i="14" s="1"/>
  <c r="H6" i="14" s="1"/>
  <c r="D6" i="15" s="1"/>
  <c r="G19" i="8"/>
  <c r="G32" i="8"/>
  <c r="G51" i="6"/>
  <c r="C51" i="6"/>
  <c r="F6" i="15" l="1"/>
  <c r="G22" i="8"/>
  <c r="H6" i="15" l="1"/>
  <c r="D6" i="16" s="1"/>
  <c r="F6" i="16" s="1"/>
  <c r="H6" i="16" s="1"/>
  <c r="D6" i="17" s="1"/>
  <c r="F6" i="17" s="1"/>
  <c r="H6" i="17" s="1"/>
  <c r="D6" i="18" s="1"/>
  <c r="F6" i="18" s="1"/>
  <c r="G26" i="8"/>
  <c r="H6" i="18" l="1"/>
  <c r="J21" i="8"/>
  <c r="J22" i="8" s="1"/>
  <c r="J23" i="8" s="1"/>
  <c r="L23" i="8" s="1"/>
  <c r="N23" i="8" s="1"/>
  <c r="N23" i="7"/>
  <c r="J28" i="7"/>
  <c r="L28" i="7" s="1"/>
  <c r="N28" i="7" s="1"/>
  <c r="N30" i="7" s="1"/>
  <c r="K21" i="7"/>
  <c r="K25" i="7" s="1"/>
  <c r="D6" i="19" l="1"/>
  <c r="N25" i="8"/>
  <c r="N27" i="8" s="1"/>
  <c r="N29" i="8" s="1"/>
  <c r="N31" i="8" s="1"/>
  <c r="P25" i="8"/>
  <c r="G21" i="8"/>
  <c r="F6" i="19" l="1"/>
  <c r="N33" i="8"/>
  <c r="M35" i="8"/>
  <c r="J40" i="8"/>
  <c r="G25" i="8"/>
  <c r="H6" i="19" l="1"/>
  <c r="K34" i="7"/>
  <c r="D6" i="20" l="1"/>
  <c r="G52" i="8"/>
  <c r="C52" i="8"/>
  <c r="G34" i="8"/>
  <c r="E34" i="8"/>
  <c r="C34" i="8"/>
  <c r="B40" i="8" s="1"/>
  <c r="F19" i="8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G16" i="8"/>
  <c r="E16" i="8"/>
  <c r="K29" i="8" s="1"/>
  <c r="C16" i="8"/>
  <c r="D19" i="12" l="1"/>
  <c r="F19" i="12" s="1"/>
  <c r="H19" i="12" s="1"/>
  <c r="D19" i="13" s="1"/>
  <c r="F19" i="13" s="1"/>
  <c r="H19" i="13" s="1"/>
  <c r="D19" i="14" s="1"/>
  <c r="F19" i="14" s="1"/>
  <c r="H19" i="14" s="1"/>
  <c r="F6" i="20"/>
  <c r="B37" i="8"/>
  <c r="C38" i="8" s="1"/>
  <c r="G38" i="8" s="1"/>
  <c r="F37" i="8"/>
  <c r="G25" i="7"/>
  <c r="H6" i="20" l="1"/>
  <c r="D19" i="15"/>
  <c r="K53" i="6"/>
  <c r="G29" i="6"/>
  <c r="D6" i="21" l="1"/>
  <c r="F19" i="15"/>
  <c r="H19" i="15" s="1"/>
  <c r="D19" i="16" s="1"/>
  <c r="F19" i="16" s="1"/>
  <c r="H19" i="16" s="1"/>
  <c r="D19" i="17" s="1"/>
  <c r="F19" i="17" s="1"/>
  <c r="H19" i="17" s="1"/>
  <c r="D19" i="18" s="1"/>
  <c r="F19" i="18" s="1"/>
  <c r="H19" i="18" s="1"/>
  <c r="D19" i="19" s="1"/>
  <c r="F19" i="19" s="1"/>
  <c r="H19" i="19" s="1"/>
  <c r="D19" i="20" s="1"/>
  <c r="F19" i="20" s="1"/>
  <c r="H19" i="20" s="1"/>
  <c r="C50" i="6"/>
  <c r="G50" i="6" s="1"/>
  <c r="C49" i="6"/>
  <c r="G49" i="6" s="1"/>
  <c r="F6" i="21" l="1"/>
  <c r="D19" i="21"/>
  <c r="C55" i="7"/>
  <c r="E34" i="7"/>
  <c r="C34" i="7"/>
  <c r="B40" i="7" s="1"/>
  <c r="G34" i="7"/>
  <c r="G16" i="7"/>
  <c r="E16" i="7"/>
  <c r="C16" i="7"/>
  <c r="F19" i="21" l="1"/>
  <c r="H19" i="21" s="1"/>
  <c r="H6" i="21"/>
  <c r="F37" i="7"/>
  <c r="B37" i="7"/>
  <c r="C38" i="7" s="1"/>
  <c r="G38" i="7" s="1"/>
  <c r="M34" i="7" s="1"/>
  <c r="M36" i="7" s="1"/>
  <c r="G55" i="7"/>
  <c r="D6" i="22" l="1"/>
  <c r="D19" i="22"/>
  <c r="F19" i="22" s="1"/>
  <c r="H19" i="22" s="1"/>
  <c r="D19" i="23" s="1"/>
  <c r="F19" i="23" s="1"/>
  <c r="H19" i="23" s="1"/>
  <c r="D19" i="24" s="1"/>
  <c r="F19" i="24" s="1"/>
  <c r="H19" i="24" s="1"/>
  <c r="G21" i="6"/>
  <c r="F6" i="22" l="1"/>
  <c r="H6" i="22" s="1"/>
  <c r="D6" i="23" s="1"/>
  <c r="K26" i="6"/>
  <c r="C46" i="6"/>
  <c r="G46" i="6" s="1"/>
  <c r="G20" i="6"/>
  <c r="F6" i="23" l="1"/>
  <c r="G33" i="5"/>
  <c r="H6" i="23" l="1"/>
  <c r="D6" i="24" s="1"/>
  <c r="K43" i="4"/>
  <c r="K46" i="3"/>
  <c r="G49" i="5"/>
  <c r="F6" i="24" l="1"/>
  <c r="G25" i="3"/>
  <c r="H6" i="24" l="1"/>
  <c r="G30" i="6"/>
  <c r="G25" i="6" l="1"/>
  <c r="G18" i="6"/>
  <c r="G8" i="5" l="1"/>
  <c r="C52" i="6" l="1"/>
  <c r="E34" i="6"/>
  <c r="C34" i="6"/>
  <c r="B40" i="6" s="1"/>
  <c r="G34" i="6"/>
  <c r="E16" i="6"/>
  <c r="C16" i="6"/>
  <c r="G16" i="6"/>
  <c r="K41" i="6" l="1"/>
  <c r="L35" i="6"/>
  <c r="L36" i="6" s="1"/>
  <c r="L37" i="6" s="1"/>
  <c r="J35" i="6"/>
  <c r="J36" i="6" s="1"/>
  <c r="J37" i="6" s="1"/>
  <c r="F37" i="6"/>
  <c r="B37" i="6"/>
  <c r="C38" i="6" s="1"/>
  <c r="G38" i="6" s="1"/>
  <c r="K42" i="6" s="1"/>
  <c r="G25" i="5"/>
  <c r="L38" i="6" l="1"/>
  <c r="J38" i="6"/>
  <c r="K43" i="6"/>
  <c r="K45" i="6" s="1"/>
  <c r="K46" i="6" s="1"/>
  <c r="K47" i="6" s="1"/>
  <c r="M19" i="5"/>
  <c r="M20" i="5" l="1"/>
  <c r="M24" i="5" s="1"/>
  <c r="G20" i="5"/>
  <c r="G31" i="5" l="1"/>
  <c r="G24" i="5"/>
  <c r="G9" i="5" l="1"/>
  <c r="G8" i="4" l="1"/>
  <c r="G34" i="5" l="1"/>
  <c r="E34" i="5"/>
  <c r="C34" i="5"/>
  <c r="B40" i="5" s="1"/>
  <c r="G16" i="5"/>
  <c r="E16" i="5"/>
  <c r="C16" i="5"/>
  <c r="B37" i="5" l="1"/>
  <c r="F37" i="5"/>
  <c r="C38" i="5"/>
  <c r="G38" i="5" s="1"/>
  <c r="G33" i="3"/>
  <c r="G18" i="3" l="1"/>
  <c r="G34" i="4" l="1"/>
  <c r="E34" i="4"/>
  <c r="C34" i="4"/>
  <c r="B40" i="4" s="1"/>
  <c r="G16" i="4"/>
  <c r="E16" i="4"/>
  <c r="C16" i="4"/>
  <c r="F37" i="4" l="1"/>
  <c r="B37" i="4"/>
  <c r="C38" i="4" s="1"/>
  <c r="G38" i="4" s="1"/>
  <c r="L42" i="4" l="1"/>
  <c r="L43" i="4" s="1"/>
  <c r="K44" i="4"/>
  <c r="E34" i="3"/>
  <c r="G48" i="3" l="1"/>
  <c r="C48" i="3"/>
  <c r="G34" i="3"/>
  <c r="C34" i="3"/>
  <c r="B40" i="3" s="1"/>
  <c r="G16" i="3"/>
  <c r="E16" i="3"/>
  <c r="B37" i="3" s="1"/>
  <c r="C16" i="3"/>
  <c r="F10" i="3"/>
  <c r="H10" i="3" s="1"/>
  <c r="D10" i="4" s="1"/>
  <c r="F10" i="4" s="1"/>
  <c r="H10" i="4" s="1"/>
  <c r="D10" i="5" s="1"/>
  <c r="F10" i="5" s="1"/>
  <c r="H10" i="5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l="1"/>
  <c r="F10" i="10" s="1"/>
  <c r="H10" i="10" s="1"/>
  <c r="F10" i="11" s="1"/>
  <c r="H10" i="11" s="1"/>
  <c r="D10" i="12" s="1"/>
  <c r="F10" i="12" s="1"/>
  <c r="F23" i="4"/>
  <c r="H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C38" i="3"/>
  <c r="G38" i="3" s="1"/>
  <c r="F37" i="3"/>
  <c r="H19" i="2"/>
  <c r="H10" i="12" l="1"/>
  <c r="F10" i="13" s="1"/>
  <c r="H10" i="13" s="1"/>
  <c r="D10" i="14" s="1"/>
  <c r="F10" i="14" s="1"/>
  <c r="M27" i="12"/>
  <c r="M28" i="12" s="1"/>
  <c r="C50" i="12"/>
  <c r="C52" i="12" s="1"/>
  <c r="K45" i="3"/>
  <c r="K48" i="3" s="1"/>
  <c r="F9" i="9"/>
  <c r="F24" i="7"/>
  <c r="H24" i="7" s="1"/>
  <c r="D24" i="8" s="1"/>
  <c r="F24" i="8" s="1"/>
  <c r="H24" i="8" s="1"/>
  <c r="D24" i="9" s="1"/>
  <c r="F24" i="9" s="1"/>
  <c r="H24" i="9" s="1"/>
  <c r="D24" i="10" s="1"/>
  <c r="F24" i="10" s="1"/>
  <c r="H24" i="10" s="1"/>
  <c r="F24" i="11" s="1"/>
  <c r="H24" i="11" s="1"/>
  <c r="F34" i="2"/>
  <c r="N42" i="1"/>
  <c r="P42" i="1" s="1"/>
  <c r="R44" i="1"/>
  <c r="Q44" i="1" l="1"/>
  <c r="D24" i="12"/>
  <c r="F24" i="12" s="1"/>
  <c r="H24" i="12" s="1"/>
  <c r="D24" i="13" s="1"/>
  <c r="F24" i="13" s="1"/>
  <c r="H24" i="13" s="1"/>
  <c r="D24" i="14" s="1"/>
  <c r="F24" i="14" s="1"/>
  <c r="H24" i="14" s="1"/>
  <c r="D24" i="15" s="1"/>
  <c r="F24" i="15" s="1"/>
  <c r="H24" i="15" s="1"/>
  <c r="D24" i="16" s="1"/>
  <c r="F24" i="16" s="1"/>
  <c r="H24" i="16" s="1"/>
  <c r="D24" i="17" s="1"/>
  <c r="F24" i="17" s="1"/>
  <c r="H24" i="17" s="1"/>
  <c r="D24" i="18" s="1"/>
  <c r="F24" i="18" s="1"/>
  <c r="H24" i="18" s="1"/>
  <c r="D24" i="19" s="1"/>
  <c r="F24" i="19" s="1"/>
  <c r="H24" i="19" s="1"/>
  <c r="D24" i="20" s="1"/>
  <c r="F24" i="20" s="1"/>
  <c r="H24" i="20" s="1"/>
  <c r="D24" i="21" s="1"/>
  <c r="F24" i="21" s="1"/>
  <c r="H24" i="21" s="1"/>
  <c r="D24" i="22" s="1"/>
  <c r="F24" i="22" s="1"/>
  <c r="H24" i="22" s="1"/>
  <c r="D24" i="23" s="1"/>
  <c r="F24" i="23" s="1"/>
  <c r="H24" i="23" s="1"/>
  <c r="D24" i="24" s="1"/>
  <c r="F24" i="24" s="1"/>
  <c r="H24" i="24" s="1"/>
  <c r="F10" i="15"/>
  <c r="H10" i="15" s="1"/>
  <c r="D10" i="16" s="1"/>
  <c r="F10" i="16" s="1"/>
  <c r="H10" i="16" s="1"/>
  <c r="D10" i="17" s="1"/>
  <c r="F10" i="17" s="1"/>
  <c r="H10" i="17" s="1"/>
  <c r="D10" i="18" s="1"/>
  <c r="F10" i="18" s="1"/>
  <c r="H9" i="9"/>
  <c r="F16" i="2"/>
  <c r="C37" i="2" s="1"/>
  <c r="H10" i="18" l="1"/>
  <c r="D9" i="10"/>
  <c r="F9" i="10" s="1"/>
  <c r="D47" i="1"/>
  <c r="D10" i="19" l="1"/>
  <c r="H9" i="10"/>
  <c r="G7" i="2"/>
  <c r="I7" i="2" s="1"/>
  <c r="D7" i="3" s="1"/>
  <c r="F7" i="3" s="1"/>
  <c r="H7" i="3" s="1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H48" i="2"/>
  <c r="D48" i="2"/>
  <c r="H34" i="2"/>
  <c r="E34" i="2"/>
  <c r="D34" i="2"/>
  <c r="C40" i="2" s="1"/>
  <c r="G33" i="2"/>
  <c r="I33" i="2" s="1"/>
  <c r="D33" i="3" s="1"/>
  <c r="F33" i="3" s="1"/>
  <c r="H33" i="3" s="1"/>
  <c r="D33" i="4" s="1"/>
  <c r="F33" i="4" s="1"/>
  <c r="H33" i="4" s="1"/>
  <c r="D33" i="5" s="1"/>
  <c r="F33" i="5" s="1"/>
  <c r="H33" i="5" s="1"/>
  <c r="D33" i="6" s="1"/>
  <c r="F33" i="6" s="1"/>
  <c r="H33" i="6" s="1"/>
  <c r="G32" i="2"/>
  <c r="I32" i="2" s="1"/>
  <c r="D32" i="3" s="1"/>
  <c r="F32" i="3" s="1"/>
  <c r="H32" i="3" s="1"/>
  <c r="D32" i="4" s="1"/>
  <c r="F32" i="4" s="1"/>
  <c r="H32" i="4" s="1"/>
  <c r="D32" i="5" s="1"/>
  <c r="F32" i="5" s="1"/>
  <c r="H32" i="5" s="1"/>
  <c r="D32" i="6" s="1"/>
  <c r="F32" i="6" s="1"/>
  <c r="H32" i="6" s="1"/>
  <c r="D32" i="7" s="1"/>
  <c r="F32" i="7" s="1"/>
  <c r="H32" i="7" s="1"/>
  <c r="D32" i="8" s="1"/>
  <c r="F32" i="8" s="1"/>
  <c r="H32" i="8" s="1"/>
  <c r="D32" i="9" s="1"/>
  <c r="F32" i="9" s="1"/>
  <c r="H32" i="9" s="1"/>
  <c r="D32" i="10" s="1"/>
  <c r="F32" i="10" s="1"/>
  <c r="H32" i="10" s="1"/>
  <c r="D32" i="11" s="1"/>
  <c r="F32" i="11" s="1"/>
  <c r="H32" i="11" s="1"/>
  <c r="D32" i="12" s="1"/>
  <c r="F32" i="12" s="1"/>
  <c r="H32" i="12" s="1"/>
  <c r="D32" i="13" s="1"/>
  <c r="F32" i="13" s="1"/>
  <c r="H32" i="13" s="1"/>
  <c r="D32" i="14" s="1"/>
  <c r="F32" i="14" s="1"/>
  <c r="H32" i="14" s="1"/>
  <c r="D32" i="15" s="1"/>
  <c r="F32" i="15" s="1"/>
  <c r="H32" i="15" s="1"/>
  <c r="D32" i="16" s="1"/>
  <c r="F32" i="16" s="1"/>
  <c r="H32" i="16" s="1"/>
  <c r="D32" i="17" s="1"/>
  <c r="F32" i="17" s="1"/>
  <c r="H32" i="17" s="1"/>
  <c r="D32" i="18" s="1"/>
  <c r="F32" i="18" s="1"/>
  <c r="H32" i="18" s="1"/>
  <c r="D32" i="19" s="1"/>
  <c r="F32" i="19" s="1"/>
  <c r="H32" i="19" s="1"/>
  <c r="D32" i="20" s="1"/>
  <c r="F32" i="20" s="1"/>
  <c r="H32" i="20" s="1"/>
  <c r="D32" i="21" s="1"/>
  <c r="F32" i="21" s="1"/>
  <c r="H32" i="21" s="1"/>
  <c r="D32" i="22" s="1"/>
  <c r="F32" i="22" s="1"/>
  <c r="H32" i="22" s="1"/>
  <c r="D32" i="23" s="1"/>
  <c r="F32" i="23" s="1"/>
  <c r="H32" i="23" s="1"/>
  <c r="D32" i="24" s="1"/>
  <c r="G31" i="2"/>
  <c r="I31" i="2" s="1"/>
  <c r="D31" i="3" s="1"/>
  <c r="F31" i="3" s="1"/>
  <c r="H31" i="3" s="1"/>
  <c r="D31" i="4" s="1"/>
  <c r="F31" i="4" s="1"/>
  <c r="H31" i="4" s="1"/>
  <c r="D31" i="5" s="1"/>
  <c r="F31" i="5" s="1"/>
  <c r="H31" i="5" s="1"/>
  <c r="G30" i="2"/>
  <c r="I30" i="2" s="1"/>
  <c r="D30" i="3" s="1"/>
  <c r="F30" i="3" s="1"/>
  <c r="H30" i="3" s="1"/>
  <c r="D30" i="4" s="1"/>
  <c r="F30" i="4" s="1"/>
  <c r="H30" i="4" s="1"/>
  <c r="D30" i="5" s="1"/>
  <c r="F30" i="5" s="1"/>
  <c r="H30" i="5" s="1"/>
  <c r="D30" i="6" s="1"/>
  <c r="F30" i="6" s="1"/>
  <c r="H30" i="6" s="1"/>
  <c r="D30" i="7" s="1"/>
  <c r="F30" i="7" s="1"/>
  <c r="H30" i="7" s="1"/>
  <c r="D30" i="8" s="1"/>
  <c r="F30" i="8" s="1"/>
  <c r="H30" i="8" s="1"/>
  <c r="D30" i="9" s="1"/>
  <c r="F30" i="9" s="1"/>
  <c r="H30" i="9" s="1"/>
  <c r="D30" i="10" s="1"/>
  <c r="F30" i="10" s="1"/>
  <c r="H30" i="10" s="1"/>
  <c r="D30" i="11" s="1"/>
  <c r="F30" i="11" s="1"/>
  <c r="H30" i="11" s="1"/>
  <c r="D30" i="12" s="1"/>
  <c r="F30" i="12" s="1"/>
  <c r="H30" i="12" s="1"/>
  <c r="D30" i="13" s="1"/>
  <c r="F30" i="13" s="1"/>
  <c r="H30" i="13" s="1"/>
  <c r="D30" i="14" s="1"/>
  <c r="F30" i="14" s="1"/>
  <c r="H30" i="14" s="1"/>
  <c r="D30" i="15" s="1"/>
  <c r="F30" i="15" s="1"/>
  <c r="H30" i="15" s="1"/>
  <c r="D30" i="16" s="1"/>
  <c r="F30" i="16" s="1"/>
  <c r="H30" i="16" s="1"/>
  <c r="G29" i="2"/>
  <c r="I29" i="2" s="1"/>
  <c r="D29" i="3" s="1"/>
  <c r="F29" i="3" s="1"/>
  <c r="H29" i="3" s="1"/>
  <c r="D29" i="4" s="1"/>
  <c r="F29" i="4" s="1"/>
  <c r="H29" i="4" s="1"/>
  <c r="D29" i="5" s="1"/>
  <c r="F29" i="5" s="1"/>
  <c r="H29" i="5" s="1"/>
  <c r="D29" i="6" s="1"/>
  <c r="F29" i="6" s="1"/>
  <c r="H29" i="6" s="1"/>
  <c r="D29" i="7" s="1"/>
  <c r="F29" i="7" s="1"/>
  <c r="H29" i="7" s="1"/>
  <c r="D29" i="8" s="1"/>
  <c r="F29" i="8" s="1"/>
  <c r="H29" i="8" s="1"/>
  <c r="D29" i="9" s="1"/>
  <c r="F29" i="9" s="1"/>
  <c r="H29" i="9" s="1"/>
  <c r="D29" i="10" s="1"/>
  <c r="F29" i="10" s="1"/>
  <c r="H29" i="10" s="1"/>
  <c r="D29" i="11" s="1"/>
  <c r="F29" i="11" s="1"/>
  <c r="H29" i="11" s="1"/>
  <c r="D29" i="12" s="1"/>
  <c r="F29" i="12" s="1"/>
  <c r="H29" i="12" s="1"/>
  <c r="D29" i="13" s="1"/>
  <c r="F29" i="13" s="1"/>
  <c r="H29" i="13" s="1"/>
  <c r="D29" i="14" s="1"/>
  <c r="F29" i="14" s="1"/>
  <c r="G28" i="2"/>
  <c r="I28" i="2" s="1"/>
  <c r="D28" i="3" s="1"/>
  <c r="F28" i="3" s="1"/>
  <c r="H28" i="3" s="1"/>
  <c r="D28" i="4" s="1"/>
  <c r="F28" i="4" s="1"/>
  <c r="H28" i="4" s="1"/>
  <c r="D28" i="5" s="1"/>
  <c r="F28" i="5" s="1"/>
  <c r="H28" i="5" s="1"/>
  <c r="D28" i="6" s="1"/>
  <c r="F28" i="6" s="1"/>
  <c r="H28" i="6" s="1"/>
  <c r="D28" i="7" s="1"/>
  <c r="F28" i="7" s="1"/>
  <c r="H28" i="7" s="1"/>
  <c r="D28" i="8" s="1"/>
  <c r="F28" i="8" s="1"/>
  <c r="H28" i="8" s="1"/>
  <c r="D28" i="9" s="1"/>
  <c r="F28" i="9" s="1"/>
  <c r="H28" i="9" s="1"/>
  <c r="D28" i="10" s="1"/>
  <c r="F28" i="10" s="1"/>
  <c r="H28" i="10" s="1"/>
  <c r="D28" i="11" s="1"/>
  <c r="F28" i="11" s="1"/>
  <c r="H28" i="11" s="1"/>
  <c r="D28" i="12" s="1"/>
  <c r="F28" i="12" s="1"/>
  <c r="H28" i="12" s="1"/>
  <c r="D28" i="13" s="1"/>
  <c r="F28" i="13" s="1"/>
  <c r="H28" i="13" s="1"/>
  <c r="D28" i="14" s="1"/>
  <c r="F28" i="14" s="1"/>
  <c r="H28" i="14" s="1"/>
  <c r="D28" i="15" s="1"/>
  <c r="F28" i="15" s="1"/>
  <c r="H28" i="15" s="1"/>
  <c r="D28" i="16" s="1"/>
  <c r="F28" i="16" s="1"/>
  <c r="H28" i="16" s="1"/>
  <c r="D28" i="17" s="1"/>
  <c r="F28" i="17" s="1"/>
  <c r="H28" i="17" s="1"/>
  <c r="D28" i="18" s="1"/>
  <c r="F28" i="18" s="1"/>
  <c r="H28" i="18" s="1"/>
  <c r="D28" i="19" s="1"/>
  <c r="F28" i="19" s="1"/>
  <c r="H28" i="19" s="1"/>
  <c r="D28" i="20" s="1"/>
  <c r="F28" i="20" s="1"/>
  <c r="H28" i="20" s="1"/>
  <c r="D28" i="21" s="1"/>
  <c r="F28" i="21" s="1"/>
  <c r="H28" i="21" s="1"/>
  <c r="D28" i="22" s="1"/>
  <c r="F28" i="22" s="1"/>
  <c r="H28" i="22" s="1"/>
  <c r="D28" i="23" s="1"/>
  <c r="F28" i="23" s="1"/>
  <c r="H28" i="23" s="1"/>
  <c r="D28" i="24" s="1"/>
  <c r="F28" i="24" s="1"/>
  <c r="H28" i="24" s="1"/>
  <c r="G27" i="2"/>
  <c r="I27" i="2" s="1"/>
  <c r="D27" i="3" s="1"/>
  <c r="F27" i="3" s="1"/>
  <c r="H27" i="3" s="1"/>
  <c r="D27" i="4" s="1"/>
  <c r="F27" i="4" s="1"/>
  <c r="H27" i="4" s="1"/>
  <c r="D27" i="5" s="1"/>
  <c r="F27" i="5" s="1"/>
  <c r="H27" i="5" s="1"/>
  <c r="F27" i="6" s="1"/>
  <c r="H27" i="6" s="1"/>
  <c r="G26" i="2"/>
  <c r="I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D26" i="10" s="1"/>
  <c r="F26" i="10" s="1"/>
  <c r="H26" i="10" s="1"/>
  <c r="D26" i="11" s="1"/>
  <c r="F26" i="11" s="1"/>
  <c r="H26" i="11" s="1"/>
  <c r="G25" i="2"/>
  <c r="I25" i="2" s="1"/>
  <c r="D25" i="3" s="1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G24" i="2"/>
  <c r="I24" i="2" s="1"/>
  <c r="D24" i="3" s="1"/>
  <c r="F24" i="3" s="1"/>
  <c r="H24" i="3" s="1"/>
  <c r="D24" i="4" s="1"/>
  <c r="F24" i="4" s="1"/>
  <c r="H24" i="4" s="1"/>
  <c r="D24" i="5" s="1"/>
  <c r="F24" i="5" s="1"/>
  <c r="H24" i="5" s="1"/>
  <c r="D24" i="6" s="1"/>
  <c r="F24" i="6" s="1"/>
  <c r="H24" i="6" s="1"/>
  <c r="G23" i="2"/>
  <c r="I23" i="2" s="1"/>
  <c r="D23" i="3" s="1"/>
  <c r="F23" i="3" s="1"/>
  <c r="H23" i="3" s="1"/>
  <c r="G22" i="2"/>
  <c r="I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G21" i="2"/>
  <c r="I21" i="2" s="1"/>
  <c r="D21" i="3" s="1"/>
  <c r="F21" i="3" s="1"/>
  <c r="H21" i="3" s="1"/>
  <c r="D21" i="4" s="1"/>
  <c r="F21" i="4" s="1"/>
  <c r="H21" i="4" s="1"/>
  <c r="D21" i="5" s="1"/>
  <c r="F21" i="5" s="1"/>
  <c r="H21" i="5" s="1"/>
  <c r="D21" i="6" s="1"/>
  <c r="F21" i="6" s="1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D21" i="12" s="1"/>
  <c r="G20" i="2"/>
  <c r="I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G19" i="2"/>
  <c r="I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G18" i="2"/>
  <c r="I18" i="2" s="1"/>
  <c r="D18" i="3" s="1"/>
  <c r="H16" i="2"/>
  <c r="D16" i="2"/>
  <c r="G15" i="2"/>
  <c r="I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5" i="18" s="1"/>
  <c r="F15" i="18" s="1"/>
  <c r="G14" i="2"/>
  <c r="I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G13" i="2"/>
  <c r="I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D13" i="11" s="1"/>
  <c r="F13" i="11" s="1"/>
  <c r="H13" i="11" s="1"/>
  <c r="G12" i="2"/>
  <c r="I12" i="2" s="1"/>
  <c r="D12" i="3" s="1"/>
  <c r="F12" i="3" s="1"/>
  <c r="H12" i="3" s="1"/>
  <c r="D12" i="4" s="1"/>
  <c r="G11" i="2"/>
  <c r="I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G10" i="2"/>
  <c r="I10" i="2" s="1"/>
  <c r="G9" i="2"/>
  <c r="I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G8" i="2"/>
  <c r="I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G6" i="2"/>
  <c r="F32" i="24" l="1"/>
  <c r="H32" i="24" s="1"/>
  <c r="D20" i="12"/>
  <c r="F20" i="12" s="1"/>
  <c r="H20" i="12" s="1"/>
  <c r="D20" i="13" s="1"/>
  <c r="F20" i="13" s="1"/>
  <c r="H20" i="13" s="1"/>
  <c r="D20" i="14" s="1"/>
  <c r="F20" i="14" s="1"/>
  <c r="H20" i="14" s="1"/>
  <c r="D20" i="15" s="1"/>
  <c r="D26" i="12"/>
  <c r="F26" i="12" s="1"/>
  <c r="H26" i="12" s="1"/>
  <c r="D26" i="13" s="1"/>
  <c r="F26" i="13" s="1"/>
  <c r="H26" i="13" s="1"/>
  <c r="D26" i="14" s="1"/>
  <c r="F26" i="14" s="1"/>
  <c r="H26" i="14" s="1"/>
  <c r="D26" i="15" s="1"/>
  <c r="F26" i="15" s="1"/>
  <c r="H26" i="15" s="1"/>
  <c r="D26" i="16" s="1"/>
  <c r="F26" i="16" s="1"/>
  <c r="H26" i="16" s="1"/>
  <c r="H15" i="18"/>
  <c r="F16" i="18"/>
  <c r="F10" i="19"/>
  <c r="F21" i="12"/>
  <c r="H21" i="12" s="1"/>
  <c r="D21" i="13" s="1"/>
  <c r="F21" i="13" s="1"/>
  <c r="H21" i="13" s="1"/>
  <c r="D21" i="14" s="1"/>
  <c r="F8" i="9"/>
  <c r="F12" i="4"/>
  <c r="C44" i="4"/>
  <c r="C49" i="4" s="1"/>
  <c r="D34" i="3"/>
  <c r="F34" i="3" s="1"/>
  <c r="H34" i="3" s="1"/>
  <c r="F18" i="3"/>
  <c r="H18" i="3" s="1"/>
  <c r="D18" i="4" s="1"/>
  <c r="H22" i="8"/>
  <c r="D22" i="9" s="1"/>
  <c r="F22" i="9" s="1"/>
  <c r="H22" i="9" s="1"/>
  <c r="D22" i="10" s="1"/>
  <c r="F22" i="10" s="1"/>
  <c r="H22" i="10" s="1"/>
  <c r="D22" i="11" s="1"/>
  <c r="F22" i="11" s="1"/>
  <c r="H22" i="11" s="1"/>
  <c r="G52" i="6"/>
  <c r="D27" i="7"/>
  <c r="F27" i="7" s="1"/>
  <c r="H27" i="7" s="1"/>
  <c r="F27" i="8" s="1"/>
  <c r="H27" i="8" s="1"/>
  <c r="D27" i="9" s="1"/>
  <c r="F27" i="9" s="1"/>
  <c r="H27" i="9" s="1"/>
  <c r="F31" i="6"/>
  <c r="H31" i="6" s="1"/>
  <c r="D31" i="7" s="1"/>
  <c r="F31" i="7" s="1"/>
  <c r="H31" i="7" s="1"/>
  <c r="D31" i="8" s="1"/>
  <c r="F31" i="8" s="1"/>
  <c r="H31" i="8" s="1"/>
  <c r="D31" i="9" s="1"/>
  <c r="F31" i="9" s="1"/>
  <c r="H31" i="9" s="1"/>
  <c r="D31" i="10" s="1"/>
  <c r="F31" i="10" s="1"/>
  <c r="H31" i="10" s="1"/>
  <c r="D31" i="11" s="1"/>
  <c r="F31" i="11" s="1"/>
  <c r="H31" i="11" s="1"/>
  <c r="D31" i="12" s="1"/>
  <c r="F31" i="12" s="1"/>
  <c r="H31" i="12" s="1"/>
  <c r="D31" i="13" s="1"/>
  <c r="F31" i="13" s="1"/>
  <c r="H31" i="13" s="1"/>
  <c r="D31" i="14" s="1"/>
  <c r="F31" i="14" s="1"/>
  <c r="H31" i="14" s="1"/>
  <c r="D31" i="15" s="1"/>
  <c r="F31" i="15" s="1"/>
  <c r="H31" i="15" s="1"/>
  <c r="D31" i="16" s="1"/>
  <c r="F31" i="16" s="1"/>
  <c r="H31" i="16" s="1"/>
  <c r="D31" i="17" s="1"/>
  <c r="F31" i="17" s="1"/>
  <c r="H31" i="17" s="1"/>
  <c r="D31" i="18" s="1"/>
  <c r="F31" i="18" s="1"/>
  <c r="H31" i="18" s="1"/>
  <c r="D31" i="19" s="1"/>
  <c r="F31" i="19" s="1"/>
  <c r="H31" i="19" s="1"/>
  <c r="D31" i="20" s="1"/>
  <c r="F31" i="20" s="1"/>
  <c r="H31" i="20" s="1"/>
  <c r="D31" i="21" s="1"/>
  <c r="F31" i="21" s="1"/>
  <c r="H31" i="21" s="1"/>
  <c r="D31" i="22" s="1"/>
  <c r="F31" i="22" s="1"/>
  <c r="H31" i="22" s="1"/>
  <c r="D31" i="23" s="1"/>
  <c r="F31" i="23" s="1"/>
  <c r="H31" i="23" s="1"/>
  <c r="D31" i="24" s="1"/>
  <c r="F31" i="24" s="1"/>
  <c r="H31" i="24" s="1"/>
  <c r="C48" i="5"/>
  <c r="C49" i="5" s="1"/>
  <c r="D33" i="7"/>
  <c r="F33" i="7" s="1"/>
  <c r="H33" i="7" s="1"/>
  <c r="D33" i="8" s="1"/>
  <c r="F33" i="8" s="1"/>
  <c r="H33" i="8" s="1"/>
  <c r="F33" i="9" s="1"/>
  <c r="H33" i="9" s="1"/>
  <c r="D33" i="10" s="1"/>
  <c r="F33" i="10" s="1"/>
  <c r="H33" i="10" s="1"/>
  <c r="D33" i="11" s="1"/>
  <c r="F33" i="11" s="1"/>
  <c r="H33" i="11" s="1"/>
  <c r="D33" i="12" s="1"/>
  <c r="F33" i="12" s="1"/>
  <c r="H33" i="12" s="1"/>
  <c r="D33" i="13" s="1"/>
  <c r="F33" i="13" s="1"/>
  <c r="H33" i="13" s="1"/>
  <c r="M42" i="6"/>
  <c r="D9" i="11"/>
  <c r="F9" i="11" s="1"/>
  <c r="G37" i="2"/>
  <c r="D38" i="2"/>
  <c r="H38" i="2" s="1"/>
  <c r="G34" i="2"/>
  <c r="I34" i="2" s="1"/>
  <c r="G16" i="2"/>
  <c r="I6" i="2"/>
  <c r="H9" i="1"/>
  <c r="D22" i="12" l="1"/>
  <c r="F22" i="12" s="1"/>
  <c r="H22" i="12" s="1"/>
  <c r="D22" i="13" s="1"/>
  <c r="F22" i="13" s="1"/>
  <c r="H22" i="13" s="1"/>
  <c r="D22" i="14" s="1"/>
  <c r="F22" i="14" s="1"/>
  <c r="H22" i="14" s="1"/>
  <c r="D22" i="15" s="1"/>
  <c r="F22" i="15" s="1"/>
  <c r="H22" i="15" s="1"/>
  <c r="D22" i="16" s="1"/>
  <c r="F22" i="16" s="1"/>
  <c r="H22" i="16" s="1"/>
  <c r="D22" i="17" s="1"/>
  <c r="H10" i="19"/>
  <c r="D15" i="19"/>
  <c r="H16" i="18"/>
  <c r="F20" i="15"/>
  <c r="H20" i="15" s="1"/>
  <c r="D20" i="16" s="1"/>
  <c r="F20" i="16" s="1"/>
  <c r="H20" i="16" s="1"/>
  <c r="D20" i="17" s="1"/>
  <c r="F20" i="17" s="1"/>
  <c r="H20" i="17" s="1"/>
  <c r="D20" i="18" s="1"/>
  <c r="F20" i="18" s="1"/>
  <c r="H20" i="18" s="1"/>
  <c r="D20" i="19" s="1"/>
  <c r="F20" i="19" s="1"/>
  <c r="H20" i="19" s="1"/>
  <c r="D20" i="20" s="1"/>
  <c r="F20" i="20" s="1"/>
  <c r="H20" i="20" s="1"/>
  <c r="F21" i="14"/>
  <c r="H21" i="14" s="1"/>
  <c r="I16" i="2"/>
  <c r="D6" i="3"/>
  <c r="D27" i="10"/>
  <c r="F27" i="10" s="1"/>
  <c r="H27" i="10" s="1"/>
  <c r="D27" i="11" s="1"/>
  <c r="F27" i="11" s="1"/>
  <c r="H27" i="11" s="1"/>
  <c r="D27" i="12" s="1"/>
  <c r="F27" i="12" s="1"/>
  <c r="H27" i="12" s="1"/>
  <c r="D27" i="13" s="1"/>
  <c r="F27" i="13" s="1"/>
  <c r="H27" i="13" s="1"/>
  <c r="D27" i="14" s="1"/>
  <c r="F27" i="14" s="1"/>
  <c r="H27" i="14" s="1"/>
  <c r="D27" i="15" s="1"/>
  <c r="F27" i="15" s="1"/>
  <c r="H27" i="15" s="1"/>
  <c r="D27" i="16" s="1"/>
  <c r="F27" i="16" s="1"/>
  <c r="H27" i="16" s="1"/>
  <c r="D27" i="17" s="1"/>
  <c r="F27" i="17" s="1"/>
  <c r="H27" i="17" s="1"/>
  <c r="F27" i="18" s="1"/>
  <c r="H27" i="18" s="1"/>
  <c r="D27" i="19" s="1"/>
  <c r="F27" i="19" s="1"/>
  <c r="H27" i="19" s="1"/>
  <c r="D27" i="20" s="1"/>
  <c r="F27" i="20" s="1"/>
  <c r="H27" i="20" s="1"/>
  <c r="D27" i="21" s="1"/>
  <c r="F27" i="21" s="1"/>
  <c r="H27" i="21" s="1"/>
  <c r="D27" i="22" s="1"/>
  <c r="F27" i="22" s="1"/>
  <c r="H27" i="22" s="1"/>
  <c r="D27" i="23" s="1"/>
  <c r="F27" i="23" s="1"/>
  <c r="H27" i="23" s="1"/>
  <c r="D27" i="24" s="1"/>
  <c r="F27" i="24" s="1"/>
  <c r="H27" i="24" s="1"/>
  <c r="J31" i="9"/>
  <c r="K9" i="8"/>
  <c r="F18" i="4"/>
  <c r="H18" i="4" s="1"/>
  <c r="D18" i="5" s="1"/>
  <c r="F18" i="5" s="1"/>
  <c r="H18" i="5" s="1"/>
  <c r="D18" i="6" s="1"/>
  <c r="D34" i="4"/>
  <c r="F34" i="4" s="1"/>
  <c r="H34" i="4" s="1"/>
  <c r="D34" i="5" s="1"/>
  <c r="F34" i="5" s="1"/>
  <c r="H34" i="5" s="1"/>
  <c r="G44" i="4"/>
  <c r="H12" i="4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H8" i="9"/>
  <c r="H9" i="11"/>
  <c r="F16" i="11"/>
  <c r="G19" i="1"/>
  <c r="D20" i="21" l="1"/>
  <c r="F15" i="19"/>
  <c r="D16" i="19"/>
  <c r="D10" i="20"/>
  <c r="F22" i="17"/>
  <c r="H22" i="17" s="1"/>
  <c r="D22" i="18" s="1"/>
  <c r="F22" i="18" s="1"/>
  <c r="H22" i="18" s="1"/>
  <c r="D22" i="19" s="1"/>
  <c r="F22" i="19" s="1"/>
  <c r="H22" i="19" s="1"/>
  <c r="D21" i="15"/>
  <c r="F12" i="8"/>
  <c r="H12" i="8" s="1"/>
  <c r="D12" i="9" s="1"/>
  <c r="H16" i="11"/>
  <c r="D9" i="12"/>
  <c r="D8" i="10"/>
  <c r="F8" i="10" s="1"/>
  <c r="G49" i="4"/>
  <c r="K45" i="4"/>
  <c r="F18" i="6"/>
  <c r="H18" i="6" s="1"/>
  <c r="D18" i="7" s="1"/>
  <c r="D34" i="6"/>
  <c r="F34" i="6" s="1"/>
  <c r="H34" i="6" s="1"/>
  <c r="F6" i="3"/>
  <c r="D16" i="3"/>
  <c r="F35" i="1"/>
  <c r="D22" i="20" l="1"/>
  <c r="F22" i="20" s="1"/>
  <c r="H22" i="20" s="1"/>
  <c r="I23" i="19"/>
  <c r="F10" i="20"/>
  <c r="H15" i="19"/>
  <c r="F16" i="19"/>
  <c r="F20" i="21"/>
  <c r="H20" i="21" s="1"/>
  <c r="F21" i="15"/>
  <c r="H21" i="15" s="1"/>
  <c r="D21" i="16" s="1"/>
  <c r="F21" i="16" s="1"/>
  <c r="H21" i="16" s="1"/>
  <c r="D21" i="17" s="1"/>
  <c r="F21" i="17" s="1"/>
  <c r="H21" i="17" s="1"/>
  <c r="D21" i="18" s="1"/>
  <c r="F21" i="18" s="1"/>
  <c r="H21" i="18" s="1"/>
  <c r="F12" i="9"/>
  <c r="D16" i="9"/>
  <c r="F9" i="12"/>
  <c r="D16" i="12"/>
  <c r="H6" i="3"/>
  <c r="F16" i="3"/>
  <c r="F18" i="7"/>
  <c r="H18" i="7" s="1"/>
  <c r="D34" i="7"/>
  <c r="F34" i="7" s="1"/>
  <c r="H8" i="10"/>
  <c r="G34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0" i="1"/>
  <c r="I20" i="1" s="1"/>
  <c r="I21" i="1"/>
  <c r="D20" i="22" l="1"/>
  <c r="F20" i="22" s="1"/>
  <c r="H20" i="22" s="1"/>
  <c r="D20" i="23" s="1"/>
  <c r="F20" i="23" s="1"/>
  <c r="H20" i="23" s="1"/>
  <c r="D20" i="24" s="1"/>
  <c r="D15" i="20"/>
  <c r="H16" i="19"/>
  <c r="H17" i="19" s="1"/>
  <c r="H10" i="20"/>
  <c r="D22" i="21"/>
  <c r="H34" i="20"/>
  <c r="J33" i="20" s="1"/>
  <c r="H34" i="7"/>
  <c r="D18" i="8"/>
  <c r="D6" i="4"/>
  <c r="H16" i="3"/>
  <c r="H9" i="12"/>
  <c r="F16" i="12"/>
  <c r="H12" i="9"/>
  <c r="F16" i="9"/>
  <c r="H17" i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7" i="1"/>
  <c r="I7" i="1" s="1"/>
  <c r="F20" i="24" l="1"/>
  <c r="H20" i="24" s="1"/>
  <c r="F22" i="21"/>
  <c r="H22" i="21" s="1"/>
  <c r="D34" i="21"/>
  <c r="F34" i="21" s="1"/>
  <c r="D10" i="21"/>
  <c r="D16" i="21" s="1"/>
  <c r="H16" i="20"/>
  <c r="F15" i="20"/>
  <c r="F16" i="20" s="1"/>
  <c r="D16" i="20"/>
  <c r="H16" i="12"/>
  <c r="D9" i="13"/>
  <c r="I17" i="1"/>
  <c r="D12" i="10"/>
  <c r="F12" i="10" s="1"/>
  <c r="H16" i="9"/>
  <c r="D16" i="10" s="1"/>
  <c r="F6" i="4"/>
  <c r="D16" i="4"/>
  <c r="F18" i="8"/>
  <c r="H18" i="8" s="1"/>
  <c r="D18" i="9" s="1"/>
  <c r="D34" i="8"/>
  <c r="F34" i="8" s="1"/>
  <c r="H34" i="8" s="1"/>
  <c r="G17" i="1"/>
  <c r="D50" i="1"/>
  <c r="G42" i="1"/>
  <c r="C42" i="1"/>
  <c r="D35" i="1"/>
  <c r="C41" i="1" s="1"/>
  <c r="I34" i="1"/>
  <c r="I33" i="1"/>
  <c r="I32" i="1"/>
  <c r="I31" i="1"/>
  <c r="I30" i="1"/>
  <c r="I29" i="1"/>
  <c r="I28" i="1"/>
  <c r="I27" i="1"/>
  <c r="I26" i="1"/>
  <c r="I25" i="1"/>
  <c r="H35" i="1"/>
  <c r="G38" i="1" s="1"/>
  <c r="I24" i="1"/>
  <c r="I23" i="1"/>
  <c r="I22" i="1"/>
  <c r="I19" i="1"/>
  <c r="E35" i="1"/>
  <c r="F17" i="1"/>
  <c r="C38" i="1" s="1"/>
  <c r="D17" i="1"/>
  <c r="E17" i="1"/>
  <c r="F10" i="21" l="1"/>
  <c r="D22" i="22"/>
  <c r="F22" i="22" s="1"/>
  <c r="H22" i="22" s="1"/>
  <c r="H34" i="21"/>
  <c r="D34" i="22" s="1"/>
  <c r="F34" i="22" s="1"/>
  <c r="F9" i="13"/>
  <c r="D16" i="13"/>
  <c r="F18" i="9"/>
  <c r="H18" i="9" s="1"/>
  <c r="D18" i="10" s="1"/>
  <c r="F18" i="10" s="1"/>
  <c r="H18" i="10" s="1"/>
  <c r="D18" i="11" s="1"/>
  <c r="F18" i="11" s="1"/>
  <c r="H18" i="11" s="1"/>
  <c r="D18" i="12" s="1"/>
  <c r="D34" i="9"/>
  <c r="F34" i="9" s="1"/>
  <c r="H34" i="9" s="1"/>
  <c r="D34" i="10" s="1"/>
  <c r="F34" i="10" s="1"/>
  <c r="H34" i="10" s="1"/>
  <c r="D34" i="11" s="1"/>
  <c r="F34" i="11" s="1"/>
  <c r="H34" i="11" s="1"/>
  <c r="F16" i="4"/>
  <c r="H6" i="4"/>
  <c r="H12" i="10"/>
  <c r="H16" i="10" s="1"/>
  <c r="D16" i="11" s="1"/>
  <c r="F16" i="10"/>
  <c r="C43" i="1"/>
  <c r="G43" i="1"/>
  <c r="D39" i="1"/>
  <c r="C50" i="1" s="1"/>
  <c r="G35" i="1"/>
  <c r="I35" i="1" s="1"/>
  <c r="H50" i="1"/>
  <c r="H34" i="22" l="1"/>
  <c r="D22" i="23"/>
  <c r="H10" i="21"/>
  <c r="F16" i="21"/>
  <c r="H9" i="13"/>
  <c r="F16" i="13"/>
  <c r="H16" i="4"/>
  <c r="D6" i="5"/>
  <c r="F18" i="12"/>
  <c r="H18" i="12" s="1"/>
  <c r="D18" i="13" s="1"/>
  <c r="D34" i="12"/>
  <c r="F34" i="12" s="1"/>
  <c r="H34" i="12" s="1"/>
  <c r="H39" i="1"/>
  <c r="G50" i="1" s="1"/>
  <c r="I50" i="1" s="1"/>
  <c r="E50" i="1"/>
  <c r="C41" i="2" s="1"/>
  <c r="F22" i="23" l="1"/>
  <c r="H22" i="23" s="1"/>
  <c r="D34" i="23"/>
  <c r="F34" i="23" s="1"/>
  <c r="D10" i="22"/>
  <c r="H16" i="21"/>
  <c r="H16" i="13"/>
  <c r="D9" i="14"/>
  <c r="F18" i="13"/>
  <c r="H18" i="13" s="1"/>
  <c r="D18" i="14" s="1"/>
  <c r="D34" i="13"/>
  <c r="F6" i="5"/>
  <c r="D16" i="5"/>
  <c r="G41" i="2"/>
  <c r="G42" i="2" s="1"/>
  <c r="C42" i="2"/>
  <c r="C48" i="2"/>
  <c r="E48" i="2" s="1"/>
  <c r="B41" i="3" s="1"/>
  <c r="H34" i="23" l="1"/>
  <c r="D22" i="24"/>
  <c r="F10" i="22"/>
  <c r="D16" i="22"/>
  <c r="F18" i="14"/>
  <c r="H18" i="14" s="1"/>
  <c r="D18" i="15" s="1"/>
  <c r="D34" i="14"/>
  <c r="F34" i="14" s="1"/>
  <c r="H34" i="14" s="1"/>
  <c r="H10" i="22"/>
  <c r="F16" i="22"/>
  <c r="F34" i="13"/>
  <c r="H34" i="13" s="1"/>
  <c r="I36" i="13" s="1"/>
  <c r="F9" i="14"/>
  <c r="D16" i="14"/>
  <c r="F16" i="5"/>
  <c r="H6" i="5"/>
  <c r="B42" i="3"/>
  <c r="B48" i="3"/>
  <c r="D48" i="3" s="1"/>
  <c r="B41" i="4" s="1"/>
  <c r="G48" i="2"/>
  <c r="I48" i="2" s="1"/>
  <c r="F22" i="24" l="1"/>
  <c r="H22" i="24" s="1"/>
  <c r="H34" i="24" s="1"/>
  <c r="D34" i="24"/>
  <c r="F34" i="24" s="1"/>
  <c r="H16" i="22"/>
  <c r="D10" i="23"/>
  <c r="F18" i="15"/>
  <c r="H18" i="15" s="1"/>
  <c r="D18" i="16" s="1"/>
  <c r="F18" i="16" s="1"/>
  <c r="H18" i="16" s="1"/>
  <c r="D18" i="17" s="1"/>
  <c r="D34" i="15"/>
  <c r="F34" i="15" s="1"/>
  <c r="H34" i="15" s="1"/>
  <c r="H9" i="14"/>
  <c r="F16" i="14"/>
  <c r="H16" i="5"/>
  <c r="D6" i="6"/>
  <c r="B42" i="4"/>
  <c r="B49" i="4"/>
  <c r="D49" i="4" s="1"/>
  <c r="B41" i="5" s="1"/>
  <c r="F41" i="3"/>
  <c r="F42" i="3" s="1"/>
  <c r="F10" i="23" l="1"/>
  <c r="D16" i="23"/>
  <c r="K52" i="14"/>
  <c r="D9" i="15"/>
  <c r="F18" i="17"/>
  <c r="H18" i="17" s="1"/>
  <c r="D18" i="18" s="1"/>
  <c r="F18" i="18" s="1"/>
  <c r="H18" i="18" s="1"/>
  <c r="D18" i="19" s="1"/>
  <c r="D34" i="17"/>
  <c r="F34" i="17" s="1"/>
  <c r="H34" i="17" s="1"/>
  <c r="D34" i="18" s="1"/>
  <c r="F34" i="18" s="1"/>
  <c r="H34" i="18" s="1"/>
  <c r="D34" i="16"/>
  <c r="F34" i="16" s="1"/>
  <c r="H34" i="16" s="1"/>
  <c r="H16" i="14"/>
  <c r="J38" i="14" s="1"/>
  <c r="D16" i="6"/>
  <c r="F6" i="6"/>
  <c r="B42" i="5"/>
  <c r="B49" i="5"/>
  <c r="D49" i="5" s="1"/>
  <c r="B41" i="6" s="1"/>
  <c r="F48" i="3"/>
  <c r="H48" i="3" s="1"/>
  <c r="H10" i="23" l="1"/>
  <c r="F16" i="23"/>
  <c r="F18" i="19"/>
  <c r="H18" i="19" s="1"/>
  <c r="D18" i="20" s="1"/>
  <c r="D34" i="19"/>
  <c r="F34" i="19" s="1"/>
  <c r="H34" i="19" s="1"/>
  <c r="J44" i="14"/>
  <c r="J45" i="14" s="1"/>
  <c r="F9" i="15"/>
  <c r="D16" i="15"/>
  <c r="F16" i="6"/>
  <c r="H6" i="6"/>
  <c r="F41" i="4"/>
  <c r="F42" i="4" s="1"/>
  <c r="B42" i="6"/>
  <c r="B52" i="6"/>
  <c r="D52" i="6" s="1"/>
  <c r="B41" i="7" s="1"/>
  <c r="H16" i="23" l="1"/>
  <c r="D10" i="24"/>
  <c r="J37" i="19"/>
  <c r="K37" i="19" s="1"/>
  <c r="D34" i="20"/>
  <c r="F34" i="20" s="1"/>
  <c r="F18" i="20"/>
  <c r="H9" i="15"/>
  <c r="F16" i="15"/>
  <c r="H16" i="6"/>
  <c r="D6" i="7"/>
  <c r="F49" i="4"/>
  <c r="H49" i="4" s="1"/>
  <c r="F41" i="5" s="1"/>
  <c r="F42" i="5" s="1"/>
  <c r="B42" i="7"/>
  <c r="B55" i="7"/>
  <c r="D55" i="7" s="1"/>
  <c r="F10" i="24" l="1"/>
  <c r="D16" i="24"/>
  <c r="H16" i="15"/>
  <c r="D9" i="16"/>
  <c r="F9" i="16" s="1"/>
  <c r="F6" i="7"/>
  <c r="D16" i="7"/>
  <c r="B52" i="8"/>
  <c r="D52" i="8" s="1"/>
  <c r="B41" i="9" s="1"/>
  <c r="B42" i="8"/>
  <c r="F49" i="5"/>
  <c r="H49" i="5" s="1"/>
  <c r="H10" i="24" l="1"/>
  <c r="H16" i="24" s="1"/>
  <c r="F16" i="24"/>
  <c r="D16" i="16"/>
  <c r="J51" i="15"/>
  <c r="H9" i="16"/>
  <c r="F16" i="16"/>
  <c r="F16" i="7"/>
  <c r="H6" i="7"/>
  <c r="B42" i="9"/>
  <c r="B55" i="9"/>
  <c r="D55" i="9" s="1"/>
  <c r="B41" i="10" s="1"/>
  <c r="F41" i="6"/>
  <c r="F52" i="6" s="1"/>
  <c r="H52" i="6" s="1"/>
  <c r="H16" i="16" l="1"/>
  <c r="D9" i="17"/>
  <c r="H16" i="7"/>
  <c r="D6" i="8"/>
  <c r="B42" i="10"/>
  <c r="B53" i="10"/>
  <c r="D53" i="10" s="1"/>
  <c r="B41" i="11" s="1"/>
  <c r="F42" i="6"/>
  <c r="F41" i="7"/>
  <c r="F9" i="17" l="1"/>
  <c r="D16" i="17"/>
  <c r="F6" i="8"/>
  <c r="D16" i="8"/>
  <c r="B42" i="11"/>
  <c r="B52" i="11"/>
  <c r="D52" i="11" s="1"/>
  <c r="B41" i="12" s="1"/>
  <c r="F42" i="7"/>
  <c r="F55" i="7"/>
  <c r="H55" i="7" s="1"/>
  <c r="H9" i="17" l="1"/>
  <c r="H16" i="17" s="1"/>
  <c r="D16" i="18" s="1"/>
  <c r="F16" i="17"/>
  <c r="H6" i="8"/>
  <c r="H16" i="8" s="1"/>
  <c r="F16" i="8"/>
  <c r="B42" i="12"/>
  <c r="B52" i="12"/>
  <c r="D52" i="12" s="1"/>
  <c r="B41" i="13" s="1"/>
  <c r="F41" i="8"/>
  <c r="F52" i="8" s="1"/>
  <c r="H52" i="8" s="1"/>
  <c r="F41" i="9" l="1"/>
  <c r="F55" i="9" s="1"/>
  <c r="H55" i="9" s="1"/>
  <c r="F42" i="8"/>
  <c r="B42" i="13"/>
  <c r="B52" i="13"/>
  <c r="D52" i="13" s="1"/>
  <c r="B41" i="14" s="1"/>
  <c r="F42" i="9"/>
  <c r="F41" i="10" l="1"/>
  <c r="F42" i="10" s="1"/>
  <c r="B42" i="14"/>
  <c r="B57" i="14"/>
  <c r="D57" i="14" s="1"/>
  <c r="B41" i="15" s="1"/>
  <c r="F53" i="10" l="1"/>
  <c r="H53" i="10" s="1"/>
  <c r="B42" i="15"/>
  <c r="B52" i="15"/>
  <c r="D52" i="15" s="1"/>
  <c r="B41" i="16" s="1"/>
  <c r="B52" i="16" l="1"/>
  <c r="D52" i="16" s="1"/>
  <c r="B41" i="17" s="1"/>
  <c r="B42" i="16"/>
  <c r="F41" i="11"/>
  <c r="F42" i="11" s="1"/>
  <c r="B42" i="17" l="1"/>
  <c r="B52" i="17"/>
  <c r="D52" i="17" s="1"/>
  <c r="B41" i="18" s="1"/>
  <c r="F52" i="11"/>
  <c r="H52" i="11" s="1"/>
  <c r="B42" i="18" l="1"/>
  <c r="B55" i="18"/>
  <c r="D55" i="18" s="1"/>
  <c r="B41" i="19" s="1"/>
  <c r="F41" i="12"/>
  <c r="F42" i="12" s="1"/>
  <c r="F52" i="12" l="1"/>
  <c r="H52" i="12" s="1"/>
  <c r="B42" i="19"/>
  <c r="B55" i="19"/>
  <c r="D55" i="19" s="1"/>
  <c r="B41" i="20" s="1"/>
  <c r="F41" i="13"/>
  <c r="F42" i="13" s="1"/>
  <c r="B42" i="20" l="1"/>
  <c r="B55" i="20"/>
  <c r="D55" i="20" s="1"/>
  <c r="B41" i="21" s="1"/>
  <c r="F52" i="13"/>
  <c r="H52" i="13" s="1"/>
  <c r="B42" i="21" l="1"/>
  <c r="B55" i="21"/>
  <c r="D55" i="21" s="1"/>
  <c r="B41" i="22" s="1"/>
  <c r="F41" i="14"/>
  <c r="F57" i="14" s="1"/>
  <c r="H57" i="14" s="1"/>
  <c r="B42" i="22" l="1"/>
  <c r="B55" i="22"/>
  <c r="D55" i="22" s="1"/>
  <c r="B41" i="23" s="1"/>
  <c r="F42" i="14"/>
  <c r="F41" i="15"/>
  <c r="F42" i="15" s="1"/>
  <c r="B42" i="23" l="1"/>
  <c r="B55" i="23"/>
  <c r="D55" i="23" s="1"/>
  <c r="B41" i="24" s="1"/>
  <c r="F52" i="15"/>
  <c r="H52" i="15" s="1"/>
  <c r="J52" i="15" l="1"/>
  <c r="J53" i="15" s="1"/>
  <c r="B42" i="24"/>
  <c r="B55" i="24"/>
  <c r="D55" i="24" s="1"/>
  <c r="F41" i="16"/>
  <c r="F42" i="16" s="1"/>
  <c r="F52" i="16" l="1"/>
  <c r="H52" i="16" s="1"/>
  <c r="F41" i="17" l="1"/>
  <c r="F42" i="17" s="1"/>
  <c r="F52" i="17"/>
  <c r="H52" i="17" s="1"/>
  <c r="F41" i="18" l="1"/>
  <c r="F55" i="18" l="1"/>
  <c r="H55" i="18" s="1"/>
  <c r="F42" i="18"/>
  <c r="F41" i="19" l="1"/>
  <c r="F42" i="19" s="1"/>
  <c r="F55" i="19"/>
  <c r="H55" i="19" s="1"/>
  <c r="F41" i="20" l="1"/>
  <c r="F42" i="20"/>
  <c r="F55" i="20"/>
  <c r="H55" i="20" s="1"/>
  <c r="F41" i="21" l="1"/>
  <c r="F42" i="21"/>
  <c r="F55" i="21"/>
  <c r="H55" i="21" s="1"/>
  <c r="F41" i="22" l="1"/>
  <c r="F42" i="22"/>
  <c r="F55" i="22"/>
  <c r="H55" i="22" s="1"/>
  <c r="F41" i="23" l="1"/>
  <c r="F42" i="23" s="1"/>
  <c r="F55" i="23"/>
  <c r="H55" i="23" s="1"/>
  <c r="F41" i="24" s="1"/>
  <c r="F42" i="24" l="1"/>
  <c r="F55" i="24"/>
  <c r="H55" i="24" s="1"/>
</calcChain>
</file>

<file path=xl/sharedStrings.xml><?xml version="1.0" encoding="utf-8"?>
<sst xmlns="http://schemas.openxmlformats.org/spreadsheetml/2006/main" count="2333" uniqueCount="361">
  <si>
    <t xml:space="preserve">RENT STATEMENT </t>
  </si>
  <si>
    <t>NAME</t>
  </si>
  <si>
    <t>BF</t>
  </si>
  <si>
    <t>RENT</t>
  </si>
  <si>
    <t>DUE BILL</t>
  </si>
  <si>
    <t>PAID</t>
  </si>
  <si>
    <t>BAL</t>
  </si>
  <si>
    <t>TOTAL</t>
  </si>
  <si>
    <t xml:space="preserve">DETAILS </t>
  </si>
  <si>
    <t xml:space="preserve">CR </t>
  </si>
  <si>
    <t>DR</t>
  </si>
  <si>
    <t>BL</t>
  </si>
  <si>
    <t xml:space="preserve">COMMISION  </t>
  </si>
  <si>
    <t xml:space="preserve">DEPOSIT </t>
  </si>
  <si>
    <t>DEDUCTION</t>
  </si>
  <si>
    <t>LETTING FEE</t>
  </si>
  <si>
    <t>PREPARED BY</t>
  </si>
  <si>
    <t>APPROVED BY</t>
  </si>
  <si>
    <t>RECEIVED BY</t>
  </si>
  <si>
    <t>NO</t>
  </si>
  <si>
    <t>DEP. BAL</t>
  </si>
  <si>
    <t>BAL B/F</t>
  </si>
  <si>
    <t>RENT  CF</t>
  </si>
  <si>
    <t>K1</t>
  </si>
  <si>
    <t>K2</t>
  </si>
  <si>
    <t>CARETAKER</t>
  </si>
  <si>
    <t>K3</t>
  </si>
  <si>
    <t>K4</t>
  </si>
  <si>
    <t>K5</t>
  </si>
  <si>
    <t>K6</t>
  </si>
  <si>
    <t>K7</t>
  </si>
  <si>
    <t>K8</t>
  </si>
  <si>
    <t>K9</t>
  </si>
  <si>
    <t>K10</t>
  </si>
  <si>
    <t>SUMMARY</t>
  </si>
  <si>
    <t>FLORENCE</t>
  </si>
  <si>
    <t>GRACE</t>
  </si>
  <si>
    <t>MAWE+MABATI</t>
  </si>
  <si>
    <t>FRANCIS LOKIDY</t>
  </si>
  <si>
    <t>JORAM MUYALAM</t>
  </si>
  <si>
    <t>JOSHUA MURURI</t>
  </si>
  <si>
    <t>PETER CHEGE</t>
  </si>
  <si>
    <t>MOSES WACURA</t>
  </si>
  <si>
    <t>JUMA BENSON</t>
  </si>
  <si>
    <t>JANET MUTINDA</t>
  </si>
  <si>
    <t>JOSHUA NYAGA</t>
  </si>
  <si>
    <t>VACCANT</t>
  </si>
  <si>
    <t>JANUARY</t>
  </si>
  <si>
    <t>PLOT 2</t>
  </si>
  <si>
    <t>PAID ON 11/1</t>
  </si>
  <si>
    <t>WILLIAM MWANIKI</t>
  </si>
  <si>
    <t>VACANT</t>
  </si>
  <si>
    <t>STANELY MWANGI</t>
  </si>
  <si>
    <t>HALEX INDUTI</t>
  </si>
  <si>
    <t>SIMON MUSYOKA</t>
  </si>
  <si>
    <t>SALOME KATEI</t>
  </si>
  <si>
    <t>FOR THE MONTH OF JANUARY 2020</t>
  </si>
  <si>
    <t>PAID ON20/1</t>
  </si>
  <si>
    <t>PAID ON 20/1/20</t>
  </si>
  <si>
    <t>PETER NJUGUNA</t>
  </si>
  <si>
    <t>MIRIAM NASAMBU</t>
  </si>
  <si>
    <t>PAID ON 25/1/20</t>
  </si>
  <si>
    <t>PAID ON25/1</t>
  </si>
  <si>
    <t>SALOME</t>
  </si>
  <si>
    <t>FOR THE MONTH OF FEBRUARY 2020</t>
  </si>
  <si>
    <t>FEBRUARY</t>
  </si>
  <si>
    <t>MUHINDI</t>
  </si>
  <si>
    <t>PAID ON 7/2</t>
  </si>
  <si>
    <t>JAMES MULYUNGI</t>
  </si>
  <si>
    <t>JOSHUA MUSEA</t>
  </si>
  <si>
    <t>JOSEPH</t>
  </si>
  <si>
    <t>PAID ON 15/2</t>
  </si>
  <si>
    <t>JENNIFFER</t>
  </si>
  <si>
    <t>DESMOND MAKAU</t>
  </si>
  <si>
    <t>PAID ON 18/2</t>
  </si>
  <si>
    <t>EVICTED</t>
  </si>
  <si>
    <t>MARCH</t>
  </si>
  <si>
    <t>FOR THE MONTH OF MARCH 2020</t>
  </si>
  <si>
    <t>NEW</t>
  </si>
  <si>
    <t>EVANS SASAKA</t>
  </si>
  <si>
    <t>PAID ON 12/3</t>
  </si>
  <si>
    <t>APRIL</t>
  </si>
  <si>
    <t>FOR THE MONTH OF APRIL 2020</t>
  </si>
  <si>
    <t>VACCATED</t>
  </si>
  <si>
    <t>MORRIS</t>
  </si>
  <si>
    <t xml:space="preserve">EVANS </t>
  </si>
  <si>
    <t>PAID ON 1/4/2020</t>
  </si>
  <si>
    <t>TO BE EVICTED</t>
  </si>
  <si>
    <t>LL200</t>
  </si>
  <si>
    <t>MAY</t>
  </si>
  <si>
    <t>FOR THE MONTH OF MAY 2020</t>
  </si>
  <si>
    <t>LL1500</t>
  </si>
  <si>
    <t>ALDASUS</t>
  </si>
  <si>
    <t>AT HOME</t>
  </si>
  <si>
    <t>TO PAY</t>
  </si>
  <si>
    <t>PAID ON 11/5</t>
  </si>
  <si>
    <t>PAID ON 14/5</t>
  </si>
  <si>
    <t>MAURICE OWINO</t>
  </si>
  <si>
    <t>JOSHUA (ELECTRICITY)</t>
  </si>
  <si>
    <t>EVANS (ELECTRICITY)</t>
  </si>
  <si>
    <t>JOSHUA( ELECTRICITY)</t>
  </si>
  <si>
    <t>ALBANUS</t>
  </si>
  <si>
    <t>FOR THE MONTH OF JUNE 2020</t>
  </si>
  <si>
    <t>JUNE</t>
  </si>
  <si>
    <t>PAID ON 1/5</t>
  </si>
  <si>
    <t>DESMOND10</t>
  </si>
  <si>
    <t>PAID ON 17/6</t>
  </si>
  <si>
    <t>JEN NZAUMI</t>
  </si>
  <si>
    <t>ll2000</t>
  </si>
  <si>
    <t>peter 5 gave ll</t>
  </si>
  <si>
    <t>peter5 gave ll</t>
  </si>
  <si>
    <t>new</t>
  </si>
  <si>
    <t>JOSEPH 12 gave ll</t>
  </si>
  <si>
    <t>evicted</t>
  </si>
  <si>
    <t>EVANS(vaccated)</t>
  </si>
  <si>
    <t>MORRIS GAVE LL</t>
  </si>
  <si>
    <t>MUHINDI VACCATED</t>
  </si>
  <si>
    <t>WILLIAM(VACCATED</t>
  </si>
  <si>
    <t>WILLIAM(VACCATED)</t>
  </si>
  <si>
    <t>SIMON(EVICTED)</t>
  </si>
  <si>
    <t>PAID ON 22/6</t>
  </si>
  <si>
    <t>JULY</t>
  </si>
  <si>
    <t>FOR THE MONTH OF JULY 2020</t>
  </si>
  <si>
    <t>THOMAS</t>
  </si>
  <si>
    <t>SYLVESTER OKEYO</t>
  </si>
  <si>
    <t>EVANS PAID LL</t>
  </si>
  <si>
    <t>PAID LL</t>
  </si>
  <si>
    <t>MOSES OTIENDE</t>
  </si>
  <si>
    <t>LL</t>
  </si>
  <si>
    <t>JOSHUA NYAGA PAID LL</t>
  </si>
  <si>
    <t>JANET MUTINDA 16</t>
  </si>
  <si>
    <t xml:space="preserve">LOAN </t>
  </si>
  <si>
    <t>NO 4</t>
  </si>
  <si>
    <t>PETER NO8</t>
  </si>
  <si>
    <t>MIRIAM NO13</t>
  </si>
  <si>
    <t>PAID ON 16/7</t>
  </si>
  <si>
    <t>GLADY MORAA</t>
  </si>
  <si>
    <t>AUGUST</t>
  </si>
  <si>
    <t>FOR THE MONTH OF AUGUST 2020</t>
  </si>
  <si>
    <t>PAID ON 28/7</t>
  </si>
  <si>
    <t>SAMSON AMIMO</t>
  </si>
  <si>
    <t>vaccated</t>
  </si>
  <si>
    <t>joseph paid ll</t>
  </si>
  <si>
    <t>ll</t>
  </si>
  <si>
    <t>janet paid ll</t>
  </si>
  <si>
    <t>joseph$ miriam paid ll</t>
  </si>
  <si>
    <t>paid</t>
  </si>
  <si>
    <t>PAID ON 17/8</t>
  </si>
  <si>
    <t>LOAN</t>
  </si>
  <si>
    <t>MPESA</t>
  </si>
  <si>
    <t>N0.1&amp;12</t>
  </si>
  <si>
    <t>N</t>
  </si>
  <si>
    <t xml:space="preserve">MELKIUS </t>
  </si>
  <si>
    <t>JOSEPH 12 +JAMES 7gave ll</t>
  </si>
  <si>
    <t>NO 1&amp;12 PAID LL</t>
  </si>
  <si>
    <t>FOR THE MONTH OF SEPTEMBER2020</t>
  </si>
  <si>
    <t>SEPTEMBER</t>
  </si>
  <si>
    <t>MIRIAM 13 PAID LL</t>
  </si>
  <si>
    <t>HELLEN AFULA</t>
  </si>
  <si>
    <t>PAID ON 7/9</t>
  </si>
  <si>
    <t>RAPHAEL LUKOSE</t>
  </si>
  <si>
    <t>BENSON MAINA</t>
  </si>
  <si>
    <t>EVANS MUTUA</t>
  </si>
  <si>
    <t>JOSHUA&amp; HELLEN PAID LL</t>
  </si>
  <si>
    <t>SHADRACK MBIRITHIA</t>
  </si>
  <si>
    <t>RAHAB WANJIKU</t>
  </si>
  <si>
    <t>BRIAN  GIBENDI</t>
  </si>
  <si>
    <t>THOMAS NZINA</t>
  </si>
  <si>
    <t>BRIAN 16 PAID LL</t>
  </si>
  <si>
    <t>PETER CHEGE LLTO PAY</t>
  </si>
  <si>
    <t>SCOVIA NGANGA</t>
  </si>
  <si>
    <t>NO 13</t>
  </si>
  <si>
    <t>NO.9 PAID LL</t>
  </si>
  <si>
    <t>FRANCE MATATA</t>
  </si>
  <si>
    <t>FRANCE NO.9 PAID LL</t>
  </si>
  <si>
    <t>BENSON PAID LL</t>
  </si>
  <si>
    <t>BENSON NO.3PAID LL</t>
  </si>
  <si>
    <t>COMM</t>
  </si>
  <si>
    <t>DIRECT TO LL</t>
  </si>
  <si>
    <t>NYAGA</t>
  </si>
  <si>
    <t>NO.7HELLEN</t>
  </si>
  <si>
    <t>NO.9 FRANCE</t>
  </si>
  <si>
    <t>NO.8CHEGE</t>
  </si>
  <si>
    <t>NO.16BRIAN</t>
  </si>
  <si>
    <t>NO.3 BENSON</t>
  </si>
  <si>
    <t>PAIDON7 /9</t>
  </si>
  <si>
    <t>PAID ON  17/9</t>
  </si>
  <si>
    <t>FOR THE MONTH OF OCTOBER2020</t>
  </si>
  <si>
    <t>OCTOBER</t>
  </si>
  <si>
    <t>RAPHAELNO.8</t>
  </si>
  <si>
    <t>PETER.5+JOSEPH 10 PAIDLL</t>
  </si>
  <si>
    <t>PAID ON 10/10</t>
  </si>
  <si>
    <t>PAID ON 8/10</t>
  </si>
  <si>
    <t>JOSEPH NO.10</t>
  </si>
  <si>
    <t>PAID  ON 12/10</t>
  </si>
  <si>
    <t>PAID ON 12/10</t>
  </si>
  <si>
    <t>RONALD</t>
  </si>
  <si>
    <t>ISHMAEL ONDONDO</t>
  </si>
  <si>
    <t>FOR THE MONTH OF NOVEMBER 20</t>
  </si>
  <si>
    <t>NOVEMBER</t>
  </si>
  <si>
    <t>ISHMAEL PAID LL</t>
  </si>
  <si>
    <t>PAID ON 24/10</t>
  </si>
  <si>
    <t>LL1600</t>
  </si>
  <si>
    <t>PAID ON 6/11</t>
  </si>
  <si>
    <t>ZECHARIA</t>
  </si>
  <si>
    <t>SCOVIA PAID LL</t>
  </si>
  <si>
    <t>PAID CARETAKER</t>
  </si>
  <si>
    <t>RONALD 7PAID LL</t>
  </si>
  <si>
    <t>DICKSON</t>
  </si>
  <si>
    <t>BROKE PADLOCK $VACCATED</t>
  </si>
  <si>
    <t>JANET=3200</t>
  </si>
  <si>
    <t>PAID ON 14/11</t>
  </si>
  <si>
    <t>MARY WANJIKU</t>
  </si>
  <si>
    <t>VACCATED AFTER THE DOOR WAS REMOVED</t>
  </si>
  <si>
    <t>RAPHAEL LUKOSE EVICTED</t>
  </si>
  <si>
    <t>PAID ON 18/11</t>
  </si>
  <si>
    <t>DECEMBER</t>
  </si>
  <si>
    <t>FOR THE MONTH OF DECEMBER 20</t>
  </si>
  <si>
    <t>broke padlock &amp; vaccated</t>
  </si>
  <si>
    <t>SYLVESTER NO.6 VACCATED</t>
  </si>
  <si>
    <t>PAID ON 30/11</t>
  </si>
  <si>
    <t>PHILLIP WANGWE</t>
  </si>
  <si>
    <t>DAVID LUSEKA</t>
  </si>
  <si>
    <t>PAID ON 11/12</t>
  </si>
  <si>
    <t>PAID ON 9/12</t>
  </si>
  <si>
    <t>B/F</t>
  </si>
  <si>
    <t>TOTAL EXPECTED</t>
  </si>
  <si>
    <t>BAL PAYABLE</t>
  </si>
  <si>
    <t>HANNAH NYOKABI</t>
  </si>
  <si>
    <t>PAID ON 12/12</t>
  </si>
  <si>
    <t>z</t>
  </si>
  <si>
    <t>FOR THE MONTH OF JANUARY 2021</t>
  </si>
  <si>
    <t>PAID ON 31/12</t>
  </si>
  <si>
    <t>PAID ON 13/1</t>
  </si>
  <si>
    <t>FRANCIS MATATA</t>
  </si>
  <si>
    <t>FRANCE NO.5</t>
  </si>
  <si>
    <t>JOSHUA RENT</t>
  </si>
  <si>
    <t>PAID ON  13/1</t>
  </si>
  <si>
    <t>PAID ON 19/1</t>
  </si>
  <si>
    <t>FOR THE MONTH OF FEBRUARY 2021</t>
  </si>
  <si>
    <t>JANET VACCATED</t>
  </si>
  <si>
    <t>DAVIS OKOTH</t>
  </si>
  <si>
    <t>PAID ON 5/2</t>
  </si>
  <si>
    <t>BRIAN VACCATED</t>
  </si>
  <si>
    <t>BENSON VACCATED</t>
  </si>
  <si>
    <t>LL 1500</t>
  </si>
  <si>
    <t>PETER CHEGE PAID LL</t>
  </si>
  <si>
    <t>JANET+BRIAN NO16VACCATED</t>
  </si>
  <si>
    <t>BENSON NO.7 VACCATED</t>
  </si>
  <si>
    <t>BALANCE</t>
  </si>
  <si>
    <t>TOTAL BAL</t>
  </si>
  <si>
    <t>PAID ON 16/2 -MPESA</t>
  </si>
  <si>
    <t>PAID ON 16/2 -CASH</t>
  </si>
  <si>
    <t>SABRON NYAKUNDI</t>
  </si>
  <si>
    <t>SABRON PAID LL</t>
  </si>
  <si>
    <t>PAID ON 22/2</t>
  </si>
  <si>
    <t>FOR THE MONTH OF MARCH 2021</t>
  </si>
  <si>
    <t>THOMAS 12 VACCATED</t>
  </si>
  <si>
    <t>PHILLIPH 3VACCATED</t>
  </si>
  <si>
    <t>EDWARD</t>
  </si>
  <si>
    <t>DAVID VACCATED</t>
  </si>
  <si>
    <t>AGNES SERAH</t>
  </si>
  <si>
    <t>DICKSON VACCATED</t>
  </si>
  <si>
    <t>PAID ON 16/3</t>
  </si>
  <si>
    <t>B/F  7857 TO BE PAID IN 2 INSTALLMENTS</t>
  </si>
  <si>
    <t>PAID ON 14/3</t>
  </si>
  <si>
    <t>PAID ON 13/3</t>
  </si>
  <si>
    <t>PAID ON 15/3</t>
  </si>
  <si>
    <t>BALANCE FEB</t>
  </si>
  <si>
    <t>NEW 9 LL</t>
  </si>
  <si>
    <t>FOR THE MONTH OF APRIL 2021</t>
  </si>
  <si>
    <t>PAID ON 3/4</t>
  </si>
  <si>
    <t>MAMA MWANGI</t>
  </si>
  <si>
    <t>PURITY TWIGA</t>
  </si>
  <si>
    <t>DALTON SIMIYU</t>
  </si>
  <si>
    <t>BED</t>
  </si>
  <si>
    <t>MATRICE</t>
  </si>
  <si>
    <t>SOFASET</t>
  </si>
  <si>
    <t>GLASSTABLE</t>
  </si>
  <si>
    <t>TV TABLE</t>
  </si>
  <si>
    <t>PAID ON 15/4</t>
  </si>
  <si>
    <t>EVANS ODUOR</t>
  </si>
  <si>
    <t>FOR THE MONTH OF MAY 2021</t>
  </si>
  <si>
    <t>LL600</t>
  </si>
  <si>
    <t>PAID ON 30/4</t>
  </si>
  <si>
    <t>moses wagura</t>
  </si>
  <si>
    <t>ROBERT</t>
  </si>
  <si>
    <t>PAID ON 18/5</t>
  </si>
  <si>
    <t>PAID ON 19/5</t>
  </si>
  <si>
    <t>FOR THE MONTH OF JUNE 2021</t>
  </si>
  <si>
    <t>DALTON  NO.10VACCATED</t>
  </si>
  <si>
    <t>SABRON NO.8 PAID LL</t>
  </si>
  <si>
    <t>EVANS NO.4 EVICTED</t>
  </si>
  <si>
    <t>SAMUEL</t>
  </si>
  <si>
    <t>PAID ON 2/6</t>
  </si>
  <si>
    <t>PAID ON 4/6</t>
  </si>
  <si>
    <t>PAID ON 8/6</t>
  </si>
  <si>
    <t>PETERSON OBIRO</t>
  </si>
  <si>
    <t>C</t>
  </si>
  <si>
    <t>SABRON</t>
  </si>
  <si>
    <t>DALTON&amp;EVANS</t>
  </si>
  <si>
    <t>MUSEMBI</t>
  </si>
  <si>
    <t>PAID ON 15/6</t>
  </si>
  <si>
    <t>PAID ON 18/6</t>
  </si>
  <si>
    <t>VACATED</t>
  </si>
  <si>
    <t>EVANS VACCATED</t>
  </si>
  <si>
    <t>ROBERT EVICTED</t>
  </si>
  <si>
    <t>FELIX</t>
  </si>
  <si>
    <t>FRANCIS</t>
  </si>
  <si>
    <t>FOR THE MONTH OF JULY 2021</t>
  </si>
  <si>
    <t>MARY NO.6 PLOT2 VACCATED</t>
  </si>
  <si>
    <t>PAID ON 17/7</t>
  </si>
  <si>
    <t>PHILIP OMULA</t>
  </si>
  <si>
    <t>DAVID NO,4 VACATED</t>
  </si>
  <si>
    <t>FOR THE MONTH OF AUGUST 2021</t>
  </si>
  <si>
    <t>DAVIS OKOWILLIAMTH</t>
  </si>
  <si>
    <t>FRANCIS  NO 2PAID LL</t>
  </si>
  <si>
    <t>SHADUMA ACULEX</t>
  </si>
  <si>
    <t>JOSHUA/KEVIN</t>
  </si>
  <si>
    <t>MUSEMBI EVICTED</t>
  </si>
  <si>
    <t>WILLIAM</t>
  </si>
  <si>
    <t>PAID ON 12/8</t>
  </si>
  <si>
    <t>PAID ON 13/8</t>
  </si>
  <si>
    <t>ARREARS</t>
  </si>
  <si>
    <t>SHADRACK EVICTED</t>
  </si>
  <si>
    <t>FRANCIS LL</t>
  </si>
  <si>
    <t>SABRON NYAKUNDI LL</t>
  </si>
  <si>
    <t xml:space="preserve">BALANCE </t>
  </si>
  <si>
    <t>PAID ON 14/8</t>
  </si>
  <si>
    <t>PHILLIPH OMULA</t>
  </si>
  <si>
    <t>ANTONY MURIITHI</t>
  </si>
  <si>
    <t>PAID ON 8/9</t>
  </si>
  <si>
    <t xml:space="preserve">ARREARS </t>
  </si>
  <si>
    <t>FOR THE MONTH OF SEPTEMBER 2021</t>
  </si>
  <si>
    <t>PAID ON 15/9</t>
  </si>
  <si>
    <t>FOR THE MONTH OF OCTOBER 2021</t>
  </si>
  <si>
    <t xml:space="preserve">V </t>
  </si>
  <si>
    <t>AIPHINE</t>
  </si>
  <si>
    <t>PAID ON 28/9</t>
  </si>
  <si>
    <t>JOSEPHAT MUTINDA</t>
  </si>
  <si>
    <t>ALFRED</t>
  </si>
  <si>
    <t>EUNICE MBESA</t>
  </si>
  <si>
    <t>JOSEPHAT NGIGI</t>
  </si>
  <si>
    <t>KEVIN /JOSHUA VACCATED</t>
  </si>
  <si>
    <t>FOR THE MONTH OF NOVEMBER 2021</t>
  </si>
  <si>
    <t>NOV</t>
  </si>
  <si>
    <t>JOSEPH PHILLIPH</t>
  </si>
  <si>
    <t>JOHN NDUNGU</t>
  </si>
  <si>
    <t>PAID ON 17/10</t>
  </si>
  <si>
    <t>KEVIN EVICTED</t>
  </si>
  <si>
    <t xml:space="preserve">KEVIN </t>
  </si>
  <si>
    <t>PAID ON 21/11</t>
  </si>
  <si>
    <t>JOSEPH PHILIP PAID LL</t>
  </si>
  <si>
    <t>PAID ON  5/11</t>
  </si>
  <si>
    <t>PAID ON 15/11</t>
  </si>
  <si>
    <t>ROSEMARY MAINA</t>
  </si>
  <si>
    <t>EUNICE VACCATED</t>
  </si>
  <si>
    <t>FOR THE MONTH OF DECEMBER 2021</t>
  </si>
  <si>
    <t>NEW NO.2 PAID LL</t>
  </si>
  <si>
    <t xml:space="preserve">MIKELINA MWONTUNE </t>
  </si>
  <si>
    <t>PAID ON 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</si>
</sst>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8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1" xfId="0" applyNumberFormat="1" applyFont="1" applyBorder="1"/>
    <xf numFmtId="164" fontId="6" fillId="0" borderId="4" xfId="1" applyNumberFormat="1" applyFont="1" applyFill="1" applyBorder="1"/>
    <xf numFmtId="164" fontId="5" fillId="0" borderId="1" xfId="1" applyNumberFormat="1" applyFont="1" applyBorder="1" applyAlignment="1">
      <alignment vertical="center"/>
    </xf>
    <xf numFmtId="0" fontId="2" fillId="0" borderId="1" xfId="0" applyFont="1" applyBorder="1"/>
    <xf numFmtId="43" fontId="7" fillId="0" borderId="1" xfId="1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/>
    </xf>
    <xf numFmtId="0" fontId="7" fillId="0" borderId="1" xfId="0" applyFont="1" applyBorder="1"/>
    <xf numFmtId="164" fontId="7" fillId="0" borderId="1" xfId="1" applyNumberFormat="1" applyFont="1" applyBorder="1" applyAlignment="1">
      <alignment vertical="center" wrapText="1"/>
    </xf>
    <xf numFmtId="0" fontId="7" fillId="0" borderId="0" xfId="0" applyFont="1"/>
    <xf numFmtId="0" fontId="7" fillId="0" borderId="0" xfId="0" applyFont="1" applyBorder="1"/>
    <xf numFmtId="43" fontId="7" fillId="0" borderId="0" xfId="1" applyFont="1" applyBorder="1" applyAlignment="1">
      <alignment vertical="center"/>
    </xf>
    <xf numFmtId="43" fontId="7" fillId="0" borderId="0" xfId="0" applyNumberFormat="1" applyFont="1"/>
    <xf numFmtId="0" fontId="12" fillId="0" borderId="1" xfId="0" applyFont="1" applyBorder="1"/>
    <xf numFmtId="164" fontId="12" fillId="0" borderId="1" xfId="0" applyNumberFormat="1" applyFont="1" applyBorder="1"/>
    <xf numFmtId="0" fontId="13" fillId="0" borderId="1" xfId="0" applyFont="1" applyBorder="1"/>
    <xf numFmtId="0" fontId="0" fillId="0" borderId="1" xfId="0" applyFont="1" applyBorder="1"/>
    <xf numFmtId="9" fontId="13" fillId="0" borderId="1" xfId="0" applyNumberFormat="1" applyFont="1" applyBorder="1"/>
    <xf numFmtId="164" fontId="13" fillId="0" borderId="1" xfId="0" applyNumberFormat="1" applyFont="1" applyBorder="1"/>
    <xf numFmtId="0" fontId="13" fillId="0" borderId="1" xfId="0" applyFont="1" applyFill="1" applyBorder="1"/>
    <xf numFmtId="0" fontId="10" fillId="0" borderId="1" xfId="0" applyFont="1" applyFill="1" applyBorder="1"/>
    <xf numFmtId="0" fontId="10" fillId="0" borderId="1" xfId="0" applyFont="1" applyBorder="1"/>
    <xf numFmtId="3" fontId="10" fillId="0" borderId="1" xfId="0" applyNumberFormat="1" applyFont="1" applyBorder="1"/>
    <xf numFmtId="164" fontId="8" fillId="0" borderId="1" xfId="0" applyNumberFormat="1" applyFont="1" applyBorder="1"/>
    <xf numFmtId="14" fontId="8" fillId="0" borderId="1" xfId="0" applyNumberFormat="1" applyFont="1" applyFill="1" applyBorder="1"/>
    <xf numFmtId="3" fontId="8" fillId="0" borderId="1" xfId="0" applyNumberFormat="1" applyFont="1" applyBorder="1"/>
    <xf numFmtId="0" fontId="8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7" fillId="0" borderId="1" xfId="1" applyNumberFormat="1" applyFont="1" applyBorder="1" applyAlignment="1">
      <alignment horizontal="right" vertical="center" wrapText="1"/>
    </xf>
    <xf numFmtId="164" fontId="6" fillId="0" borderId="1" xfId="1" applyNumberFormat="1" applyFont="1" applyBorder="1" applyAlignment="1">
      <alignment vertical="center"/>
    </xf>
    <xf numFmtId="164" fontId="7" fillId="0" borderId="1" xfId="0" applyNumberFormat="1" applyFont="1" applyBorder="1"/>
    <xf numFmtId="0" fontId="6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43" fontId="11" fillId="0" borderId="1" xfId="1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 wrapText="1"/>
    </xf>
    <xf numFmtId="164" fontId="11" fillId="0" borderId="2" xfId="0" applyNumberFormat="1" applyFont="1" applyBorder="1"/>
    <xf numFmtId="0" fontId="9" fillId="0" borderId="1" xfId="0" applyFont="1" applyBorder="1" applyAlignment="1">
      <alignment vertical="center" wrapText="1"/>
    </xf>
    <xf numFmtId="0" fontId="11" fillId="0" borderId="0" xfId="0" applyFont="1"/>
    <xf numFmtId="0" fontId="15" fillId="0" borderId="1" xfId="0" applyFont="1" applyBorder="1"/>
    <xf numFmtId="43" fontId="13" fillId="0" borderId="1" xfId="0" applyNumberFormat="1" applyFont="1" applyBorder="1"/>
    <xf numFmtId="9" fontId="10" fillId="0" borderId="1" xfId="0" applyNumberFormat="1" applyFont="1" applyBorder="1"/>
    <xf numFmtId="164" fontId="0" fillId="0" borderId="0" xfId="0" applyNumberFormat="1"/>
    <xf numFmtId="3" fontId="0" fillId="0" borderId="0" xfId="0" applyNumberFormat="1"/>
    <xf numFmtId="164" fontId="16" fillId="0" borderId="0" xfId="0" applyNumberFormat="1" applyFont="1"/>
    <xf numFmtId="0" fontId="6" fillId="0" borderId="6" xfId="0" applyFont="1" applyFill="1" applyBorder="1" applyAlignment="1">
      <alignment vertical="center" wrapText="1"/>
    </xf>
    <xf numFmtId="164" fontId="9" fillId="0" borderId="1" xfId="1" applyNumberFormat="1" applyFont="1" applyBorder="1" applyAlignment="1">
      <alignment vertical="center"/>
    </xf>
    <xf numFmtId="3" fontId="16" fillId="0" borderId="0" xfId="0" applyNumberFormat="1" applyFont="1"/>
    <xf numFmtId="0" fontId="16" fillId="0" borderId="0" xfId="0" applyFont="1"/>
    <xf numFmtId="0" fontId="9" fillId="0" borderId="1" xfId="0" applyFont="1" applyFill="1" applyBorder="1" applyAlignment="1">
      <alignment vertical="center" wrapText="1"/>
    </xf>
    <xf numFmtId="43" fontId="9" fillId="0" borderId="1" xfId="1" applyFont="1" applyBorder="1" applyAlignment="1">
      <alignment vertical="center" wrapText="1"/>
    </xf>
    <xf numFmtId="164" fontId="9" fillId="0" borderId="1" xfId="1" applyNumberFormat="1" applyFont="1" applyBorder="1" applyAlignment="1">
      <alignment vertical="center" wrapText="1"/>
    </xf>
    <xf numFmtId="164" fontId="9" fillId="0" borderId="1" xfId="0" applyNumberFormat="1" applyFont="1" applyBorder="1"/>
    <xf numFmtId="164" fontId="9" fillId="0" borderId="1" xfId="1" applyNumberFormat="1" applyFont="1" applyBorder="1" applyAlignment="1">
      <alignment horizontal="right" vertical="center" wrapText="1"/>
    </xf>
    <xf numFmtId="0" fontId="17" fillId="0" borderId="1" xfId="0" applyFont="1" applyBorder="1"/>
    <xf numFmtId="0" fontId="1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IZABETH%20MW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5"/>
      <sheetName val="MARCH 2015"/>
      <sheetName val="APRIL 2015"/>
      <sheetName val="MAY 2015"/>
      <sheetName val="JUNE  2015"/>
      <sheetName val="JULY"/>
      <sheetName val="AUGUST"/>
      <sheetName val="SEP"/>
      <sheetName val="OCTO"/>
      <sheetName val="NOV"/>
      <sheetName val="DEC"/>
      <sheetName val="JAN"/>
      <sheetName val="FEB 2016"/>
      <sheetName val="MARCH 2016"/>
      <sheetName val="APRIL 2016"/>
      <sheetName val="JAN 2017"/>
      <sheetName val="FEB 2017"/>
      <sheetName val="MARCH 2017"/>
      <sheetName val="APRIL 2017"/>
      <sheetName val="MAY 2017"/>
      <sheetName val="JUNE 2017"/>
      <sheetName val="JULY 2017"/>
      <sheetName val="AUGUST  2017"/>
      <sheetName val="SEP 2017"/>
      <sheetName val="OCTOMBER"/>
      <sheetName val="NOVEMBER"/>
      <sheetName val="DEC  2017"/>
      <sheetName val="JAN 18"/>
      <sheetName val="FEB 2018"/>
      <sheetName val="MARCH "/>
      <sheetName val="APRILL"/>
      <sheetName val="MAY"/>
      <sheetName val="JUNE "/>
      <sheetName val="JULY7"/>
      <sheetName val="AUG"/>
      <sheetName val="SEPT"/>
      <sheetName val="OCT"/>
      <sheetName val="NOVE"/>
      <sheetName val="DECEM"/>
      <sheetName val="JANUARY"/>
      <sheetName val="FEBRUARY"/>
      <sheetName val="MARCH 19"/>
      <sheetName val="APRIL "/>
      <sheetName val="MAY "/>
      <sheetName val="JUNEE"/>
      <sheetName val="JULY "/>
      <sheetName val="AUGUST 19"/>
      <sheetName val="SEPTEMBER 19"/>
      <sheetName val="OCTOBER 19"/>
      <sheetName val="Sheet1"/>
      <sheetName val="NOVEMBER 19"/>
      <sheetName val="Sheet2"/>
      <sheetName val="DECEMBER 19"/>
      <sheetName val="Sheet3"/>
      <sheetName val="JANUARY 20"/>
      <sheetName val="Sheet4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"/>
      <sheetName val="JANUARY 21"/>
      <sheetName val="FEBRUARY 21"/>
      <sheetName val="MARCH 21"/>
      <sheetName val="APRIL21"/>
      <sheetName val="MAY 21"/>
      <sheetName val="JUNE 21"/>
      <sheetName val="JULY 21"/>
      <sheetName val="AUGUST 21"/>
      <sheetName val="SEP 21"/>
      <sheetName val="OCT 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19" workbookViewId="0">
      <selection activeCell="K42" sqref="K42"/>
    </sheetView>
  </sheetViews>
  <sheetFormatPr defaultRowHeight="15" x14ac:dyDescent="0.25"/>
  <cols>
    <col min="1" max="1" width="0.42578125" customWidth="1"/>
  </cols>
  <sheetData>
    <row r="1" spans="1:10" x14ac:dyDescent="0.25">
      <c r="A1" s="1"/>
    </row>
    <row r="2" spans="1:10" ht="15.75" x14ac:dyDescent="0.25">
      <c r="A2" s="1"/>
      <c r="B2" s="1"/>
      <c r="C2" s="1"/>
      <c r="D2" s="2" t="s">
        <v>55</v>
      </c>
      <c r="E2" s="1"/>
      <c r="F2" s="1"/>
      <c r="G2" s="1"/>
    </row>
    <row r="3" spans="1:10" ht="15.75" x14ac:dyDescent="0.25">
      <c r="A3" s="1"/>
      <c r="D3" s="3" t="s">
        <v>0</v>
      </c>
      <c r="E3" s="3" t="s">
        <v>0</v>
      </c>
      <c r="F3" s="1"/>
      <c r="G3" s="1"/>
    </row>
    <row r="4" spans="1:10" ht="21" x14ac:dyDescent="0.25">
      <c r="A4" s="1"/>
      <c r="D4" s="4" t="s">
        <v>56</v>
      </c>
      <c r="E4" s="3"/>
      <c r="F4" s="5"/>
      <c r="G4" s="5"/>
    </row>
    <row r="5" spans="1:10" x14ac:dyDescent="0.25">
      <c r="A5" s="1"/>
      <c r="E5" s="35" t="s">
        <v>48</v>
      </c>
    </row>
    <row r="6" spans="1:10" x14ac:dyDescent="0.25">
      <c r="A6" s="1"/>
      <c r="B6" s="36" t="s">
        <v>19</v>
      </c>
      <c r="C6" s="36" t="s">
        <v>1</v>
      </c>
      <c r="D6" s="36" t="s">
        <v>20</v>
      </c>
      <c r="E6" s="36" t="s">
        <v>21</v>
      </c>
      <c r="F6" s="36" t="s">
        <v>3</v>
      </c>
      <c r="G6" s="37" t="s">
        <v>4</v>
      </c>
      <c r="H6" s="36" t="s">
        <v>5</v>
      </c>
      <c r="I6" s="38" t="s">
        <v>22</v>
      </c>
    </row>
    <row r="7" spans="1:10" x14ac:dyDescent="0.25">
      <c r="A7" s="1"/>
      <c r="B7" s="39" t="s">
        <v>23</v>
      </c>
      <c r="C7" s="40" t="s">
        <v>46</v>
      </c>
      <c r="D7" s="12"/>
      <c r="E7" s="13"/>
      <c r="F7" s="41"/>
      <c r="G7" s="13">
        <f>F7+E7+D7</f>
        <v>0</v>
      </c>
      <c r="H7" s="42"/>
      <c r="I7" s="43">
        <f t="shared" ref="I7:I16" si="0">G7-H7</f>
        <v>0</v>
      </c>
      <c r="J7" t="s">
        <v>46</v>
      </c>
    </row>
    <row r="8" spans="1:10" x14ac:dyDescent="0.25">
      <c r="A8" s="1"/>
      <c r="B8" s="39" t="s">
        <v>24</v>
      </c>
      <c r="C8" s="44"/>
      <c r="D8" s="12"/>
      <c r="E8" s="13"/>
      <c r="F8" s="41"/>
      <c r="G8" s="13">
        <f t="shared" ref="G8:G16" si="1">F8+E8+D8</f>
        <v>0</v>
      </c>
      <c r="H8" s="13"/>
      <c r="I8" s="43">
        <f t="shared" si="0"/>
        <v>0</v>
      </c>
    </row>
    <row r="9" spans="1:10" x14ac:dyDescent="0.25">
      <c r="A9" s="1"/>
      <c r="B9" s="39" t="s">
        <v>26</v>
      </c>
      <c r="C9" s="14" t="s">
        <v>45</v>
      </c>
      <c r="D9" s="14"/>
      <c r="E9" s="13"/>
      <c r="F9" s="14">
        <v>1500</v>
      </c>
      <c r="G9" s="13">
        <f t="shared" si="1"/>
        <v>1500</v>
      </c>
      <c r="H9" s="14">
        <f>1000+500</f>
        <v>1500</v>
      </c>
      <c r="I9" s="43">
        <f t="shared" si="0"/>
        <v>0</v>
      </c>
    </row>
    <row r="10" spans="1:10" x14ac:dyDescent="0.25">
      <c r="A10" s="1"/>
      <c r="B10" s="45" t="s">
        <v>27</v>
      </c>
      <c r="C10" s="44" t="s">
        <v>46</v>
      </c>
      <c r="D10" s="14"/>
      <c r="E10" s="13"/>
      <c r="F10" s="46"/>
      <c r="G10" s="13">
        <f t="shared" si="1"/>
        <v>0</v>
      </c>
      <c r="H10" s="43"/>
      <c r="I10" s="43">
        <f t="shared" si="0"/>
        <v>0</v>
      </c>
    </row>
    <row r="11" spans="1:10" ht="22.5" x14ac:dyDescent="0.25">
      <c r="A11" s="1"/>
      <c r="B11" s="47" t="s">
        <v>28</v>
      </c>
      <c r="C11" s="44" t="s">
        <v>54</v>
      </c>
      <c r="D11" s="12"/>
      <c r="E11" s="13"/>
      <c r="F11" s="41">
        <v>1500</v>
      </c>
      <c r="G11" s="13">
        <f t="shared" si="1"/>
        <v>1500</v>
      </c>
      <c r="H11" s="42"/>
      <c r="I11" s="43">
        <f t="shared" si="0"/>
        <v>1500</v>
      </c>
    </row>
    <row r="12" spans="1:10" x14ac:dyDescent="0.25">
      <c r="A12" s="1"/>
      <c r="B12" s="48" t="s">
        <v>29</v>
      </c>
      <c r="C12" s="40"/>
      <c r="D12" s="14"/>
      <c r="E12" s="13"/>
      <c r="F12" s="49"/>
      <c r="G12" s="13">
        <f t="shared" si="1"/>
        <v>0</v>
      </c>
      <c r="H12" s="50"/>
      <c r="I12" s="43">
        <f t="shared" si="0"/>
        <v>0</v>
      </c>
    </row>
    <row r="13" spans="1:10" x14ac:dyDescent="0.25">
      <c r="A13" s="1"/>
      <c r="B13" s="39" t="s">
        <v>30</v>
      </c>
      <c r="C13" s="40" t="s">
        <v>66</v>
      </c>
      <c r="D13" s="12"/>
      <c r="E13" s="13"/>
      <c r="F13" s="41">
        <v>1500</v>
      </c>
      <c r="G13" s="13">
        <f t="shared" si="1"/>
        <v>1500</v>
      </c>
      <c r="H13" s="42">
        <v>1500</v>
      </c>
      <c r="I13" s="43">
        <f t="shared" si="0"/>
        <v>0</v>
      </c>
    </row>
    <row r="14" spans="1:10" x14ac:dyDescent="0.25">
      <c r="A14" s="9"/>
      <c r="B14" s="39" t="s">
        <v>31</v>
      </c>
      <c r="C14" s="40" t="s">
        <v>51</v>
      </c>
      <c r="D14" s="12"/>
      <c r="E14" s="13"/>
      <c r="F14" s="41"/>
      <c r="G14" s="13">
        <f t="shared" si="1"/>
        <v>0</v>
      </c>
      <c r="H14" s="42"/>
      <c r="I14" s="43">
        <f t="shared" si="0"/>
        <v>0</v>
      </c>
    </row>
    <row r="15" spans="1:10" x14ac:dyDescent="0.25">
      <c r="A15" s="1"/>
      <c r="B15" s="39" t="s">
        <v>32</v>
      </c>
      <c r="C15" s="44" t="s">
        <v>46</v>
      </c>
      <c r="D15" s="12"/>
      <c r="E15" s="13"/>
      <c r="F15" s="41"/>
      <c r="G15" s="13">
        <f t="shared" si="1"/>
        <v>0</v>
      </c>
      <c r="H15" s="42"/>
      <c r="I15" s="43">
        <f t="shared" si="0"/>
        <v>0</v>
      </c>
    </row>
    <row r="16" spans="1:10" x14ac:dyDescent="0.25">
      <c r="A16" s="1"/>
      <c r="B16" s="39" t="s">
        <v>33</v>
      </c>
      <c r="C16" s="44" t="s">
        <v>25</v>
      </c>
      <c r="D16" s="12"/>
      <c r="E16" s="13"/>
      <c r="F16" s="15"/>
      <c r="G16" s="13">
        <f t="shared" si="1"/>
        <v>0</v>
      </c>
      <c r="H16" s="42"/>
      <c r="I16" s="43">
        <f t="shared" si="0"/>
        <v>0</v>
      </c>
    </row>
    <row r="17" spans="1:9" x14ac:dyDescent="0.25">
      <c r="A17" s="1"/>
      <c r="B17" s="39"/>
      <c r="C17" s="51" t="s">
        <v>7</v>
      </c>
      <c r="D17" s="52">
        <f t="shared" ref="D17:I17" si="2">SUM(D7:D16)</f>
        <v>0</v>
      </c>
      <c r="E17" s="13">
        <f t="shared" si="2"/>
        <v>0</v>
      </c>
      <c r="F17" s="53">
        <f t="shared" si="2"/>
        <v>4500</v>
      </c>
      <c r="G17" s="13">
        <f t="shared" si="2"/>
        <v>4500</v>
      </c>
      <c r="H17" s="10">
        <f t="shared" si="2"/>
        <v>3000</v>
      </c>
      <c r="I17" s="54">
        <f t="shared" si="2"/>
        <v>1500</v>
      </c>
    </row>
    <row r="18" spans="1:9" x14ac:dyDescent="0.25">
      <c r="A18" s="1"/>
      <c r="D18" s="35"/>
      <c r="E18" s="35" t="s">
        <v>37</v>
      </c>
      <c r="F18" s="35"/>
    </row>
    <row r="19" spans="1:9" ht="22.5" x14ac:dyDescent="0.25">
      <c r="B19" s="39">
        <v>1</v>
      </c>
      <c r="C19" s="44" t="s">
        <v>52</v>
      </c>
      <c r="D19" s="12"/>
      <c r="E19" s="13"/>
      <c r="F19" s="41">
        <v>2000</v>
      </c>
      <c r="G19" s="13">
        <f>D19+E19+F19</f>
        <v>2000</v>
      </c>
      <c r="H19" s="13">
        <v>2000</v>
      </c>
      <c r="I19" s="43">
        <f t="shared" ref="I19:I34" si="3">G19-H19</f>
        <v>0</v>
      </c>
    </row>
    <row r="20" spans="1:9" ht="22.5" x14ac:dyDescent="0.25">
      <c r="B20" s="39">
        <v>2</v>
      </c>
      <c r="C20" s="44" t="s">
        <v>38</v>
      </c>
      <c r="D20" s="12"/>
      <c r="E20" s="13"/>
      <c r="F20" s="41">
        <v>2000</v>
      </c>
      <c r="G20" s="13">
        <f>F20+E20+D20</f>
        <v>2000</v>
      </c>
      <c r="H20" s="13">
        <v>2000</v>
      </c>
      <c r="I20" s="43">
        <f>G20-H20</f>
        <v>0</v>
      </c>
    </row>
    <row r="21" spans="1:9" x14ac:dyDescent="0.25">
      <c r="B21" s="39">
        <v>3</v>
      </c>
      <c r="C21" s="14" t="s">
        <v>39</v>
      </c>
      <c r="D21" s="14"/>
      <c r="E21" s="13"/>
      <c r="F21" s="14">
        <v>2000</v>
      </c>
      <c r="G21" s="13">
        <f t="shared" ref="G21:G33" si="4">F21+E21+D21</f>
        <v>2000</v>
      </c>
      <c r="H21" s="14">
        <v>2000</v>
      </c>
      <c r="I21" s="43">
        <f>G21-H21</f>
        <v>0</v>
      </c>
    </row>
    <row r="22" spans="1:9" ht="9.75" customHeight="1" x14ac:dyDescent="0.25">
      <c r="B22" s="39">
        <v>4</v>
      </c>
      <c r="C22" s="44"/>
      <c r="D22" s="14"/>
      <c r="E22" s="13"/>
      <c r="F22" s="46"/>
      <c r="G22" s="13">
        <f t="shared" si="4"/>
        <v>0</v>
      </c>
      <c r="H22" s="43"/>
      <c r="I22" s="43">
        <f t="shared" si="3"/>
        <v>0</v>
      </c>
    </row>
    <row r="23" spans="1:9" ht="22.5" x14ac:dyDescent="0.25">
      <c r="B23" s="39">
        <v>5</v>
      </c>
      <c r="C23" s="40" t="s">
        <v>59</v>
      </c>
      <c r="D23" s="12"/>
      <c r="E23" s="13"/>
      <c r="F23" s="41">
        <v>2000</v>
      </c>
      <c r="G23" s="13">
        <f t="shared" si="4"/>
        <v>2000</v>
      </c>
      <c r="H23" s="42">
        <v>2000</v>
      </c>
      <c r="I23" s="43">
        <f t="shared" si="3"/>
        <v>0</v>
      </c>
    </row>
    <row r="24" spans="1:9" ht="22.5" x14ac:dyDescent="0.25">
      <c r="B24" s="39">
        <v>6</v>
      </c>
      <c r="C24" s="40" t="s">
        <v>50</v>
      </c>
      <c r="D24" s="14"/>
      <c r="E24" s="13"/>
      <c r="F24" s="49">
        <v>2000</v>
      </c>
      <c r="G24" s="13">
        <f t="shared" si="4"/>
        <v>2000</v>
      </c>
      <c r="H24" s="50">
        <v>2000</v>
      </c>
      <c r="I24" s="43">
        <f t="shared" si="3"/>
        <v>0</v>
      </c>
    </row>
    <row r="25" spans="1:9" ht="22.5" x14ac:dyDescent="0.25">
      <c r="B25" s="39">
        <v>7</v>
      </c>
      <c r="C25" s="40" t="s">
        <v>40</v>
      </c>
      <c r="D25" s="12"/>
      <c r="E25" s="13"/>
      <c r="F25" s="41">
        <v>2000</v>
      </c>
      <c r="G25" s="13">
        <f t="shared" si="4"/>
        <v>2000</v>
      </c>
      <c r="H25" s="42">
        <v>2000</v>
      </c>
      <c r="I25" s="43">
        <f t="shared" si="3"/>
        <v>0</v>
      </c>
    </row>
    <row r="26" spans="1:9" ht="20.25" customHeight="1" x14ac:dyDescent="0.25">
      <c r="B26" s="39">
        <v>8</v>
      </c>
      <c r="C26" s="40" t="s">
        <v>41</v>
      </c>
      <c r="D26" s="12"/>
      <c r="E26" s="13"/>
      <c r="F26" s="41">
        <v>2000</v>
      </c>
      <c r="G26" s="13">
        <f t="shared" si="4"/>
        <v>2000</v>
      </c>
      <c r="H26" s="42">
        <v>2000</v>
      </c>
      <c r="I26" s="43">
        <f t="shared" si="3"/>
        <v>0</v>
      </c>
    </row>
    <row r="27" spans="1:9" ht="17.25" customHeight="1" x14ac:dyDescent="0.25">
      <c r="B27" s="39">
        <v>9</v>
      </c>
      <c r="C27" s="44" t="s">
        <v>42</v>
      </c>
      <c r="D27" s="12"/>
      <c r="E27" s="13"/>
      <c r="F27" s="41">
        <v>1500</v>
      </c>
      <c r="G27" s="13">
        <f t="shared" si="4"/>
        <v>1500</v>
      </c>
      <c r="H27" s="42">
        <v>1500</v>
      </c>
      <c r="I27" s="43">
        <f t="shared" si="3"/>
        <v>0</v>
      </c>
    </row>
    <row r="28" spans="1:9" x14ac:dyDescent="0.25">
      <c r="B28" s="39">
        <v>10</v>
      </c>
      <c r="C28" s="44" t="s">
        <v>46</v>
      </c>
      <c r="D28" s="12"/>
      <c r="E28" s="13"/>
      <c r="F28" s="41"/>
      <c r="G28" s="13">
        <f t="shared" si="4"/>
        <v>0</v>
      </c>
      <c r="H28" s="42"/>
      <c r="I28" s="43">
        <f t="shared" si="3"/>
        <v>0</v>
      </c>
    </row>
    <row r="29" spans="1:9" ht="22.5" x14ac:dyDescent="0.25">
      <c r="B29" s="39">
        <v>11</v>
      </c>
      <c r="C29" s="40" t="s">
        <v>53</v>
      </c>
      <c r="D29" s="12"/>
      <c r="E29" s="13"/>
      <c r="F29" s="41">
        <v>1500</v>
      </c>
      <c r="G29" s="13">
        <f t="shared" si="4"/>
        <v>1500</v>
      </c>
      <c r="H29" s="42">
        <v>1500</v>
      </c>
      <c r="I29" s="43">
        <f>G29-H29</f>
        <v>0</v>
      </c>
    </row>
    <row r="30" spans="1:9" x14ac:dyDescent="0.25">
      <c r="B30" s="39">
        <v>12</v>
      </c>
      <c r="C30" s="55"/>
      <c r="D30" s="12"/>
      <c r="E30" s="13"/>
      <c r="F30" s="41"/>
      <c r="G30" s="13">
        <f t="shared" si="4"/>
        <v>0</v>
      </c>
      <c r="H30" s="42"/>
      <c r="I30" s="43">
        <f t="shared" si="3"/>
        <v>0</v>
      </c>
    </row>
    <row r="31" spans="1:9" ht="22.5" x14ac:dyDescent="0.25">
      <c r="B31" s="39">
        <v>13</v>
      </c>
      <c r="C31" s="44" t="s">
        <v>60</v>
      </c>
      <c r="D31" s="12"/>
      <c r="E31" s="13"/>
      <c r="F31" s="41">
        <v>1500</v>
      </c>
      <c r="G31" s="13">
        <f t="shared" si="4"/>
        <v>1500</v>
      </c>
      <c r="H31" s="42">
        <v>1500</v>
      </c>
      <c r="I31" s="43">
        <f>G31-H31</f>
        <v>0</v>
      </c>
    </row>
    <row r="32" spans="1:9" ht="22.5" x14ac:dyDescent="0.25">
      <c r="B32" s="39">
        <v>14</v>
      </c>
      <c r="C32" s="44" t="s">
        <v>43</v>
      </c>
      <c r="D32" s="12"/>
      <c r="E32" s="13"/>
      <c r="F32" s="41">
        <v>1500</v>
      </c>
      <c r="G32" s="13">
        <f t="shared" si="4"/>
        <v>1500</v>
      </c>
      <c r="H32" s="42">
        <v>1500</v>
      </c>
      <c r="I32" s="43">
        <f t="shared" si="3"/>
        <v>0</v>
      </c>
    </row>
    <row r="33" spans="2:18" x14ac:dyDescent="0.25">
      <c r="B33" s="39">
        <v>15</v>
      </c>
      <c r="C33" s="44"/>
      <c r="D33" s="12"/>
      <c r="E33" s="13"/>
      <c r="F33" s="41"/>
      <c r="G33" s="13">
        <f t="shared" si="4"/>
        <v>0</v>
      </c>
      <c r="H33" s="42"/>
      <c r="I33" s="43">
        <f>G33-H33</f>
        <v>0</v>
      </c>
    </row>
    <row r="34" spans="2:18" ht="17.25" customHeight="1" x14ac:dyDescent="0.25">
      <c r="B34" s="39">
        <v>16</v>
      </c>
      <c r="C34" s="44" t="s">
        <v>44</v>
      </c>
      <c r="D34" s="12"/>
      <c r="E34" s="13"/>
      <c r="F34" s="41">
        <v>1500</v>
      </c>
      <c r="G34" s="13">
        <f>F34+E34+D34</f>
        <v>1500</v>
      </c>
      <c r="H34" s="42">
        <v>1500</v>
      </c>
      <c r="I34" s="43">
        <f t="shared" si="3"/>
        <v>0</v>
      </c>
    </row>
    <row r="35" spans="2:18" x14ac:dyDescent="0.25">
      <c r="B35" s="39"/>
      <c r="C35" s="51" t="s">
        <v>7</v>
      </c>
      <c r="D35" s="52">
        <f>SUM(D19:D34)</f>
        <v>0</v>
      </c>
      <c r="E35" s="13">
        <f>SUM(E19:E34)</f>
        <v>0</v>
      </c>
      <c r="F35" s="53">
        <f>SUM(F19:F34)</f>
        <v>21500</v>
      </c>
      <c r="G35" s="13">
        <f>D35+E35+F35</f>
        <v>21500</v>
      </c>
      <c r="H35" s="10">
        <f>SUM(H19:H34)</f>
        <v>21500</v>
      </c>
      <c r="I35" s="43">
        <f>G35-H35</f>
        <v>0</v>
      </c>
    </row>
    <row r="36" spans="2:18" x14ac:dyDescent="0.25">
      <c r="B36" s="56" t="s">
        <v>34</v>
      </c>
      <c r="C36" s="17"/>
      <c r="D36" s="18"/>
      <c r="E36" s="17"/>
      <c r="F36" s="19"/>
      <c r="G36" s="17"/>
      <c r="H36" s="1"/>
      <c r="I36" s="6"/>
      <c r="K36">
        <v>15000</v>
      </c>
    </row>
    <row r="37" spans="2:18" x14ac:dyDescent="0.25">
      <c r="B37" s="20" t="s">
        <v>8</v>
      </c>
      <c r="C37" s="20" t="s">
        <v>9</v>
      </c>
      <c r="D37" s="20" t="s">
        <v>10</v>
      </c>
      <c r="E37" s="20" t="s">
        <v>11</v>
      </c>
      <c r="F37" s="20" t="s">
        <v>8</v>
      </c>
      <c r="G37" s="20" t="s">
        <v>9</v>
      </c>
      <c r="H37" s="20" t="s">
        <v>10</v>
      </c>
      <c r="I37" s="21" t="s">
        <v>6</v>
      </c>
    </row>
    <row r="38" spans="2:18" x14ac:dyDescent="0.25">
      <c r="B38" s="22" t="s">
        <v>47</v>
      </c>
      <c r="C38" s="8">
        <f>F35+F17</f>
        <v>26000</v>
      </c>
      <c r="D38" s="23"/>
      <c r="E38" s="23"/>
      <c r="F38" s="22" t="s">
        <v>47</v>
      </c>
      <c r="G38" s="8">
        <f>H35+H17</f>
        <v>24500</v>
      </c>
      <c r="H38" s="23"/>
      <c r="I38" s="8"/>
    </row>
    <row r="39" spans="2:18" x14ac:dyDescent="0.25">
      <c r="B39" s="22" t="s">
        <v>12</v>
      </c>
      <c r="C39" s="24">
        <v>0.1</v>
      </c>
      <c r="D39" s="25">
        <f>C38*C39</f>
        <v>2600</v>
      </c>
      <c r="E39" s="22"/>
      <c r="F39" s="22" t="s">
        <v>12</v>
      </c>
      <c r="G39" s="24">
        <v>0.1</v>
      </c>
      <c r="H39" s="25">
        <f>D39</f>
        <v>2600</v>
      </c>
      <c r="I39" s="8"/>
      <c r="K39" s="60"/>
    </row>
    <row r="40" spans="2:18" x14ac:dyDescent="0.25">
      <c r="B40" s="22" t="s">
        <v>15</v>
      </c>
      <c r="C40" s="24">
        <v>0.3</v>
      </c>
      <c r="D40" s="25"/>
      <c r="E40" s="22"/>
      <c r="F40" s="22" t="s">
        <v>15</v>
      </c>
      <c r="G40" s="24">
        <v>0.3</v>
      </c>
      <c r="H40" s="25"/>
      <c r="I40" s="8"/>
      <c r="N40">
        <v>21500</v>
      </c>
    </row>
    <row r="41" spans="2:18" x14ac:dyDescent="0.25">
      <c r="B41" s="26" t="s">
        <v>13</v>
      </c>
      <c r="C41" s="25">
        <f>D35</f>
        <v>0</v>
      </c>
      <c r="D41" s="22"/>
      <c r="E41" s="22"/>
      <c r="F41" s="26"/>
      <c r="G41" s="25"/>
      <c r="H41" s="22"/>
      <c r="I41" s="8"/>
      <c r="N41">
        <v>4500</v>
      </c>
      <c r="R41">
        <v>12097</v>
      </c>
    </row>
    <row r="42" spans="2:18" x14ac:dyDescent="0.25">
      <c r="B42" s="26" t="s">
        <v>2</v>
      </c>
      <c r="C42" s="25">
        <f>'[1]NOVEMBER 19'!E55</f>
        <v>0</v>
      </c>
      <c r="D42" s="22"/>
      <c r="E42" s="22"/>
      <c r="F42" s="26" t="s">
        <v>2</v>
      </c>
      <c r="G42" s="25">
        <f>'[1]NOVEMBER 19'!I55</f>
        <v>0</v>
      </c>
      <c r="H42" s="22"/>
      <c r="I42" s="8"/>
      <c r="N42">
        <f>SUM(N40:N41)</f>
        <v>26000</v>
      </c>
      <c r="O42">
        <v>2600</v>
      </c>
      <c r="P42">
        <f>N42-O42</f>
        <v>23400</v>
      </c>
      <c r="R42">
        <v>10000</v>
      </c>
    </row>
    <row r="43" spans="2:18" ht="9.75" customHeight="1" x14ac:dyDescent="0.25">
      <c r="B43" s="26" t="s">
        <v>7</v>
      </c>
      <c r="C43" s="25">
        <f>C38+C42+C41</f>
        <v>26000</v>
      </c>
      <c r="D43" s="22"/>
      <c r="E43" s="22"/>
      <c r="F43" s="26" t="s">
        <v>7</v>
      </c>
      <c r="G43" s="25">
        <f>G38+G42+G40</f>
        <v>24500.3</v>
      </c>
      <c r="H43" s="22"/>
      <c r="I43" s="8"/>
      <c r="R43">
        <v>500</v>
      </c>
    </row>
    <row r="44" spans="2:18" x14ac:dyDescent="0.25">
      <c r="B44" s="57" t="s">
        <v>14</v>
      </c>
      <c r="C44" s="24"/>
      <c r="D44" s="58"/>
      <c r="E44" s="22"/>
      <c r="F44" s="57" t="s">
        <v>14</v>
      </c>
      <c r="G44" s="24"/>
      <c r="H44" s="58"/>
      <c r="I44" s="8"/>
      <c r="Q44">
        <f>P42-R44</f>
        <v>803</v>
      </c>
      <c r="R44">
        <f>SUM(R41:R43)</f>
        <v>22597</v>
      </c>
    </row>
    <row r="45" spans="2:18" x14ac:dyDescent="0.25">
      <c r="B45" s="27" t="s">
        <v>49</v>
      </c>
      <c r="C45" s="59"/>
      <c r="D45" s="29">
        <v>12097</v>
      </c>
      <c r="E45" s="28"/>
      <c r="F45" s="27" t="s">
        <v>49</v>
      </c>
      <c r="G45" s="59"/>
      <c r="H45" s="29">
        <v>12097</v>
      </c>
      <c r="I45" s="30"/>
    </row>
    <row r="46" spans="2:18" x14ac:dyDescent="0.25">
      <c r="B46" s="27" t="s">
        <v>58</v>
      </c>
      <c r="C46" s="59"/>
      <c r="D46" s="29">
        <v>10000</v>
      </c>
      <c r="E46" s="28"/>
      <c r="F46" s="27" t="s">
        <v>57</v>
      </c>
      <c r="G46" s="59"/>
      <c r="H46" s="29">
        <v>10000</v>
      </c>
      <c r="I46" s="30"/>
    </row>
    <row r="47" spans="2:18" x14ac:dyDescent="0.25">
      <c r="B47" s="27"/>
      <c r="C47" s="59"/>
      <c r="D47" s="29">
        <f>F33+F30+F12+F8</f>
        <v>0</v>
      </c>
      <c r="E47" s="28"/>
      <c r="F47" s="27"/>
      <c r="G47" s="59"/>
      <c r="H47" s="29"/>
      <c r="I47" s="30"/>
    </row>
    <row r="48" spans="2:18" x14ac:dyDescent="0.25">
      <c r="B48" s="27" t="s">
        <v>61</v>
      </c>
      <c r="C48" s="59"/>
      <c r="D48" s="29">
        <v>500</v>
      </c>
      <c r="E48" s="28"/>
      <c r="F48" s="27" t="s">
        <v>62</v>
      </c>
      <c r="G48" s="59"/>
      <c r="H48" s="29">
        <v>500</v>
      </c>
      <c r="I48" s="30"/>
    </row>
    <row r="49" spans="2:9" hidden="1" x14ac:dyDescent="0.25">
      <c r="B49" s="31"/>
      <c r="C49" s="33"/>
      <c r="D49" s="32"/>
      <c r="E49" s="33"/>
      <c r="F49" s="31"/>
      <c r="G49" s="33"/>
      <c r="H49" s="32"/>
      <c r="I49" s="30"/>
    </row>
    <row r="50" spans="2:9" x14ac:dyDescent="0.25">
      <c r="B50" s="11" t="s">
        <v>7</v>
      </c>
      <c r="C50" s="34">
        <f>C38+C40+C41+C42-D39-D40</f>
        <v>23400.3</v>
      </c>
      <c r="D50" s="7">
        <f>SUM(D45:D49)</f>
        <v>22597</v>
      </c>
      <c r="E50" s="7">
        <f>C50-D50</f>
        <v>803.29999999999927</v>
      </c>
      <c r="F50" s="11" t="s">
        <v>7</v>
      </c>
      <c r="G50" s="34">
        <f>G38+G40+G42-H39</f>
        <v>21900.3</v>
      </c>
      <c r="H50" s="7">
        <f>SUM(H45:H49)</f>
        <v>22597</v>
      </c>
      <c r="I50" s="7">
        <f>G50-H50</f>
        <v>-696.70000000000073</v>
      </c>
    </row>
    <row r="51" spans="2:9" x14ac:dyDescent="0.25">
      <c r="B51" s="1" t="s">
        <v>16</v>
      </c>
      <c r="C51" s="16"/>
      <c r="E51" s="1" t="s">
        <v>17</v>
      </c>
      <c r="H51" s="1" t="s">
        <v>18</v>
      </c>
      <c r="I51" s="6"/>
    </row>
    <row r="52" spans="2:9" x14ac:dyDescent="0.25">
      <c r="B52" s="1" t="s">
        <v>35</v>
      </c>
      <c r="C52" s="1"/>
      <c r="E52" s="1" t="s">
        <v>36</v>
      </c>
      <c r="H52" s="1" t="s">
        <v>63</v>
      </c>
    </row>
  </sheetData>
  <pageMargins left="0.7" right="0.7" top="0" bottom="0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5" workbookViewId="0">
      <selection activeCell="G10" sqref="G10"/>
    </sheetView>
  </sheetViews>
  <sheetFormatPr defaultRowHeight="15" x14ac:dyDescent="0.25"/>
  <cols>
    <col min="2" max="2" width="15" customWidth="1"/>
    <col min="5" max="5" width="11.42578125" customWidth="1"/>
    <col min="7" max="7" width="9.5703125" bestFit="1" customWidth="1"/>
  </cols>
  <sheetData>
    <row r="1" spans="1:9" ht="15.75" x14ac:dyDescent="0.25">
      <c r="B1" s="1"/>
      <c r="C1" s="2" t="s">
        <v>55</v>
      </c>
      <c r="D1" s="1"/>
      <c r="E1" s="1"/>
      <c r="F1" s="1"/>
    </row>
    <row r="2" spans="1:9" ht="15.75" x14ac:dyDescent="0.25">
      <c r="C2" s="3"/>
      <c r="D2" s="3" t="s">
        <v>0</v>
      </c>
      <c r="E2" s="1"/>
      <c r="F2" s="1"/>
    </row>
    <row r="3" spans="1:9" ht="21" x14ac:dyDescent="0.25">
      <c r="C3" s="4" t="s">
        <v>187</v>
      </c>
      <c r="D3" s="3"/>
      <c r="E3" s="5"/>
      <c r="F3" s="5"/>
    </row>
    <row r="4" spans="1:9" x14ac:dyDescent="0.25">
      <c r="D4" s="35" t="s">
        <v>48</v>
      </c>
    </row>
    <row r="5" spans="1:9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9" x14ac:dyDescent="0.25">
      <c r="A6" s="39" t="s">
        <v>23</v>
      </c>
      <c r="B6" s="40" t="s">
        <v>45</v>
      </c>
      <c r="C6" s="12"/>
      <c r="D6" s="13">
        <f>SEPTEMBER20!H6:H16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9" x14ac:dyDescent="0.25">
      <c r="A7" s="39" t="s">
        <v>24</v>
      </c>
      <c r="B7" s="44" t="s">
        <v>162</v>
      </c>
      <c r="C7" s="12"/>
      <c r="D7" s="13">
        <f>SEPTEMBER20!H7:H17</f>
        <v>0</v>
      </c>
      <c r="E7" s="41">
        <v>1500</v>
      </c>
      <c r="F7" s="13">
        <f t="shared" ref="F7:F15" si="0">E7+D7+C7</f>
        <v>1500</v>
      </c>
      <c r="G7" s="13">
        <f>1000+500</f>
        <v>1500</v>
      </c>
      <c r="H7" s="43">
        <f t="shared" ref="H7:H15" si="1">F7-G7</f>
        <v>0</v>
      </c>
    </row>
    <row r="8" spans="1:9" x14ac:dyDescent="0.25">
      <c r="A8" s="39" t="s">
        <v>26</v>
      </c>
      <c r="B8" s="14" t="s">
        <v>161</v>
      </c>
      <c r="C8" s="14"/>
      <c r="D8" s="13">
        <f>SEPTEMBER20!H8:H18</f>
        <v>0</v>
      </c>
      <c r="E8" s="14">
        <v>1500</v>
      </c>
      <c r="F8" s="13">
        <f t="shared" si="0"/>
        <v>1500</v>
      </c>
      <c r="G8" s="14">
        <f>1000</f>
        <v>1000</v>
      </c>
      <c r="H8" s="43">
        <f t="shared" si="1"/>
        <v>500</v>
      </c>
    </row>
    <row r="9" spans="1:9" x14ac:dyDescent="0.25">
      <c r="A9" s="45" t="s">
        <v>27</v>
      </c>
      <c r="B9" s="44" t="s">
        <v>197</v>
      </c>
      <c r="C9" s="14"/>
      <c r="D9" s="13">
        <f>SEPTEMBER20!H9:H19</f>
        <v>1500</v>
      </c>
      <c r="E9" s="46">
        <v>800</v>
      </c>
      <c r="F9" s="13">
        <f>E9+D9+C9</f>
        <v>2300</v>
      </c>
      <c r="G9" s="43">
        <f>200+500+1600</f>
        <v>2300</v>
      </c>
      <c r="H9" s="43">
        <f t="shared" si="1"/>
        <v>0</v>
      </c>
      <c r="I9" t="s">
        <v>202</v>
      </c>
    </row>
    <row r="10" spans="1:9" x14ac:dyDescent="0.25">
      <c r="A10" s="47" t="s">
        <v>28</v>
      </c>
      <c r="B10" s="44" t="s">
        <v>170</v>
      </c>
      <c r="C10" s="12"/>
      <c r="D10" s="13">
        <f>SEPTEMBER20!H10:H20</f>
        <v>500</v>
      </c>
      <c r="E10" s="41">
        <v>1500</v>
      </c>
      <c r="F10" s="13">
        <f t="shared" si="0"/>
        <v>2000</v>
      </c>
      <c r="G10" s="42">
        <f>1100+500+400</f>
        <v>2000</v>
      </c>
      <c r="H10" s="43">
        <f t="shared" si="1"/>
        <v>0</v>
      </c>
    </row>
    <row r="11" spans="1:9" x14ac:dyDescent="0.25">
      <c r="A11" s="48" t="s">
        <v>29</v>
      </c>
      <c r="B11" s="40" t="s">
        <v>124</v>
      </c>
      <c r="C11" s="14"/>
      <c r="D11" s="13">
        <f>SEPTEMBER20!H11:H21</f>
        <v>500</v>
      </c>
      <c r="E11" s="49">
        <v>1500</v>
      </c>
      <c r="F11" s="13">
        <f t="shared" si="0"/>
        <v>2000</v>
      </c>
      <c r="G11" s="50">
        <f>1400</f>
        <v>1400</v>
      </c>
      <c r="H11" s="43">
        <f t="shared" si="1"/>
        <v>600</v>
      </c>
    </row>
    <row r="12" spans="1:9" x14ac:dyDescent="0.25">
      <c r="A12" s="39" t="s">
        <v>30</v>
      </c>
      <c r="B12" s="40"/>
      <c r="C12" s="12"/>
      <c r="D12" s="13">
        <f>SEPTEMBER20!H12:H22</f>
        <v>0</v>
      </c>
      <c r="E12" s="41"/>
      <c r="F12" s="13">
        <f>E12+D12+C12</f>
        <v>0</v>
      </c>
      <c r="G12" s="42"/>
      <c r="H12" s="43">
        <f t="shared" si="1"/>
        <v>0</v>
      </c>
    </row>
    <row r="13" spans="1:9" x14ac:dyDescent="0.25">
      <c r="A13" s="39" t="s">
        <v>31</v>
      </c>
      <c r="B13" s="40" t="s">
        <v>160</v>
      </c>
      <c r="C13" s="12"/>
      <c r="D13" s="13">
        <f>SEPTEMBER20!H13:H23</f>
        <v>800</v>
      </c>
      <c r="E13" s="41">
        <v>1500</v>
      </c>
      <c r="F13" s="13">
        <f t="shared" si="0"/>
        <v>2300</v>
      </c>
      <c r="G13" s="42"/>
      <c r="H13" s="43">
        <f t="shared" si="1"/>
        <v>2300</v>
      </c>
    </row>
    <row r="14" spans="1:9" x14ac:dyDescent="0.25">
      <c r="A14" s="39" t="s">
        <v>32</v>
      </c>
      <c r="B14" s="44" t="s">
        <v>173</v>
      </c>
      <c r="C14" s="12"/>
      <c r="D14" s="13">
        <f>SEPTEMBER20!H14:H24</f>
        <v>0</v>
      </c>
      <c r="E14" s="41">
        <v>1500</v>
      </c>
      <c r="F14" s="13">
        <f t="shared" si="0"/>
        <v>1500</v>
      </c>
      <c r="G14" s="42">
        <f>1000</f>
        <v>1000</v>
      </c>
      <c r="H14" s="43">
        <f t="shared" si="1"/>
        <v>500</v>
      </c>
    </row>
    <row r="15" spans="1:9" x14ac:dyDescent="0.25">
      <c r="A15" s="39" t="s">
        <v>33</v>
      </c>
      <c r="B15" s="44" t="s">
        <v>25</v>
      </c>
      <c r="C15" s="12"/>
      <c r="D15" s="13">
        <f>SEPTEMBER20!H15:H25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9" x14ac:dyDescent="0.25">
      <c r="A16" s="39"/>
      <c r="B16" s="51" t="s">
        <v>7</v>
      </c>
      <c r="C16" s="52">
        <f t="shared" ref="C16:H16" si="2">SUM(C6:C15)</f>
        <v>0</v>
      </c>
      <c r="D16" s="13">
        <f>SEPTEMBER20!H16:H26</f>
        <v>3300</v>
      </c>
      <c r="E16" s="53">
        <f t="shared" si="2"/>
        <v>11300</v>
      </c>
      <c r="F16" s="13">
        <f t="shared" si="2"/>
        <v>14600</v>
      </c>
      <c r="G16" s="10">
        <f>SUM(G6:G15)</f>
        <v>10700</v>
      </c>
      <c r="H16" s="54">
        <f t="shared" si="2"/>
        <v>3900</v>
      </c>
    </row>
    <row r="17" spans="1:12" x14ac:dyDescent="0.25">
      <c r="C17" s="35"/>
      <c r="D17" s="35" t="s">
        <v>37</v>
      </c>
      <c r="E17" s="35"/>
    </row>
    <row r="18" spans="1:12" ht="22.5" x14ac:dyDescent="0.25">
      <c r="A18" s="39">
        <v>1</v>
      </c>
      <c r="B18" s="44" t="s">
        <v>164</v>
      </c>
      <c r="C18" s="12"/>
      <c r="D18" s="13">
        <f>SEPTEMBER20!H18:H34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12" x14ac:dyDescent="0.25">
      <c r="A19" s="39">
        <v>2</v>
      </c>
      <c r="B19" s="44" t="s">
        <v>152</v>
      </c>
      <c r="C19" s="12"/>
      <c r="D19" s="13">
        <f>SEPTEMBER20!H19:H35</f>
        <v>0</v>
      </c>
      <c r="E19" s="41">
        <v>2000</v>
      </c>
      <c r="F19" s="13">
        <f>E19+D19+C19</f>
        <v>2000</v>
      </c>
      <c r="G19" s="13">
        <f>2000</f>
        <v>2000</v>
      </c>
      <c r="H19" s="43">
        <f>F19-G19</f>
        <v>0</v>
      </c>
      <c r="K19" s="60">
        <f>26500+12000</f>
        <v>38500</v>
      </c>
      <c r="L19" s="60">
        <f>B37</f>
        <v>37800</v>
      </c>
    </row>
    <row r="20" spans="1:12" x14ac:dyDescent="0.25">
      <c r="A20" s="39">
        <v>3</v>
      </c>
      <c r="B20" s="14" t="s">
        <v>39</v>
      </c>
      <c r="C20" s="14"/>
      <c r="D20" s="13">
        <f>SEPTEMBER20!H20:H36</f>
        <v>0</v>
      </c>
      <c r="E20" s="14">
        <v>2000</v>
      </c>
      <c r="F20" s="13">
        <f t="shared" ref="F20:F32" si="4">E20+D20+C20</f>
        <v>2000</v>
      </c>
      <c r="G20" s="14">
        <f>2000</f>
        <v>2000</v>
      </c>
      <c r="H20" s="43">
        <f>F20-G20</f>
        <v>0</v>
      </c>
      <c r="J20" t="s">
        <v>177</v>
      </c>
      <c r="K20">
        <v>3850</v>
      </c>
      <c r="L20">
        <f>K20</f>
        <v>3850</v>
      </c>
    </row>
    <row r="21" spans="1:12" x14ac:dyDescent="0.25">
      <c r="A21" s="39">
        <v>4</v>
      </c>
      <c r="B21" s="44" t="s">
        <v>140</v>
      </c>
      <c r="C21" s="14"/>
      <c r="D21" s="13">
        <f>SEPTEMBER20!H21:H37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K21" s="60">
        <f>K19-K20</f>
        <v>34650</v>
      </c>
      <c r="L21" s="60">
        <f>L19-L20</f>
        <v>33950</v>
      </c>
    </row>
    <row r="22" spans="1:12" x14ac:dyDescent="0.25">
      <c r="A22" s="39">
        <v>5</v>
      </c>
      <c r="B22" s="40" t="s">
        <v>59</v>
      </c>
      <c r="C22" s="12"/>
      <c r="D22" s="13">
        <f>SEPTEMBER20!H22:H38</f>
        <v>0</v>
      </c>
      <c r="E22" s="41">
        <v>2000</v>
      </c>
      <c r="F22" s="13">
        <f t="shared" si="4"/>
        <v>2000</v>
      </c>
      <c r="G22" s="42"/>
      <c r="H22" s="43">
        <f t="shared" si="3"/>
        <v>2000</v>
      </c>
      <c r="J22" t="s">
        <v>5</v>
      </c>
      <c r="K22" s="61">
        <f>C44</f>
        <v>3086</v>
      </c>
      <c r="L22" s="61">
        <f>K22</f>
        <v>3086</v>
      </c>
    </row>
    <row r="23" spans="1:12" x14ac:dyDescent="0.25">
      <c r="A23" s="39">
        <v>6</v>
      </c>
      <c r="B23" s="40" t="s">
        <v>44</v>
      </c>
      <c r="C23" s="14"/>
      <c r="D23" s="13">
        <f>SEPTEMBER20!H23:H39</f>
        <v>1200</v>
      </c>
      <c r="E23" s="49">
        <v>2000</v>
      </c>
      <c r="F23" s="13">
        <f t="shared" si="4"/>
        <v>3200</v>
      </c>
      <c r="G23" s="50"/>
      <c r="H23" s="43">
        <f t="shared" si="3"/>
        <v>3200</v>
      </c>
      <c r="J23" t="s">
        <v>5</v>
      </c>
      <c r="K23" s="61">
        <f>C46</f>
        <v>1056</v>
      </c>
      <c r="L23" s="61">
        <f>K23</f>
        <v>1056</v>
      </c>
    </row>
    <row r="24" spans="1:12" x14ac:dyDescent="0.25">
      <c r="A24" s="39">
        <v>7</v>
      </c>
      <c r="B24" s="40" t="s">
        <v>196</v>
      </c>
      <c r="C24" s="12"/>
      <c r="D24" s="13">
        <f>SEPTEMBER20!H24:H40</f>
        <v>0</v>
      </c>
      <c r="E24" s="41">
        <v>2000</v>
      </c>
      <c r="F24" s="13">
        <f t="shared" si="4"/>
        <v>2000</v>
      </c>
      <c r="G24" s="42"/>
      <c r="H24" s="43">
        <f t="shared" si="3"/>
        <v>2000</v>
      </c>
      <c r="I24" t="s">
        <v>206</v>
      </c>
    </row>
    <row r="25" spans="1:12" x14ac:dyDescent="0.25">
      <c r="A25" s="39">
        <v>8</v>
      </c>
      <c r="B25" s="40" t="s">
        <v>41</v>
      </c>
      <c r="C25" s="12"/>
      <c r="D25" s="13">
        <f>SEPTEMBER20!H25:H41</f>
        <v>1000</v>
      </c>
      <c r="E25" s="41">
        <v>2000</v>
      </c>
      <c r="F25" s="13">
        <f t="shared" si="4"/>
        <v>3000</v>
      </c>
      <c r="G25" s="42">
        <f>2000</f>
        <v>2000</v>
      </c>
      <c r="H25" s="43"/>
      <c r="K25" s="60">
        <f>K21-K22-K23</f>
        <v>30508</v>
      </c>
      <c r="L25" s="60">
        <f>L21-L22-L23</f>
        <v>29808</v>
      </c>
    </row>
    <row r="26" spans="1:12" x14ac:dyDescent="0.25">
      <c r="A26" s="39">
        <v>9</v>
      </c>
      <c r="B26" s="44" t="s">
        <v>42</v>
      </c>
      <c r="C26" s="12"/>
      <c r="D26" s="13">
        <f>SEPTEMBER20!H26:H42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12" x14ac:dyDescent="0.25">
      <c r="A27" s="39">
        <v>10</v>
      </c>
      <c r="B27" s="44" t="s">
        <v>70</v>
      </c>
      <c r="C27" s="12"/>
      <c r="D27" s="13">
        <f>SEPTEMBER20!H27:H43</f>
        <v>1500</v>
      </c>
      <c r="E27" s="41"/>
      <c r="F27" s="13">
        <f t="shared" si="4"/>
        <v>1500</v>
      </c>
      <c r="G27" s="42">
        <v>1500</v>
      </c>
      <c r="H27" s="43">
        <f t="shared" si="3"/>
        <v>0</v>
      </c>
      <c r="K27" s="60"/>
    </row>
    <row r="28" spans="1:12" x14ac:dyDescent="0.25">
      <c r="A28" s="39">
        <v>11</v>
      </c>
      <c r="B28" s="40" t="s">
        <v>53</v>
      </c>
      <c r="C28" s="12"/>
      <c r="D28" s="13">
        <f>SEPTEMBER20!H28:H44</f>
        <v>0</v>
      </c>
      <c r="E28" s="41">
        <v>1500</v>
      </c>
      <c r="F28" s="13">
        <f t="shared" si="4"/>
        <v>1500</v>
      </c>
      <c r="G28" s="42">
        <f>1500</f>
        <v>1500</v>
      </c>
      <c r="H28" s="43">
        <f>F28-G28</f>
        <v>0</v>
      </c>
    </row>
    <row r="29" spans="1:12" x14ac:dyDescent="0.25">
      <c r="A29" s="39">
        <v>12</v>
      </c>
      <c r="B29" s="44" t="s">
        <v>167</v>
      </c>
      <c r="C29" s="12"/>
      <c r="D29" s="13">
        <f>SEPTEMBER20!H29:H45</f>
        <v>0</v>
      </c>
      <c r="E29" s="41">
        <v>1500</v>
      </c>
      <c r="F29" s="13">
        <f t="shared" si="4"/>
        <v>1500</v>
      </c>
      <c r="G29" s="42">
        <f>500+1000</f>
        <v>1500</v>
      </c>
      <c r="H29" s="43">
        <f>F29-G29</f>
        <v>0</v>
      </c>
    </row>
    <row r="30" spans="1:12" x14ac:dyDescent="0.25">
      <c r="A30" s="39">
        <v>13</v>
      </c>
      <c r="B30" s="44" t="s">
        <v>60</v>
      </c>
      <c r="C30" s="12"/>
      <c r="D30" s="13">
        <f>SEPTEMBER20!H30:H46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</row>
    <row r="31" spans="1:12" x14ac:dyDescent="0.25">
      <c r="A31" s="39">
        <v>14</v>
      </c>
      <c r="B31" s="44" t="s">
        <v>165</v>
      </c>
      <c r="C31" s="12"/>
      <c r="D31" s="13">
        <f>SEPTEMBER20!H31:H47</f>
        <v>0</v>
      </c>
      <c r="E31" s="41">
        <v>1500</v>
      </c>
      <c r="F31" s="13">
        <f>E31+D31+C31</f>
        <v>1500</v>
      </c>
      <c r="G31" s="42">
        <f>1500</f>
        <v>1500</v>
      </c>
      <c r="H31" s="43">
        <f t="shared" si="3"/>
        <v>0</v>
      </c>
    </row>
    <row r="32" spans="1:12" x14ac:dyDescent="0.25">
      <c r="A32" s="39">
        <v>15</v>
      </c>
      <c r="B32" s="44" t="s">
        <v>136</v>
      </c>
      <c r="C32" s="12"/>
      <c r="D32" s="13">
        <f>SEPTEMBER20!H32:H48</f>
        <v>200</v>
      </c>
      <c r="E32" s="41">
        <v>1500</v>
      </c>
      <c r="F32" s="13">
        <f t="shared" si="4"/>
        <v>1700</v>
      </c>
      <c r="G32" s="42">
        <f>1500</f>
        <v>1500</v>
      </c>
      <c r="H32" s="43">
        <f>F32-G32</f>
        <v>200</v>
      </c>
    </row>
    <row r="33" spans="1:13" x14ac:dyDescent="0.25">
      <c r="A33" s="39">
        <v>16</v>
      </c>
      <c r="B33" s="44" t="s">
        <v>166</v>
      </c>
      <c r="C33" s="12"/>
      <c r="D33" s="13">
        <f>SEPTEMBER20!H33:H49</f>
        <v>0</v>
      </c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</row>
    <row r="34" spans="1:13" x14ac:dyDescent="0.25">
      <c r="A34" s="39"/>
      <c r="B34" s="51" t="s">
        <v>7</v>
      </c>
      <c r="C34" s="52">
        <f>SUM(C18:C33)</f>
        <v>0</v>
      </c>
      <c r="D34" s="13">
        <f>SEPTEMBER20!H34:H50</f>
        <v>4000</v>
      </c>
      <c r="E34" s="53">
        <f>SUM(E18:E33)</f>
        <v>26500</v>
      </c>
      <c r="F34" s="13">
        <f>C34+D34+E34</f>
        <v>30500</v>
      </c>
      <c r="G34" s="10">
        <f>SUM(G18:G33)</f>
        <v>22000</v>
      </c>
      <c r="H34" s="43">
        <f>F34-G34</f>
        <v>8500</v>
      </c>
    </row>
    <row r="35" spans="1:13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3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3" x14ac:dyDescent="0.25">
      <c r="A37" s="22" t="s">
        <v>188</v>
      </c>
      <c r="B37" s="8">
        <f>E34+E16</f>
        <v>37800</v>
      </c>
      <c r="C37" s="23"/>
      <c r="D37" s="23"/>
      <c r="E37" s="22" t="s">
        <v>188</v>
      </c>
      <c r="F37" s="8">
        <f>G34+G16</f>
        <v>32700</v>
      </c>
      <c r="G37" s="23"/>
      <c r="H37" s="8"/>
    </row>
    <row r="38" spans="1:13" x14ac:dyDescent="0.25">
      <c r="A38" s="22" t="s">
        <v>12</v>
      </c>
      <c r="B38" s="24">
        <v>0.1</v>
      </c>
      <c r="C38" s="25">
        <f>B37*B38</f>
        <v>3780</v>
      </c>
      <c r="D38" s="22"/>
      <c r="E38" s="22" t="s">
        <v>12</v>
      </c>
      <c r="F38" s="24">
        <v>0.1</v>
      </c>
      <c r="G38" s="25">
        <f>C38</f>
        <v>3780</v>
      </c>
      <c r="H38" s="8"/>
    </row>
    <row r="39" spans="1:13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13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3" x14ac:dyDescent="0.25">
      <c r="A41" s="26" t="s">
        <v>2</v>
      </c>
      <c r="B41" s="25">
        <f>SEPTEMBER20!D55</f>
        <v>938.60000000000582</v>
      </c>
      <c r="C41" s="22"/>
      <c r="D41" s="22"/>
      <c r="E41" s="26" t="s">
        <v>2</v>
      </c>
      <c r="F41" s="25">
        <f>SEPTEMBER20!H55</f>
        <v>-4561.3000000000029</v>
      </c>
      <c r="G41" s="22"/>
      <c r="H41" s="8"/>
    </row>
    <row r="42" spans="1:13" x14ac:dyDescent="0.25">
      <c r="A42" s="26" t="s">
        <v>7</v>
      </c>
      <c r="B42" s="25">
        <f>B37+B41+B40</f>
        <v>38738.600000000006</v>
      </c>
      <c r="C42" s="22"/>
      <c r="D42" s="22"/>
      <c r="E42" s="26" t="s">
        <v>7</v>
      </c>
      <c r="F42" s="25">
        <f>F37+F41+F39</f>
        <v>28138.999999999996</v>
      </c>
      <c r="G42" s="22"/>
      <c r="H42" s="8"/>
      <c r="J42" s="60"/>
    </row>
    <row r="43" spans="1:13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M43">
        <f>2000+3050+1600+700</f>
        <v>7350</v>
      </c>
    </row>
    <row r="44" spans="1:13" x14ac:dyDescent="0.25">
      <c r="A44" s="27" t="s">
        <v>192</v>
      </c>
      <c r="B44" s="59"/>
      <c r="C44" s="29">
        <v>3086</v>
      </c>
      <c r="D44" s="28"/>
      <c r="E44" s="27" t="s">
        <v>192</v>
      </c>
      <c r="F44" s="59"/>
      <c r="G44" s="29">
        <v>3086</v>
      </c>
      <c r="H44" s="30"/>
      <c r="M44">
        <f>M43-7294</f>
        <v>56</v>
      </c>
    </row>
    <row r="45" spans="1:13" x14ac:dyDescent="0.25">
      <c r="A45" s="27" t="s">
        <v>205</v>
      </c>
      <c r="B45" s="59"/>
      <c r="C45" s="29">
        <f>500+400</f>
        <v>900</v>
      </c>
      <c r="D45" s="28"/>
      <c r="E45" s="27" t="s">
        <v>205</v>
      </c>
      <c r="F45" s="59"/>
      <c r="G45" s="29">
        <f>500+400</f>
        <v>900</v>
      </c>
      <c r="H45" s="30"/>
    </row>
    <row r="46" spans="1:13" x14ac:dyDescent="0.25">
      <c r="A46" s="27" t="s">
        <v>191</v>
      </c>
      <c r="B46" s="59"/>
      <c r="C46" s="29">
        <v>1056</v>
      </c>
      <c r="D46" s="28"/>
      <c r="E46" s="27" t="s">
        <v>191</v>
      </c>
      <c r="F46" s="59"/>
      <c r="G46" s="29">
        <v>1056</v>
      </c>
      <c r="H46" s="30"/>
    </row>
    <row r="47" spans="1:13" x14ac:dyDescent="0.25">
      <c r="A47" s="27" t="s">
        <v>194</v>
      </c>
      <c r="B47" s="59"/>
      <c r="C47" s="29">
        <v>25000</v>
      </c>
      <c r="D47" s="28"/>
      <c r="E47" s="27" t="s">
        <v>194</v>
      </c>
      <c r="F47" s="59"/>
      <c r="G47" s="29">
        <v>25000</v>
      </c>
      <c r="H47" s="30"/>
    </row>
    <row r="48" spans="1:13" x14ac:dyDescent="0.25">
      <c r="A48" s="27" t="s">
        <v>195</v>
      </c>
      <c r="B48" s="59"/>
      <c r="C48" s="29">
        <f>5061+500</f>
        <v>5561</v>
      </c>
      <c r="D48" s="28"/>
      <c r="E48" s="27" t="s">
        <v>195</v>
      </c>
      <c r="F48" s="59"/>
      <c r="G48" s="29">
        <f>5061+500</f>
        <v>5561</v>
      </c>
      <c r="H48" s="30"/>
    </row>
    <row r="49" spans="1:10" x14ac:dyDescent="0.25">
      <c r="A49" s="27" t="s">
        <v>200</v>
      </c>
      <c r="B49" s="59"/>
      <c r="C49" s="29">
        <v>1600</v>
      </c>
      <c r="D49" s="28"/>
      <c r="E49" s="27" t="s">
        <v>200</v>
      </c>
      <c r="F49" s="59"/>
      <c r="G49" s="29">
        <v>1600</v>
      </c>
      <c r="H49" s="30"/>
      <c r="J49" s="60"/>
    </row>
    <row r="50" spans="1:10" x14ac:dyDescent="0.25">
      <c r="A50" s="27" t="s">
        <v>201</v>
      </c>
      <c r="B50" s="59"/>
      <c r="C50" s="29">
        <v>3050</v>
      </c>
      <c r="D50" s="28"/>
      <c r="E50" s="27" t="s">
        <v>201</v>
      </c>
      <c r="F50" s="59"/>
      <c r="G50" s="29">
        <v>3050</v>
      </c>
      <c r="H50" s="30"/>
    </row>
    <row r="51" spans="1:10" x14ac:dyDescent="0.25">
      <c r="A51" s="27" t="s">
        <v>207</v>
      </c>
      <c r="B51" s="59"/>
      <c r="C51" s="29">
        <v>2000</v>
      </c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</row>
    <row r="53" spans="1:10" x14ac:dyDescent="0.25">
      <c r="A53" s="11" t="s">
        <v>7</v>
      </c>
      <c r="B53" s="34">
        <f>B37+B39+B40+B41-C38-C39</f>
        <v>34958.900000000009</v>
      </c>
      <c r="C53" s="7">
        <f>SUM(C44:C52)</f>
        <v>42253</v>
      </c>
      <c r="D53" s="7">
        <f>B53-C53</f>
        <v>-7294.0999999999913</v>
      </c>
      <c r="E53" s="11" t="s">
        <v>7</v>
      </c>
      <c r="F53" s="34">
        <f>F37+F39+F41-G38</f>
        <v>24358.999999999996</v>
      </c>
      <c r="G53" s="7">
        <f>SUM(G44:G52)</f>
        <v>40253</v>
      </c>
      <c r="H53" s="7">
        <f>F53-G53</f>
        <v>-15894.000000000004</v>
      </c>
      <c r="I53" s="60"/>
    </row>
    <row r="54" spans="1:10" x14ac:dyDescent="0.25">
      <c r="A54" s="1" t="s">
        <v>16</v>
      </c>
      <c r="B54" s="16"/>
      <c r="D54" s="1" t="s">
        <v>17</v>
      </c>
      <c r="G54" s="1" t="s">
        <v>18</v>
      </c>
      <c r="H54" s="6"/>
    </row>
    <row r="55" spans="1:10" x14ac:dyDescent="0.25">
      <c r="A55" s="1" t="s">
        <v>35</v>
      </c>
      <c r="B55" s="1"/>
      <c r="D55" s="1" t="s">
        <v>36</v>
      </c>
      <c r="G55" s="1" t="s">
        <v>63</v>
      </c>
      <c r="I55" s="60"/>
    </row>
    <row r="56" spans="1:10" x14ac:dyDescent="0.25">
      <c r="I56" s="6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5" workbookViewId="0">
      <selection activeCell="G10" sqref="G10"/>
    </sheetView>
  </sheetViews>
  <sheetFormatPr defaultRowHeight="15" x14ac:dyDescent="0.25"/>
  <cols>
    <col min="5" max="5" width="11.7109375" customWidth="1"/>
  </cols>
  <sheetData>
    <row r="1" spans="1:13" ht="15.75" x14ac:dyDescent="0.25">
      <c r="B1" s="1"/>
      <c r="C1" s="2" t="s">
        <v>55</v>
      </c>
      <c r="D1" s="1"/>
      <c r="E1" s="1"/>
      <c r="F1" s="1"/>
    </row>
    <row r="2" spans="1:13" ht="15.75" x14ac:dyDescent="0.25">
      <c r="C2" s="3"/>
      <c r="D2" s="3" t="s">
        <v>0</v>
      </c>
      <c r="E2" s="1"/>
      <c r="F2" s="1"/>
    </row>
    <row r="3" spans="1:13" ht="21" x14ac:dyDescent="0.25">
      <c r="C3" s="4" t="s">
        <v>198</v>
      </c>
      <c r="D3" s="3"/>
      <c r="E3" s="5"/>
      <c r="F3" s="5"/>
    </row>
    <row r="4" spans="1:13" x14ac:dyDescent="0.25">
      <c r="D4" s="35" t="s">
        <v>48</v>
      </c>
    </row>
    <row r="5" spans="1:13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3" ht="22.5" x14ac:dyDescent="0.25">
      <c r="A6" s="39" t="s">
        <v>23</v>
      </c>
      <c r="B6" s="40" t="s">
        <v>45</v>
      </c>
      <c r="C6" s="12"/>
      <c r="D6" s="13">
        <f>OCTOBER20!H6:H16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13" ht="22.5" x14ac:dyDescent="0.25">
      <c r="A7" s="39" t="s">
        <v>24</v>
      </c>
      <c r="B7" s="44" t="s">
        <v>162</v>
      </c>
      <c r="C7" s="12"/>
      <c r="D7" s="13">
        <f>OCTOBER20!H7:H17</f>
        <v>0</v>
      </c>
      <c r="E7" s="41">
        <v>1500</v>
      </c>
      <c r="F7" s="13">
        <f t="shared" ref="F7:F15" si="0">E7+D7+C7</f>
        <v>1500</v>
      </c>
      <c r="G7" s="13">
        <v>1500</v>
      </c>
      <c r="H7" s="43">
        <f t="shared" ref="H7:H15" si="1">F7-G7</f>
        <v>0</v>
      </c>
    </row>
    <row r="8" spans="1:13" x14ac:dyDescent="0.25">
      <c r="A8" s="39" t="s">
        <v>26</v>
      </c>
      <c r="B8" s="14"/>
      <c r="C8" s="14"/>
      <c r="D8" s="13"/>
      <c r="E8" s="14"/>
      <c r="F8" s="13">
        <f t="shared" si="0"/>
        <v>0</v>
      </c>
      <c r="G8" s="14"/>
      <c r="H8" s="43">
        <f t="shared" si="1"/>
        <v>0</v>
      </c>
    </row>
    <row r="9" spans="1:13" ht="22.5" x14ac:dyDescent="0.25">
      <c r="A9" s="45" t="s">
        <v>27</v>
      </c>
      <c r="B9" s="44" t="s">
        <v>197</v>
      </c>
      <c r="C9" s="14"/>
      <c r="D9" s="13">
        <f>OCTOBER20!H9:H19</f>
        <v>0</v>
      </c>
      <c r="E9" s="46">
        <v>1500</v>
      </c>
      <c r="F9" s="13">
        <f t="shared" si="0"/>
        <v>1500</v>
      </c>
      <c r="G9" s="43">
        <f>500+150</f>
        <v>650</v>
      </c>
      <c r="H9" s="43">
        <f t="shared" si="1"/>
        <v>850</v>
      </c>
    </row>
    <row r="10" spans="1:13" ht="22.5" x14ac:dyDescent="0.25">
      <c r="A10" s="47" t="s">
        <v>28</v>
      </c>
      <c r="B10" s="44" t="s">
        <v>173</v>
      </c>
      <c r="C10" s="12"/>
      <c r="D10" s="13">
        <v>500</v>
      </c>
      <c r="E10" s="41">
        <v>1500</v>
      </c>
      <c r="F10" s="13">
        <f t="shared" si="0"/>
        <v>2000</v>
      </c>
      <c r="G10" s="42">
        <f>400+800</f>
        <v>1200</v>
      </c>
      <c r="H10" s="43">
        <f t="shared" si="1"/>
        <v>800</v>
      </c>
    </row>
    <row r="11" spans="1:13" ht="22.5" x14ac:dyDescent="0.25">
      <c r="A11" s="48" t="s">
        <v>29</v>
      </c>
      <c r="B11" s="40" t="s">
        <v>124</v>
      </c>
      <c r="C11" s="14"/>
      <c r="D11" s="13">
        <f>OCTOBER20!H11:H21</f>
        <v>600</v>
      </c>
      <c r="E11" s="49">
        <v>1500</v>
      </c>
      <c r="F11" s="13">
        <f t="shared" si="0"/>
        <v>2100</v>
      </c>
      <c r="G11" s="50"/>
      <c r="H11" s="43">
        <f t="shared" si="1"/>
        <v>2100</v>
      </c>
      <c r="I11" t="s">
        <v>218</v>
      </c>
      <c r="L11" s="60">
        <f>E16</f>
        <v>12000</v>
      </c>
    </row>
    <row r="12" spans="1:13" ht="22.5" x14ac:dyDescent="0.25">
      <c r="A12" s="39" t="s">
        <v>30</v>
      </c>
      <c r="B12" s="40" t="s">
        <v>161</v>
      </c>
      <c r="C12" s="12"/>
      <c r="D12" s="13">
        <v>500</v>
      </c>
      <c r="E12" s="41">
        <v>1500</v>
      </c>
      <c r="F12" s="13">
        <f>E12+D12+C12</f>
        <v>2000</v>
      </c>
      <c r="G12" s="42">
        <f>700+400+800</f>
        <v>1900</v>
      </c>
      <c r="H12" s="43">
        <f t="shared" si="1"/>
        <v>100</v>
      </c>
      <c r="L12" s="60">
        <f>E34</f>
        <v>23500</v>
      </c>
    </row>
    <row r="13" spans="1:13" ht="22.5" x14ac:dyDescent="0.25">
      <c r="A13" s="39" t="s">
        <v>31</v>
      </c>
      <c r="B13" s="40" t="s">
        <v>160</v>
      </c>
      <c r="C13" s="12"/>
      <c r="D13" s="13">
        <f>OCTOBER20!H13:H23</f>
        <v>2300</v>
      </c>
      <c r="E13" s="41">
        <v>1500</v>
      </c>
      <c r="F13" s="13">
        <f t="shared" si="0"/>
        <v>3800</v>
      </c>
      <c r="G13" s="42"/>
      <c r="H13" s="43">
        <f t="shared" si="1"/>
        <v>3800</v>
      </c>
      <c r="I13" t="s">
        <v>213</v>
      </c>
      <c r="L13" s="60">
        <f>SUM(L11:L12)</f>
        <v>35500</v>
      </c>
    </row>
    <row r="14" spans="1:13" x14ac:dyDescent="0.25">
      <c r="A14" s="39" t="s">
        <v>32</v>
      </c>
      <c r="B14" s="44" t="s">
        <v>208</v>
      </c>
      <c r="C14" s="12"/>
      <c r="D14" s="13"/>
      <c r="E14" s="41">
        <v>1500</v>
      </c>
      <c r="F14" s="13">
        <f t="shared" si="0"/>
        <v>1500</v>
      </c>
      <c r="G14" s="42">
        <f>1000+500</f>
        <v>1500</v>
      </c>
      <c r="H14" s="43">
        <f t="shared" si="1"/>
        <v>0</v>
      </c>
    </row>
    <row r="15" spans="1:13" x14ac:dyDescent="0.25">
      <c r="A15" s="39" t="s">
        <v>33</v>
      </c>
      <c r="B15" s="44" t="s">
        <v>25</v>
      </c>
      <c r="C15" s="12"/>
      <c r="D15" s="13">
        <f>OCTOBER20!H15:H25</f>
        <v>0</v>
      </c>
      <c r="E15" s="15"/>
      <c r="F15" s="13">
        <f t="shared" si="0"/>
        <v>0</v>
      </c>
      <c r="G15" s="42"/>
      <c r="H15" s="43">
        <f t="shared" si="1"/>
        <v>0</v>
      </c>
      <c r="K15" t="s">
        <v>177</v>
      </c>
      <c r="L15" s="60">
        <f>C38</f>
        <v>3550</v>
      </c>
    </row>
    <row r="16" spans="1:13" x14ac:dyDescent="0.25">
      <c r="A16" s="39"/>
      <c r="B16" s="51" t="s">
        <v>7</v>
      </c>
      <c r="C16" s="52">
        <f t="shared" ref="C16:H16" si="2">SUM(C6:C15)</f>
        <v>0</v>
      </c>
      <c r="D16" s="13">
        <f>OCTOBER20!H16:H26</f>
        <v>3900</v>
      </c>
      <c r="E16" s="53">
        <f t="shared" si="2"/>
        <v>12000</v>
      </c>
      <c r="F16" s="13">
        <f t="shared" si="2"/>
        <v>15900</v>
      </c>
      <c r="G16" s="10">
        <f>SUM(G6:G15)</f>
        <v>8250</v>
      </c>
      <c r="H16" s="54">
        <f t="shared" si="2"/>
        <v>7650</v>
      </c>
      <c r="L16" s="60">
        <f>L13-L15</f>
        <v>31950</v>
      </c>
      <c r="M16">
        <v>31950</v>
      </c>
    </row>
    <row r="17" spans="1:15" x14ac:dyDescent="0.25">
      <c r="C17" s="35"/>
      <c r="D17" s="35" t="s">
        <v>37</v>
      </c>
      <c r="E17" s="35"/>
      <c r="L17">
        <v>7294</v>
      </c>
      <c r="M17">
        <v>6395</v>
      </c>
    </row>
    <row r="18" spans="1:15" ht="22.5" x14ac:dyDescent="0.25">
      <c r="A18" s="39">
        <v>1</v>
      </c>
      <c r="B18" s="44" t="s">
        <v>164</v>
      </c>
      <c r="C18" s="12"/>
      <c r="D18" s="13">
        <f>OCTOBER20!H18:H34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L18" s="60">
        <f>L16-L17</f>
        <v>24656</v>
      </c>
      <c r="M18">
        <f>M16-M17</f>
        <v>25555</v>
      </c>
      <c r="O18">
        <f>L17+L19</f>
        <v>11395</v>
      </c>
    </row>
    <row r="19" spans="1:15" x14ac:dyDescent="0.25">
      <c r="A19" s="39">
        <v>2</v>
      </c>
      <c r="B19" s="44" t="s">
        <v>152</v>
      </c>
      <c r="C19" s="12"/>
      <c r="D19" s="13">
        <f>OCTOBER20!H19:H35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L19">
        <v>4101</v>
      </c>
    </row>
    <row r="20" spans="1:15" x14ac:dyDescent="0.25">
      <c r="A20" s="39">
        <v>3</v>
      </c>
      <c r="B20" s="14" t="s">
        <v>39</v>
      </c>
      <c r="C20" s="14"/>
      <c r="D20" s="13">
        <f>OCTOBER20!H20:H36</f>
        <v>0</v>
      </c>
      <c r="E20" s="14">
        <v>2000</v>
      </c>
      <c r="F20" s="13">
        <f t="shared" ref="F20:F32" si="4">E20+D20+C20</f>
        <v>2000</v>
      </c>
      <c r="G20" s="14">
        <f>1000+1000</f>
        <v>2000</v>
      </c>
      <c r="H20" s="43">
        <f>F20-G20</f>
        <v>0</v>
      </c>
      <c r="L20" s="60">
        <f>L18-L19</f>
        <v>20555</v>
      </c>
    </row>
    <row r="21" spans="1:15" x14ac:dyDescent="0.25">
      <c r="A21" s="39">
        <v>4</v>
      </c>
      <c r="B21" s="44" t="s">
        <v>46</v>
      </c>
      <c r="C21" s="14"/>
      <c r="D21" s="13">
        <f>OCTOBER20!H21:H37</f>
        <v>0</v>
      </c>
      <c r="E21" s="46"/>
      <c r="F21" s="13">
        <f t="shared" si="4"/>
        <v>0</v>
      </c>
      <c r="G21" s="43"/>
      <c r="H21" s="43">
        <f t="shared" si="3"/>
        <v>0</v>
      </c>
    </row>
    <row r="22" spans="1:15" ht="22.5" x14ac:dyDescent="0.25">
      <c r="A22" s="39">
        <v>5</v>
      </c>
      <c r="B22" s="40" t="s">
        <v>59</v>
      </c>
      <c r="C22" s="12"/>
      <c r="D22" s="13">
        <f>OCTOBER20!H22:H38</f>
        <v>2000</v>
      </c>
      <c r="E22" s="41">
        <v>2000</v>
      </c>
      <c r="F22" s="13">
        <f t="shared" si="4"/>
        <v>4000</v>
      </c>
      <c r="G22" s="42"/>
      <c r="H22" s="43">
        <f t="shared" si="3"/>
        <v>4000</v>
      </c>
    </row>
    <row r="23" spans="1:15" ht="22.5" x14ac:dyDescent="0.25">
      <c r="A23" s="39">
        <v>6</v>
      </c>
      <c r="B23" s="40" t="s">
        <v>44</v>
      </c>
      <c r="C23" s="14"/>
      <c r="D23" s="13">
        <f>OCTOBER20!H23:H39</f>
        <v>3200</v>
      </c>
      <c r="E23" s="49"/>
      <c r="F23" s="13">
        <f t="shared" si="4"/>
        <v>3200</v>
      </c>
      <c r="G23" s="50"/>
      <c r="H23" s="43">
        <f t="shared" si="3"/>
        <v>3200</v>
      </c>
      <c r="I23" t="s">
        <v>209</v>
      </c>
    </row>
    <row r="24" spans="1:15" x14ac:dyDescent="0.25">
      <c r="A24" s="39">
        <v>7</v>
      </c>
      <c r="B24" s="40" t="s">
        <v>204</v>
      </c>
      <c r="C24" s="12"/>
      <c r="D24" s="13"/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</row>
    <row r="25" spans="1:15" ht="22.5" x14ac:dyDescent="0.25">
      <c r="A25" s="39">
        <v>8</v>
      </c>
      <c r="B25" s="40" t="s">
        <v>41</v>
      </c>
      <c r="C25" s="12"/>
      <c r="D25" s="13">
        <f>OCTOBER20!H25:H41</f>
        <v>0</v>
      </c>
      <c r="E25" s="41">
        <v>2000</v>
      </c>
      <c r="F25" s="13">
        <f t="shared" si="4"/>
        <v>2000</v>
      </c>
      <c r="G25" s="42">
        <v>2000</v>
      </c>
      <c r="H25" s="43">
        <f>F25-G25</f>
        <v>0</v>
      </c>
    </row>
    <row r="26" spans="1:15" ht="22.5" x14ac:dyDescent="0.25">
      <c r="A26" s="39">
        <v>9</v>
      </c>
      <c r="B26" s="44" t="s">
        <v>42</v>
      </c>
      <c r="C26" s="12"/>
      <c r="D26" s="13">
        <f>OCTOBER20!H26:H42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15" ht="22.5" x14ac:dyDescent="0.25">
      <c r="A27" s="39">
        <v>10</v>
      </c>
      <c r="B27" s="44" t="s">
        <v>212</v>
      </c>
      <c r="C27" s="12"/>
      <c r="D27" s="13">
        <f>OCTOBER20!H27:H43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5" ht="22.5" x14ac:dyDescent="0.25">
      <c r="A28" s="39">
        <v>11</v>
      </c>
      <c r="B28" s="40" t="s">
        <v>53</v>
      </c>
      <c r="C28" s="12"/>
      <c r="D28" s="13">
        <f>OCTOBER20!H28:H44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15" ht="22.5" x14ac:dyDescent="0.25">
      <c r="A29" s="39">
        <v>12</v>
      </c>
      <c r="B29" s="44" t="s">
        <v>167</v>
      </c>
      <c r="C29" s="12"/>
      <c r="D29" s="13">
        <f>OCTOBER20!H29:H46</f>
        <v>0</v>
      </c>
      <c r="E29" s="41">
        <v>1500</v>
      </c>
      <c r="F29" s="13">
        <f t="shared" si="4"/>
        <v>1500</v>
      </c>
      <c r="G29" s="42">
        <f>800</f>
        <v>800</v>
      </c>
      <c r="H29" s="43">
        <f>F29-G29</f>
        <v>700</v>
      </c>
      <c r="K29" t="s">
        <v>210</v>
      </c>
    </row>
    <row r="30" spans="1:15" ht="22.5" x14ac:dyDescent="0.25">
      <c r="A30" s="39">
        <v>13</v>
      </c>
      <c r="B30" s="44" t="s">
        <v>60</v>
      </c>
      <c r="C30" s="12"/>
      <c r="D30" s="13">
        <f>OCTOBER20!H30:H47</f>
        <v>100</v>
      </c>
      <c r="E30" s="41">
        <v>1000</v>
      </c>
      <c r="F30" s="13">
        <f t="shared" si="4"/>
        <v>1100</v>
      </c>
      <c r="G30" s="42">
        <v>1000</v>
      </c>
      <c r="H30" s="43">
        <f>F30-G30</f>
        <v>100</v>
      </c>
    </row>
    <row r="31" spans="1:15" ht="22.5" x14ac:dyDescent="0.25">
      <c r="A31" s="39">
        <v>14</v>
      </c>
      <c r="B31" s="44" t="s">
        <v>165</v>
      </c>
      <c r="C31" s="12"/>
      <c r="D31" s="13">
        <f>OCTOBER20!H31:H48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</row>
    <row r="32" spans="1:15" ht="22.5" x14ac:dyDescent="0.25">
      <c r="A32" s="39">
        <v>15</v>
      </c>
      <c r="B32" s="44" t="s">
        <v>136</v>
      </c>
      <c r="C32" s="12"/>
      <c r="D32" s="13">
        <f>OCTOBER20!H32:H49</f>
        <v>200</v>
      </c>
      <c r="E32" s="41">
        <v>1500</v>
      </c>
      <c r="F32" s="13">
        <f t="shared" si="4"/>
        <v>1700</v>
      </c>
      <c r="G32" s="42">
        <f>1000+500</f>
        <v>1500</v>
      </c>
      <c r="H32" s="43">
        <f>F32-G32</f>
        <v>200</v>
      </c>
    </row>
    <row r="33" spans="1:10" ht="22.5" x14ac:dyDescent="0.25">
      <c r="A33" s="39">
        <v>16</v>
      </c>
      <c r="B33" s="44" t="s">
        <v>166</v>
      </c>
      <c r="C33" s="12"/>
      <c r="D33" s="13">
        <f>OCTOBER20!H33:H50</f>
        <v>0</v>
      </c>
      <c r="E33" s="41">
        <v>1500</v>
      </c>
      <c r="F33" s="13">
        <f>E33+D33+C33</f>
        <v>1500</v>
      </c>
      <c r="G33" s="42">
        <v>700</v>
      </c>
      <c r="H33" s="43">
        <f t="shared" si="3"/>
        <v>800</v>
      </c>
    </row>
    <row r="34" spans="1:10" x14ac:dyDescent="0.25">
      <c r="A34" s="39"/>
      <c r="B34" s="51" t="s">
        <v>7</v>
      </c>
      <c r="C34" s="52">
        <f>SUM(C18:C33)</f>
        <v>0</v>
      </c>
      <c r="D34" s="13">
        <f>OCTOBER20!H34:H51</f>
        <v>8500</v>
      </c>
      <c r="E34" s="53">
        <f>SUM(E18:E33)</f>
        <v>23500</v>
      </c>
      <c r="F34" s="13">
        <f>C34+D34+E34</f>
        <v>32000</v>
      </c>
      <c r="G34" s="10">
        <f>SUM(G18:G33)</f>
        <v>20000</v>
      </c>
      <c r="H34" s="43">
        <f>F34-G34</f>
        <v>12000</v>
      </c>
    </row>
    <row r="35" spans="1:10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0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0" x14ac:dyDescent="0.25">
      <c r="A37" s="22" t="s">
        <v>199</v>
      </c>
      <c r="B37" s="8">
        <f>E34+E16</f>
        <v>35500</v>
      </c>
      <c r="C37" s="23"/>
      <c r="D37" s="23"/>
      <c r="E37" s="22" t="s">
        <v>199</v>
      </c>
      <c r="F37" s="8">
        <f>G34+G16</f>
        <v>28250</v>
      </c>
      <c r="G37" s="23"/>
      <c r="H37" s="8"/>
    </row>
    <row r="38" spans="1:10" x14ac:dyDescent="0.25">
      <c r="A38" s="22" t="s">
        <v>12</v>
      </c>
      <c r="B38" s="24">
        <v>0.1</v>
      </c>
      <c r="C38" s="25">
        <f>B37*B38</f>
        <v>3550</v>
      </c>
      <c r="D38" s="22"/>
      <c r="E38" s="22" t="s">
        <v>12</v>
      </c>
      <c r="F38" s="24">
        <v>0.1</v>
      </c>
      <c r="G38" s="25">
        <f>C38</f>
        <v>3550</v>
      </c>
      <c r="H38" s="8"/>
    </row>
    <row r="39" spans="1:10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10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0" x14ac:dyDescent="0.25">
      <c r="A41" s="26" t="s">
        <v>2</v>
      </c>
      <c r="B41" s="25">
        <f>OCTOBER20!D53</f>
        <v>-7294.0999999999913</v>
      </c>
      <c r="C41" s="22"/>
      <c r="D41" s="22"/>
      <c r="E41" s="26" t="s">
        <v>2</v>
      </c>
      <c r="F41" s="25">
        <f>OCTOBER20!H53</f>
        <v>-15894.000000000004</v>
      </c>
      <c r="G41" s="22"/>
      <c r="H41" s="8"/>
    </row>
    <row r="42" spans="1:10" x14ac:dyDescent="0.25">
      <c r="A42" s="26" t="s">
        <v>7</v>
      </c>
      <c r="B42" s="25">
        <f>B37+B41+B40</f>
        <v>28205.900000000009</v>
      </c>
      <c r="C42" s="22"/>
      <c r="D42" s="22"/>
      <c r="E42" s="26" t="s">
        <v>7</v>
      </c>
      <c r="F42" s="25">
        <f>F37+F41+F39</f>
        <v>12356.299999999996</v>
      </c>
      <c r="G42" s="22"/>
      <c r="H42" s="8"/>
    </row>
    <row r="43" spans="1:10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0" x14ac:dyDescent="0.25">
      <c r="A44" s="27" t="s">
        <v>203</v>
      </c>
      <c r="B44" s="59"/>
      <c r="C44" s="29">
        <v>4101</v>
      </c>
      <c r="D44" s="28"/>
      <c r="E44" s="27" t="s">
        <v>203</v>
      </c>
      <c r="F44" s="59"/>
      <c r="G44" s="29">
        <v>4101</v>
      </c>
      <c r="H44" s="30"/>
    </row>
    <row r="45" spans="1:10" x14ac:dyDescent="0.25">
      <c r="A45" s="27" t="s">
        <v>211</v>
      </c>
      <c r="B45" s="59"/>
      <c r="C45" s="29">
        <f>25555</f>
        <v>25555</v>
      </c>
      <c r="D45" s="28"/>
      <c r="E45" s="27" t="s">
        <v>211</v>
      </c>
      <c r="F45" s="59"/>
      <c r="G45" s="29">
        <f>25555</f>
        <v>25555</v>
      </c>
      <c r="H45" s="30"/>
    </row>
    <row r="46" spans="1:10" x14ac:dyDescent="0.25">
      <c r="A46" s="27" t="s">
        <v>214</v>
      </c>
      <c r="B46" s="59"/>
      <c r="C46" s="29">
        <v>3800</v>
      </c>
      <c r="D46" s="28"/>
      <c r="E46" s="27"/>
      <c r="F46" s="59"/>
      <c r="G46" s="29"/>
      <c r="H46" s="30"/>
      <c r="J46" s="61">
        <f>C46+C47+C48+C49</f>
        <v>10982</v>
      </c>
    </row>
    <row r="47" spans="1:10" x14ac:dyDescent="0.25">
      <c r="A47" s="27" t="s">
        <v>215</v>
      </c>
      <c r="B47" s="59"/>
      <c r="C47" s="29">
        <v>2541</v>
      </c>
      <c r="D47" s="28"/>
      <c r="E47" s="27" t="s">
        <v>215</v>
      </c>
      <c r="F47" s="59"/>
      <c r="G47" s="29">
        <v>2541</v>
      </c>
      <c r="H47" s="30"/>
    </row>
    <row r="48" spans="1:10" x14ac:dyDescent="0.25">
      <c r="A48" s="27" t="s">
        <v>219</v>
      </c>
      <c r="B48" s="59"/>
      <c r="C48" s="29">
        <v>2100</v>
      </c>
      <c r="D48" s="28"/>
      <c r="E48" s="27"/>
      <c r="F48" s="59"/>
      <c r="G48" s="29"/>
      <c r="H48" s="30"/>
    </row>
    <row r="49" spans="1:11" x14ac:dyDescent="0.25">
      <c r="A49" s="27" t="s">
        <v>220</v>
      </c>
      <c r="B49" s="59"/>
      <c r="C49" s="29">
        <v>2541</v>
      </c>
      <c r="D49" s="28"/>
      <c r="E49" s="27" t="s">
        <v>220</v>
      </c>
      <c r="F49" s="59"/>
      <c r="G49" s="29">
        <v>2541</v>
      </c>
      <c r="H49" s="30"/>
    </row>
    <row r="50" spans="1:11" x14ac:dyDescent="0.25">
      <c r="A50" s="27"/>
      <c r="B50" s="59"/>
      <c r="C50" s="29"/>
      <c r="D50" s="28"/>
      <c r="E50" s="27"/>
      <c r="F50" s="59"/>
      <c r="G50" s="29"/>
      <c r="H50" s="30"/>
    </row>
    <row r="51" spans="1:11" x14ac:dyDescent="0.25">
      <c r="A51" s="27"/>
      <c r="B51" s="59"/>
      <c r="C51" s="29"/>
      <c r="D51" s="28"/>
      <c r="E51" s="27"/>
      <c r="F51" s="59"/>
      <c r="G51" s="29"/>
      <c r="H51" s="30"/>
    </row>
    <row r="52" spans="1:11" x14ac:dyDescent="0.25">
      <c r="A52" s="11" t="s">
        <v>7</v>
      </c>
      <c r="B52" s="34">
        <f>B37+B39+B40+B41-C38-C39</f>
        <v>24656.200000000012</v>
      </c>
      <c r="C52" s="7">
        <f>SUM(C44:C51)</f>
        <v>40638</v>
      </c>
      <c r="D52" s="7">
        <f>B52-C52</f>
        <v>-15981.799999999988</v>
      </c>
      <c r="E52" s="11" t="s">
        <v>7</v>
      </c>
      <c r="F52" s="34">
        <f>F37+F39+F41-G38</f>
        <v>8806.2999999999956</v>
      </c>
      <c r="G52" s="7">
        <f>SUM(G44:G51)</f>
        <v>34738</v>
      </c>
      <c r="H52" s="7">
        <f>F52-G52</f>
        <v>-25931.700000000004</v>
      </c>
      <c r="I52" s="60"/>
    </row>
    <row r="53" spans="1:11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1" x14ac:dyDescent="0.25">
      <c r="A54" s="1" t="s">
        <v>35</v>
      </c>
      <c r="B54" s="1"/>
      <c r="D54" s="1" t="s">
        <v>36</v>
      </c>
      <c r="G54" s="1" t="s">
        <v>63</v>
      </c>
      <c r="I54" s="60"/>
      <c r="K54" s="61"/>
    </row>
    <row r="55" spans="1:11" x14ac:dyDescent="0.25">
      <c r="I55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3" workbookViewId="0">
      <selection activeCell="D28" sqref="D28"/>
    </sheetView>
  </sheetViews>
  <sheetFormatPr defaultRowHeight="15" x14ac:dyDescent="0.25"/>
  <cols>
    <col min="1" max="1" width="11.140625" customWidth="1"/>
  </cols>
  <sheetData>
    <row r="1" spans="1:13" ht="15.75" x14ac:dyDescent="0.25">
      <c r="B1" s="1"/>
      <c r="C1" s="2" t="s">
        <v>55</v>
      </c>
      <c r="D1" s="1"/>
      <c r="E1" s="1"/>
      <c r="F1" s="1"/>
    </row>
    <row r="2" spans="1:13" ht="15.75" x14ac:dyDescent="0.25">
      <c r="C2" s="3"/>
      <c r="D2" s="3" t="s">
        <v>0</v>
      </c>
      <c r="E2" s="1"/>
      <c r="F2" s="1"/>
    </row>
    <row r="3" spans="1:13" ht="21" x14ac:dyDescent="0.25">
      <c r="C3" s="4" t="s">
        <v>217</v>
      </c>
      <c r="D3" s="3"/>
      <c r="E3" s="5"/>
      <c r="F3" s="5"/>
    </row>
    <row r="4" spans="1:13" x14ac:dyDescent="0.25">
      <c r="D4" s="35" t="s">
        <v>48</v>
      </c>
    </row>
    <row r="5" spans="1:13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3" ht="22.5" x14ac:dyDescent="0.25">
      <c r="A6" s="39" t="s">
        <v>23</v>
      </c>
      <c r="B6" s="40" t="s">
        <v>45</v>
      </c>
      <c r="C6" s="12"/>
      <c r="D6" s="13">
        <f>NOVEMBER20!H6:H15</f>
        <v>0</v>
      </c>
      <c r="E6" s="41">
        <v>1500</v>
      </c>
      <c r="F6" s="13">
        <f>E6+D6+C6</f>
        <v>1500</v>
      </c>
      <c r="G6" s="42">
        <f>1500</f>
        <v>1500</v>
      </c>
      <c r="H6" s="43">
        <f>F6-G6</f>
        <v>0</v>
      </c>
    </row>
    <row r="7" spans="1:13" ht="22.5" x14ac:dyDescent="0.25">
      <c r="A7" s="39" t="s">
        <v>24</v>
      </c>
      <c r="B7" s="44" t="s">
        <v>162</v>
      </c>
      <c r="C7" s="12"/>
      <c r="D7" s="13">
        <f>NOVEMBER20!H7:H16</f>
        <v>0</v>
      </c>
      <c r="E7" s="41">
        <v>1500</v>
      </c>
      <c r="F7" s="13">
        <f t="shared" ref="F7:F15" si="0">E7+D7+C7</f>
        <v>1500</v>
      </c>
      <c r="G7" s="13"/>
      <c r="H7" s="43">
        <f t="shared" ref="H7:H15" si="1">F7-G7</f>
        <v>1500</v>
      </c>
    </row>
    <row r="8" spans="1:13" x14ac:dyDescent="0.25">
      <c r="A8" s="39" t="s">
        <v>26</v>
      </c>
      <c r="B8" s="14" t="s">
        <v>221</v>
      </c>
      <c r="C8" s="14"/>
      <c r="D8" s="13">
        <f>NOVEMBER20!H8:H17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</row>
    <row r="9" spans="1:13" ht="22.5" x14ac:dyDescent="0.25">
      <c r="A9" s="45" t="s">
        <v>27</v>
      </c>
      <c r="B9" s="44" t="s">
        <v>197</v>
      </c>
      <c r="C9" s="14"/>
      <c r="D9" s="13">
        <f>NOVEMBER20!H9:H18</f>
        <v>850</v>
      </c>
      <c r="E9" s="46">
        <v>1500</v>
      </c>
      <c r="F9" s="13">
        <f t="shared" si="0"/>
        <v>2350</v>
      </c>
      <c r="G9" s="43"/>
      <c r="H9" s="43">
        <f t="shared" si="1"/>
        <v>2350</v>
      </c>
    </row>
    <row r="10" spans="1:13" ht="22.5" x14ac:dyDescent="0.25">
      <c r="A10" s="47" t="s">
        <v>28</v>
      </c>
      <c r="B10" s="44" t="s">
        <v>173</v>
      </c>
      <c r="C10" s="12"/>
      <c r="D10" s="13">
        <f>NOVEMBER20!H10:H19</f>
        <v>800</v>
      </c>
      <c r="E10" s="41">
        <v>1500</v>
      </c>
      <c r="F10" s="13">
        <f t="shared" si="0"/>
        <v>2300</v>
      </c>
      <c r="G10" s="42"/>
      <c r="H10" s="43">
        <f t="shared" si="1"/>
        <v>2300</v>
      </c>
    </row>
    <row r="11" spans="1:13" ht="22.5" x14ac:dyDescent="0.25">
      <c r="A11" s="48" t="s">
        <v>29</v>
      </c>
      <c r="B11" s="40" t="s">
        <v>222</v>
      </c>
      <c r="C11" s="14"/>
      <c r="D11" s="13"/>
      <c r="E11" s="49">
        <v>1500</v>
      </c>
      <c r="F11" s="13">
        <f t="shared" si="0"/>
        <v>1500</v>
      </c>
      <c r="G11" s="50">
        <v>1500</v>
      </c>
      <c r="H11" s="43">
        <f t="shared" si="1"/>
        <v>0</v>
      </c>
    </row>
    <row r="12" spans="1:13" ht="22.5" x14ac:dyDescent="0.25">
      <c r="A12" s="39" t="s">
        <v>30</v>
      </c>
      <c r="B12" s="40" t="s">
        <v>161</v>
      </c>
      <c r="C12" s="12"/>
      <c r="D12" s="13">
        <f>NOVEMBER20!H12:H21</f>
        <v>100</v>
      </c>
      <c r="E12" s="41">
        <v>1500</v>
      </c>
      <c r="F12" s="13">
        <f>E12+D12+C12</f>
        <v>1600</v>
      </c>
      <c r="G12" s="42"/>
      <c r="H12" s="43">
        <f t="shared" si="1"/>
        <v>1600</v>
      </c>
    </row>
    <row r="13" spans="1:13" x14ac:dyDescent="0.25">
      <c r="A13" s="39" t="s">
        <v>31</v>
      </c>
      <c r="B13" s="40" t="s">
        <v>46</v>
      </c>
      <c r="C13" s="12"/>
      <c r="D13" s="13"/>
      <c r="E13" s="41"/>
      <c r="F13" s="13">
        <f t="shared" si="0"/>
        <v>0</v>
      </c>
      <c r="G13" s="42"/>
      <c r="H13" s="43">
        <f t="shared" si="1"/>
        <v>0</v>
      </c>
      <c r="M13">
        <v>12000</v>
      </c>
    </row>
    <row r="14" spans="1:13" x14ac:dyDescent="0.25">
      <c r="A14" s="39" t="s">
        <v>32</v>
      </c>
      <c r="B14" s="44" t="s">
        <v>208</v>
      </c>
      <c r="C14" s="12"/>
      <c r="D14" s="13">
        <f>NOVEMBER20!H14:H23</f>
        <v>0</v>
      </c>
      <c r="E14" s="41">
        <v>1500</v>
      </c>
      <c r="F14" s="13">
        <f t="shared" si="0"/>
        <v>1500</v>
      </c>
      <c r="G14" s="42"/>
      <c r="H14" s="43">
        <f t="shared" si="1"/>
        <v>1500</v>
      </c>
      <c r="M14" s="60">
        <f>E34+2000</f>
        <v>27500</v>
      </c>
    </row>
    <row r="15" spans="1:13" x14ac:dyDescent="0.25">
      <c r="A15" s="39" t="s">
        <v>33</v>
      </c>
      <c r="B15" s="44" t="s">
        <v>25</v>
      </c>
      <c r="C15" s="12"/>
      <c r="D15" s="13">
        <f>NOVEMBER20!H15:H24</f>
        <v>0</v>
      </c>
      <c r="E15" s="15"/>
      <c r="F15" s="13">
        <f t="shared" si="0"/>
        <v>0</v>
      </c>
      <c r="G15" s="42"/>
      <c r="H15" s="43">
        <f t="shared" si="1"/>
        <v>0</v>
      </c>
      <c r="K15" t="s">
        <v>226</v>
      </c>
      <c r="M15" s="60">
        <f>M13+M14</f>
        <v>39500</v>
      </c>
    </row>
    <row r="16" spans="1:13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1750</v>
      </c>
      <c r="E16" s="53">
        <f t="shared" si="2"/>
        <v>12000</v>
      </c>
      <c r="F16" s="13">
        <f t="shared" si="2"/>
        <v>13750</v>
      </c>
      <c r="G16" s="10">
        <f>SUM(G6:G15)</f>
        <v>4500</v>
      </c>
      <c r="H16" s="54">
        <f t="shared" si="2"/>
        <v>9250</v>
      </c>
      <c r="K16" t="s">
        <v>177</v>
      </c>
      <c r="M16" s="60">
        <f>C38</f>
        <v>3750</v>
      </c>
    </row>
    <row r="17" spans="1:15" x14ac:dyDescent="0.25">
      <c r="C17" s="35"/>
      <c r="D17" s="35" t="s">
        <v>37</v>
      </c>
      <c r="E17" s="35"/>
      <c r="M17" s="60">
        <f>M15-M16</f>
        <v>35750</v>
      </c>
    </row>
    <row r="18" spans="1:15" ht="22.5" x14ac:dyDescent="0.25">
      <c r="A18" s="39">
        <v>1</v>
      </c>
      <c r="B18" s="44" t="s">
        <v>164</v>
      </c>
      <c r="C18" s="12"/>
      <c r="D18" s="13">
        <f>NOVEMBER20!H18:H33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K18" t="s">
        <v>225</v>
      </c>
      <c r="M18">
        <v>15982</v>
      </c>
    </row>
    <row r="19" spans="1:15" x14ac:dyDescent="0.25">
      <c r="A19" s="39">
        <v>2</v>
      </c>
      <c r="B19" s="44" t="s">
        <v>152</v>
      </c>
      <c r="C19" s="12"/>
      <c r="D19" s="13">
        <f>NOVEMBER20!H19:H34</f>
        <v>0</v>
      </c>
      <c r="E19" s="41">
        <v>2000</v>
      </c>
      <c r="F19" s="13">
        <f>E19+D19+C19</f>
        <v>2000</v>
      </c>
      <c r="G19" s="13">
        <f>1000+1000</f>
        <v>2000</v>
      </c>
      <c r="H19" s="43">
        <f>F19-G19</f>
        <v>0</v>
      </c>
      <c r="M19" s="60">
        <f>M17-M18</f>
        <v>19768</v>
      </c>
      <c r="O19">
        <f>M18</f>
        <v>15982</v>
      </c>
    </row>
    <row r="20" spans="1:15" x14ac:dyDescent="0.25">
      <c r="A20" s="39">
        <v>3</v>
      </c>
      <c r="B20" s="14" t="s">
        <v>39</v>
      </c>
      <c r="C20" s="14"/>
      <c r="D20" s="13">
        <f>NOVEMBER20!H20:H35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K20" t="s">
        <v>224</v>
      </c>
      <c r="M20" s="61">
        <f>C45</f>
        <v>7077</v>
      </c>
      <c r="O20" s="61">
        <f>M20</f>
        <v>7077</v>
      </c>
    </row>
    <row r="21" spans="1:15" ht="22.5" x14ac:dyDescent="0.25">
      <c r="A21" s="39">
        <v>4</v>
      </c>
      <c r="B21" s="44" t="s">
        <v>228</v>
      </c>
      <c r="C21" s="14"/>
      <c r="D21" s="13">
        <f>NOVEMBER20!H21:H36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K21" t="s">
        <v>223</v>
      </c>
      <c r="M21" s="61">
        <f>C46</f>
        <v>3106</v>
      </c>
      <c r="O21" s="61">
        <f>M21</f>
        <v>3106</v>
      </c>
    </row>
    <row r="22" spans="1:15" ht="22.5" x14ac:dyDescent="0.25">
      <c r="A22" s="39">
        <v>5</v>
      </c>
      <c r="B22" s="40" t="s">
        <v>59</v>
      </c>
      <c r="C22" s="12"/>
      <c r="D22" s="13">
        <f>NOVEMBER20!H22:H37</f>
        <v>4000</v>
      </c>
      <c r="E22" s="41">
        <v>2000</v>
      </c>
      <c r="F22" s="13">
        <f t="shared" si="4"/>
        <v>6000</v>
      </c>
      <c r="G22" s="42">
        <f>2000</f>
        <v>2000</v>
      </c>
      <c r="H22" s="43">
        <f t="shared" si="3"/>
        <v>4000</v>
      </c>
      <c r="K22" t="s">
        <v>227</v>
      </c>
      <c r="M22" s="60">
        <f>M19-M20-M21</f>
        <v>9585</v>
      </c>
      <c r="O22">
        <f>SUM(O19:O21)</f>
        <v>26165</v>
      </c>
    </row>
    <row r="23" spans="1:15" ht="22.5" x14ac:dyDescent="0.25">
      <c r="A23" s="39">
        <v>6</v>
      </c>
      <c r="B23" s="40" t="s">
        <v>44</v>
      </c>
      <c r="C23" s="14"/>
      <c r="D23" s="13">
        <f>NOVEMBER20!H23:H38</f>
        <v>3200</v>
      </c>
      <c r="E23" s="49"/>
      <c r="F23" s="13">
        <f t="shared" si="4"/>
        <v>3200</v>
      </c>
      <c r="G23" s="50"/>
      <c r="H23" s="43">
        <f t="shared" si="3"/>
        <v>3200</v>
      </c>
      <c r="I23" t="s">
        <v>209</v>
      </c>
    </row>
    <row r="24" spans="1:15" x14ac:dyDescent="0.25">
      <c r="A24" s="39">
        <v>7</v>
      </c>
      <c r="B24" s="40" t="s">
        <v>204</v>
      </c>
      <c r="C24" s="12"/>
      <c r="D24" s="13">
        <f>NOVEMBER20!H24:H39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  <c r="K24" t="s">
        <v>5</v>
      </c>
      <c r="M24">
        <v>26000</v>
      </c>
    </row>
    <row r="25" spans="1:15" ht="22.5" x14ac:dyDescent="0.25">
      <c r="A25" s="39">
        <v>8</v>
      </c>
      <c r="B25" s="40" t="s">
        <v>41</v>
      </c>
      <c r="C25" s="12"/>
      <c r="D25" s="13">
        <f>NOVEMBER20!H25:H40</f>
        <v>0</v>
      </c>
      <c r="E25" s="41">
        <v>2000</v>
      </c>
      <c r="F25" s="13">
        <f t="shared" si="4"/>
        <v>2000</v>
      </c>
      <c r="G25" s="42">
        <f>1500</f>
        <v>1500</v>
      </c>
      <c r="H25" s="43">
        <f>F25-G25</f>
        <v>500</v>
      </c>
      <c r="K25" t="s">
        <v>5</v>
      </c>
      <c r="M25" s="61">
        <f>C49</f>
        <v>3056</v>
      </c>
    </row>
    <row r="26" spans="1:15" ht="22.5" x14ac:dyDescent="0.25">
      <c r="A26" s="39">
        <v>9</v>
      </c>
      <c r="B26" s="44" t="s">
        <v>42</v>
      </c>
      <c r="C26" s="12"/>
      <c r="D26" s="13">
        <f>NOVEMBER20!H26:H41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  <c r="M26" s="60">
        <f>M22-M24-M25</f>
        <v>-19471</v>
      </c>
    </row>
    <row r="27" spans="1:15" ht="22.5" x14ac:dyDescent="0.25">
      <c r="A27" s="39">
        <v>10</v>
      </c>
      <c r="B27" s="44" t="s">
        <v>212</v>
      </c>
      <c r="C27" s="12"/>
      <c r="D27" s="13">
        <f>NOVEMBER20!H27:H42</f>
        <v>0</v>
      </c>
      <c r="E27" s="41">
        <v>1500</v>
      </c>
      <c r="F27" s="13">
        <f t="shared" si="4"/>
        <v>1500</v>
      </c>
      <c r="G27" s="42">
        <f>1500</f>
        <v>1500</v>
      </c>
      <c r="H27" s="43">
        <f t="shared" si="3"/>
        <v>0</v>
      </c>
      <c r="K27" t="s">
        <v>235</v>
      </c>
      <c r="M27" s="60">
        <f>F10</f>
        <v>2300</v>
      </c>
    </row>
    <row r="28" spans="1:15" ht="22.5" x14ac:dyDescent="0.25">
      <c r="A28" s="39">
        <v>11</v>
      </c>
      <c r="B28" s="40" t="s">
        <v>53</v>
      </c>
      <c r="C28" s="12"/>
      <c r="D28" s="13">
        <f>NOVEMBER20!H28:H43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  <c r="M28" s="60">
        <f>M26-M27</f>
        <v>-21771</v>
      </c>
    </row>
    <row r="29" spans="1:15" ht="22.5" x14ac:dyDescent="0.25">
      <c r="A29" s="39">
        <v>12</v>
      </c>
      <c r="B29" s="44" t="s">
        <v>167</v>
      </c>
      <c r="C29" s="12"/>
      <c r="D29" s="13">
        <f>NOVEMBER20!H29:H44</f>
        <v>700</v>
      </c>
      <c r="E29" s="41">
        <v>1500</v>
      </c>
      <c r="F29" s="13">
        <f t="shared" si="4"/>
        <v>2200</v>
      </c>
      <c r="G29" s="42">
        <v>1700</v>
      </c>
      <c r="H29" s="43">
        <f>F29-G29</f>
        <v>500</v>
      </c>
    </row>
    <row r="30" spans="1:15" ht="22.5" x14ac:dyDescent="0.25">
      <c r="A30" s="39">
        <v>13</v>
      </c>
      <c r="B30" s="44" t="s">
        <v>60</v>
      </c>
      <c r="C30" s="12"/>
      <c r="D30" s="13">
        <f>NOVEMBER20!H30:H45</f>
        <v>100</v>
      </c>
      <c r="E30" s="41">
        <v>1000</v>
      </c>
      <c r="F30" s="13">
        <f t="shared" si="4"/>
        <v>1100</v>
      </c>
      <c r="G30" s="42">
        <f>1000</f>
        <v>1000</v>
      </c>
      <c r="H30" s="43">
        <f>F30-G30</f>
        <v>100</v>
      </c>
    </row>
    <row r="31" spans="1:15" ht="22.5" x14ac:dyDescent="0.25">
      <c r="A31" s="39">
        <v>14</v>
      </c>
      <c r="B31" s="44" t="s">
        <v>165</v>
      </c>
      <c r="C31" s="12"/>
      <c r="D31" s="13">
        <f>NOVEMBER20!H31:H46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</row>
    <row r="32" spans="1:15" ht="22.5" x14ac:dyDescent="0.25">
      <c r="A32" s="39">
        <v>15</v>
      </c>
      <c r="B32" s="44" t="s">
        <v>136</v>
      </c>
      <c r="C32" s="12"/>
      <c r="D32" s="13">
        <f>NOVEMBER20!H32:H47</f>
        <v>200</v>
      </c>
      <c r="E32" s="41">
        <v>1500</v>
      </c>
      <c r="F32" s="13">
        <f t="shared" si="4"/>
        <v>1700</v>
      </c>
      <c r="G32" s="42">
        <f>1500</f>
        <v>1500</v>
      </c>
      <c r="H32" s="43">
        <f>F32-G32</f>
        <v>200</v>
      </c>
    </row>
    <row r="33" spans="1:8" ht="22.5" x14ac:dyDescent="0.25">
      <c r="A33" s="39">
        <v>16</v>
      </c>
      <c r="B33" s="44" t="s">
        <v>166</v>
      </c>
      <c r="C33" s="12"/>
      <c r="D33" s="13">
        <f>NOVEMBER20!H33:H48</f>
        <v>800</v>
      </c>
      <c r="E33" s="41">
        <v>1500</v>
      </c>
      <c r="F33" s="13">
        <f>E33+D33+C33</f>
        <v>2300</v>
      </c>
      <c r="G33" s="42">
        <f>500+900</f>
        <v>1400</v>
      </c>
      <c r="H33" s="43">
        <f t="shared" si="3"/>
        <v>900</v>
      </c>
    </row>
    <row r="34" spans="1:8" x14ac:dyDescent="0.25">
      <c r="A34" s="39"/>
      <c r="B34" s="51" t="s">
        <v>7</v>
      </c>
      <c r="C34" s="52">
        <f>SUM(C18:C33)</f>
        <v>0</v>
      </c>
      <c r="D34" s="13">
        <f>SUM(D18:D33)</f>
        <v>9000</v>
      </c>
      <c r="E34" s="53">
        <f>SUM(E18:E33)</f>
        <v>25500</v>
      </c>
      <c r="F34" s="13">
        <f>C34+D34+E34</f>
        <v>34500</v>
      </c>
      <c r="G34" s="10">
        <f>SUM(G18:G33)</f>
        <v>25100</v>
      </c>
      <c r="H34" s="43">
        <f>F34-G34</f>
        <v>9400</v>
      </c>
    </row>
    <row r="35" spans="1:8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8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8" x14ac:dyDescent="0.25">
      <c r="A37" s="22" t="s">
        <v>216</v>
      </c>
      <c r="B37" s="8">
        <f>E34+E16</f>
        <v>37500</v>
      </c>
      <c r="C37" s="23"/>
      <c r="D37" s="23"/>
      <c r="E37" s="22" t="s">
        <v>216</v>
      </c>
      <c r="F37" s="8">
        <f>G34+G16</f>
        <v>29600</v>
      </c>
      <c r="G37" s="23"/>
      <c r="H37" s="8"/>
    </row>
    <row r="38" spans="1:8" x14ac:dyDescent="0.25">
      <c r="A38" s="22" t="s">
        <v>12</v>
      </c>
      <c r="B38" s="24">
        <v>0.1</v>
      </c>
      <c r="C38" s="25">
        <f>B37*B38</f>
        <v>3750</v>
      </c>
      <c r="D38" s="22"/>
      <c r="E38" s="22" t="s">
        <v>12</v>
      </c>
      <c r="F38" s="24">
        <v>0.1</v>
      </c>
      <c r="G38" s="25">
        <f>C38</f>
        <v>3750</v>
      </c>
      <c r="H38" s="8"/>
    </row>
    <row r="39" spans="1:8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8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8" x14ac:dyDescent="0.25">
      <c r="A41" s="26" t="s">
        <v>2</v>
      </c>
      <c r="B41" s="25">
        <f>NOVEMBER20!D52</f>
        <v>-15981.799999999988</v>
      </c>
      <c r="C41" s="22"/>
      <c r="D41" s="22"/>
      <c r="E41" s="26" t="s">
        <v>2</v>
      </c>
      <c r="F41" s="25">
        <f>NOVEMBER20!H52</f>
        <v>-25931.700000000004</v>
      </c>
      <c r="G41" s="22"/>
      <c r="H41" s="8"/>
    </row>
    <row r="42" spans="1:8" x14ac:dyDescent="0.25">
      <c r="A42" s="26" t="s">
        <v>7</v>
      </c>
      <c r="B42" s="25">
        <f>B37+B41+B40</f>
        <v>21518.200000000012</v>
      </c>
      <c r="C42" s="22"/>
      <c r="D42" s="22"/>
      <c r="E42" s="26" t="s">
        <v>7</v>
      </c>
      <c r="F42" s="25">
        <f>F37+F41+F39</f>
        <v>3668.5999999999958</v>
      </c>
      <c r="G42" s="22"/>
      <c r="H42" s="8"/>
    </row>
    <row r="43" spans="1:8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8" x14ac:dyDescent="0.25">
      <c r="A44" s="27"/>
      <c r="B44" s="59"/>
      <c r="C44" s="29"/>
      <c r="D44" s="28"/>
      <c r="E44" s="27"/>
      <c r="F44" s="59"/>
      <c r="G44" s="29"/>
      <c r="H44" s="30"/>
    </row>
    <row r="45" spans="1:8" x14ac:dyDescent="0.25">
      <c r="A45" s="27" t="s">
        <v>224</v>
      </c>
      <c r="B45" s="59"/>
      <c r="C45" s="29">
        <v>7077</v>
      </c>
      <c r="D45" s="28"/>
      <c r="E45" s="27" t="s">
        <v>224</v>
      </c>
      <c r="F45" s="59"/>
      <c r="G45" s="29">
        <v>7077</v>
      </c>
      <c r="H45" s="30"/>
    </row>
    <row r="46" spans="1:8" x14ac:dyDescent="0.25">
      <c r="A46" s="27" t="s">
        <v>223</v>
      </c>
      <c r="B46" s="59"/>
      <c r="C46" s="29">
        <v>3106</v>
      </c>
      <c r="D46" s="28"/>
      <c r="E46" s="27" t="s">
        <v>223</v>
      </c>
      <c r="F46" s="59"/>
      <c r="G46" s="29">
        <v>3106</v>
      </c>
      <c r="H46" s="30"/>
    </row>
    <row r="47" spans="1:8" x14ac:dyDescent="0.25">
      <c r="A47" s="27" t="s">
        <v>229</v>
      </c>
      <c r="B47" s="59"/>
      <c r="C47" s="29">
        <f>19000+3000+4000</f>
        <v>26000</v>
      </c>
      <c r="D47" s="28"/>
      <c r="E47" s="27" t="s">
        <v>229</v>
      </c>
      <c r="F47" s="59"/>
      <c r="G47" s="29">
        <f>19000+3000+4000</f>
        <v>26000</v>
      </c>
      <c r="H47" s="30"/>
    </row>
    <row r="48" spans="1:8" x14ac:dyDescent="0.25">
      <c r="A48" s="27"/>
      <c r="B48" s="59"/>
      <c r="C48" s="29"/>
      <c r="D48" s="28"/>
      <c r="E48" s="27"/>
      <c r="F48" s="59"/>
      <c r="G48" s="29"/>
      <c r="H48" s="30"/>
    </row>
    <row r="49" spans="1:10" x14ac:dyDescent="0.25">
      <c r="A49" s="27" t="s">
        <v>232</v>
      </c>
      <c r="B49" s="59"/>
      <c r="C49" s="29">
        <v>3056</v>
      </c>
      <c r="D49" s="28"/>
      <c r="E49" s="27" t="s">
        <v>232</v>
      </c>
      <c r="F49" s="59"/>
      <c r="G49" s="29">
        <v>3056</v>
      </c>
      <c r="H49" s="30"/>
    </row>
    <row r="50" spans="1:10" x14ac:dyDescent="0.25">
      <c r="A50" s="27" t="s">
        <v>234</v>
      </c>
      <c r="B50" s="59"/>
      <c r="C50" s="29">
        <f>F10</f>
        <v>2300</v>
      </c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11" t="s">
        <v>7</v>
      </c>
      <c r="B52" s="34">
        <f>B37+B39+B40+B41-C38-C39</f>
        <v>17768.500000000015</v>
      </c>
      <c r="C52" s="7">
        <f>SUM(C44:C51)</f>
        <v>41539</v>
      </c>
      <c r="D52" s="7">
        <f>B52-C52</f>
        <v>-23770.499999999985</v>
      </c>
      <c r="E52" s="11" t="s">
        <v>7</v>
      </c>
      <c r="F52" s="34">
        <f>F37+F39+F41-G38</f>
        <v>-81.400000000005093</v>
      </c>
      <c r="G52" s="7">
        <f>SUM(G44:G51)</f>
        <v>39239</v>
      </c>
      <c r="H52" s="7">
        <f>F52-G52</f>
        <v>-39320.400000000009</v>
      </c>
      <c r="I52" s="60"/>
    </row>
    <row r="53" spans="1:10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0" x14ac:dyDescent="0.25">
      <c r="A54" s="1" t="s">
        <v>35</v>
      </c>
      <c r="B54" s="1"/>
      <c r="D54" s="1" t="s">
        <v>36</v>
      </c>
      <c r="G54" s="1" t="s">
        <v>63</v>
      </c>
      <c r="I54" s="60"/>
    </row>
    <row r="55" spans="1:10" x14ac:dyDescent="0.25">
      <c r="I55" s="60"/>
    </row>
    <row r="58" spans="1:10" x14ac:dyDescent="0.25">
      <c r="J58" t="s">
        <v>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7" workbookViewId="0">
      <selection activeCell="J33" sqref="J33"/>
    </sheetView>
  </sheetViews>
  <sheetFormatPr defaultRowHeight="15" x14ac:dyDescent="0.25"/>
  <cols>
    <col min="1" max="1" width="12.42578125" customWidth="1"/>
  </cols>
  <sheetData>
    <row r="1" spans="1:13" ht="15.75" x14ac:dyDescent="0.25">
      <c r="B1" s="1"/>
      <c r="C1" s="2" t="s">
        <v>55</v>
      </c>
      <c r="D1" s="1"/>
      <c r="E1" s="1"/>
      <c r="F1" s="1"/>
    </row>
    <row r="2" spans="1:13" ht="15.75" x14ac:dyDescent="0.25">
      <c r="C2" s="3"/>
      <c r="D2" s="3" t="s">
        <v>0</v>
      </c>
      <c r="E2" s="1"/>
      <c r="F2" s="1"/>
    </row>
    <row r="3" spans="1:13" ht="21" x14ac:dyDescent="0.25">
      <c r="C3" s="4" t="s">
        <v>231</v>
      </c>
      <c r="D3" s="3"/>
      <c r="E3" s="5"/>
      <c r="F3" s="5"/>
    </row>
    <row r="4" spans="1:13" x14ac:dyDescent="0.25">
      <c r="D4" s="35" t="s">
        <v>48</v>
      </c>
    </row>
    <row r="5" spans="1:13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3" ht="22.5" x14ac:dyDescent="0.25">
      <c r="A6" s="39" t="s">
        <v>23</v>
      </c>
      <c r="B6" s="40" t="s">
        <v>45</v>
      </c>
      <c r="C6" s="12"/>
      <c r="D6" s="13">
        <f>'DECEMBER 20'!H6:H15</f>
        <v>0</v>
      </c>
      <c r="E6" s="41">
        <v>1500</v>
      </c>
      <c r="F6" s="13">
        <f>E6+D6+C6</f>
        <v>1500</v>
      </c>
      <c r="G6" s="42">
        <f>500+1000</f>
        <v>1500</v>
      </c>
      <c r="H6" s="43">
        <f>F6-G6</f>
        <v>0</v>
      </c>
    </row>
    <row r="7" spans="1:13" ht="22.5" x14ac:dyDescent="0.25">
      <c r="A7" s="39" t="s">
        <v>24</v>
      </c>
      <c r="B7" s="44" t="s">
        <v>162</v>
      </c>
      <c r="C7" s="12"/>
      <c r="D7" s="13">
        <f>'DECEMBER 20'!H7:H16</f>
        <v>1500</v>
      </c>
      <c r="E7" s="41">
        <v>1500</v>
      </c>
      <c r="F7" s="13">
        <f t="shared" ref="F7:F15" si="0">E7+D7+C7</f>
        <v>3000</v>
      </c>
      <c r="G7" s="13">
        <f>900</f>
        <v>900</v>
      </c>
      <c r="H7" s="43">
        <f t="shared" ref="H7:H15" si="1">F7-G7</f>
        <v>2100</v>
      </c>
    </row>
    <row r="8" spans="1:13" x14ac:dyDescent="0.25">
      <c r="A8" s="39" t="s">
        <v>26</v>
      </c>
      <c r="B8" s="14" t="s">
        <v>221</v>
      </c>
      <c r="C8" s="14"/>
      <c r="D8" s="13">
        <f>'DECEMBER 20'!H8:H17</f>
        <v>0</v>
      </c>
      <c r="E8" s="14">
        <v>1500</v>
      </c>
      <c r="F8" s="13">
        <f t="shared" si="0"/>
        <v>1500</v>
      </c>
      <c r="G8" s="14">
        <f>1500</f>
        <v>1500</v>
      </c>
      <c r="H8" s="43">
        <f t="shared" si="1"/>
        <v>0</v>
      </c>
    </row>
    <row r="9" spans="1:13" ht="22.5" x14ac:dyDescent="0.25">
      <c r="A9" s="45" t="s">
        <v>27</v>
      </c>
      <c r="B9" s="44" t="s">
        <v>197</v>
      </c>
      <c r="C9" s="14"/>
      <c r="D9" s="13">
        <f>'DECEMBER 20'!H9:H18</f>
        <v>2350</v>
      </c>
      <c r="E9" s="46">
        <v>1500</v>
      </c>
      <c r="F9" s="13">
        <f t="shared" si="0"/>
        <v>3850</v>
      </c>
      <c r="G9" s="43">
        <f>1500</f>
        <v>1500</v>
      </c>
      <c r="H9" s="43">
        <f t="shared" si="1"/>
        <v>2350</v>
      </c>
      <c r="I9" t="s">
        <v>83</v>
      </c>
    </row>
    <row r="10" spans="1:13" ht="22.5" x14ac:dyDescent="0.25">
      <c r="A10" s="47" t="s">
        <v>28</v>
      </c>
      <c r="B10" s="44" t="s">
        <v>222</v>
      </c>
      <c r="C10" s="12"/>
      <c r="D10" s="13"/>
      <c r="E10" s="41">
        <v>1500</v>
      </c>
      <c r="F10" s="13">
        <f t="shared" si="0"/>
        <v>1500</v>
      </c>
      <c r="G10" s="42"/>
      <c r="H10" s="43">
        <f t="shared" si="1"/>
        <v>1500</v>
      </c>
    </row>
    <row r="11" spans="1:13" x14ac:dyDescent="0.25">
      <c r="A11" s="48" t="s">
        <v>29</v>
      </c>
      <c r="B11" s="40" t="s">
        <v>46</v>
      </c>
      <c r="C11" s="14"/>
      <c r="D11" s="13">
        <f>'DECEMBER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13" ht="22.5" x14ac:dyDescent="0.25">
      <c r="A12" s="39" t="s">
        <v>30</v>
      </c>
      <c r="B12" s="40" t="s">
        <v>161</v>
      </c>
      <c r="C12" s="12"/>
      <c r="D12" s="13">
        <f>'DECEMBER 20'!H12:H21</f>
        <v>1600</v>
      </c>
      <c r="E12" s="41">
        <v>1500</v>
      </c>
      <c r="F12" s="13">
        <f>E12+D12+C12</f>
        <v>3100</v>
      </c>
      <c r="G12" s="42"/>
      <c r="H12" s="43">
        <f t="shared" si="1"/>
        <v>3100</v>
      </c>
    </row>
    <row r="13" spans="1:13" x14ac:dyDescent="0.25">
      <c r="A13" s="39" t="s">
        <v>31</v>
      </c>
      <c r="B13" s="40" t="s">
        <v>78</v>
      </c>
      <c r="C13" s="12"/>
      <c r="D13" s="13">
        <f>'DECEMBER 20'!H13:H22</f>
        <v>0</v>
      </c>
      <c r="E13" s="41">
        <v>1500</v>
      </c>
      <c r="F13" s="13">
        <f t="shared" si="0"/>
        <v>1500</v>
      </c>
      <c r="G13" s="42"/>
      <c r="H13" s="43">
        <f>F13-G13</f>
        <v>1500</v>
      </c>
      <c r="I13" t="s">
        <v>236</v>
      </c>
      <c r="M13" s="60">
        <f>E16</f>
        <v>12000</v>
      </c>
    </row>
    <row r="14" spans="1:13" x14ac:dyDescent="0.25">
      <c r="A14" s="39" t="s">
        <v>32</v>
      </c>
      <c r="B14" s="44" t="s">
        <v>208</v>
      </c>
      <c r="C14" s="12"/>
      <c r="D14" s="13">
        <f>'DECEMBER 20'!H14:H23</f>
        <v>1500</v>
      </c>
      <c r="E14" s="41">
        <v>1500</v>
      </c>
      <c r="F14" s="13">
        <f t="shared" si="0"/>
        <v>3000</v>
      </c>
      <c r="G14" s="42"/>
      <c r="H14" s="43">
        <f t="shared" si="1"/>
        <v>3000</v>
      </c>
      <c r="M14" s="60">
        <f>E34</f>
        <v>25500</v>
      </c>
    </row>
    <row r="15" spans="1:13" x14ac:dyDescent="0.25">
      <c r="A15" s="39" t="s">
        <v>33</v>
      </c>
      <c r="B15" s="44" t="s">
        <v>25</v>
      </c>
      <c r="C15" s="12"/>
      <c r="D15" s="13">
        <f>'DECEMBER 20'!H15:H24</f>
        <v>0</v>
      </c>
      <c r="E15" s="15"/>
      <c r="F15" s="13">
        <f t="shared" si="0"/>
        <v>0</v>
      </c>
      <c r="G15" s="42"/>
      <c r="H15" s="43">
        <f t="shared" si="1"/>
        <v>0</v>
      </c>
      <c r="K15" t="s">
        <v>226</v>
      </c>
      <c r="M15" s="60">
        <f>M13+M14</f>
        <v>37500</v>
      </c>
    </row>
    <row r="16" spans="1:13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6950</v>
      </c>
      <c r="E16" s="53">
        <f t="shared" si="2"/>
        <v>12000</v>
      </c>
      <c r="F16" s="13">
        <f t="shared" si="2"/>
        <v>18950</v>
      </c>
      <c r="G16" s="10">
        <f>SUM(G6:G15)</f>
        <v>5400</v>
      </c>
      <c r="H16" s="54">
        <f>SUM(H6:H15)</f>
        <v>13550</v>
      </c>
      <c r="K16" t="s">
        <v>177</v>
      </c>
      <c r="M16" s="60">
        <f>C38</f>
        <v>3750</v>
      </c>
    </row>
    <row r="17" spans="1:13" x14ac:dyDescent="0.25">
      <c r="C17" s="35"/>
      <c r="D17" s="35" t="s">
        <v>37</v>
      </c>
      <c r="E17" s="35"/>
      <c r="M17" s="60">
        <f>M15-M16</f>
        <v>33750</v>
      </c>
    </row>
    <row r="18" spans="1:13" ht="22.5" x14ac:dyDescent="0.25">
      <c r="A18" s="39">
        <v>1</v>
      </c>
      <c r="B18" s="44" t="s">
        <v>164</v>
      </c>
      <c r="C18" s="12"/>
      <c r="D18" s="13">
        <f>'DECEMBER 20'!H18:H33</f>
        <v>0</v>
      </c>
      <c r="E18" s="41">
        <v>2000</v>
      </c>
      <c r="F18" s="13">
        <f>C18+D18+E18</f>
        <v>2000</v>
      </c>
      <c r="G18" s="13">
        <f>2000</f>
        <v>2000</v>
      </c>
      <c r="H18" s="43">
        <f t="shared" ref="H18:H33" si="3">F18-G18</f>
        <v>0</v>
      </c>
      <c r="K18" t="s">
        <v>225</v>
      </c>
      <c r="M18">
        <v>23771</v>
      </c>
    </row>
    <row r="19" spans="1:13" x14ac:dyDescent="0.25">
      <c r="A19" s="39">
        <v>2</v>
      </c>
      <c r="B19" s="44" t="s">
        <v>152</v>
      </c>
      <c r="C19" s="12"/>
      <c r="D19" s="13">
        <f>'DECEMBER 20'!H19:H34</f>
        <v>0</v>
      </c>
      <c r="E19" s="41">
        <v>2000</v>
      </c>
      <c r="F19" s="13">
        <f>E19+D19+C19</f>
        <v>2000</v>
      </c>
      <c r="G19" s="13">
        <f>2000</f>
        <v>2000</v>
      </c>
      <c r="H19" s="43">
        <f>F19-G19</f>
        <v>0</v>
      </c>
      <c r="M19" s="60">
        <f>M17-M18</f>
        <v>9979</v>
      </c>
    </row>
    <row r="20" spans="1:13" x14ac:dyDescent="0.25">
      <c r="A20" s="39">
        <v>3</v>
      </c>
      <c r="B20" s="14" t="s">
        <v>39</v>
      </c>
      <c r="C20" s="14"/>
      <c r="D20" s="13">
        <f>'DECEMBER 20'!H20:H35</f>
        <v>0</v>
      </c>
      <c r="E20" s="14">
        <v>2000</v>
      </c>
      <c r="F20" s="13">
        <f t="shared" ref="F20:F32" si="4">E20+D20+C20</f>
        <v>2000</v>
      </c>
      <c r="G20" s="14">
        <f>2000</f>
        <v>2000</v>
      </c>
      <c r="H20" s="43">
        <f>F20-G20</f>
        <v>0</v>
      </c>
      <c r="K20" t="s">
        <v>237</v>
      </c>
      <c r="M20" s="61">
        <f>C44</f>
        <v>2032</v>
      </c>
    </row>
    <row r="21" spans="1:13" ht="22.5" x14ac:dyDescent="0.25">
      <c r="A21" s="39">
        <v>4</v>
      </c>
      <c r="B21" s="44" t="s">
        <v>228</v>
      </c>
      <c r="C21" s="14"/>
      <c r="D21" s="13">
        <f>'DECEMBER 20'!H21:H36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  <c r="M21" s="61"/>
    </row>
    <row r="22" spans="1:13" ht="22.5" x14ac:dyDescent="0.25">
      <c r="A22" s="39">
        <v>5</v>
      </c>
      <c r="B22" s="40" t="s">
        <v>59</v>
      </c>
      <c r="C22" s="12"/>
      <c r="D22" s="13">
        <f>'DECEMBER 20'!H22:H37</f>
        <v>4000</v>
      </c>
      <c r="E22" s="41">
        <v>2000</v>
      </c>
      <c r="F22" s="13">
        <f t="shared" si="4"/>
        <v>6000</v>
      </c>
      <c r="G22" s="42">
        <f>2000+2000</f>
        <v>4000</v>
      </c>
      <c r="H22" s="43">
        <f t="shared" si="3"/>
        <v>2000</v>
      </c>
      <c r="K22" t="s">
        <v>227</v>
      </c>
      <c r="M22" s="60">
        <f>M19-M20</f>
        <v>7947</v>
      </c>
    </row>
    <row r="23" spans="1:13" ht="22.5" x14ac:dyDescent="0.25">
      <c r="A23" s="39">
        <v>6</v>
      </c>
      <c r="B23" s="40" t="s">
        <v>44</v>
      </c>
      <c r="C23" s="14"/>
      <c r="D23" s="13">
        <f>'DECEMBER 20'!H23:H38</f>
        <v>3200</v>
      </c>
      <c r="E23" s="49"/>
      <c r="F23" s="13">
        <f t="shared" si="4"/>
        <v>3200</v>
      </c>
      <c r="G23" s="50"/>
      <c r="H23" s="43">
        <f t="shared" si="3"/>
        <v>3200</v>
      </c>
      <c r="I23" t="s">
        <v>209</v>
      </c>
    </row>
    <row r="24" spans="1:13" x14ac:dyDescent="0.25">
      <c r="A24" s="39">
        <v>7</v>
      </c>
      <c r="B24" s="40" t="s">
        <v>204</v>
      </c>
      <c r="C24" s="12"/>
      <c r="D24" s="13">
        <f>'DECEMBER 20'!H24:H39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3" ht="22.5" x14ac:dyDescent="0.25">
      <c r="A25" s="39">
        <v>8</v>
      </c>
      <c r="B25" s="40" t="s">
        <v>41</v>
      </c>
      <c r="C25" s="12"/>
      <c r="D25" s="13">
        <f>'DECEMBER 20'!H25:H40</f>
        <v>500</v>
      </c>
      <c r="E25" s="41">
        <v>2000</v>
      </c>
      <c r="F25" s="13">
        <f t="shared" si="4"/>
        <v>2500</v>
      </c>
      <c r="G25" s="42">
        <f>2000</f>
        <v>2000</v>
      </c>
      <c r="H25" s="43">
        <f>F25-G25</f>
        <v>500</v>
      </c>
    </row>
    <row r="26" spans="1:13" ht="22.5" x14ac:dyDescent="0.25">
      <c r="A26" s="39">
        <v>9</v>
      </c>
      <c r="B26" s="44" t="s">
        <v>42</v>
      </c>
      <c r="C26" s="12"/>
      <c r="D26" s="13">
        <f>'DECEMBER 20'!H26:H41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13" ht="22.5" x14ac:dyDescent="0.25">
      <c r="A27" s="39">
        <v>10</v>
      </c>
      <c r="B27" s="44" t="s">
        <v>212</v>
      </c>
      <c r="C27" s="12"/>
      <c r="D27" s="13">
        <f>'DECEMBER 20'!H27:H42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3" ht="22.5" x14ac:dyDescent="0.25">
      <c r="A28" s="39">
        <v>11</v>
      </c>
      <c r="B28" s="40" t="s">
        <v>53</v>
      </c>
      <c r="C28" s="12"/>
      <c r="D28" s="13">
        <f>'DECEMBER 20'!H28:H43</f>
        <v>0</v>
      </c>
      <c r="E28" s="41">
        <v>1500</v>
      </c>
      <c r="F28" s="13">
        <f t="shared" si="4"/>
        <v>1500</v>
      </c>
      <c r="G28" s="42">
        <f>1500</f>
        <v>1500</v>
      </c>
      <c r="H28" s="43">
        <f>F28-G28</f>
        <v>0</v>
      </c>
    </row>
    <row r="29" spans="1:13" ht="22.5" x14ac:dyDescent="0.25">
      <c r="A29" s="39">
        <v>12</v>
      </c>
      <c r="B29" s="44" t="s">
        <v>167</v>
      </c>
      <c r="C29" s="12"/>
      <c r="D29" s="13">
        <f>'DECEMBER 20'!H29:H44</f>
        <v>500</v>
      </c>
      <c r="E29" s="41">
        <v>1500</v>
      </c>
      <c r="F29" s="13">
        <f t="shared" si="4"/>
        <v>2000</v>
      </c>
      <c r="G29" s="42">
        <f>1500</f>
        <v>1500</v>
      </c>
      <c r="H29" s="43">
        <f>F29-G29</f>
        <v>500</v>
      </c>
    </row>
    <row r="30" spans="1:13" ht="22.5" x14ac:dyDescent="0.25">
      <c r="A30" s="39">
        <v>13</v>
      </c>
      <c r="B30" s="44" t="s">
        <v>60</v>
      </c>
      <c r="C30" s="12"/>
      <c r="D30" s="13">
        <f>'DECEMBER 20'!H30:H45</f>
        <v>100</v>
      </c>
      <c r="E30" s="41">
        <v>1000</v>
      </c>
      <c r="F30" s="13">
        <f t="shared" si="4"/>
        <v>1100</v>
      </c>
      <c r="G30" s="42">
        <f>1000</f>
        <v>1000</v>
      </c>
      <c r="H30" s="43">
        <f>F30-G30</f>
        <v>100</v>
      </c>
    </row>
    <row r="31" spans="1:13" ht="22.5" x14ac:dyDescent="0.25">
      <c r="A31" s="39">
        <v>14</v>
      </c>
      <c r="B31" s="44" t="s">
        <v>165</v>
      </c>
      <c r="C31" s="12"/>
      <c r="D31" s="13">
        <f>'DECEMBER 20'!H31:H46</f>
        <v>0</v>
      </c>
      <c r="E31" s="41">
        <v>1500</v>
      </c>
      <c r="F31" s="13">
        <f>E31+D31+C31</f>
        <v>1500</v>
      </c>
      <c r="G31" s="42">
        <f>1500</f>
        <v>1500</v>
      </c>
      <c r="H31" s="43">
        <f t="shared" si="3"/>
        <v>0</v>
      </c>
    </row>
    <row r="32" spans="1:13" ht="22.5" x14ac:dyDescent="0.25">
      <c r="A32" s="39">
        <v>15</v>
      </c>
      <c r="B32" s="44" t="s">
        <v>136</v>
      </c>
      <c r="C32" s="12"/>
      <c r="D32" s="13">
        <f>'DECEMBER 20'!H32:H47</f>
        <v>200</v>
      </c>
      <c r="E32" s="41">
        <v>1500</v>
      </c>
      <c r="F32" s="13">
        <f t="shared" si="4"/>
        <v>1700</v>
      </c>
      <c r="G32" s="42">
        <f>1000+400+200</f>
        <v>1600</v>
      </c>
      <c r="H32" s="43">
        <f>F32-G32</f>
        <v>100</v>
      </c>
    </row>
    <row r="33" spans="1:9" ht="22.5" x14ac:dyDescent="0.25">
      <c r="A33" s="39">
        <v>16</v>
      </c>
      <c r="B33" s="44" t="s">
        <v>166</v>
      </c>
      <c r="C33" s="12"/>
      <c r="D33" s="13">
        <f>'DECEMBER 20'!H33:H48</f>
        <v>900</v>
      </c>
      <c r="E33" s="41">
        <v>1500</v>
      </c>
      <c r="F33" s="13">
        <f>E33+D33+C33</f>
        <v>2400</v>
      </c>
      <c r="G33" s="42">
        <f>1200</f>
        <v>1200</v>
      </c>
      <c r="H33" s="43">
        <f t="shared" si="3"/>
        <v>1200</v>
      </c>
    </row>
    <row r="34" spans="1:9" x14ac:dyDescent="0.25">
      <c r="A34" s="39"/>
      <c r="B34" s="51" t="s">
        <v>7</v>
      </c>
      <c r="C34" s="52">
        <f>SUM(C18:C33)</f>
        <v>0</v>
      </c>
      <c r="D34" s="13">
        <f>SUM(D18:D33)</f>
        <v>9400</v>
      </c>
      <c r="E34" s="53">
        <f>SUM(E18:E33)</f>
        <v>25500</v>
      </c>
      <c r="F34" s="13">
        <f>C34+D34+E34</f>
        <v>34900</v>
      </c>
      <c r="G34" s="10">
        <f>SUM(G18:G33)</f>
        <v>27300</v>
      </c>
      <c r="H34" s="43">
        <f>F34-G34</f>
        <v>7600</v>
      </c>
    </row>
    <row r="35" spans="1:9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9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I36" s="60">
        <f>H34+H16</f>
        <v>21150</v>
      </c>
    </row>
    <row r="37" spans="1:9" x14ac:dyDescent="0.25">
      <c r="A37" s="22" t="s">
        <v>47</v>
      </c>
      <c r="B37" s="8">
        <f>E34+E16</f>
        <v>37500</v>
      </c>
      <c r="C37" s="23"/>
      <c r="D37" s="23"/>
      <c r="E37" s="22" t="s">
        <v>47</v>
      </c>
      <c r="F37" s="8">
        <f>G34+G16</f>
        <v>32700</v>
      </c>
      <c r="G37" s="23"/>
      <c r="H37" s="8"/>
    </row>
    <row r="38" spans="1:9" x14ac:dyDescent="0.25">
      <c r="A38" s="22" t="s">
        <v>12</v>
      </c>
      <c r="B38" s="24">
        <v>0.1</v>
      </c>
      <c r="C38" s="25">
        <f>B37*B38</f>
        <v>3750</v>
      </c>
      <c r="D38" s="22"/>
      <c r="E38" s="22" t="s">
        <v>12</v>
      </c>
      <c r="F38" s="24">
        <v>0.1</v>
      </c>
      <c r="G38" s="25">
        <f>C38</f>
        <v>3750</v>
      </c>
      <c r="H38" s="8"/>
    </row>
    <row r="39" spans="1:9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9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9" x14ac:dyDescent="0.25">
      <c r="A41" s="26" t="s">
        <v>2</v>
      </c>
      <c r="B41" s="25">
        <f>'DECEMBER 20'!D52</f>
        <v>-23770.499999999985</v>
      </c>
      <c r="C41" s="22"/>
      <c r="D41" s="22"/>
      <c r="E41" s="26" t="s">
        <v>2</v>
      </c>
      <c r="F41" s="25">
        <f>'DECEMBER 20'!H52</f>
        <v>-39320.400000000009</v>
      </c>
      <c r="G41" s="22"/>
      <c r="H41" s="8"/>
    </row>
    <row r="42" spans="1:9" x14ac:dyDescent="0.25">
      <c r="A42" s="26" t="s">
        <v>7</v>
      </c>
      <c r="B42" s="25">
        <f>B37+B41+B40</f>
        <v>13729.500000000015</v>
      </c>
      <c r="C42" s="22"/>
      <c r="D42" s="22"/>
      <c r="E42" s="26" t="s">
        <v>7</v>
      </c>
      <c r="F42" s="25">
        <f>F37+F41+F39</f>
        <v>-6620.1000000000085</v>
      </c>
      <c r="G42" s="22"/>
      <c r="H42" s="8"/>
    </row>
    <row r="43" spans="1:9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9" x14ac:dyDescent="0.25">
      <c r="A44" s="27" t="s">
        <v>233</v>
      </c>
      <c r="B44" s="59"/>
      <c r="C44" s="29">
        <v>2032</v>
      </c>
      <c r="D44" s="28"/>
      <c r="E44" s="27" t="s">
        <v>233</v>
      </c>
      <c r="F44" s="59"/>
      <c r="G44" s="29">
        <v>2032</v>
      </c>
      <c r="H44" s="30"/>
    </row>
    <row r="45" spans="1:9" x14ac:dyDescent="0.25">
      <c r="A45" s="27" t="s">
        <v>238</v>
      </c>
      <c r="B45" s="59"/>
      <c r="C45" s="29">
        <v>7948</v>
      </c>
      <c r="D45" s="28"/>
      <c r="E45" s="27" t="s">
        <v>238</v>
      </c>
      <c r="F45" s="59"/>
      <c r="G45" s="29">
        <v>7948</v>
      </c>
      <c r="H45" s="30"/>
    </row>
    <row r="46" spans="1:9" x14ac:dyDescent="0.25">
      <c r="A46" s="27"/>
      <c r="B46" s="59"/>
      <c r="C46" s="29"/>
      <c r="D46" s="28"/>
      <c r="E46" s="27"/>
      <c r="F46" s="59"/>
      <c r="G46" s="29"/>
      <c r="H46" s="30"/>
    </row>
    <row r="47" spans="1:9" x14ac:dyDescent="0.25">
      <c r="A47" s="27" t="s">
        <v>240</v>
      </c>
      <c r="B47" s="59"/>
      <c r="C47" s="29">
        <v>3200</v>
      </c>
      <c r="D47" s="28"/>
      <c r="E47" s="27"/>
      <c r="F47" s="59"/>
      <c r="G47" s="29"/>
      <c r="H47" s="30"/>
    </row>
    <row r="48" spans="1:9" x14ac:dyDescent="0.25">
      <c r="A48" s="27" t="s">
        <v>243</v>
      </c>
      <c r="B48" s="59"/>
      <c r="C48" s="29">
        <v>1200</v>
      </c>
      <c r="D48" s="28"/>
      <c r="E48" s="27"/>
      <c r="F48" s="59"/>
      <c r="G48" s="29"/>
      <c r="H48" s="30"/>
    </row>
    <row r="49" spans="1:9" x14ac:dyDescent="0.25">
      <c r="A49" s="27" t="s">
        <v>244</v>
      </c>
      <c r="B49" s="59"/>
      <c r="C49" s="29">
        <v>3100</v>
      </c>
      <c r="D49" s="28"/>
      <c r="E49" s="27"/>
      <c r="F49" s="59"/>
      <c r="G49" s="29"/>
      <c r="H49" s="30"/>
    </row>
    <row r="50" spans="1:9" x14ac:dyDescent="0.25">
      <c r="A50" s="27"/>
      <c r="B50" s="59"/>
      <c r="C50" s="29"/>
      <c r="D50" s="28"/>
      <c r="E50" s="27"/>
      <c r="F50" s="59"/>
      <c r="G50" s="29"/>
      <c r="H50" s="30"/>
    </row>
    <row r="51" spans="1:9" x14ac:dyDescent="0.25">
      <c r="A51" s="27"/>
      <c r="B51" s="59"/>
      <c r="C51" s="29"/>
      <c r="D51" s="28"/>
      <c r="E51" s="27"/>
      <c r="F51" s="59"/>
      <c r="G51" s="29"/>
      <c r="H51" s="30"/>
    </row>
    <row r="52" spans="1:9" x14ac:dyDescent="0.25">
      <c r="A52" s="11" t="s">
        <v>7</v>
      </c>
      <c r="B52" s="34">
        <f>B37+B39+B40+B41-C38-C39</f>
        <v>9979.8000000000175</v>
      </c>
      <c r="C52" s="7">
        <f>SUM(C44:C51)</f>
        <v>17480</v>
      </c>
      <c r="D52" s="7">
        <f>B52-C52</f>
        <v>-7500.1999999999825</v>
      </c>
      <c r="E52" s="11" t="s">
        <v>7</v>
      </c>
      <c r="F52" s="34">
        <f>F37+F39+F41-G38</f>
        <v>-10370.100000000009</v>
      </c>
      <c r="G52" s="7">
        <f>SUM(G44:G51)</f>
        <v>9980</v>
      </c>
      <c r="H52" s="7">
        <f>F52-G52</f>
        <v>-20350.100000000009</v>
      </c>
      <c r="I52" s="60"/>
    </row>
    <row r="53" spans="1:9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9" x14ac:dyDescent="0.25">
      <c r="A54" s="1" t="s">
        <v>35</v>
      </c>
      <c r="B54" s="1"/>
      <c r="D54" s="1" t="s">
        <v>36</v>
      </c>
      <c r="G54" s="1" t="s">
        <v>63</v>
      </c>
      <c r="I54" s="60"/>
    </row>
    <row r="55" spans="1:9" x14ac:dyDescent="0.25">
      <c r="I55" s="6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8" sqref="G8"/>
    </sheetView>
  </sheetViews>
  <sheetFormatPr defaultRowHeight="15" x14ac:dyDescent="0.25"/>
  <cols>
    <col min="1" max="1" width="11.5703125" customWidth="1"/>
    <col min="2" max="2" width="12.85546875" customWidth="1"/>
    <col min="11" max="11" width="14.85546875" customWidth="1"/>
  </cols>
  <sheetData>
    <row r="1" spans="1:17" ht="15.75" x14ac:dyDescent="0.25">
      <c r="B1" s="1"/>
      <c r="C1" s="2" t="s">
        <v>55</v>
      </c>
      <c r="D1" s="1"/>
      <c r="E1" s="1"/>
      <c r="F1" s="1"/>
    </row>
    <row r="2" spans="1:17" ht="15.75" x14ac:dyDescent="0.25">
      <c r="C2" s="3"/>
      <c r="D2" s="3" t="s">
        <v>0</v>
      </c>
      <c r="E2" s="1"/>
      <c r="F2" s="1"/>
    </row>
    <row r="3" spans="1:17" ht="21" x14ac:dyDescent="0.25">
      <c r="C3" s="4" t="s">
        <v>239</v>
      </c>
      <c r="D3" s="3"/>
      <c r="E3" s="5"/>
      <c r="F3" s="5"/>
    </row>
    <row r="4" spans="1:17" x14ac:dyDescent="0.25">
      <c r="D4" s="35" t="s">
        <v>48</v>
      </c>
    </row>
    <row r="5" spans="1:17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7" x14ac:dyDescent="0.25">
      <c r="A6" s="39" t="s">
        <v>23</v>
      </c>
      <c r="B6" s="40" t="s">
        <v>45</v>
      </c>
      <c r="C6" s="12"/>
      <c r="D6" s="13">
        <f>'JANUARY 21'!H6:H15</f>
        <v>0</v>
      </c>
      <c r="E6" s="41">
        <v>1500</v>
      </c>
      <c r="F6" s="13">
        <f>E6+D6+C6</f>
        <v>1500</v>
      </c>
      <c r="G6" s="42">
        <f>500</f>
        <v>500</v>
      </c>
      <c r="H6" s="43">
        <f>F6-G6</f>
        <v>1000</v>
      </c>
    </row>
    <row r="7" spans="1:17" x14ac:dyDescent="0.25">
      <c r="A7" s="39" t="s">
        <v>24</v>
      </c>
      <c r="B7" s="44" t="s">
        <v>162</v>
      </c>
      <c r="C7" s="12"/>
      <c r="D7" s="13">
        <f>'JANUARY 21'!H7:H16</f>
        <v>2100</v>
      </c>
      <c r="E7" s="41">
        <v>1500</v>
      </c>
      <c r="F7" s="13">
        <f t="shared" ref="F7:F15" si="0">E7+D7+C7</f>
        <v>3600</v>
      </c>
      <c r="G7" s="13">
        <f>500+1200</f>
        <v>1700</v>
      </c>
      <c r="H7" s="43">
        <f>F7-G7</f>
        <v>1900</v>
      </c>
    </row>
    <row r="8" spans="1:17" x14ac:dyDescent="0.25">
      <c r="A8" s="39" t="s">
        <v>26</v>
      </c>
      <c r="B8" s="14" t="s">
        <v>221</v>
      </c>
      <c r="C8" s="14"/>
      <c r="D8" s="13">
        <f>'JANUARY 21'!H8:H17</f>
        <v>0</v>
      </c>
      <c r="E8" s="14">
        <v>1500</v>
      </c>
      <c r="F8" s="13">
        <f t="shared" si="0"/>
        <v>1500</v>
      </c>
      <c r="G8" s="14"/>
      <c r="H8" s="43"/>
      <c r="I8" t="s">
        <v>83</v>
      </c>
    </row>
    <row r="9" spans="1:17" ht="22.5" x14ac:dyDescent="0.25">
      <c r="A9" s="45" t="s">
        <v>27</v>
      </c>
      <c r="B9" s="44" t="s">
        <v>197</v>
      </c>
      <c r="C9" s="14"/>
      <c r="D9" s="13">
        <f>'JANUARY 21'!H9:H18</f>
        <v>2350</v>
      </c>
      <c r="E9" s="46">
        <v>1500</v>
      </c>
      <c r="F9" s="13">
        <f t="shared" si="0"/>
        <v>3850</v>
      </c>
      <c r="G9" s="43">
        <f>1500+1200</f>
        <v>2700</v>
      </c>
      <c r="H9" s="43">
        <f t="shared" ref="H9:H15" si="1">F9-G9</f>
        <v>1150</v>
      </c>
    </row>
    <row r="10" spans="1:17" x14ac:dyDescent="0.25">
      <c r="A10" s="47" t="s">
        <v>28</v>
      </c>
      <c r="B10" s="44" t="s">
        <v>222</v>
      </c>
      <c r="C10" s="12"/>
      <c r="D10" s="13">
        <f>'JANUARY 21'!H10:H19</f>
        <v>1500</v>
      </c>
      <c r="E10" s="41">
        <v>1500</v>
      </c>
      <c r="F10" s="13">
        <f t="shared" si="0"/>
        <v>3000</v>
      </c>
      <c r="G10" s="42">
        <f>500+1000</f>
        <v>1500</v>
      </c>
      <c r="H10" s="43"/>
    </row>
    <row r="11" spans="1:17" x14ac:dyDescent="0.25">
      <c r="A11" s="48" t="s">
        <v>29</v>
      </c>
      <c r="B11" s="40" t="s">
        <v>46</v>
      </c>
      <c r="C11" s="14"/>
      <c r="D11" s="13">
        <f>'JANUARY 21'!H11:H20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17" x14ac:dyDescent="0.25">
      <c r="A12" s="39" t="s">
        <v>30</v>
      </c>
      <c r="B12" s="40" t="s">
        <v>46</v>
      </c>
      <c r="C12" s="12"/>
      <c r="D12" s="13"/>
      <c r="E12" s="41"/>
      <c r="F12" s="13">
        <f>E12+D12+C12</f>
        <v>0</v>
      </c>
      <c r="G12" s="42"/>
      <c r="H12" s="43">
        <f t="shared" si="1"/>
        <v>0</v>
      </c>
      <c r="L12" s="60">
        <f>E16</f>
        <v>10500</v>
      </c>
    </row>
    <row r="13" spans="1:17" ht="22.5" x14ac:dyDescent="0.25">
      <c r="A13" s="39" t="s">
        <v>31</v>
      </c>
      <c r="B13" s="40" t="s">
        <v>253</v>
      </c>
      <c r="C13" s="12"/>
      <c r="D13" s="13">
        <f>'JANUARY 21'!H13:H22</f>
        <v>1500</v>
      </c>
      <c r="E13" s="41">
        <v>1500</v>
      </c>
      <c r="F13" s="13">
        <f t="shared" si="0"/>
        <v>3000</v>
      </c>
      <c r="G13" s="42">
        <f>1500+1500</f>
        <v>3000</v>
      </c>
      <c r="H13" s="43">
        <f>F13-G13</f>
        <v>0</v>
      </c>
      <c r="L13" s="60">
        <f>E34</f>
        <v>24000</v>
      </c>
      <c r="Q13" s="60">
        <f>E16</f>
        <v>10500</v>
      </c>
    </row>
    <row r="14" spans="1:17" x14ac:dyDescent="0.25">
      <c r="A14" s="39" t="s">
        <v>32</v>
      </c>
      <c r="B14" s="44" t="s">
        <v>208</v>
      </c>
      <c r="C14" s="12"/>
      <c r="D14" s="13">
        <f>'JANUARY 21'!H14:H23</f>
        <v>3000</v>
      </c>
      <c r="E14" s="41">
        <v>1500</v>
      </c>
      <c r="F14" s="13">
        <f>E14+D14+C14</f>
        <v>4500</v>
      </c>
      <c r="G14" s="42">
        <f>900+1000</f>
        <v>1900</v>
      </c>
      <c r="H14" s="43"/>
      <c r="L14" s="62">
        <f>SUM(L12:L13)</f>
        <v>34500</v>
      </c>
    </row>
    <row r="15" spans="1:17" x14ac:dyDescent="0.25">
      <c r="A15" s="39" t="s">
        <v>33</v>
      </c>
      <c r="B15" s="44" t="s">
        <v>25</v>
      </c>
      <c r="C15" s="12"/>
      <c r="D15" s="13">
        <f>'JANUARY 21'!H15:H24</f>
        <v>0</v>
      </c>
      <c r="E15" s="15"/>
      <c r="F15" s="13">
        <f t="shared" si="0"/>
        <v>0</v>
      </c>
      <c r="G15" s="42"/>
      <c r="H15" s="43">
        <f t="shared" si="1"/>
        <v>0</v>
      </c>
      <c r="J15" t="s">
        <v>247</v>
      </c>
      <c r="L15">
        <v>4400</v>
      </c>
    </row>
    <row r="16" spans="1:17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10450</v>
      </c>
      <c r="E16" s="53">
        <f t="shared" si="2"/>
        <v>10500</v>
      </c>
      <c r="F16" s="13">
        <f t="shared" si="2"/>
        <v>20950</v>
      </c>
      <c r="G16" s="10">
        <f>SUM(G6:G15)</f>
        <v>11300</v>
      </c>
      <c r="H16" s="54">
        <f t="shared" si="2"/>
        <v>4050</v>
      </c>
      <c r="J16" t="s">
        <v>248</v>
      </c>
      <c r="L16">
        <v>3100</v>
      </c>
    </row>
    <row r="17" spans="1:15" x14ac:dyDescent="0.25">
      <c r="C17" s="35"/>
      <c r="D17" s="35" t="s">
        <v>37</v>
      </c>
      <c r="E17" s="35"/>
      <c r="J17" t="s">
        <v>249</v>
      </c>
      <c r="L17" s="62">
        <f>L14-L15-L16</f>
        <v>27000</v>
      </c>
      <c r="O17" s="60">
        <f>E16-1182</f>
        <v>9318</v>
      </c>
    </row>
    <row r="18" spans="1:15" ht="22.5" x14ac:dyDescent="0.25">
      <c r="A18" s="39">
        <v>1</v>
      </c>
      <c r="B18" s="44" t="s">
        <v>164</v>
      </c>
      <c r="C18" s="12"/>
      <c r="D18" s="13">
        <f>'JANUARY 21'!H18:H33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J18" t="s">
        <v>177</v>
      </c>
      <c r="L18" s="60">
        <f>C38</f>
        <v>3450</v>
      </c>
    </row>
    <row r="19" spans="1:15" x14ac:dyDescent="0.25">
      <c r="A19" s="39">
        <v>2</v>
      </c>
      <c r="B19" s="44" t="s">
        <v>152</v>
      </c>
      <c r="C19" s="12"/>
      <c r="D19" s="13">
        <f>'JANUARY 21'!H19:H34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J19" t="s">
        <v>250</v>
      </c>
      <c r="L19" s="60">
        <f>L17-L18</f>
        <v>23550</v>
      </c>
    </row>
    <row r="20" spans="1:15" x14ac:dyDescent="0.25">
      <c r="A20" s="39">
        <v>3</v>
      </c>
      <c r="B20" s="14" t="s">
        <v>39</v>
      </c>
      <c r="C20" s="14"/>
      <c r="D20" s="13">
        <f>'JANUARY 21'!H20:H35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J20" t="s">
        <v>242</v>
      </c>
      <c r="L20" s="61">
        <f>C44</f>
        <v>2532</v>
      </c>
    </row>
    <row r="21" spans="1:15" x14ac:dyDescent="0.25">
      <c r="A21" s="39">
        <v>4</v>
      </c>
      <c r="B21" s="44" t="s">
        <v>241</v>
      </c>
      <c r="C21" s="14"/>
      <c r="D21" s="13">
        <f>'JANUARY 21'!H21:H36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  <c r="J21" t="s">
        <v>249</v>
      </c>
      <c r="L21" s="60">
        <f>L19-L20</f>
        <v>21018</v>
      </c>
    </row>
    <row r="22" spans="1:15" x14ac:dyDescent="0.25">
      <c r="A22" s="39">
        <v>5</v>
      </c>
      <c r="B22" s="40" t="s">
        <v>59</v>
      </c>
      <c r="C22" s="12"/>
      <c r="D22" s="13">
        <f>'JANUARY 21'!H22:H37</f>
        <v>2000</v>
      </c>
      <c r="E22" s="41">
        <v>2000</v>
      </c>
      <c r="F22" s="13">
        <f t="shared" si="4"/>
        <v>4000</v>
      </c>
      <c r="G22" s="42"/>
      <c r="H22" s="43">
        <f t="shared" si="3"/>
        <v>4000</v>
      </c>
      <c r="J22" t="s">
        <v>41</v>
      </c>
      <c r="L22">
        <v>1500</v>
      </c>
    </row>
    <row r="23" spans="1:15" x14ac:dyDescent="0.25">
      <c r="A23" s="39">
        <v>6</v>
      </c>
      <c r="B23" s="40" t="s">
        <v>128</v>
      </c>
      <c r="C23" s="14"/>
      <c r="D23" s="13"/>
      <c r="E23" s="49"/>
      <c r="F23" s="13">
        <f t="shared" si="4"/>
        <v>0</v>
      </c>
      <c r="G23" s="50"/>
      <c r="H23" s="43">
        <f t="shared" si="3"/>
        <v>0</v>
      </c>
      <c r="L23" s="60">
        <f>L21-L22</f>
        <v>19518</v>
      </c>
    </row>
    <row r="24" spans="1:15" x14ac:dyDescent="0.25">
      <c r="A24" s="39">
        <v>7</v>
      </c>
      <c r="B24" s="40" t="s">
        <v>204</v>
      </c>
      <c r="C24" s="12"/>
      <c r="D24" s="13">
        <f>'JANUARY 21'!H24:H39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  <c r="J24" t="s">
        <v>263</v>
      </c>
      <c r="L24" s="61">
        <f>C47+C48</f>
        <v>10200</v>
      </c>
    </row>
    <row r="25" spans="1:15" x14ac:dyDescent="0.25">
      <c r="A25" s="39">
        <v>8</v>
      </c>
      <c r="B25" s="40" t="s">
        <v>41</v>
      </c>
      <c r="C25" s="12"/>
      <c r="D25" s="13">
        <f>'JANUARY 21'!H25:H40</f>
        <v>500</v>
      </c>
      <c r="E25" s="41">
        <v>2000</v>
      </c>
      <c r="F25" s="13">
        <f t="shared" si="4"/>
        <v>2500</v>
      </c>
      <c r="G25" s="42">
        <f>1500+500</f>
        <v>2000</v>
      </c>
      <c r="H25" s="43">
        <f>F25-G25</f>
        <v>500</v>
      </c>
      <c r="I25" t="s">
        <v>245</v>
      </c>
      <c r="L25" s="60">
        <f>L23-L24</f>
        <v>9318</v>
      </c>
      <c r="M25" s="60">
        <f>L25-1500</f>
        <v>7818</v>
      </c>
    </row>
    <row r="26" spans="1:15" x14ac:dyDescent="0.25">
      <c r="A26" s="39">
        <v>9</v>
      </c>
      <c r="B26" s="44" t="s">
        <v>42</v>
      </c>
      <c r="C26" s="12"/>
      <c r="D26" s="13">
        <f>'JANUARY 21'!H26:H41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15" x14ac:dyDescent="0.25">
      <c r="A27" s="39">
        <v>10</v>
      </c>
      <c r="B27" s="44" t="s">
        <v>212</v>
      </c>
      <c r="C27" s="12"/>
      <c r="D27" s="13">
        <f>'JANUARY 21'!H27:H42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5" x14ac:dyDescent="0.25">
      <c r="A28" s="39">
        <v>11</v>
      </c>
      <c r="B28" s="40" t="s">
        <v>53</v>
      </c>
      <c r="C28" s="12"/>
      <c r="D28" s="13">
        <f>'JANUARY 21'!H28:H43</f>
        <v>0</v>
      </c>
      <c r="E28" s="41">
        <v>1500</v>
      </c>
      <c r="F28" s="13">
        <f t="shared" si="4"/>
        <v>1500</v>
      </c>
      <c r="G28" s="42"/>
      <c r="H28" s="43">
        <f>F28-G28</f>
        <v>1500</v>
      </c>
    </row>
    <row r="29" spans="1:15" x14ac:dyDescent="0.25">
      <c r="A29" s="39">
        <v>12</v>
      </c>
      <c r="B29" s="44" t="s">
        <v>167</v>
      </c>
      <c r="C29" s="12"/>
      <c r="D29" s="13">
        <f>'JANUARY 21'!H29:H44</f>
        <v>500</v>
      </c>
      <c r="E29" s="41">
        <v>1500</v>
      </c>
      <c r="F29" s="13">
        <f t="shared" si="4"/>
        <v>2000</v>
      </c>
      <c r="G29" s="42"/>
      <c r="H29" s="43"/>
      <c r="I29" t="s">
        <v>83</v>
      </c>
      <c r="L29">
        <v>24000</v>
      </c>
    </row>
    <row r="30" spans="1:15" ht="22.5" x14ac:dyDescent="0.25">
      <c r="A30" s="39">
        <v>13</v>
      </c>
      <c r="B30" s="44" t="s">
        <v>60</v>
      </c>
      <c r="C30" s="12"/>
      <c r="D30" s="13">
        <f>'JANUARY 21'!H30:H45</f>
        <v>100</v>
      </c>
      <c r="E30" s="41">
        <v>1000</v>
      </c>
      <c r="F30" s="13">
        <f t="shared" si="4"/>
        <v>1100</v>
      </c>
      <c r="G30" s="42">
        <f>1000</f>
        <v>1000</v>
      </c>
      <c r="H30" s="43">
        <f>F30-G30</f>
        <v>100</v>
      </c>
      <c r="L30">
        <f>L15</f>
        <v>4400</v>
      </c>
    </row>
    <row r="31" spans="1:15" x14ac:dyDescent="0.25">
      <c r="A31" s="39">
        <v>14</v>
      </c>
      <c r="B31" s="44" t="s">
        <v>165</v>
      </c>
      <c r="C31" s="12"/>
      <c r="D31" s="13">
        <f>'JANUARY 21'!H31:H46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L31">
        <f>L16</f>
        <v>3100</v>
      </c>
      <c r="O31">
        <v>9318</v>
      </c>
    </row>
    <row r="32" spans="1:15" x14ac:dyDescent="0.25">
      <c r="A32" s="39">
        <v>15</v>
      </c>
      <c r="B32" s="44" t="s">
        <v>136</v>
      </c>
      <c r="C32" s="12"/>
      <c r="D32" s="13">
        <f>'JANUARY 21'!H32:H47</f>
        <v>100</v>
      </c>
      <c r="E32" s="41">
        <v>1500</v>
      </c>
      <c r="F32" s="13">
        <f t="shared" si="4"/>
        <v>1600</v>
      </c>
      <c r="G32" s="42">
        <f>750+750</f>
        <v>1500</v>
      </c>
      <c r="H32" s="43">
        <f>F32-G32</f>
        <v>100</v>
      </c>
      <c r="L32">
        <f>L29-L30-L31</f>
        <v>16500</v>
      </c>
    </row>
    <row r="33" spans="1:15" x14ac:dyDescent="0.25">
      <c r="A33" s="39">
        <v>16</v>
      </c>
      <c r="B33" s="44" t="s">
        <v>78</v>
      </c>
      <c r="C33" s="12"/>
      <c r="D33" s="13"/>
      <c r="E33" s="41"/>
      <c r="F33" s="13">
        <f>E33+D33+C33</f>
        <v>0</v>
      </c>
      <c r="G33" s="42"/>
      <c r="H33" s="43">
        <f t="shared" si="3"/>
        <v>0</v>
      </c>
      <c r="L33" s="61">
        <f>L20</f>
        <v>2532</v>
      </c>
    </row>
    <row r="34" spans="1:15" x14ac:dyDescent="0.25">
      <c r="A34" s="39"/>
      <c r="B34" s="51" t="s">
        <v>7</v>
      </c>
      <c r="C34" s="52">
        <f>SUM(C18:C33)</f>
        <v>0</v>
      </c>
      <c r="D34" s="13">
        <f>SUM(D18:D33)</f>
        <v>3200</v>
      </c>
      <c r="E34" s="53">
        <f>SUM(E18:E33)</f>
        <v>24000</v>
      </c>
      <c r="F34" s="13">
        <f>C34+D34+E34</f>
        <v>27200</v>
      </c>
      <c r="G34" s="10">
        <f>SUM(G18:G33)</f>
        <v>19000</v>
      </c>
      <c r="H34" s="43">
        <f>F34-G34</f>
        <v>8200</v>
      </c>
      <c r="J34" s="60"/>
      <c r="L34" s="61">
        <f>L32-L33</f>
        <v>13968</v>
      </c>
    </row>
    <row r="35" spans="1:15" x14ac:dyDescent="0.25">
      <c r="A35" s="56" t="s">
        <v>34</v>
      </c>
      <c r="B35" s="17"/>
      <c r="C35" s="18"/>
      <c r="D35" s="17"/>
      <c r="E35" s="19"/>
      <c r="F35" s="17"/>
      <c r="G35" s="1"/>
      <c r="H35" s="6"/>
      <c r="L35">
        <v>1500</v>
      </c>
    </row>
    <row r="36" spans="1:15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L36" s="61">
        <f>L34-L35</f>
        <v>12468</v>
      </c>
    </row>
    <row r="37" spans="1:15" x14ac:dyDescent="0.25">
      <c r="A37" s="22" t="s">
        <v>65</v>
      </c>
      <c r="B37" s="8">
        <f>E34+E16</f>
        <v>34500</v>
      </c>
      <c r="C37" s="23"/>
      <c r="D37" s="23"/>
      <c r="E37" s="22" t="s">
        <v>65</v>
      </c>
      <c r="F37" s="8">
        <f>G34+G16</f>
        <v>30300</v>
      </c>
      <c r="G37" s="23"/>
      <c r="H37" s="8"/>
      <c r="L37" s="60">
        <f>L18</f>
        <v>3450</v>
      </c>
      <c r="O37" s="61">
        <f>C53+C54+C55+C51</f>
        <v>6100</v>
      </c>
    </row>
    <row r="38" spans="1:15" x14ac:dyDescent="0.25">
      <c r="A38" s="22" t="s">
        <v>12</v>
      </c>
      <c r="B38" s="24">
        <v>0.1</v>
      </c>
      <c r="C38" s="25">
        <f>B37*B38</f>
        <v>3450</v>
      </c>
      <c r="D38" s="22"/>
      <c r="E38" s="22" t="s">
        <v>12</v>
      </c>
      <c r="F38" s="24">
        <v>0.1</v>
      </c>
      <c r="G38" s="25">
        <f>C38</f>
        <v>3450</v>
      </c>
      <c r="H38" s="8"/>
      <c r="J38" s="60">
        <f>H34+H16</f>
        <v>12250</v>
      </c>
      <c r="L38" s="60">
        <f>L36-L37</f>
        <v>9018</v>
      </c>
    </row>
    <row r="39" spans="1:15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L39" s="61">
        <f>C47+C48</f>
        <v>10200</v>
      </c>
    </row>
    <row r="40" spans="1:15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L40" s="60">
        <f>L38-L39</f>
        <v>-1182</v>
      </c>
    </row>
    <row r="41" spans="1:15" x14ac:dyDescent="0.25">
      <c r="A41" s="26" t="s">
        <v>2</v>
      </c>
      <c r="B41" s="25">
        <f>'JANUARY 21'!D52</f>
        <v>-7500.1999999999825</v>
      </c>
      <c r="C41" s="22"/>
      <c r="D41" s="22"/>
      <c r="E41" s="26" t="s">
        <v>2</v>
      </c>
      <c r="F41" s="25">
        <f>'JANUARY 21'!H52</f>
        <v>-20350.100000000009</v>
      </c>
      <c r="G41" s="22"/>
      <c r="H41" s="8"/>
    </row>
    <row r="42" spans="1:15" x14ac:dyDescent="0.25">
      <c r="A42" s="26" t="s">
        <v>7</v>
      </c>
      <c r="B42" s="25">
        <f>B37+B41+B40</f>
        <v>26999.800000000017</v>
      </c>
      <c r="C42" s="22"/>
      <c r="D42" s="22"/>
      <c r="E42" s="26" t="s">
        <v>7</v>
      </c>
      <c r="F42" s="25">
        <f>F37+F41+F39</f>
        <v>9950.1999999999898</v>
      </c>
      <c r="G42" s="22"/>
      <c r="H42" s="8"/>
    </row>
    <row r="43" spans="1:15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5" x14ac:dyDescent="0.25">
      <c r="A44" s="27" t="s">
        <v>242</v>
      </c>
      <c r="B44" s="59"/>
      <c r="C44" s="29">
        <v>2532</v>
      </c>
      <c r="D44" s="28"/>
      <c r="E44" s="27" t="s">
        <v>242</v>
      </c>
      <c r="F44" s="59"/>
      <c r="G44" s="29">
        <v>2532</v>
      </c>
      <c r="H44" s="30"/>
      <c r="J44" s="60">
        <f>H34+H16</f>
        <v>12250</v>
      </c>
    </row>
    <row r="45" spans="1:15" x14ac:dyDescent="0.25">
      <c r="A45" s="27"/>
      <c r="B45" s="59"/>
      <c r="C45" s="29"/>
      <c r="D45" s="28"/>
      <c r="E45" s="27"/>
      <c r="F45" s="59"/>
      <c r="G45" s="29"/>
      <c r="H45" s="30"/>
      <c r="J45" s="60">
        <f>J44-K52</f>
        <v>11100</v>
      </c>
    </row>
    <row r="46" spans="1:15" x14ac:dyDescent="0.25">
      <c r="A46" s="27" t="s">
        <v>246</v>
      </c>
      <c r="B46" s="59"/>
      <c r="C46" s="29">
        <v>1500</v>
      </c>
      <c r="D46" s="28"/>
      <c r="E46" s="27" t="s">
        <v>246</v>
      </c>
      <c r="F46" s="59"/>
      <c r="G46" s="29">
        <v>1500</v>
      </c>
      <c r="H46" s="30"/>
    </row>
    <row r="47" spans="1:15" x14ac:dyDescent="0.25">
      <c r="A47" s="27" t="s">
        <v>251</v>
      </c>
      <c r="B47" s="59"/>
      <c r="C47" s="29">
        <v>5000</v>
      </c>
      <c r="D47" s="28"/>
      <c r="E47" s="27" t="s">
        <v>251</v>
      </c>
      <c r="F47" s="59"/>
      <c r="G47" s="29">
        <v>5000</v>
      </c>
      <c r="H47" s="30"/>
    </row>
    <row r="48" spans="1:15" x14ac:dyDescent="0.25">
      <c r="A48" s="27" t="s">
        <v>252</v>
      </c>
      <c r="B48" s="59"/>
      <c r="C48" s="29">
        <v>5200</v>
      </c>
      <c r="D48" s="28"/>
      <c r="E48" s="27" t="s">
        <v>252</v>
      </c>
      <c r="F48" s="59"/>
      <c r="G48" s="29">
        <v>5200</v>
      </c>
      <c r="H48" s="30"/>
    </row>
    <row r="49" spans="1:15" x14ac:dyDescent="0.25">
      <c r="A49" s="27" t="s">
        <v>254</v>
      </c>
      <c r="B49" s="59"/>
      <c r="C49" s="29">
        <v>1500</v>
      </c>
      <c r="D49" s="28"/>
      <c r="E49" s="27" t="s">
        <v>254</v>
      </c>
      <c r="F49" s="59"/>
      <c r="G49" s="29">
        <v>1500</v>
      </c>
      <c r="H49" s="30"/>
    </row>
    <row r="50" spans="1:15" x14ac:dyDescent="0.25">
      <c r="A50" s="27"/>
      <c r="B50" s="59"/>
      <c r="C50" s="29"/>
      <c r="D50" s="28"/>
      <c r="E50" s="27"/>
      <c r="F50" s="59"/>
      <c r="G50" s="29"/>
      <c r="H50" s="30"/>
    </row>
    <row r="51" spans="1:15" x14ac:dyDescent="0.25">
      <c r="A51" s="27" t="s">
        <v>246</v>
      </c>
      <c r="B51" s="59"/>
      <c r="C51" s="29">
        <v>500</v>
      </c>
      <c r="D51" s="28"/>
      <c r="E51" s="27" t="s">
        <v>246</v>
      </c>
      <c r="F51" s="59"/>
      <c r="G51" s="29">
        <v>500</v>
      </c>
      <c r="H51" s="30"/>
    </row>
    <row r="52" spans="1:15" x14ac:dyDescent="0.25">
      <c r="A52" s="27" t="s">
        <v>255</v>
      </c>
      <c r="B52" s="59"/>
      <c r="C52" s="29">
        <v>7575</v>
      </c>
      <c r="D52" s="28"/>
      <c r="E52" s="27" t="s">
        <v>255</v>
      </c>
      <c r="F52" s="59"/>
      <c r="G52" s="29">
        <v>7575</v>
      </c>
      <c r="H52" s="30"/>
      <c r="K52" s="60">
        <f>H8+H9+H10+H29+H14</f>
        <v>1150</v>
      </c>
    </row>
    <row r="53" spans="1:15" x14ac:dyDescent="0.25">
      <c r="A53" s="27" t="s">
        <v>258</v>
      </c>
      <c r="B53" s="59"/>
      <c r="C53" s="29">
        <v>1500</v>
      </c>
      <c r="D53" s="28"/>
      <c r="E53" s="27"/>
      <c r="F53" s="59"/>
      <c r="G53" s="29"/>
      <c r="H53" s="30"/>
      <c r="O53">
        <f>500-320</f>
        <v>180</v>
      </c>
    </row>
    <row r="54" spans="1:15" x14ac:dyDescent="0.25">
      <c r="A54" s="27" t="s">
        <v>260</v>
      </c>
      <c r="B54" s="59"/>
      <c r="C54" s="29">
        <v>1500</v>
      </c>
      <c r="D54" s="28"/>
      <c r="E54" s="27"/>
      <c r="F54" s="59"/>
      <c r="G54" s="29"/>
      <c r="H54" s="30"/>
      <c r="J54" s="60"/>
    </row>
    <row r="55" spans="1:15" x14ac:dyDescent="0.25">
      <c r="A55" s="27" t="s">
        <v>262</v>
      </c>
      <c r="B55" s="59"/>
      <c r="C55" s="29">
        <v>2600</v>
      </c>
      <c r="D55" s="28"/>
      <c r="E55" s="27"/>
      <c r="F55" s="59"/>
      <c r="G55" s="29"/>
      <c r="H55" s="30"/>
    </row>
    <row r="56" spans="1:15" x14ac:dyDescent="0.25">
      <c r="A56" s="27" t="s">
        <v>257</v>
      </c>
      <c r="B56" s="59"/>
      <c r="C56" s="29">
        <f>2000</f>
        <v>2000</v>
      </c>
      <c r="D56" s="28"/>
      <c r="E56" s="27"/>
      <c r="F56" s="59"/>
      <c r="G56" s="29"/>
      <c r="H56" s="30"/>
      <c r="J56" s="60"/>
      <c r="M56">
        <f>1000-500</f>
        <v>500</v>
      </c>
      <c r="O56">
        <f>600-180-50</f>
        <v>370</v>
      </c>
    </row>
    <row r="57" spans="1:15" x14ac:dyDescent="0.25">
      <c r="A57" s="11" t="s">
        <v>7</v>
      </c>
      <c r="B57" s="34">
        <f>B37+B39+B40+B41-C38-C39</f>
        <v>23550.10000000002</v>
      </c>
      <c r="C57" s="7">
        <f>SUM(C44:C56)</f>
        <v>31407</v>
      </c>
      <c r="D57" s="7">
        <f>B57-C57</f>
        <v>-7856.8999999999796</v>
      </c>
      <c r="E57" s="11" t="s">
        <v>7</v>
      </c>
      <c r="F57" s="34">
        <f>F37+F39+F41-G38</f>
        <v>6500.1999999999898</v>
      </c>
      <c r="G57" s="7">
        <f>SUM(G44:G56)</f>
        <v>23807</v>
      </c>
      <c r="H57" s="7">
        <f>F57-G57</f>
        <v>-17306.80000000001</v>
      </c>
      <c r="I57" s="60"/>
      <c r="M57">
        <f>M56+180</f>
        <v>680</v>
      </c>
      <c r="O57">
        <f>O56+500</f>
        <v>870</v>
      </c>
    </row>
    <row r="58" spans="1:15" x14ac:dyDescent="0.25">
      <c r="A58" s="1" t="s">
        <v>16</v>
      </c>
      <c r="B58" s="16"/>
      <c r="D58" s="1" t="s">
        <v>17</v>
      </c>
      <c r="G58" s="1" t="s">
        <v>18</v>
      </c>
      <c r="H58" s="6"/>
      <c r="M58">
        <f>M57+50</f>
        <v>730</v>
      </c>
      <c r="O58">
        <f>1000-O57</f>
        <v>130</v>
      </c>
    </row>
    <row r="59" spans="1:15" x14ac:dyDescent="0.25">
      <c r="A59" s="1" t="s">
        <v>35</v>
      </c>
      <c r="B59" s="1"/>
      <c r="D59" s="1" t="s">
        <v>36</v>
      </c>
      <c r="G59" s="1" t="s">
        <v>63</v>
      </c>
      <c r="I59" s="60"/>
      <c r="M59">
        <f>M58-600</f>
        <v>130</v>
      </c>
    </row>
    <row r="60" spans="1:15" x14ac:dyDescent="0.25">
      <c r="I60" s="60"/>
    </row>
    <row r="63" spans="1:15" x14ac:dyDescent="0.25">
      <c r="K63">
        <f>24850-24000</f>
        <v>850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J54" sqref="J54"/>
    </sheetView>
  </sheetViews>
  <sheetFormatPr defaultRowHeight="15" x14ac:dyDescent="0.25"/>
  <cols>
    <col min="2" max="2" width="9.85546875" customWidth="1"/>
  </cols>
  <sheetData>
    <row r="1" spans="1:16" ht="15.75" x14ac:dyDescent="0.25">
      <c r="B1" s="1"/>
      <c r="C1" s="2" t="s">
        <v>55</v>
      </c>
      <c r="D1" s="1"/>
      <c r="E1" s="1"/>
      <c r="F1" s="1"/>
    </row>
    <row r="2" spans="1:16" ht="15.75" x14ac:dyDescent="0.25">
      <c r="C2" s="3"/>
      <c r="D2" s="3" t="s">
        <v>0</v>
      </c>
      <c r="E2" s="1"/>
      <c r="F2" s="1"/>
    </row>
    <row r="3" spans="1:16" ht="21" x14ac:dyDescent="0.25">
      <c r="C3" s="4" t="s">
        <v>256</v>
      </c>
      <c r="D3" s="3"/>
      <c r="E3" s="5"/>
      <c r="F3" s="5"/>
    </row>
    <row r="4" spans="1:16" x14ac:dyDescent="0.25">
      <c r="D4" s="35" t="s">
        <v>48</v>
      </c>
    </row>
    <row r="5" spans="1:16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6" ht="22.5" x14ac:dyDescent="0.25">
      <c r="A6" s="39" t="s">
        <v>23</v>
      </c>
      <c r="B6" s="40" t="s">
        <v>45</v>
      </c>
      <c r="C6" s="12"/>
      <c r="D6" s="13">
        <f>'FEBRUARY 21'!H6:H15</f>
        <v>1000</v>
      </c>
      <c r="E6" s="41">
        <v>1500</v>
      </c>
      <c r="F6" s="13">
        <f>E6+D6+C6</f>
        <v>2500</v>
      </c>
      <c r="G6" s="42">
        <f>1000</f>
        <v>1000</v>
      </c>
      <c r="H6" s="43">
        <f>F6-G6</f>
        <v>1500</v>
      </c>
    </row>
    <row r="7" spans="1:16" ht="22.5" x14ac:dyDescent="0.25">
      <c r="A7" s="39" t="s">
        <v>24</v>
      </c>
      <c r="B7" s="44" t="s">
        <v>162</v>
      </c>
      <c r="C7" s="12"/>
      <c r="D7" s="13">
        <f>'FEBRUARY 21'!H7:H16</f>
        <v>1900</v>
      </c>
      <c r="E7" s="41">
        <v>1500</v>
      </c>
      <c r="F7" s="13">
        <f t="shared" ref="F7:F15" si="0">E7+D7+C7</f>
        <v>3400</v>
      </c>
      <c r="G7" s="13">
        <f>500+1000+850</f>
        <v>2350</v>
      </c>
      <c r="H7" s="43">
        <f>F7-G7</f>
        <v>1050</v>
      </c>
      <c r="O7">
        <f>1700*10</f>
        <v>17000</v>
      </c>
    </row>
    <row r="8" spans="1:16" x14ac:dyDescent="0.25">
      <c r="A8" s="39" t="s">
        <v>26</v>
      </c>
      <c r="B8" s="14" t="s">
        <v>261</v>
      </c>
      <c r="C8" s="14"/>
      <c r="D8" s="13"/>
      <c r="E8" s="14">
        <v>1500</v>
      </c>
      <c r="F8" s="13">
        <f t="shared" si="0"/>
        <v>1500</v>
      </c>
      <c r="G8" s="14">
        <f>1500</f>
        <v>1500</v>
      </c>
      <c r="H8" s="43">
        <f t="shared" ref="H8:H15" si="1">F8-G8</f>
        <v>0</v>
      </c>
    </row>
    <row r="9" spans="1:16" x14ac:dyDescent="0.25">
      <c r="A9" s="45" t="s">
        <v>27</v>
      </c>
      <c r="B9" s="44" t="s">
        <v>259</v>
      </c>
      <c r="C9" s="14"/>
      <c r="D9" s="13">
        <f>'FEBRUARY 21'!H9</f>
        <v>1150</v>
      </c>
      <c r="E9" s="46">
        <v>1500</v>
      </c>
      <c r="F9" s="13">
        <f t="shared" si="0"/>
        <v>2650</v>
      </c>
      <c r="G9" s="43">
        <f>500</f>
        <v>500</v>
      </c>
      <c r="H9" s="43">
        <f t="shared" si="1"/>
        <v>2150</v>
      </c>
    </row>
    <row r="10" spans="1:16" x14ac:dyDescent="0.25">
      <c r="A10" s="47" t="s">
        <v>28</v>
      </c>
      <c r="B10" s="44" t="s">
        <v>46</v>
      </c>
      <c r="C10" s="12"/>
      <c r="D10" s="13"/>
      <c r="E10" s="41"/>
      <c r="F10" s="13">
        <f t="shared" si="0"/>
        <v>0</v>
      </c>
      <c r="G10" s="42"/>
      <c r="H10" s="43">
        <f t="shared" si="1"/>
        <v>0</v>
      </c>
    </row>
    <row r="11" spans="1:16" x14ac:dyDescent="0.25">
      <c r="A11" s="48" t="s">
        <v>29</v>
      </c>
      <c r="B11" s="40" t="s">
        <v>46</v>
      </c>
      <c r="C11" s="14"/>
      <c r="D11" s="13">
        <f>'FEBRUARY 21'!H11:H20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16" x14ac:dyDescent="0.25">
      <c r="A12" s="39" t="s">
        <v>30</v>
      </c>
      <c r="B12" s="40" t="s">
        <v>46</v>
      </c>
      <c r="C12" s="12"/>
      <c r="D12" s="13">
        <f>'FEBRUARY 21'!H12:H21</f>
        <v>0</v>
      </c>
      <c r="E12" s="41"/>
      <c r="F12" s="13">
        <f>E12+D12+C12</f>
        <v>0</v>
      </c>
      <c r="G12" s="42"/>
      <c r="H12" s="43">
        <f t="shared" si="1"/>
        <v>0</v>
      </c>
      <c r="L12" s="60"/>
    </row>
    <row r="13" spans="1:16" ht="22.5" x14ac:dyDescent="0.25">
      <c r="A13" s="39" t="s">
        <v>31</v>
      </c>
      <c r="B13" s="40" t="s">
        <v>253</v>
      </c>
      <c r="C13" s="12"/>
      <c r="D13" s="13">
        <f>'FEBRUARY 21'!H13:H22</f>
        <v>0</v>
      </c>
      <c r="E13" s="41">
        <v>1500</v>
      </c>
      <c r="F13" s="13">
        <f t="shared" si="0"/>
        <v>1500</v>
      </c>
      <c r="G13" s="42">
        <f>900</f>
        <v>900</v>
      </c>
      <c r="H13" s="43">
        <f>F13-G13</f>
        <v>600</v>
      </c>
      <c r="L13" s="60"/>
      <c r="M13" s="60">
        <f>E16</f>
        <v>9000</v>
      </c>
    </row>
    <row r="14" spans="1:16" x14ac:dyDescent="0.25">
      <c r="A14" s="39" t="s">
        <v>32</v>
      </c>
      <c r="B14" s="44" t="s">
        <v>78</v>
      </c>
      <c r="C14" s="12"/>
      <c r="D14" s="13"/>
      <c r="E14" s="41">
        <v>1500</v>
      </c>
      <c r="F14" s="13">
        <f>E14+D14+C14</f>
        <v>1500</v>
      </c>
      <c r="G14" s="42">
        <v>1500</v>
      </c>
      <c r="H14" s="43">
        <f t="shared" si="1"/>
        <v>0</v>
      </c>
      <c r="I14" t="s">
        <v>128</v>
      </c>
      <c r="L14" s="62"/>
      <c r="M14" s="60">
        <f>E34</f>
        <v>22000</v>
      </c>
    </row>
    <row r="15" spans="1:16" x14ac:dyDescent="0.25">
      <c r="A15" s="39" t="s">
        <v>33</v>
      </c>
      <c r="B15" s="44" t="s">
        <v>25</v>
      </c>
      <c r="C15" s="12"/>
      <c r="D15" s="13">
        <f>'FEBRUARY 21'!H15:H24</f>
        <v>0</v>
      </c>
      <c r="E15" s="15"/>
      <c r="F15" s="13">
        <f t="shared" si="0"/>
        <v>0</v>
      </c>
      <c r="G15" s="42"/>
      <c r="H15" s="43">
        <f t="shared" si="1"/>
        <v>0</v>
      </c>
      <c r="M15" s="60">
        <f>M14+M13</f>
        <v>31000</v>
      </c>
    </row>
    <row r="16" spans="1:16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4050</v>
      </c>
      <c r="E16" s="53">
        <f t="shared" si="2"/>
        <v>9000</v>
      </c>
      <c r="F16" s="13">
        <f t="shared" si="2"/>
        <v>13050</v>
      </c>
      <c r="G16" s="10">
        <f>SUM(G6:G15)</f>
        <v>7750</v>
      </c>
      <c r="H16" s="54">
        <f t="shared" si="2"/>
        <v>5300</v>
      </c>
      <c r="K16" t="s">
        <v>177</v>
      </c>
      <c r="M16" s="60">
        <f>C38</f>
        <v>3100</v>
      </c>
      <c r="P16" t="s">
        <v>264</v>
      </c>
    </row>
    <row r="17" spans="1:17" x14ac:dyDescent="0.25">
      <c r="C17" s="35"/>
      <c r="D17" s="35" t="s">
        <v>37</v>
      </c>
      <c r="E17" s="35"/>
      <c r="L17" s="62"/>
      <c r="M17" s="60">
        <f>M15-M16</f>
        <v>27900</v>
      </c>
    </row>
    <row r="18" spans="1:17" ht="22.5" x14ac:dyDescent="0.25">
      <c r="A18" s="39">
        <v>1</v>
      </c>
      <c r="B18" s="44" t="s">
        <v>164</v>
      </c>
      <c r="C18" s="12"/>
      <c r="D18" s="13">
        <f>'FEBRUARY 21'!H18:H33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K18" t="s">
        <v>225</v>
      </c>
      <c r="L18" s="60"/>
      <c r="M18">
        <v>3000</v>
      </c>
      <c r="Q18">
        <f>7857</f>
        <v>7857</v>
      </c>
    </row>
    <row r="19" spans="1:17" x14ac:dyDescent="0.25">
      <c r="A19" s="39">
        <v>2</v>
      </c>
      <c r="B19" s="44" t="s">
        <v>152</v>
      </c>
      <c r="C19" s="12"/>
      <c r="D19" s="13">
        <f>'FEBRUARY 21'!H19:H34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L19" s="60"/>
      <c r="M19" s="60">
        <f>M17-M18</f>
        <v>24900</v>
      </c>
      <c r="Q19">
        <v>3000</v>
      </c>
    </row>
    <row r="20" spans="1:17" x14ac:dyDescent="0.25">
      <c r="A20" s="39">
        <v>3</v>
      </c>
      <c r="B20" s="14" t="s">
        <v>39</v>
      </c>
      <c r="C20" s="14"/>
      <c r="D20" s="13">
        <f>'FEBRUARY 21'!H20:H35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K20" t="s">
        <v>265</v>
      </c>
      <c r="L20" s="61"/>
      <c r="M20">
        <v>2062</v>
      </c>
      <c r="P20" t="s">
        <v>268</v>
      </c>
      <c r="Q20">
        <f>Q18-Q19</f>
        <v>4857</v>
      </c>
    </row>
    <row r="21" spans="1:17" x14ac:dyDescent="0.25">
      <c r="A21" s="39">
        <v>4</v>
      </c>
      <c r="B21" s="44" t="s">
        <v>241</v>
      </c>
      <c r="C21" s="14"/>
      <c r="D21" s="13">
        <f>'FEBRUARY 21'!H21:H36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L21" s="60"/>
      <c r="M21" s="60">
        <f>M19-M20</f>
        <v>22838</v>
      </c>
      <c r="Q21">
        <v>1500</v>
      </c>
    </row>
    <row r="22" spans="1:17" ht="22.5" x14ac:dyDescent="0.25">
      <c r="A22" s="39">
        <v>5</v>
      </c>
      <c r="B22" s="40" t="s">
        <v>59</v>
      </c>
      <c r="C22" s="12"/>
      <c r="D22" s="13">
        <f>'FEBRUARY 21'!H22:H37</f>
        <v>4000</v>
      </c>
      <c r="E22" s="41"/>
      <c r="F22" s="13">
        <f t="shared" si="4"/>
        <v>4000</v>
      </c>
      <c r="G22" s="42">
        <f>2000</f>
        <v>2000</v>
      </c>
      <c r="H22" s="43">
        <f t="shared" si="3"/>
        <v>2000</v>
      </c>
      <c r="K22" t="s">
        <v>267</v>
      </c>
      <c r="M22">
        <v>8000</v>
      </c>
      <c r="Q22">
        <f>Q20+Q21</f>
        <v>6357</v>
      </c>
    </row>
    <row r="23" spans="1:17" x14ac:dyDescent="0.25">
      <c r="A23" s="39">
        <v>6</v>
      </c>
      <c r="B23" s="40" t="s">
        <v>128</v>
      </c>
      <c r="C23" s="14"/>
      <c r="D23" s="13">
        <f>'FEBRUARY 21'!H23:H38</f>
        <v>0</v>
      </c>
      <c r="E23" s="49"/>
      <c r="F23" s="13">
        <f t="shared" si="4"/>
        <v>0</v>
      </c>
      <c r="G23" s="50"/>
      <c r="H23" s="43">
        <f t="shared" si="3"/>
        <v>0</v>
      </c>
      <c r="L23" s="60"/>
      <c r="M23" s="60">
        <f>M21-M22</f>
        <v>14838</v>
      </c>
    </row>
    <row r="24" spans="1:17" x14ac:dyDescent="0.25">
      <c r="A24" s="39">
        <v>7</v>
      </c>
      <c r="B24" s="40" t="s">
        <v>204</v>
      </c>
      <c r="C24" s="12"/>
      <c r="D24" s="13">
        <f>'FEBRUARY 21'!H24:H39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7" x14ac:dyDescent="0.25">
      <c r="A25" s="39">
        <v>8</v>
      </c>
      <c r="B25" s="40" t="s">
        <v>41</v>
      </c>
      <c r="C25" s="12"/>
      <c r="D25" s="13">
        <f>'FEBRUARY 21'!H25:H40</f>
        <v>500</v>
      </c>
      <c r="E25" s="41">
        <v>2000</v>
      </c>
      <c r="F25" s="13">
        <f t="shared" si="4"/>
        <v>2500</v>
      </c>
      <c r="G25" s="42">
        <f>2000</f>
        <v>2000</v>
      </c>
      <c r="H25" s="43">
        <f>F25-G25</f>
        <v>500</v>
      </c>
    </row>
    <row r="26" spans="1:17" ht="22.5" x14ac:dyDescent="0.25">
      <c r="A26" s="39">
        <v>9</v>
      </c>
      <c r="B26" s="44" t="s">
        <v>42</v>
      </c>
      <c r="C26" s="12"/>
      <c r="D26" s="13">
        <f>'FEBRUARY 21'!H26:H41</f>
        <v>0</v>
      </c>
      <c r="E26" s="41">
        <v>1500</v>
      </c>
      <c r="F26" s="13">
        <f t="shared" si="4"/>
        <v>1500</v>
      </c>
      <c r="G26" s="42">
        <f>1500</f>
        <v>1500</v>
      </c>
      <c r="H26" s="43">
        <f t="shared" si="3"/>
        <v>0</v>
      </c>
      <c r="Q26" s="60">
        <f>M19-8000</f>
        <v>16900</v>
      </c>
    </row>
    <row r="27" spans="1:17" ht="22.5" x14ac:dyDescent="0.25">
      <c r="A27" s="39">
        <v>10</v>
      </c>
      <c r="B27" s="44" t="s">
        <v>212</v>
      </c>
      <c r="C27" s="12"/>
      <c r="D27" s="13">
        <f>'FEBRUARY 21'!H27:H42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7" ht="22.5" x14ac:dyDescent="0.25">
      <c r="A28" s="39">
        <v>11</v>
      </c>
      <c r="B28" s="40" t="s">
        <v>53</v>
      </c>
      <c r="C28" s="12"/>
      <c r="D28" s="13">
        <f>'FEBRUARY 21'!H28:H43</f>
        <v>1500</v>
      </c>
      <c r="E28" s="41">
        <v>1500</v>
      </c>
      <c r="F28" s="13">
        <f t="shared" si="4"/>
        <v>3000</v>
      </c>
      <c r="G28" s="42">
        <f>1500+1000</f>
        <v>2500</v>
      </c>
      <c r="H28" s="43">
        <f>F28-G28</f>
        <v>500</v>
      </c>
    </row>
    <row r="29" spans="1:17" x14ac:dyDescent="0.25">
      <c r="A29" s="39">
        <v>12</v>
      </c>
      <c r="B29" s="44" t="s">
        <v>46</v>
      </c>
      <c r="C29" s="12"/>
      <c r="D29" s="13"/>
      <c r="E29" s="41"/>
      <c r="F29" s="13">
        <f t="shared" si="4"/>
        <v>0</v>
      </c>
      <c r="G29" s="42"/>
      <c r="H29" s="43">
        <f>F29-G29</f>
        <v>0</v>
      </c>
    </row>
    <row r="30" spans="1:17" ht="22.5" x14ac:dyDescent="0.25">
      <c r="A30" s="39">
        <v>13</v>
      </c>
      <c r="B30" s="44" t="s">
        <v>60</v>
      </c>
      <c r="C30" s="12"/>
      <c r="D30" s="13">
        <f>'FEBRUARY 21'!H30:H45</f>
        <v>100</v>
      </c>
      <c r="E30" s="41">
        <v>1000</v>
      </c>
      <c r="F30" s="13">
        <f t="shared" si="4"/>
        <v>1100</v>
      </c>
      <c r="G30" s="42">
        <v>1000</v>
      </c>
      <c r="H30" s="43">
        <f>F30-G30</f>
        <v>100</v>
      </c>
    </row>
    <row r="31" spans="1:17" ht="22.5" x14ac:dyDescent="0.25">
      <c r="A31" s="39">
        <v>14</v>
      </c>
      <c r="B31" s="44" t="s">
        <v>165</v>
      </c>
      <c r="C31" s="12"/>
      <c r="D31" s="13">
        <f>'FEBRUARY 21'!H31:H46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</row>
    <row r="32" spans="1:17" ht="22.5" x14ac:dyDescent="0.25">
      <c r="A32" s="39">
        <v>15</v>
      </c>
      <c r="B32" s="44" t="s">
        <v>136</v>
      </c>
      <c r="C32" s="12"/>
      <c r="D32" s="13">
        <f>'FEBRUARY 21'!H32:H47</f>
        <v>100</v>
      </c>
      <c r="E32" s="41">
        <v>1500</v>
      </c>
      <c r="F32" s="13">
        <f t="shared" si="4"/>
        <v>1600</v>
      </c>
      <c r="G32" s="42">
        <f>700+450+300</f>
        <v>1450</v>
      </c>
      <c r="H32" s="43">
        <f>F32-G32</f>
        <v>150</v>
      </c>
    </row>
    <row r="33" spans="1:13" x14ac:dyDescent="0.25">
      <c r="A33" s="39">
        <v>16</v>
      </c>
      <c r="B33" s="44" t="s">
        <v>78</v>
      </c>
      <c r="C33" s="12"/>
      <c r="D33" s="13">
        <f>'FEBRUARY 21'!H33:H48</f>
        <v>0</v>
      </c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  <c r="L33" s="61"/>
    </row>
    <row r="34" spans="1:13" x14ac:dyDescent="0.25">
      <c r="A34" s="39"/>
      <c r="B34" s="51" t="s">
        <v>7</v>
      </c>
      <c r="C34" s="52">
        <f>SUM(C18:C33)</f>
        <v>0</v>
      </c>
      <c r="D34" s="13">
        <f>SUM(D18:D33)</f>
        <v>6200</v>
      </c>
      <c r="E34" s="53">
        <f>SUM(E18:E33)</f>
        <v>22000</v>
      </c>
      <c r="F34" s="13">
        <f>C34+D34+E34</f>
        <v>28200</v>
      </c>
      <c r="G34" s="10">
        <f>SUM(G18:G33)</f>
        <v>24950</v>
      </c>
      <c r="H34" s="43">
        <f>F34-G34</f>
        <v>3250</v>
      </c>
      <c r="J34" s="60"/>
      <c r="L34" s="61"/>
    </row>
    <row r="35" spans="1:13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3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  <c r="L36" s="61"/>
    </row>
    <row r="37" spans="1:13" x14ac:dyDescent="0.25">
      <c r="A37" s="22" t="s">
        <v>76</v>
      </c>
      <c r="B37" s="8">
        <f>E34+E16</f>
        <v>31000</v>
      </c>
      <c r="C37" s="23"/>
      <c r="D37" s="13">
        <f>'FEBRUARY 21'!H37:H57</f>
        <v>0</v>
      </c>
      <c r="E37" s="22" t="s">
        <v>76</v>
      </c>
      <c r="F37" s="8">
        <f>G34+G16</f>
        <v>32700</v>
      </c>
      <c r="G37" s="23"/>
      <c r="H37" s="8"/>
      <c r="L37" s="60"/>
    </row>
    <row r="38" spans="1:13" x14ac:dyDescent="0.25">
      <c r="A38" s="22" t="s">
        <v>12</v>
      </c>
      <c r="B38" s="24">
        <v>0.1</v>
      </c>
      <c r="C38" s="25">
        <f>B37*B38</f>
        <v>3100</v>
      </c>
      <c r="D38" s="13">
        <f>'FEBRUARY 21'!H38:H58</f>
        <v>0</v>
      </c>
      <c r="E38" s="22" t="s">
        <v>12</v>
      </c>
      <c r="F38" s="24">
        <v>0.1</v>
      </c>
      <c r="G38" s="25">
        <f>C38</f>
        <v>3100</v>
      </c>
      <c r="H38" s="8"/>
      <c r="L38" s="60"/>
    </row>
    <row r="39" spans="1:13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L39" s="61"/>
    </row>
    <row r="40" spans="1:13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L40" s="60"/>
    </row>
    <row r="41" spans="1:13" x14ac:dyDescent="0.25">
      <c r="A41" s="26" t="s">
        <v>2</v>
      </c>
      <c r="B41" s="25">
        <f>'FEBRUARY 21'!D57</f>
        <v>-7856.8999999999796</v>
      </c>
      <c r="C41" s="22"/>
      <c r="D41" s="22"/>
      <c r="E41" s="26" t="s">
        <v>2</v>
      </c>
      <c r="F41" s="25">
        <f>'FEBRUARY 21'!H57</f>
        <v>-17306.80000000001</v>
      </c>
      <c r="G41" s="22"/>
      <c r="H41" s="8"/>
    </row>
    <row r="42" spans="1:13" x14ac:dyDescent="0.25">
      <c r="A42" s="26" t="s">
        <v>7</v>
      </c>
      <c r="B42" s="25">
        <f>B37+B41+B40</f>
        <v>23143.10000000002</v>
      </c>
      <c r="C42" s="22"/>
      <c r="D42" s="22"/>
      <c r="E42" s="26" t="s">
        <v>7</v>
      </c>
      <c r="F42" s="25">
        <f>F37+F41+F39</f>
        <v>15393.499999999989</v>
      </c>
      <c r="G42" s="22"/>
      <c r="H42" s="8"/>
    </row>
    <row r="43" spans="1:13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3" x14ac:dyDescent="0.25">
      <c r="A44" s="27" t="s">
        <v>266</v>
      </c>
      <c r="B44" s="59"/>
      <c r="C44" s="29">
        <v>2062</v>
      </c>
      <c r="D44" s="28"/>
      <c r="E44" s="27" t="s">
        <v>266</v>
      </c>
      <c r="F44" s="59"/>
      <c r="G44" s="29">
        <v>2062</v>
      </c>
      <c r="H44" s="30"/>
    </row>
    <row r="45" spans="1:13" x14ac:dyDescent="0.25">
      <c r="A45" s="27" t="s">
        <v>267</v>
      </c>
      <c r="B45" s="59"/>
      <c r="C45" s="29">
        <v>8000</v>
      </c>
      <c r="D45" s="28"/>
      <c r="E45" s="27" t="s">
        <v>267</v>
      </c>
      <c r="F45" s="59"/>
      <c r="G45" s="29">
        <v>8000</v>
      </c>
      <c r="H45" s="30"/>
      <c r="M45">
        <f>Q22-6316</f>
        <v>41</v>
      </c>
    </row>
    <row r="46" spans="1:13" x14ac:dyDescent="0.25">
      <c r="A46" s="27" t="s">
        <v>267</v>
      </c>
      <c r="B46" s="59"/>
      <c r="C46" s="29">
        <v>14797</v>
      </c>
      <c r="D46" s="28"/>
      <c r="E46" s="27" t="s">
        <v>267</v>
      </c>
      <c r="F46" s="59"/>
      <c r="G46" s="29">
        <v>14797</v>
      </c>
      <c r="H46" s="30"/>
    </row>
    <row r="47" spans="1:13" x14ac:dyDescent="0.25">
      <c r="A47" s="27" t="s">
        <v>269</v>
      </c>
      <c r="B47" s="59"/>
      <c r="C47" s="29">
        <v>1500</v>
      </c>
      <c r="D47" s="28"/>
      <c r="E47" s="27" t="s">
        <v>269</v>
      </c>
      <c r="F47" s="59"/>
      <c r="G47" s="29">
        <v>1500</v>
      </c>
      <c r="H47" s="30"/>
    </row>
    <row r="48" spans="1:13" x14ac:dyDescent="0.25">
      <c r="A48" s="27"/>
      <c r="B48" s="59"/>
      <c r="C48" s="29"/>
      <c r="D48" s="28"/>
      <c r="E48" s="27"/>
      <c r="F48" s="59"/>
      <c r="G48" s="29"/>
      <c r="H48" s="30"/>
    </row>
    <row r="49" spans="1:10" x14ac:dyDescent="0.25">
      <c r="A49" s="27"/>
      <c r="B49" s="59"/>
      <c r="C49" s="29"/>
      <c r="D49" s="28"/>
      <c r="E49" s="27"/>
      <c r="F49" s="59"/>
      <c r="G49" s="29"/>
      <c r="H49" s="30"/>
    </row>
    <row r="50" spans="1:10" x14ac:dyDescent="0.25">
      <c r="A50" s="27"/>
      <c r="B50" s="59"/>
      <c r="C50" s="29"/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  <c r="J51" s="60">
        <f>H34+H16</f>
        <v>8550</v>
      </c>
    </row>
    <row r="52" spans="1:10" x14ac:dyDescent="0.25">
      <c r="A52" s="11" t="s">
        <v>7</v>
      </c>
      <c r="B52" s="34">
        <f>B37+B39+B40+B41-C38-C39</f>
        <v>20043.40000000002</v>
      </c>
      <c r="C52" s="7">
        <f>SUM(C44:C51)</f>
        <v>26359</v>
      </c>
      <c r="D52" s="7">
        <f>B52-C52</f>
        <v>-6315.5999999999804</v>
      </c>
      <c r="E52" s="11" t="s">
        <v>7</v>
      </c>
      <c r="F52" s="34">
        <f>F37+F39+F41-G38</f>
        <v>12293.499999999989</v>
      </c>
      <c r="G52" s="7">
        <f>SUM(G44:G51)</f>
        <v>26359</v>
      </c>
      <c r="H52" s="7">
        <f>F52-G52</f>
        <v>-14065.500000000011</v>
      </c>
      <c r="I52" s="60"/>
      <c r="J52" s="60">
        <f>H52+J51</f>
        <v>-5515.5000000000109</v>
      </c>
    </row>
    <row r="53" spans="1:10" x14ac:dyDescent="0.25">
      <c r="A53" s="1" t="s">
        <v>16</v>
      </c>
      <c r="B53" s="16"/>
      <c r="D53" s="1" t="s">
        <v>17</v>
      </c>
      <c r="G53" s="1" t="s">
        <v>18</v>
      </c>
      <c r="H53" s="6"/>
      <c r="J53" s="60">
        <f>D52-J52</f>
        <v>-800.09999999996944</v>
      </c>
    </row>
    <row r="54" spans="1:10" x14ac:dyDescent="0.25">
      <c r="A54" s="1" t="s">
        <v>35</v>
      </c>
      <c r="B54" s="1"/>
      <c r="D54" s="1" t="s">
        <v>36</v>
      </c>
      <c r="G54" s="1" t="s">
        <v>63</v>
      </c>
      <c r="I54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6" workbookViewId="0">
      <selection activeCell="L28" sqref="L28:P36"/>
    </sheetView>
  </sheetViews>
  <sheetFormatPr defaultRowHeight="15" x14ac:dyDescent="0.25"/>
  <cols>
    <col min="2" max="2" width="11.140625" customWidth="1"/>
  </cols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270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x14ac:dyDescent="0.25">
      <c r="A6" s="39" t="s">
        <v>23</v>
      </c>
      <c r="B6" s="40" t="s">
        <v>45</v>
      </c>
      <c r="C6" s="12"/>
      <c r="D6" s="13">
        <f>'MARCH 21'!H6:H16</f>
        <v>1500</v>
      </c>
      <c r="E6" s="41">
        <v>1500</v>
      </c>
      <c r="F6" s="13">
        <f>E6+D6+C6</f>
        <v>3000</v>
      </c>
      <c r="G6" s="42">
        <f>2000</f>
        <v>2000</v>
      </c>
      <c r="H6" s="43">
        <f>F6-G6</f>
        <v>1000</v>
      </c>
    </row>
    <row r="7" spans="1:12" x14ac:dyDescent="0.25">
      <c r="A7" s="39" t="s">
        <v>24</v>
      </c>
      <c r="B7" s="44" t="s">
        <v>162</v>
      </c>
      <c r="C7" s="12"/>
      <c r="D7" s="13">
        <f>'MARCH 21'!H7:H17</f>
        <v>1050</v>
      </c>
      <c r="E7" s="41">
        <v>1500</v>
      </c>
      <c r="F7" s="13">
        <f t="shared" ref="F7:F15" si="0">E7+D7+C7</f>
        <v>2550</v>
      </c>
      <c r="G7" s="13">
        <f>800+500</f>
        <v>1300</v>
      </c>
      <c r="H7" s="43">
        <f>F7-G7</f>
        <v>1250</v>
      </c>
      <c r="L7" s="60">
        <f>E16</f>
        <v>10500</v>
      </c>
    </row>
    <row r="8" spans="1:12" x14ac:dyDescent="0.25">
      <c r="A8" s="39" t="s">
        <v>26</v>
      </c>
      <c r="B8" s="14" t="s">
        <v>261</v>
      </c>
      <c r="C8" s="14"/>
      <c r="D8" s="13">
        <f>'MARCH 21'!H8:H18</f>
        <v>0</v>
      </c>
      <c r="E8" s="14">
        <v>1500</v>
      </c>
      <c r="F8" s="13">
        <f t="shared" si="0"/>
        <v>1500</v>
      </c>
      <c r="G8" s="14">
        <v>1500</v>
      </c>
      <c r="H8" s="43">
        <f t="shared" ref="H8:H15" si="1">F8-G8</f>
        <v>0</v>
      </c>
      <c r="L8" s="60">
        <f>E34</f>
        <v>26500</v>
      </c>
    </row>
    <row r="9" spans="1:12" x14ac:dyDescent="0.25">
      <c r="A9" s="45" t="s">
        <v>27</v>
      </c>
      <c r="B9" s="44" t="s">
        <v>281</v>
      </c>
      <c r="C9" s="14"/>
      <c r="D9" s="13">
        <f>'MARCH 21'!H9:H19</f>
        <v>2150</v>
      </c>
      <c r="E9" s="46">
        <v>1500</v>
      </c>
      <c r="F9" s="13">
        <f t="shared" si="0"/>
        <v>3650</v>
      </c>
      <c r="G9" s="43">
        <f>1150+1000</f>
        <v>2150</v>
      </c>
      <c r="H9" s="43">
        <f t="shared" si="1"/>
        <v>1500</v>
      </c>
      <c r="K9" t="s">
        <v>7</v>
      </c>
      <c r="L9" s="60">
        <f>L7+L8</f>
        <v>37000</v>
      </c>
    </row>
    <row r="10" spans="1:12" x14ac:dyDescent="0.25">
      <c r="A10" s="47" t="s">
        <v>28</v>
      </c>
      <c r="B10" s="55" t="s">
        <v>46</v>
      </c>
      <c r="C10" s="12"/>
      <c r="D10" s="13">
        <f>'MARCH 21'!H10:H20</f>
        <v>0</v>
      </c>
      <c r="E10" s="41"/>
      <c r="F10" s="13">
        <f t="shared" si="0"/>
        <v>0</v>
      </c>
      <c r="G10" s="42"/>
      <c r="H10" s="43">
        <f t="shared" si="1"/>
        <v>0</v>
      </c>
    </row>
    <row r="11" spans="1:12" x14ac:dyDescent="0.25">
      <c r="A11" s="48" t="s">
        <v>29</v>
      </c>
      <c r="B11" s="40" t="s">
        <v>212</v>
      </c>
      <c r="C11" s="14"/>
      <c r="D11" s="13">
        <f>'MARCH 21'!H11:H21</f>
        <v>0</v>
      </c>
      <c r="E11" s="49">
        <v>1500</v>
      </c>
      <c r="F11" s="13">
        <f t="shared" si="0"/>
        <v>1500</v>
      </c>
      <c r="G11" s="50">
        <f>500</f>
        <v>500</v>
      </c>
      <c r="H11" s="43">
        <f t="shared" si="1"/>
        <v>1000</v>
      </c>
      <c r="K11" t="s">
        <v>177</v>
      </c>
      <c r="L11" s="60">
        <f>G38</f>
        <v>3700</v>
      </c>
    </row>
    <row r="12" spans="1:12" x14ac:dyDescent="0.25">
      <c r="A12" s="39" t="s">
        <v>30</v>
      </c>
      <c r="B12" s="40" t="s">
        <v>78</v>
      </c>
      <c r="C12" s="12"/>
      <c r="D12" s="13">
        <f>'MARCH 21'!H12:H22</f>
        <v>0</v>
      </c>
      <c r="E12" s="41">
        <v>1500</v>
      </c>
      <c r="F12" s="13">
        <f>E12+D12+C12</f>
        <v>1500</v>
      </c>
      <c r="G12" s="42"/>
      <c r="H12" s="43">
        <f t="shared" si="1"/>
        <v>1500</v>
      </c>
      <c r="K12" t="s">
        <v>6</v>
      </c>
      <c r="L12" s="60">
        <f>L9-L11</f>
        <v>33300</v>
      </c>
    </row>
    <row r="13" spans="1:12" ht="22.5" x14ac:dyDescent="0.25">
      <c r="A13" s="39" t="s">
        <v>31</v>
      </c>
      <c r="B13" s="40" t="s">
        <v>253</v>
      </c>
      <c r="C13" s="12"/>
      <c r="D13" s="13">
        <f>'MARCH 21'!H13:H23</f>
        <v>600</v>
      </c>
      <c r="E13" s="41">
        <v>1500</v>
      </c>
      <c r="F13" s="13">
        <f t="shared" si="0"/>
        <v>2100</v>
      </c>
      <c r="G13" s="42">
        <f>500+1000</f>
        <v>1500</v>
      </c>
      <c r="H13" s="43">
        <f>F13-G13</f>
        <v>600</v>
      </c>
      <c r="I13" t="s">
        <v>283</v>
      </c>
      <c r="J13" t="s">
        <v>225</v>
      </c>
      <c r="L13">
        <v>6316</v>
      </c>
    </row>
    <row r="14" spans="1:12" x14ac:dyDescent="0.25">
      <c r="A14" s="39" t="s">
        <v>32</v>
      </c>
      <c r="B14" s="44"/>
      <c r="C14" s="12"/>
      <c r="D14" s="13"/>
      <c r="E14" s="41"/>
      <c r="F14" s="13">
        <f>E14+D14+C14</f>
        <v>0</v>
      </c>
      <c r="G14" s="42"/>
      <c r="H14" s="43">
        <f t="shared" si="1"/>
        <v>0</v>
      </c>
      <c r="L14" s="60">
        <f>L12-L13</f>
        <v>26984</v>
      </c>
    </row>
    <row r="15" spans="1:12" x14ac:dyDescent="0.25">
      <c r="A15" s="39" t="s">
        <v>33</v>
      </c>
      <c r="B15" s="44" t="s">
        <v>25</v>
      </c>
      <c r="C15" s="12"/>
      <c r="D15" s="13">
        <f>'MARCH 21'!H15:H25</f>
        <v>0</v>
      </c>
      <c r="E15" s="15"/>
      <c r="F15" s="13">
        <f t="shared" si="0"/>
        <v>0</v>
      </c>
      <c r="G15" s="42"/>
      <c r="H15" s="43">
        <f t="shared" si="1"/>
        <v>0</v>
      </c>
      <c r="J15" t="s">
        <v>5</v>
      </c>
      <c r="L15" s="61">
        <f>C44</f>
        <v>2062</v>
      </c>
    </row>
    <row r="16" spans="1:12" x14ac:dyDescent="0.25">
      <c r="A16" s="39"/>
      <c r="B16" s="51" t="s">
        <v>7</v>
      </c>
      <c r="C16" s="52">
        <f t="shared" ref="C16:H16" si="2">SUM(C6:C15)</f>
        <v>0</v>
      </c>
      <c r="D16" s="13">
        <f>'MARCH 21'!H16:H26</f>
        <v>5300</v>
      </c>
      <c r="E16" s="53">
        <f t="shared" si="2"/>
        <v>10500</v>
      </c>
      <c r="F16" s="13">
        <f t="shared" si="2"/>
        <v>15800</v>
      </c>
      <c r="G16" s="10">
        <f>SUM(G6:G15)</f>
        <v>8950</v>
      </c>
      <c r="H16" s="54">
        <f t="shared" si="2"/>
        <v>6850</v>
      </c>
      <c r="L16" s="60">
        <f>L14-L15</f>
        <v>24922</v>
      </c>
    </row>
    <row r="17" spans="1:19" x14ac:dyDescent="0.25">
      <c r="C17" s="35"/>
      <c r="D17" s="35" t="s">
        <v>37</v>
      </c>
      <c r="E17" s="35"/>
    </row>
    <row r="18" spans="1:19" ht="22.5" x14ac:dyDescent="0.25">
      <c r="A18" s="39">
        <v>1</v>
      </c>
      <c r="B18" s="44" t="s">
        <v>164</v>
      </c>
      <c r="C18" s="12"/>
      <c r="D18" s="13">
        <f>'MARCH 21'!H18:H34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19" x14ac:dyDescent="0.25">
      <c r="A19" s="39">
        <v>2</v>
      </c>
      <c r="B19" s="44" t="s">
        <v>152</v>
      </c>
      <c r="C19" s="12"/>
      <c r="D19" s="13">
        <f>'MARCH 21'!H19:H35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O19" s="60"/>
    </row>
    <row r="20" spans="1:19" x14ac:dyDescent="0.25">
      <c r="A20" s="39">
        <v>3</v>
      </c>
      <c r="B20" s="14" t="s">
        <v>39</v>
      </c>
      <c r="C20" s="14"/>
      <c r="D20" s="13">
        <f>'MARCH 21'!H20:H36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</row>
    <row r="21" spans="1:19" x14ac:dyDescent="0.25">
      <c r="A21" s="39">
        <v>4</v>
      </c>
      <c r="B21" s="44" t="s">
        <v>241</v>
      </c>
      <c r="C21" s="14"/>
      <c r="D21" s="13">
        <f>'MARCH 21'!H21:H37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</row>
    <row r="22" spans="1:19" ht="22.5" x14ac:dyDescent="0.25">
      <c r="A22" s="39">
        <v>5</v>
      </c>
      <c r="B22" s="40" t="s">
        <v>59</v>
      </c>
      <c r="C22" s="12"/>
      <c r="D22" s="13">
        <f>'MARCH 21'!H22:H38</f>
        <v>2000</v>
      </c>
      <c r="E22" s="41">
        <v>3000</v>
      </c>
      <c r="F22" s="13">
        <f t="shared" si="4"/>
        <v>5000</v>
      </c>
      <c r="G22" s="42">
        <v>5000</v>
      </c>
      <c r="H22" s="43">
        <f t="shared" si="3"/>
        <v>0</v>
      </c>
    </row>
    <row r="23" spans="1:19" x14ac:dyDescent="0.25">
      <c r="A23" s="39">
        <v>6</v>
      </c>
      <c r="B23" s="40" t="s">
        <v>128</v>
      </c>
      <c r="C23" s="14"/>
      <c r="D23" s="13">
        <f>'MARCH 21'!H23:H39</f>
        <v>0</v>
      </c>
      <c r="E23" s="49"/>
      <c r="F23" s="13">
        <f t="shared" si="4"/>
        <v>0</v>
      </c>
      <c r="G23" s="50"/>
      <c r="H23" s="43">
        <f t="shared" si="3"/>
        <v>0</v>
      </c>
    </row>
    <row r="24" spans="1:19" x14ac:dyDescent="0.25">
      <c r="A24" s="39">
        <v>7</v>
      </c>
      <c r="B24" s="40" t="s">
        <v>204</v>
      </c>
      <c r="C24" s="12"/>
      <c r="D24" s="13">
        <f>'MARCH 21'!H24:H40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9" x14ac:dyDescent="0.25">
      <c r="A25" s="39">
        <v>8</v>
      </c>
      <c r="B25" s="40" t="s">
        <v>41</v>
      </c>
      <c r="C25" s="12"/>
      <c r="D25" s="13">
        <f>'MARCH 21'!H25:H41</f>
        <v>500</v>
      </c>
      <c r="E25" s="41">
        <v>2000</v>
      </c>
      <c r="F25" s="13">
        <f t="shared" si="4"/>
        <v>2500</v>
      </c>
      <c r="G25" s="42"/>
      <c r="H25" s="43">
        <f>F25-G25</f>
        <v>2500</v>
      </c>
    </row>
    <row r="26" spans="1:19" ht="22.5" x14ac:dyDescent="0.25">
      <c r="A26" s="39">
        <v>9</v>
      </c>
      <c r="B26" s="44" t="s">
        <v>42</v>
      </c>
      <c r="C26" s="12"/>
      <c r="D26" s="13">
        <f>'MARCH 21'!H26:H42</f>
        <v>0</v>
      </c>
      <c r="E26" s="41">
        <v>1500</v>
      </c>
      <c r="F26" s="13">
        <f t="shared" si="4"/>
        <v>1500</v>
      </c>
      <c r="G26" s="42">
        <f>1500</f>
        <v>1500</v>
      </c>
      <c r="H26" s="43">
        <f t="shared" si="3"/>
        <v>0</v>
      </c>
    </row>
    <row r="27" spans="1:19" x14ac:dyDescent="0.25">
      <c r="A27" s="39">
        <v>10</v>
      </c>
      <c r="B27" s="44" t="s">
        <v>274</v>
      </c>
      <c r="C27" s="12"/>
      <c r="D27" s="13">
        <f>'MARCH 21'!H27:H43</f>
        <v>0</v>
      </c>
      <c r="E27" s="41">
        <v>1500</v>
      </c>
      <c r="F27" s="13">
        <f t="shared" si="4"/>
        <v>1500</v>
      </c>
      <c r="G27" s="42"/>
      <c r="H27" s="43">
        <f t="shared" si="3"/>
        <v>1500</v>
      </c>
    </row>
    <row r="28" spans="1:19" x14ac:dyDescent="0.25">
      <c r="A28" s="39">
        <v>11</v>
      </c>
      <c r="B28" s="40" t="s">
        <v>53</v>
      </c>
      <c r="C28" s="12"/>
      <c r="D28" s="13">
        <f>'MARCH 21'!H28:H44</f>
        <v>500</v>
      </c>
      <c r="E28" s="41">
        <v>1500</v>
      </c>
      <c r="F28" s="13">
        <f t="shared" si="4"/>
        <v>2000</v>
      </c>
      <c r="G28" s="42">
        <f>500+1500</f>
        <v>2000</v>
      </c>
      <c r="H28" s="43">
        <f>F28-G28</f>
        <v>0</v>
      </c>
      <c r="J28" s="60"/>
    </row>
    <row r="29" spans="1:19" x14ac:dyDescent="0.25">
      <c r="A29" s="39">
        <v>12</v>
      </c>
      <c r="B29" s="44" t="s">
        <v>273</v>
      </c>
      <c r="C29" s="12"/>
      <c r="D29" s="13">
        <f>'MARCH 21'!H29:H45</f>
        <v>0</v>
      </c>
      <c r="E29" s="41">
        <v>1500</v>
      </c>
      <c r="F29" s="13">
        <f t="shared" si="4"/>
        <v>1500</v>
      </c>
      <c r="G29" s="42">
        <v>1500</v>
      </c>
      <c r="H29" s="43">
        <f>F29-G29</f>
        <v>0</v>
      </c>
      <c r="M29" s="27" t="s">
        <v>275</v>
      </c>
      <c r="N29" s="59"/>
      <c r="O29" s="29">
        <v>10000</v>
      </c>
      <c r="P29" s="28"/>
      <c r="Q29" s="27" t="s">
        <v>275</v>
      </c>
      <c r="R29" s="59"/>
      <c r="S29" s="29">
        <v>10000</v>
      </c>
    </row>
    <row r="30" spans="1:19" ht="22.5" x14ac:dyDescent="0.25">
      <c r="A30" s="39">
        <v>13</v>
      </c>
      <c r="B30" s="44" t="s">
        <v>60</v>
      </c>
      <c r="C30" s="12"/>
      <c r="D30" s="13">
        <f>'MARCH 21'!H30:H46</f>
        <v>100</v>
      </c>
      <c r="E30" s="41">
        <v>1000</v>
      </c>
      <c r="F30" s="13">
        <f t="shared" si="4"/>
        <v>1100</v>
      </c>
      <c r="G30" s="42">
        <f>1000</f>
        <v>1000</v>
      </c>
      <c r="H30" s="43">
        <f>F30-G30</f>
        <v>100</v>
      </c>
      <c r="M30" s="27" t="s">
        <v>276</v>
      </c>
      <c r="N30" s="59"/>
      <c r="O30" s="29">
        <v>3000</v>
      </c>
      <c r="P30" s="28"/>
      <c r="Q30" s="27" t="s">
        <v>276</v>
      </c>
      <c r="R30" s="59"/>
      <c r="S30" s="29">
        <v>3000</v>
      </c>
    </row>
    <row r="31" spans="1:19" ht="22.5" x14ac:dyDescent="0.25">
      <c r="A31" s="39">
        <v>14</v>
      </c>
      <c r="B31" s="44" t="s">
        <v>165</v>
      </c>
      <c r="C31" s="12"/>
      <c r="D31" s="13">
        <f>'MARCH 21'!H31:H47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M31" s="27" t="s">
        <v>277</v>
      </c>
      <c r="N31" s="59"/>
      <c r="O31" s="29">
        <v>12000</v>
      </c>
      <c r="P31" s="28"/>
      <c r="Q31" s="27" t="s">
        <v>277</v>
      </c>
      <c r="R31" s="59"/>
      <c r="S31" s="29">
        <v>12000</v>
      </c>
    </row>
    <row r="32" spans="1:19" x14ac:dyDescent="0.25">
      <c r="A32" s="39">
        <v>15</v>
      </c>
      <c r="B32" s="44" t="s">
        <v>136</v>
      </c>
      <c r="C32" s="12"/>
      <c r="D32" s="13">
        <f>'MARCH 21'!H32:H48</f>
        <v>150</v>
      </c>
      <c r="E32" s="41">
        <v>1500</v>
      </c>
      <c r="F32" s="13">
        <f t="shared" si="4"/>
        <v>1650</v>
      </c>
      <c r="G32" s="42">
        <f>700+500+400</f>
        <v>1600</v>
      </c>
      <c r="H32" s="43">
        <f>F32-G32</f>
        <v>50</v>
      </c>
      <c r="M32" s="27" t="s">
        <v>278</v>
      </c>
      <c r="N32" s="59"/>
      <c r="O32" s="29">
        <v>2500</v>
      </c>
      <c r="P32" s="28"/>
      <c r="Q32" s="27" t="s">
        <v>278</v>
      </c>
      <c r="R32" s="59"/>
      <c r="S32" s="29">
        <v>2500</v>
      </c>
    </row>
    <row r="33" spans="1:19" ht="22.5" x14ac:dyDescent="0.25">
      <c r="A33" s="39">
        <v>16</v>
      </c>
      <c r="B33" s="44" t="s">
        <v>272</v>
      </c>
      <c r="C33" s="12"/>
      <c r="D33" s="13">
        <f>'MARCH 21'!H33:H49</f>
        <v>0</v>
      </c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  <c r="K33" s="60"/>
      <c r="M33" s="27" t="s">
        <v>279</v>
      </c>
      <c r="N33" s="59"/>
      <c r="O33" s="29">
        <v>3000</v>
      </c>
      <c r="P33" s="28"/>
      <c r="Q33" s="27" t="s">
        <v>279</v>
      </c>
      <c r="R33" s="59"/>
      <c r="S33" s="29">
        <v>3000</v>
      </c>
    </row>
    <row r="34" spans="1:19" x14ac:dyDescent="0.25">
      <c r="A34" s="39"/>
      <c r="B34" s="51" t="s">
        <v>7</v>
      </c>
      <c r="C34" s="52">
        <f>SUM(C18:C33)</f>
        <v>0</v>
      </c>
      <c r="D34" s="13">
        <f>'MARCH 21'!H34:H50</f>
        <v>3250</v>
      </c>
      <c r="E34" s="53">
        <f>SUM(E18:E33)</f>
        <v>26500</v>
      </c>
      <c r="F34" s="13">
        <f>C34+D34+E34</f>
        <v>29750</v>
      </c>
      <c r="G34" s="10">
        <f>SUM(G18:G33)</f>
        <v>25600</v>
      </c>
      <c r="H34" s="43">
        <f>F34-G34</f>
        <v>4150</v>
      </c>
      <c r="O34" s="61">
        <f>SUM(O29:O33)</f>
        <v>30500</v>
      </c>
    </row>
    <row r="35" spans="1:19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9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9" x14ac:dyDescent="0.25">
      <c r="A37" s="22" t="s">
        <v>81</v>
      </c>
      <c r="B37" s="8">
        <f>E34+E16</f>
        <v>37000</v>
      </c>
      <c r="C37" s="23"/>
      <c r="D37" s="13">
        <f>'FEBRUARY 21'!H37:H57</f>
        <v>0</v>
      </c>
      <c r="E37" s="22" t="s">
        <v>81</v>
      </c>
      <c r="F37" s="8">
        <f>G34+G16</f>
        <v>34550</v>
      </c>
      <c r="G37" s="23"/>
      <c r="H37" s="8"/>
    </row>
    <row r="38" spans="1:19" x14ac:dyDescent="0.25">
      <c r="A38" s="22" t="s">
        <v>12</v>
      </c>
      <c r="B38" s="24">
        <v>0.1</v>
      </c>
      <c r="C38" s="25">
        <f>B37*B38</f>
        <v>3700</v>
      </c>
      <c r="D38" s="13">
        <f>'FEBRUARY 21'!H38:H58</f>
        <v>0</v>
      </c>
      <c r="E38" s="22" t="s">
        <v>12</v>
      </c>
      <c r="F38" s="24">
        <v>0.1</v>
      </c>
      <c r="G38" s="25">
        <f>C38</f>
        <v>3700</v>
      </c>
      <c r="H38" s="8"/>
    </row>
    <row r="39" spans="1:19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19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9" x14ac:dyDescent="0.25">
      <c r="A41" s="26" t="s">
        <v>2</v>
      </c>
      <c r="B41" s="25">
        <f>'MARCH 21'!D52</f>
        <v>-6315.5999999999804</v>
      </c>
      <c r="C41" s="22"/>
      <c r="D41" s="22"/>
      <c r="E41" s="26" t="s">
        <v>2</v>
      </c>
      <c r="F41" s="25">
        <f>'MARCH 21'!H52</f>
        <v>-14065.500000000011</v>
      </c>
      <c r="G41" s="22"/>
      <c r="H41" s="8"/>
    </row>
    <row r="42" spans="1:19" x14ac:dyDescent="0.25">
      <c r="A42" s="26" t="s">
        <v>7</v>
      </c>
      <c r="B42" s="25">
        <f>B37+B41+B40</f>
        <v>30684.40000000002</v>
      </c>
      <c r="C42" s="22"/>
      <c r="D42" s="22"/>
      <c r="E42" s="26" t="s">
        <v>7</v>
      </c>
      <c r="F42" s="25">
        <f>F37+F41+F39</f>
        <v>20484.799999999988</v>
      </c>
      <c r="G42" s="22"/>
      <c r="H42" s="8"/>
    </row>
    <row r="43" spans="1:19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9" x14ac:dyDescent="0.25">
      <c r="A44" s="27" t="s">
        <v>271</v>
      </c>
      <c r="B44" s="59"/>
      <c r="C44" s="29">
        <v>2062</v>
      </c>
      <c r="D44" s="28"/>
      <c r="E44" s="27" t="s">
        <v>271</v>
      </c>
      <c r="F44" s="59"/>
      <c r="G44" s="29">
        <v>2062</v>
      </c>
      <c r="H44" s="30"/>
    </row>
    <row r="45" spans="1:19" x14ac:dyDescent="0.25">
      <c r="A45" s="27" t="s">
        <v>280</v>
      </c>
      <c r="B45" s="59"/>
      <c r="C45" s="29">
        <v>22220</v>
      </c>
      <c r="D45" s="28"/>
      <c r="E45" s="27" t="s">
        <v>280</v>
      </c>
      <c r="F45" s="59"/>
      <c r="G45" s="29">
        <v>22220</v>
      </c>
      <c r="H45" s="30"/>
    </row>
    <row r="46" spans="1:19" x14ac:dyDescent="0.25">
      <c r="A46" s="27" t="s">
        <v>284</v>
      </c>
      <c r="B46" s="59"/>
      <c r="C46" s="29">
        <v>5055</v>
      </c>
      <c r="D46" s="28"/>
      <c r="E46" s="27" t="s">
        <v>284</v>
      </c>
      <c r="F46" s="59"/>
      <c r="G46" s="29">
        <v>5055</v>
      </c>
      <c r="H46" s="30"/>
    </row>
    <row r="47" spans="1:19" x14ac:dyDescent="0.25">
      <c r="A47" s="27"/>
      <c r="B47" s="59"/>
      <c r="C47" s="29"/>
      <c r="D47" s="28"/>
      <c r="E47" s="27"/>
      <c r="F47" s="59"/>
      <c r="G47" s="29"/>
      <c r="H47" s="30"/>
    </row>
    <row r="48" spans="1:19" x14ac:dyDescent="0.25">
      <c r="A48" s="27"/>
      <c r="B48" s="59"/>
      <c r="C48" s="29"/>
      <c r="D48" s="28"/>
      <c r="E48" s="27"/>
      <c r="F48" s="59"/>
      <c r="G48" s="29"/>
      <c r="H48" s="30"/>
    </row>
    <row r="49" spans="1:11" x14ac:dyDescent="0.25">
      <c r="A49" s="27"/>
      <c r="B49" s="59"/>
      <c r="C49" s="29"/>
      <c r="D49" s="28"/>
      <c r="E49" s="27"/>
      <c r="F49" s="59"/>
      <c r="G49" s="29"/>
      <c r="H49" s="30"/>
    </row>
    <row r="50" spans="1:11" x14ac:dyDescent="0.25">
      <c r="A50" s="27"/>
      <c r="B50" s="59"/>
      <c r="C50" s="29"/>
      <c r="D50" s="28"/>
      <c r="E50" s="27"/>
      <c r="F50" s="59"/>
      <c r="G50" s="29"/>
      <c r="H50" s="30"/>
    </row>
    <row r="51" spans="1:11" x14ac:dyDescent="0.25">
      <c r="A51" s="27"/>
      <c r="B51" s="59"/>
      <c r="C51" s="29"/>
      <c r="D51" s="28"/>
      <c r="E51" s="27"/>
      <c r="F51" s="59"/>
      <c r="G51" s="29"/>
      <c r="H51" s="30"/>
      <c r="K51" s="61"/>
    </row>
    <row r="52" spans="1:11" x14ac:dyDescent="0.25">
      <c r="A52" s="11" t="s">
        <v>7</v>
      </c>
      <c r="B52" s="34">
        <f>B37+B40+B41-C38</f>
        <v>26984.40000000002</v>
      </c>
      <c r="C52" s="7">
        <f>SUM(C44:C51)</f>
        <v>29337</v>
      </c>
      <c r="D52" s="7">
        <f>B52-C52</f>
        <v>-2352.5999999999804</v>
      </c>
      <c r="E52" s="11" t="s">
        <v>7</v>
      </c>
      <c r="F52" s="34">
        <f>F37+F39+F41-G38</f>
        <v>16784.799999999992</v>
      </c>
      <c r="G52" s="7">
        <f>SUM(G44:G51)</f>
        <v>29337</v>
      </c>
      <c r="H52" s="7">
        <f>F52-G52</f>
        <v>-12552.200000000008</v>
      </c>
      <c r="I52" s="60"/>
    </row>
    <row r="53" spans="1:11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1" x14ac:dyDescent="0.25">
      <c r="A54" s="1" t="s">
        <v>35</v>
      </c>
      <c r="B54" s="1"/>
      <c r="D54" s="1" t="s">
        <v>36</v>
      </c>
      <c r="G54" s="1" t="s">
        <v>63</v>
      </c>
      <c r="I54" s="60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9" workbookViewId="0">
      <selection activeCell="E12" sqref="E12"/>
    </sheetView>
  </sheetViews>
  <sheetFormatPr defaultRowHeight="15" x14ac:dyDescent="0.25"/>
  <cols>
    <col min="1" max="1" width="12.140625" customWidth="1"/>
    <col min="2" max="2" width="11.28515625" customWidth="1"/>
  </cols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282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x14ac:dyDescent="0.25">
      <c r="A6" s="39" t="s">
        <v>23</v>
      </c>
      <c r="B6" s="40" t="s">
        <v>45</v>
      </c>
      <c r="C6" s="12"/>
      <c r="D6" s="13">
        <f>APRIL21!H6:H15</f>
        <v>1000</v>
      </c>
      <c r="E6" s="41">
        <v>1500</v>
      </c>
      <c r="F6" s="13">
        <f>E6+D6+C6</f>
        <v>2500</v>
      </c>
      <c r="G6" s="42">
        <f>1000+1500</f>
        <v>2500</v>
      </c>
      <c r="H6" s="43">
        <f>F6-G6</f>
        <v>0</v>
      </c>
    </row>
    <row r="7" spans="1:12" x14ac:dyDescent="0.25">
      <c r="A7" s="39" t="s">
        <v>24</v>
      </c>
      <c r="B7" s="44" t="s">
        <v>162</v>
      </c>
      <c r="C7" s="12"/>
      <c r="D7" s="13">
        <f>APRIL21!H7:H16</f>
        <v>1250</v>
      </c>
      <c r="E7" s="41">
        <v>1500</v>
      </c>
      <c r="F7" s="13">
        <f t="shared" ref="F7:F15" si="0">E7+D7+C7</f>
        <v>2750</v>
      </c>
      <c r="G7" s="13">
        <f>500+750</f>
        <v>1250</v>
      </c>
      <c r="H7" s="43">
        <f>F7-G7</f>
        <v>1500</v>
      </c>
      <c r="L7" s="60">
        <f>E16</f>
        <v>9000</v>
      </c>
    </row>
    <row r="8" spans="1:12" x14ac:dyDescent="0.25">
      <c r="A8" s="39" t="s">
        <v>26</v>
      </c>
      <c r="B8" s="14" t="s">
        <v>261</v>
      </c>
      <c r="C8" s="14"/>
      <c r="D8" s="13">
        <f>APRIL21!H8:H17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ref="H8:H15" si="1">F8-G8</f>
        <v>0</v>
      </c>
      <c r="L8" s="60">
        <f>E34</f>
        <v>20000</v>
      </c>
    </row>
    <row r="9" spans="1:12" x14ac:dyDescent="0.25">
      <c r="A9" s="45" t="s">
        <v>27</v>
      </c>
      <c r="B9" s="44" t="s">
        <v>281</v>
      </c>
      <c r="C9" s="14"/>
      <c r="D9" s="13">
        <f>APRIL21!H9:H18</f>
        <v>1500</v>
      </c>
      <c r="E9" s="46"/>
      <c r="F9" s="13">
        <f t="shared" si="0"/>
        <v>1500</v>
      </c>
      <c r="G9" s="43"/>
      <c r="H9" s="43">
        <f t="shared" si="1"/>
        <v>1500</v>
      </c>
      <c r="I9" t="s">
        <v>83</v>
      </c>
      <c r="K9" t="s">
        <v>7</v>
      </c>
      <c r="L9" s="60">
        <f>L7+L8</f>
        <v>29000</v>
      </c>
    </row>
    <row r="10" spans="1:12" x14ac:dyDescent="0.25">
      <c r="A10" s="47" t="s">
        <v>28</v>
      </c>
      <c r="B10" s="55" t="s">
        <v>46</v>
      </c>
      <c r="C10" s="12"/>
      <c r="D10" s="13">
        <f>APRIL21!H10:H19</f>
        <v>0</v>
      </c>
      <c r="E10" s="41"/>
      <c r="F10" s="13">
        <f t="shared" si="0"/>
        <v>0</v>
      </c>
      <c r="G10" s="42"/>
      <c r="H10" s="43">
        <f t="shared" si="1"/>
        <v>0</v>
      </c>
    </row>
    <row r="11" spans="1:12" x14ac:dyDescent="0.25">
      <c r="A11" s="48" t="s">
        <v>29</v>
      </c>
      <c r="B11" s="40" t="s">
        <v>212</v>
      </c>
      <c r="C11" s="14"/>
      <c r="D11" s="13">
        <f>APRIL21!H11:H20</f>
        <v>1000</v>
      </c>
      <c r="E11" s="49">
        <v>1500</v>
      </c>
      <c r="F11" s="13">
        <f t="shared" si="0"/>
        <v>2500</v>
      </c>
      <c r="G11" s="50"/>
      <c r="H11" s="43">
        <f t="shared" si="1"/>
        <v>2500</v>
      </c>
      <c r="K11" t="s">
        <v>177</v>
      </c>
      <c r="L11" s="60">
        <f>G38</f>
        <v>2900</v>
      </c>
    </row>
    <row r="12" spans="1:12" x14ac:dyDescent="0.25">
      <c r="A12" s="39" t="s">
        <v>30</v>
      </c>
      <c r="B12" s="40" t="s">
        <v>286</v>
      </c>
      <c r="C12" s="12"/>
      <c r="D12" s="13">
        <f>APRIL21!H12:H21</f>
        <v>1500</v>
      </c>
      <c r="E12" s="41">
        <v>1500</v>
      </c>
      <c r="F12" s="13">
        <f>E12+D12+C12</f>
        <v>3000</v>
      </c>
      <c r="G12" s="42">
        <f>400</f>
        <v>400</v>
      </c>
      <c r="H12" s="43">
        <f t="shared" si="1"/>
        <v>2600</v>
      </c>
      <c r="K12" t="s">
        <v>6</v>
      </c>
      <c r="L12" s="60">
        <f>L9-L11</f>
        <v>26100</v>
      </c>
    </row>
    <row r="13" spans="1:12" ht="22.5" x14ac:dyDescent="0.25">
      <c r="A13" s="39" t="s">
        <v>31</v>
      </c>
      <c r="B13" s="40" t="s">
        <v>253</v>
      </c>
      <c r="C13" s="12"/>
      <c r="D13" s="13">
        <f>APRIL21!H13:H22</f>
        <v>600</v>
      </c>
      <c r="E13" s="41">
        <v>1500</v>
      </c>
      <c r="F13" s="13">
        <f t="shared" si="0"/>
        <v>2100</v>
      </c>
      <c r="G13" s="42">
        <v>1500</v>
      </c>
      <c r="H13" s="43">
        <f>F13-G13</f>
        <v>600</v>
      </c>
      <c r="I13" t="s">
        <v>128</v>
      </c>
      <c r="J13" t="s">
        <v>225</v>
      </c>
      <c r="L13">
        <v>6316</v>
      </c>
    </row>
    <row r="14" spans="1:12" x14ac:dyDescent="0.25">
      <c r="A14" s="39" t="s">
        <v>32</v>
      </c>
      <c r="B14" s="44" t="s">
        <v>25</v>
      </c>
      <c r="C14" s="12"/>
      <c r="D14" s="13">
        <f>APRIL21!H14:H23</f>
        <v>0</v>
      </c>
      <c r="E14" s="41"/>
      <c r="F14" s="13">
        <f>E14+D14+C14</f>
        <v>0</v>
      </c>
      <c r="G14" s="42"/>
      <c r="H14" s="43">
        <f t="shared" si="1"/>
        <v>0</v>
      </c>
      <c r="L14" s="60">
        <f>L12-L13</f>
        <v>19784</v>
      </c>
    </row>
    <row r="15" spans="1:12" x14ac:dyDescent="0.25">
      <c r="A15" s="39" t="s">
        <v>33</v>
      </c>
      <c r="B15" s="44"/>
      <c r="C15" s="12"/>
      <c r="D15" s="13">
        <f>APRIL21!H15:H24</f>
        <v>0</v>
      </c>
      <c r="E15" s="15"/>
      <c r="F15" s="13">
        <f t="shared" si="0"/>
        <v>0</v>
      </c>
      <c r="G15" s="42"/>
      <c r="H15" s="43">
        <f t="shared" si="1"/>
        <v>0</v>
      </c>
      <c r="J15" t="s">
        <v>5</v>
      </c>
      <c r="L15" s="61">
        <f>C46</f>
        <v>3081</v>
      </c>
    </row>
    <row r="16" spans="1:12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6850</v>
      </c>
      <c r="E16" s="53">
        <f t="shared" si="2"/>
        <v>9000</v>
      </c>
      <c r="F16" s="13">
        <f t="shared" si="2"/>
        <v>15850</v>
      </c>
      <c r="G16" s="10">
        <f>SUM(G6:G15)</f>
        <v>7150</v>
      </c>
      <c r="H16" s="54">
        <f t="shared" si="2"/>
        <v>8700</v>
      </c>
      <c r="L16" s="60">
        <f>L14-L15</f>
        <v>16703</v>
      </c>
    </row>
    <row r="17" spans="1:15" x14ac:dyDescent="0.25">
      <c r="C17" s="35"/>
      <c r="D17" s="35" t="s">
        <v>37</v>
      </c>
      <c r="E17" s="35"/>
    </row>
    <row r="18" spans="1:15" ht="22.5" x14ac:dyDescent="0.25">
      <c r="A18" s="39">
        <v>1</v>
      </c>
      <c r="B18" s="44" t="s">
        <v>164</v>
      </c>
      <c r="C18" s="12"/>
      <c r="D18" s="13">
        <f>APRIL21!H18:H34</f>
        <v>0</v>
      </c>
      <c r="E18" s="41">
        <v>2000</v>
      </c>
      <c r="F18" s="13">
        <f>C18+D18+E18</f>
        <v>2000</v>
      </c>
      <c r="G18" s="13">
        <v>1400</v>
      </c>
      <c r="H18" s="43">
        <f t="shared" ref="H18:H33" si="3">F18-G18</f>
        <v>600</v>
      </c>
    </row>
    <row r="19" spans="1:15" x14ac:dyDescent="0.25">
      <c r="A19" s="39">
        <v>2</v>
      </c>
      <c r="B19" s="44" t="s">
        <v>152</v>
      </c>
      <c r="C19" s="12"/>
      <c r="D19" s="13">
        <f>APRIL21!H19:H35</f>
        <v>0</v>
      </c>
      <c r="E19" s="41">
        <v>2000</v>
      </c>
      <c r="F19" s="13">
        <f>E19+D19+C19</f>
        <v>2000</v>
      </c>
      <c r="G19" s="13">
        <f>2000</f>
        <v>2000</v>
      </c>
      <c r="H19" s="43">
        <f>F19-G19</f>
        <v>0</v>
      </c>
    </row>
    <row r="20" spans="1:15" x14ac:dyDescent="0.25">
      <c r="A20" s="39">
        <v>3</v>
      </c>
      <c r="B20" s="14" t="s">
        <v>39</v>
      </c>
      <c r="C20" s="14"/>
      <c r="D20" s="13">
        <f>APRIL21!H20:H36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</row>
    <row r="21" spans="1:15" x14ac:dyDescent="0.25">
      <c r="A21" s="39">
        <v>4</v>
      </c>
      <c r="B21" s="44" t="s">
        <v>241</v>
      </c>
      <c r="C21" s="14"/>
      <c r="D21" s="13">
        <f>APRIL21!H21:H37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</row>
    <row r="22" spans="1:15" ht="22.5" x14ac:dyDescent="0.25">
      <c r="A22" s="39">
        <v>5</v>
      </c>
      <c r="B22" s="40" t="s">
        <v>59</v>
      </c>
      <c r="C22" s="12"/>
      <c r="D22" s="13">
        <f>APRIL21!H22:H38</f>
        <v>0</v>
      </c>
      <c r="E22" s="41"/>
      <c r="F22" s="13">
        <f t="shared" si="4"/>
        <v>0</v>
      </c>
      <c r="G22" s="42"/>
      <c r="H22" s="43">
        <f t="shared" si="3"/>
        <v>0</v>
      </c>
    </row>
    <row r="23" spans="1:15" x14ac:dyDescent="0.25">
      <c r="A23" s="39">
        <v>6</v>
      </c>
      <c r="B23" s="40" t="s">
        <v>128</v>
      </c>
      <c r="C23" s="14"/>
      <c r="D23" s="13">
        <f>APRIL21!H23:H39</f>
        <v>0</v>
      </c>
      <c r="E23" s="49"/>
      <c r="F23" s="13">
        <f t="shared" si="4"/>
        <v>0</v>
      </c>
      <c r="G23" s="50"/>
      <c r="H23" s="43">
        <f t="shared" si="3"/>
        <v>0</v>
      </c>
    </row>
    <row r="24" spans="1:15" x14ac:dyDescent="0.25">
      <c r="A24" s="39">
        <v>7</v>
      </c>
      <c r="B24" s="40" t="s">
        <v>204</v>
      </c>
      <c r="C24" s="12"/>
      <c r="D24" s="13">
        <f>APRIL21!H24:H40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5" x14ac:dyDescent="0.25">
      <c r="A25" s="39">
        <v>8</v>
      </c>
      <c r="B25" s="40" t="s">
        <v>41</v>
      </c>
      <c r="C25" s="12"/>
      <c r="D25" s="13">
        <f>APRIL21!H25:H41</f>
        <v>2500</v>
      </c>
      <c r="E25" s="41">
        <v>2000</v>
      </c>
      <c r="F25" s="13">
        <f t="shared" si="4"/>
        <v>4500</v>
      </c>
      <c r="G25" s="42">
        <f>1000+2000+1000</f>
        <v>4000</v>
      </c>
      <c r="H25" s="43">
        <f>F25-G25</f>
        <v>500</v>
      </c>
    </row>
    <row r="26" spans="1:15" x14ac:dyDescent="0.25">
      <c r="A26" s="39">
        <v>9</v>
      </c>
      <c r="B26" s="63" t="s">
        <v>285</v>
      </c>
      <c r="C26" s="44"/>
      <c r="D26" s="12"/>
      <c r="E26" s="13">
        <v>1500</v>
      </c>
      <c r="F26" s="13">
        <f t="shared" si="4"/>
        <v>1500</v>
      </c>
      <c r="G26" s="13">
        <f>1500</f>
        <v>1500</v>
      </c>
      <c r="H26" s="43">
        <f>F26-G26</f>
        <v>0</v>
      </c>
    </row>
    <row r="27" spans="1:15" x14ac:dyDescent="0.25">
      <c r="A27" s="39">
        <v>10</v>
      </c>
      <c r="B27" s="55" t="s">
        <v>274</v>
      </c>
      <c r="C27" s="12"/>
      <c r="D27" s="64">
        <f>APRIL21!H27:H43</f>
        <v>1500</v>
      </c>
      <c r="E27" s="41"/>
      <c r="F27" s="13">
        <f t="shared" si="4"/>
        <v>1500</v>
      </c>
      <c r="G27" s="42"/>
      <c r="H27" s="43">
        <f t="shared" si="3"/>
        <v>1500</v>
      </c>
      <c r="I27" t="s">
        <v>83</v>
      </c>
      <c r="O27" s="60">
        <f>E16</f>
        <v>9000</v>
      </c>
    </row>
    <row r="28" spans="1:15" x14ac:dyDescent="0.25">
      <c r="A28" s="39">
        <v>11</v>
      </c>
      <c r="B28" s="40" t="s">
        <v>53</v>
      </c>
      <c r="C28" s="12"/>
      <c r="D28" s="13">
        <f>APRIL21!H28:H44</f>
        <v>0</v>
      </c>
      <c r="E28" s="41">
        <v>1500</v>
      </c>
      <c r="F28" s="13">
        <f t="shared" si="4"/>
        <v>1500</v>
      </c>
      <c r="G28" s="42">
        <f>700+800</f>
        <v>1500</v>
      </c>
      <c r="H28" s="43">
        <f>F28-G28</f>
        <v>0</v>
      </c>
      <c r="J28" s="60"/>
      <c r="O28" s="60">
        <f>E34</f>
        <v>20000</v>
      </c>
    </row>
    <row r="29" spans="1:15" x14ac:dyDescent="0.25">
      <c r="A29" s="39">
        <v>12</v>
      </c>
      <c r="B29" s="55" t="s">
        <v>46</v>
      </c>
      <c r="C29" s="12"/>
      <c r="D29" s="13">
        <f>APRIL21!H29:H45</f>
        <v>0</v>
      </c>
      <c r="E29" s="41"/>
      <c r="F29" s="13">
        <f t="shared" si="4"/>
        <v>0</v>
      </c>
      <c r="G29" s="42"/>
      <c r="H29" s="43">
        <f>F29-G29</f>
        <v>0</v>
      </c>
      <c r="O29" s="60">
        <f>O27+O28</f>
        <v>29000</v>
      </c>
    </row>
    <row r="30" spans="1:15" x14ac:dyDescent="0.25">
      <c r="A30" s="39">
        <v>13</v>
      </c>
      <c r="B30" s="44" t="s">
        <v>293</v>
      </c>
      <c r="C30" s="12"/>
      <c r="D30" s="13"/>
      <c r="E30" s="41">
        <v>500</v>
      </c>
      <c r="F30" s="13">
        <f t="shared" si="4"/>
        <v>500</v>
      </c>
      <c r="G30" s="42">
        <v>500</v>
      </c>
      <c r="H30" s="43">
        <f>F30-G30</f>
        <v>0</v>
      </c>
      <c r="K30" s="60">
        <f>E34+E16</f>
        <v>29000</v>
      </c>
      <c r="L30" s="60">
        <f>K30</f>
        <v>29000</v>
      </c>
      <c r="N30" t="s">
        <v>298</v>
      </c>
      <c r="O30" s="60">
        <f>C38</f>
        <v>2900</v>
      </c>
    </row>
    <row r="31" spans="1:15" ht="22.5" x14ac:dyDescent="0.25">
      <c r="A31" s="39">
        <v>14</v>
      </c>
      <c r="B31" s="44" t="s">
        <v>165</v>
      </c>
      <c r="C31" s="12"/>
      <c r="D31" s="13">
        <f>APRIL21!H31:H47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K31" s="60">
        <f>C38</f>
        <v>2900</v>
      </c>
      <c r="L31">
        <v>2200</v>
      </c>
      <c r="O31" s="60">
        <f>O29-O30</f>
        <v>26100</v>
      </c>
    </row>
    <row r="32" spans="1:15" x14ac:dyDescent="0.25">
      <c r="A32" s="39">
        <v>15</v>
      </c>
      <c r="B32" s="44" t="s">
        <v>136</v>
      </c>
      <c r="C32" s="12"/>
      <c r="D32" s="13">
        <f>APRIL21!H32:H48</f>
        <v>50</v>
      </c>
      <c r="E32" s="41">
        <v>1500</v>
      </c>
      <c r="F32" s="13">
        <f t="shared" si="4"/>
        <v>1550</v>
      </c>
      <c r="G32" s="42">
        <f>750+50+450+200</f>
        <v>1450</v>
      </c>
      <c r="H32" s="43">
        <f>F32-G32</f>
        <v>100</v>
      </c>
      <c r="K32" s="60">
        <f>K30-K31</f>
        <v>26100</v>
      </c>
      <c r="L32" s="60">
        <f>L30-L31</f>
        <v>26800</v>
      </c>
      <c r="N32" t="s">
        <v>225</v>
      </c>
      <c r="O32">
        <v>2353</v>
      </c>
    </row>
    <row r="33" spans="1:15" ht="22.5" x14ac:dyDescent="0.25">
      <c r="A33" s="39">
        <v>16</v>
      </c>
      <c r="B33" s="44" t="s">
        <v>272</v>
      </c>
      <c r="C33" s="12"/>
      <c r="D33" s="13">
        <f>APRIL21!H33:H49</f>
        <v>0</v>
      </c>
      <c r="E33" s="41">
        <v>1500</v>
      </c>
      <c r="F33" s="13">
        <f>E33+D33+C33</f>
        <v>1500</v>
      </c>
      <c r="G33" s="42">
        <f>1500</f>
        <v>1500</v>
      </c>
      <c r="H33" s="43">
        <f t="shared" si="3"/>
        <v>0</v>
      </c>
      <c r="K33">
        <f>2353</f>
        <v>2353</v>
      </c>
      <c r="L33">
        <f>K33</f>
        <v>2353</v>
      </c>
      <c r="O33" s="60">
        <f>O31-O32</f>
        <v>23747</v>
      </c>
    </row>
    <row r="34" spans="1:15" x14ac:dyDescent="0.25">
      <c r="A34" s="39"/>
      <c r="B34" s="51" t="s">
        <v>7</v>
      </c>
      <c r="C34" s="52">
        <f>SUM(C18:C33)</f>
        <v>0</v>
      </c>
      <c r="D34" s="13">
        <f>SUM(D18:D33)</f>
        <v>4050</v>
      </c>
      <c r="E34" s="53">
        <f>SUM(E18:E33)</f>
        <v>20000</v>
      </c>
      <c r="F34" s="13">
        <f>C34+D34+E34</f>
        <v>24050</v>
      </c>
      <c r="G34" s="10">
        <f>SUM(G18:G33)</f>
        <v>21350</v>
      </c>
      <c r="H34" s="43">
        <f>F34-G34</f>
        <v>2700</v>
      </c>
      <c r="K34" s="61">
        <f>C45</f>
        <v>0</v>
      </c>
      <c r="L34" s="61"/>
      <c r="O34" s="61">
        <f>C46</f>
        <v>3081</v>
      </c>
    </row>
    <row r="35" spans="1:15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  <c r="K35" s="61">
        <f>C46</f>
        <v>3081</v>
      </c>
      <c r="L35" s="61">
        <f>K35</f>
        <v>3081</v>
      </c>
      <c r="O35" s="60">
        <f>O33-O34</f>
        <v>20666</v>
      </c>
    </row>
    <row r="36" spans="1:15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  <c r="K36" s="60">
        <f>K32-K33-K34-K35</f>
        <v>20666</v>
      </c>
      <c r="L36" s="60">
        <f>L32-L33-L34-L35</f>
        <v>21366</v>
      </c>
      <c r="O36" s="61">
        <f>C47</f>
        <v>10087</v>
      </c>
    </row>
    <row r="37" spans="1:15" x14ac:dyDescent="0.25">
      <c r="A37" s="22" t="s">
        <v>89</v>
      </c>
      <c r="B37" s="8">
        <f>E34+E16</f>
        <v>29000</v>
      </c>
      <c r="C37" s="23"/>
      <c r="D37" s="13">
        <f>'FEBRUARY 21'!H37:H57</f>
        <v>0</v>
      </c>
      <c r="E37" s="22" t="s">
        <v>89</v>
      </c>
      <c r="F37" s="8">
        <f>G34+G16</f>
        <v>28500</v>
      </c>
      <c r="G37" s="23"/>
      <c r="H37" s="8"/>
      <c r="O37" s="61">
        <f>C48</f>
        <v>8167</v>
      </c>
    </row>
    <row r="38" spans="1:15" x14ac:dyDescent="0.25">
      <c r="A38" s="22" t="s">
        <v>12</v>
      </c>
      <c r="B38" s="24">
        <v>0.1</v>
      </c>
      <c r="C38" s="25">
        <f>B37*B38</f>
        <v>2900</v>
      </c>
      <c r="D38" s="13">
        <f>'FEBRUARY 21'!H38:H58</f>
        <v>0</v>
      </c>
      <c r="E38" s="22" t="s">
        <v>12</v>
      </c>
      <c r="F38" s="24">
        <v>0.1</v>
      </c>
      <c r="G38" s="25">
        <f>C38</f>
        <v>2900</v>
      </c>
      <c r="H38" s="8"/>
      <c r="O38" s="60">
        <f>O35-O36-O37</f>
        <v>2412</v>
      </c>
    </row>
    <row r="39" spans="1:15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N39" t="s">
        <v>299</v>
      </c>
      <c r="O39">
        <v>1500</v>
      </c>
    </row>
    <row r="40" spans="1:15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O40" s="60">
        <f>O38-O39</f>
        <v>912</v>
      </c>
    </row>
    <row r="41" spans="1:15" x14ac:dyDescent="0.25">
      <c r="A41" s="26" t="s">
        <v>2</v>
      </c>
      <c r="B41" s="25">
        <f>APRIL21!D52</f>
        <v>-2352.5999999999804</v>
      </c>
      <c r="C41" s="22"/>
      <c r="D41" s="22"/>
      <c r="E41" s="26" t="s">
        <v>2</v>
      </c>
      <c r="F41" s="25">
        <f>APRIL21!H52</f>
        <v>-12552.200000000008</v>
      </c>
      <c r="G41" s="22"/>
      <c r="H41" s="8"/>
      <c r="N41" t="s">
        <v>300</v>
      </c>
      <c r="O41">
        <v>3000</v>
      </c>
    </row>
    <row r="42" spans="1:15" x14ac:dyDescent="0.25">
      <c r="A42" s="26" t="s">
        <v>7</v>
      </c>
      <c r="B42" s="25">
        <f>B37+B41+B40</f>
        <v>26647.40000000002</v>
      </c>
      <c r="C42" s="22"/>
      <c r="D42" s="22"/>
      <c r="E42" s="26" t="s">
        <v>7</v>
      </c>
      <c r="F42" s="25">
        <f>F37+F41+F39</f>
        <v>15948.099999999991</v>
      </c>
      <c r="G42" s="22"/>
      <c r="H42" s="8"/>
      <c r="O42" s="60">
        <f>O40-O41</f>
        <v>-2088</v>
      </c>
    </row>
    <row r="43" spans="1:15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L43" s="60">
        <f>K36-C47-C48</f>
        <v>2412</v>
      </c>
    </row>
    <row r="44" spans="1:15" ht="18.75" customHeight="1" x14ac:dyDescent="0.25">
      <c r="A44" s="27"/>
      <c r="B44" s="59"/>
      <c r="C44" s="29"/>
      <c r="D44" s="28"/>
      <c r="E44" s="27"/>
      <c r="F44" s="59"/>
      <c r="G44" s="29"/>
      <c r="H44" s="30"/>
      <c r="L44" s="60">
        <f>L43-C49-C50-C51</f>
        <v>-2088</v>
      </c>
    </row>
    <row r="45" spans="1:15" x14ac:dyDescent="0.25">
      <c r="A45" s="27"/>
      <c r="B45" s="59"/>
      <c r="C45" s="29"/>
      <c r="D45" s="28"/>
      <c r="E45" s="27"/>
      <c r="F45" s="59"/>
      <c r="G45" s="29"/>
      <c r="H45" s="30"/>
      <c r="L45" s="60"/>
    </row>
    <row r="46" spans="1:15" x14ac:dyDescent="0.25">
      <c r="A46" s="27" t="s">
        <v>96</v>
      </c>
      <c r="B46" s="59"/>
      <c r="C46" s="29">
        <v>3081</v>
      </c>
      <c r="D46" s="28"/>
      <c r="E46" s="27" t="s">
        <v>96</v>
      </c>
      <c r="F46" s="59"/>
      <c r="G46" s="29">
        <v>3081</v>
      </c>
      <c r="H46" s="30"/>
    </row>
    <row r="47" spans="1:15" x14ac:dyDescent="0.25">
      <c r="A47" s="27" t="s">
        <v>287</v>
      </c>
      <c r="B47" s="59"/>
      <c r="C47" s="29">
        <v>10087</v>
      </c>
      <c r="D47" s="28"/>
      <c r="E47" s="27" t="s">
        <v>287</v>
      </c>
      <c r="F47" s="59"/>
      <c r="G47" s="29">
        <v>10087</v>
      </c>
      <c r="H47" s="30"/>
    </row>
    <row r="48" spans="1:15" x14ac:dyDescent="0.25">
      <c r="A48" s="27" t="s">
        <v>288</v>
      </c>
      <c r="B48" s="59"/>
      <c r="C48" s="29">
        <v>8167</v>
      </c>
      <c r="D48" s="28"/>
      <c r="E48" s="27" t="s">
        <v>288</v>
      </c>
      <c r="F48" s="59"/>
      <c r="G48" s="29">
        <v>8167</v>
      </c>
      <c r="H48" s="30"/>
    </row>
    <row r="49" spans="1:11" x14ac:dyDescent="0.25">
      <c r="A49" s="27" t="s">
        <v>290</v>
      </c>
      <c r="B49" s="59"/>
      <c r="C49" s="29">
        <v>1500</v>
      </c>
      <c r="D49" s="28"/>
      <c r="E49" s="27"/>
      <c r="F49" s="59"/>
      <c r="G49" s="29"/>
      <c r="H49" s="30"/>
    </row>
    <row r="50" spans="1:11" x14ac:dyDescent="0.25">
      <c r="A50" s="27" t="s">
        <v>291</v>
      </c>
      <c r="B50" s="59"/>
      <c r="C50" s="29">
        <v>1500</v>
      </c>
      <c r="D50" s="28"/>
      <c r="E50" s="27" t="s">
        <v>291</v>
      </c>
      <c r="F50" s="59"/>
      <c r="G50" s="29">
        <v>1500</v>
      </c>
      <c r="H50" s="30"/>
    </row>
    <row r="51" spans="1:11" x14ac:dyDescent="0.25">
      <c r="A51" s="27" t="s">
        <v>292</v>
      </c>
      <c r="B51" s="59"/>
      <c r="C51" s="29">
        <v>1500</v>
      </c>
      <c r="D51" s="28"/>
      <c r="E51" s="27"/>
      <c r="F51" s="59"/>
      <c r="G51" s="29"/>
      <c r="H51" s="30"/>
      <c r="K51" s="61"/>
    </row>
    <row r="52" spans="1:11" x14ac:dyDescent="0.25">
      <c r="A52" s="11" t="s">
        <v>7</v>
      </c>
      <c r="B52" s="34">
        <f>B37+B40+B41-C38</f>
        <v>23747.40000000002</v>
      </c>
      <c r="C52" s="7">
        <f>SUM(C44:C51)</f>
        <v>25835</v>
      </c>
      <c r="D52" s="7">
        <f>B52-C52</f>
        <v>-2087.5999999999804</v>
      </c>
      <c r="E52" s="11" t="s">
        <v>7</v>
      </c>
      <c r="F52" s="34">
        <f>F37+F39+F41-G38</f>
        <v>13048.099999999991</v>
      </c>
      <c r="G52" s="7">
        <f>SUM(G44:G51)</f>
        <v>22835</v>
      </c>
      <c r="H52" s="7">
        <f>F52-G52</f>
        <v>-9786.9000000000087</v>
      </c>
      <c r="I52" s="60"/>
    </row>
    <row r="53" spans="1:11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1" x14ac:dyDescent="0.25">
      <c r="A54" s="1" t="s">
        <v>35</v>
      </c>
      <c r="B54" s="1"/>
      <c r="D54" s="1" t="s">
        <v>36</v>
      </c>
      <c r="G54" s="1" t="s">
        <v>63</v>
      </c>
      <c r="I54" s="60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5" workbookViewId="0">
      <selection activeCell="G56" sqref="G56"/>
    </sheetView>
  </sheetViews>
  <sheetFormatPr defaultRowHeight="15" x14ac:dyDescent="0.25"/>
  <cols>
    <col min="1" max="1" width="15.7109375" customWidth="1"/>
    <col min="2" max="2" width="14.28515625" customWidth="1"/>
    <col min="5" max="5" width="16.42578125" customWidth="1"/>
  </cols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289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x14ac:dyDescent="0.25">
      <c r="A6" s="39" t="s">
        <v>23</v>
      </c>
      <c r="B6" s="40" t="s">
        <v>45</v>
      </c>
      <c r="C6" s="12"/>
      <c r="D6" s="13">
        <f>'MAY 21'!H6:H16</f>
        <v>0</v>
      </c>
      <c r="E6" s="41">
        <v>1500</v>
      </c>
      <c r="F6" s="13">
        <f>E6+D6+C6</f>
        <v>1500</v>
      </c>
      <c r="G6" s="42">
        <f>1000</f>
        <v>1000</v>
      </c>
      <c r="H6" s="43">
        <f>F6-G6</f>
        <v>500</v>
      </c>
    </row>
    <row r="7" spans="1:12" x14ac:dyDescent="0.25">
      <c r="A7" s="39" t="s">
        <v>24</v>
      </c>
      <c r="B7" s="44" t="s">
        <v>162</v>
      </c>
      <c r="C7" s="12"/>
      <c r="D7" s="13">
        <f>'MAY 21'!H7:H17</f>
        <v>1500</v>
      </c>
      <c r="E7" s="41">
        <v>1500</v>
      </c>
      <c r="F7" s="13">
        <f t="shared" ref="F7:F15" si="0">E7+D7+C7</f>
        <v>3000</v>
      </c>
      <c r="G7" s="13">
        <f>500+500+850</f>
        <v>1850</v>
      </c>
      <c r="H7" s="43">
        <f>F7-G7</f>
        <v>1150</v>
      </c>
      <c r="I7" t="s">
        <v>304</v>
      </c>
    </row>
    <row r="8" spans="1:12" ht="17.25" customHeight="1" x14ac:dyDescent="0.25">
      <c r="A8" s="39" t="s">
        <v>26</v>
      </c>
      <c r="B8" s="14" t="s">
        <v>261</v>
      </c>
      <c r="C8" s="14"/>
      <c r="D8" s="13">
        <f>'MAY 21'!H8:H18</f>
        <v>0</v>
      </c>
      <c r="E8" s="14"/>
      <c r="F8" s="13">
        <f t="shared" si="0"/>
        <v>0</v>
      </c>
      <c r="G8" s="14"/>
      <c r="H8" s="43">
        <f t="shared" ref="H8:H15" si="1">F8-G8</f>
        <v>0</v>
      </c>
    </row>
    <row r="9" spans="1:12" x14ac:dyDescent="0.25">
      <c r="A9" s="45" t="s">
        <v>27</v>
      </c>
      <c r="B9" s="44" t="s">
        <v>46</v>
      </c>
      <c r="C9" s="14"/>
      <c r="D9" s="13">
        <v>0</v>
      </c>
      <c r="E9" s="46">
        <v>0</v>
      </c>
      <c r="F9" s="13">
        <f t="shared" si="0"/>
        <v>0</v>
      </c>
      <c r="G9" s="43"/>
      <c r="H9" s="43">
        <f t="shared" si="1"/>
        <v>0</v>
      </c>
    </row>
    <row r="10" spans="1:12" x14ac:dyDescent="0.25">
      <c r="A10" s="47" t="s">
        <v>28</v>
      </c>
      <c r="B10" s="55" t="s">
        <v>46</v>
      </c>
      <c r="C10" s="12"/>
      <c r="D10" s="13">
        <f>'MAY 21'!H10:H20</f>
        <v>0</v>
      </c>
      <c r="E10" s="41"/>
      <c r="F10" s="13">
        <f t="shared" si="0"/>
        <v>0</v>
      </c>
      <c r="G10" s="42"/>
      <c r="H10" s="43">
        <f t="shared" si="1"/>
        <v>0</v>
      </c>
    </row>
    <row r="11" spans="1:12" x14ac:dyDescent="0.25">
      <c r="A11" s="48" t="s">
        <v>29</v>
      </c>
      <c r="B11" s="40" t="s">
        <v>212</v>
      </c>
      <c r="C11" s="14"/>
      <c r="D11" s="13">
        <f>'MAY 21'!H11:H21</f>
        <v>2500</v>
      </c>
      <c r="E11" s="49"/>
      <c r="F11" s="13">
        <f t="shared" si="0"/>
        <v>2500</v>
      </c>
      <c r="G11" s="50">
        <f>1300</f>
        <v>1300</v>
      </c>
      <c r="H11" s="43">
        <f t="shared" si="1"/>
        <v>1200</v>
      </c>
      <c r="I11" t="s">
        <v>83</v>
      </c>
    </row>
    <row r="12" spans="1:12" x14ac:dyDescent="0.25">
      <c r="A12" s="39" t="s">
        <v>30</v>
      </c>
      <c r="B12" s="40" t="s">
        <v>286</v>
      </c>
      <c r="C12" s="12"/>
      <c r="D12" s="13">
        <f>'MAY 21'!H12:H22</f>
        <v>2600</v>
      </c>
      <c r="E12" s="41"/>
      <c r="F12" s="13">
        <f>E12+D12+C12</f>
        <v>2600</v>
      </c>
      <c r="G12" s="42">
        <f>150+150</f>
        <v>300</v>
      </c>
      <c r="H12" s="43">
        <f t="shared" si="1"/>
        <v>2300</v>
      </c>
      <c r="I12" t="s">
        <v>75</v>
      </c>
    </row>
    <row r="13" spans="1:12" ht="18.75" customHeight="1" x14ac:dyDescent="0.25">
      <c r="A13" s="39" t="s">
        <v>31</v>
      </c>
      <c r="B13" s="40" t="s">
        <v>253</v>
      </c>
      <c r="C13" s="12"/>
      <c r="D13" s="13">
        <f>'MAY 21'!H13:H23</f>
        <v>600</v>
      </c>
      <c r="E13" s="41">
        <v>1500</v>
      </c>
      <c r="F13" s="13">
        <f t="shared" si="0"/>
        <v>2100</v>
      </c>
      <c r="G13" s="42">
        <v>1500</v>
      </c>
      <c r="H13" s="43">
        <f>F13-G13</f>
        <v>600</v>
      </c>
    </row>
    <row r="14" spans="1:12" x14ac:dyDescent="0.25">
      <c r="A14" s="39" t="s">
        <v>32</v>
      </c>
      <c r="B14" s="44" t="s">
        <v>25</v>
      </c>
      <c r="C14" s="12"/>
      <c r="D14" s="13">
        <f>'MAY 21'!H14:H24</f>
        <v>0</v>
      </c>
      <c r="E14" s="41"/>
      <c r="F14" s="13">
        <f>E14+D14+C14</f>
        <v>0</v>
      </c>
      <c r="G14" s="42"/>
      <c r="H14" s="43">
        <f t="shared" si="1"/>
        <v>0</v>
      </c>
      <c r="K14" s="60">
        <f>E16</f>
        <v>6000</v>
      </c>
    </row>
    <row r="15" spans="1:12" x14ac:dyDescent="0.25">
      <c r="A15" s="39" t="s">
        <v>33</v>
      </c>
      <c r="B15" s="44" t="s">
        <v>301</v>
      </c>
      <c r="C15" s="12"/>
      <c r="D15" s="13">
        <f>'MAY 21'!H15:H25</f>
        <v>0</v>
      </c>
      <c r="E15" s="15">
        <v>1500</v>
      </c>
      <c r="F15" s="13">
        <f t="shared" si="0"/>
        <v>1500</v>
      </c>
      <c r="G15" s="42"/>
      <c r="H15" s="43">
        <f t="shared" si="1"/>
        <v>1500</v>
      </c>
      <c r="K15" s="60">
        <f>E34</f>
        <v>23500</v>
      </c>
      <c r="L15" s="60"/>
    </row>
    <row r="16" spans="1:12" x14ac:dyDescent="0.25">
      <c r="A16" s="39"/>
      <c r="B16" s="51" t="s">
        <v>7</v>
      </c>
      <c r="C16" s="52">
        <f t="shared" ref="C16:H16" si="2">SUM(C6:C15)</f>
        <v>0</v>
      </c>
      <c r="D16" s="13">
        <f>'MAY 21'!H16:H26</f>
        <v>8700</v>
      </c>
      <c r="E16" s="53">
        <f t="shared" si="2"/>
        <v>6000</v>
      </c>
      <c r="F16" s="13">
        <f t="shared" si="2"/>
        <v>13200</v>
      </c>
      <c r="G16" s="10">
        <f>SUM(G6:G15)</f>
        <v>5950</v>
      </c>
      <c r="H16" s="54">
        <f t="shared" si="2"/>
        <v>7250</v>
      </c>
      <c r="K16" s="60">
        <f>K15+K14</f>
        <v>29500</v>
      </c>
    </row>
    <row r="17" spans="1:12" x14ac:dyDescent="0.25">
      <c r="C17" s="35"/>
      <c r="D17" s="35" t="s">
        <v>37</v>
      </c>
      <c r="E17" s="35"/>
      <c r="J17" t="s">
        <v>177</v>
      </c>
      <c r="K17" s="62">
        <f>C38</f>
        <v>2950</v>
      </c>
      <c r="L17" s="60"/>
    </row>
    <row r="18" spans="1:12" ht="22.5" x14ac:dyDescent="0.25">
      <c r="A18" s="39">
        <v>1</v>
      </c>
      <c r="B18" s="44" t="s">
        <v>164</v>
      </c>
      <c r="C18" s="12"/>
      <c r="D18" s="13">
        <f>'MAY 21'!H18:H34</f>
        <v>600</v>
      </c>
      <c r="E18" s="41">
        <v>2000</v>
      </c>
      <c r="F18" s="13">
        <f>C18+D18+E18</f>
        <v>2600</v>
      </c>
      <c r="G18" s="13">
        <v>2000</v>
      </c>
      <c r="H18" s="43">
        <f t="shared" ref="H18:H33" si="3">F18-G18</f>
        <v>600</v>
      </c>
      <c r="K18" s="60">
        <f>K16-K17</f>
        <v>26550</v>
      </c>
      <c r="L18" s="60"/>
    </row>
    <row r="19" spans="1:12" x14ac:dyDescent="0.25">
      <c r="A19" s="39">
        <v>2</v>
      </c>
      <c r="B19" s="44" t="s">
        <v>152</v>
      </c>
      <c r="C19" s="12"/>
      <c r="D19" s="13">
        <f>'MAY 21'!H19:H35</f>
        <v>0</v>
      </c>
      <c r="E19" s="41">
        <v>2000</v>
      </c>
      <c r="F19" s="13">
        <f>E19+D19+C19</f>
        <v>2000</v>
      </c>
      <c r="G19" s="13">
        <f>500+1500</f>
        <v>2000</v>
      </c>
      <c r="H19" s="43">
        <f>F19-G19</f>
        <v>0</v>
      </c>
      <c r="J19" t="s">
        <v>225</v>
      </c>
      <c r="K19" s="66">
        <f>2088</f>
        <v>2088</v>
      </c>
    </row>
    <row r="20" spans="1:12" x14ac:dyDescent="0.25">
      <c r="A20" s="39">
        <v>3</v>
      </c>
      <c r="B20" s="14" t="s">
        <v>39</v>
      </c>
      <c r="C20" s="14"/>
      <c r="D20" s="13">
        <f>'MAY 21'!H20:H36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K20" s="60">
        <f>K18-K19</f>
        <v>24462</v>
      </c>
      <c r="L20" s="60"/>
    </row>
    <row r="21" spans="1:12" x14ac:dyDescent="0.25">
      <c r="A21" s="39">
        <v>4</v>
      </c>
      <c r="B21" s="44" t="s">
        <v>241</v>
      </c>
      <c r="C21" s="14"/>
      <c r="D21" s="13">
        <f>'MAY 21'!H21:H37</f>
        <v>0</v>
      </c>
      <c r="E21" s="46">
        <v>2000</v>
      </c>
      <c r="F21" s="13">
        <f t="shared" si="4"/>
        <v>2000</v>
      </c>
      <c r="G21" s="43">
        <v>1500</v>
      </c>
      <c r="H21" s="43">
        <f>F21-G21</f>
        <v>500</v>
      </c>
      <c r="K21" s="65">
        <f>C44+C45+C46</f>
        <v>9179</v>
      </c>
      <c r="L21" s="61"/>
    </row>
    <row r="22" spans="1:12" x14ac:dyDescent="0.25">
      <c r="A22" s="39">
        <v>5</v>
      </c>
      <c r="B22" s="40" t="s">
        <v>46</v>
      </c>
      <c r="C22" s="12"/>
      <c r="D22" s="13">
        <f>'MAY 21'!H22:H38</f>
        <v>0</v>
      </c>
      <c r="E22" s="41"/>
      <c r="F22" s="13">
        <f t="shared" si="4"/>
        <v>0</v>
      </c>
      <c r="G22" s="42"/>
      <c r="H22" s="43">
        <f t="shared" si="3"/>
        <v>0</v>
      </c>
      <c r="K22" s="61">
        <f>K20-K21</f>
        <v>15283</v>
      </c>
      <c r="L22" s="60"/>
    </row>
    <row r="23" spans="1:12" x14ac:dyDescent="0.25">
      <c r="A23" s="39">
        <v>6</v>
      </c>
      <c r="B23" s="40" t="s">
        <v>128</v>
      </c>
      <c r="C23" s="14"/>
      <c r="D23" s="13">
        <f>'MAY 21'!H23:H39</f>
        <v>0</v>
      </c>
      <c r="E23" s="49"/>
      <c r="F23" s="13">
        <f t="shared" si="4"/>
        <v>0</v>
      </c>
      <c r="G23" s="50"/>
      <c r="H23" s="43">
        <f t="shared" si="3"/>
        <v>0</v>
      </c>
      <c r="J23" t="s">
        <v>148</v>
      </c>
      <c r="K23" s="65">
        <v>5000</v>
      </c>
      <c r="L23" s="61"/>
    </row>
    <row r="24" spans="1:12" x14ac:dyDescent="0.25">
      <c r="A24" s="39">
        <v>7</v>
      </c>
      <c r="B24" s="40" t="s">
        <v>204</v>
      </c>
      <c r="C24" s="12"/>
      <c r="D24" s="13">
        <f>'MAY 21'!H24:H40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  <c r="K24" s="61">
        <f>K22-K23</f>
        <v>10283</v>
      </c>
      <c r="L24" s="60"/>
    </row>
    <row r="25" spans="1:12" x14ac:dyDescent="0.25">
      <c r="A25" s="39">
        <v>8</v>
      </c>
      <c r="B25" s="40" t="s">
        <v>41</v>
      </c>
      <c r="C25" s="12"/>
      <c r="D25" s="13">
        <f>'MAY 21'!H25:H41</f>
        <v>500</v>
      </c>
      <c r="E25" s="41">
        <v>2000</v>
      </c>
      <c r="F25" s="13">
        <f t="shared" si="4"/>
        <v>2500</v>
      </c>
      <c r="G25" s="42">
        <f>1000</f>
        <v>1000</v>
      </c>
      <c r="H25" s="43">
        <f>F25-G25</f>
        <v>1500</v>
      </c>
    </row>
    <row r="26" spans="1:12" x14ac:dyDescent="0.25">
      <c r="A26" s="39">
        <v>9</v>
      </c>
      <c r="B26" s="63" t="s">
        <v>285</v>
      </c>
      <c r="C26" s="44"/>
      <c r="D26" s="13">
        <f>'MAY 21'!H26:H42</f>
        <v>0</v>
      </c>
      <c r="E26" s="13">
        <v>1500</v>
      </c>
      <c r="F26" s="13">
        <f t="shared" si="4"/>
        <v>1500</v>
      </c>
      <c r="G26" s="13">
        <f>1500</f>
        <v>1500</v>
      </c>
      <c r="H26" s="43">
        <f>F26-G26</f>
        <v>0</v>
      </c>
    </row>
    <row r="27" spans="1:12" x14ac:dyDescent="0.25">
      <c r="A27" s="39">
        <v>10</v>
      </c>
      <c r="B27" s="44" t="s">
        <v>222</v>
      </c>
      <c r="C27" s="12"/>
      <c r="D27" s="13"/>
      <c r="E27" s="41">
        <v>1500</v>
      </c>
      <c r="F27" s="13">
        <f t="shared" si="4"/>
        <v>1500</v>
      </c>
      <c r="G27" s="42">
        <f>1500</f>
        <v>1500</v>
      </c>
      <c r="H27" s="43">
        <f t="shared" si="3"/>
        <v>0</v>
      </c>
    </row>
    <row r="28" spans="1:12" x14ac:dyDescent="0.25">
      <c r="A28" s="39">
        <v>11</v>
      </c>
      <c r="B28" s="40" t="s">
        <v>53</v>
      </c>
      <c r="C28" s="12"/>
      <c r="D28" s="13">
        <f>'MAY 21'!H28:H44</f>
        <v>0</v>
      </c>
      <c r="E28" s="41">
        <v>1500</v>
      </c>
      <c r="F28" s="13">
        <f t="shared" si="4"/>
        <v>1500</v>
      </c>
      <c r="G28" s="42">
        <f>800+500</f>
        <v>1300</v>
      </c>
      <c r="H28" s="43">
        <f>F28-G28</f>
        <v>200</v>
      </c>
    </row>
    <row r="29" spans="1:12" x14ac:dyDescent="0.25">
      <c r="A29" s="39">
        <v>12</v>
      </c>
      <c r="B29" s="44" t="s">
        <v>297</v>
      </c>
      <c r="C29" s="12"/>
      <c r="D29" s="13">
        <f>'MAY 21'!H29:H45</f>
        <v>0</v>
      </c>
      <c r="E29" s="41">
        <v>1500</v>
      </c>
      <c r="F29" s="13">
        <f t="shared" si="4"/>
        <v>1500</v>
      </c>
      <c r="G29" s="42">
        <v>1500</v>
      </c>
      <c r="H29" s="43">
        <f>F29-G29</f>
        <v>0</v>
      </c>
    </row>
    <row r="30" spans="1:12" x14ac:dyDescent="0.25">
      <c r="A30" s="39">
        <v>13</v>
      </c>
      <c r="B30" s="44" t="s">
        <v>293</v>
      </c>
      <c r="C30" s="12"/>
      <c r="D30" s="13">
        <f>'MAY 21'!H30:H46</f>
        <v>0</v>
      </c>
      <c r="E30" s="41">
        <v>1500</v>
      </c>
      <c r="F30" s="13">
        <f t="shared" si="4"/>
        <v>1500</v>
      </c>
      <c r="G30" s="42">
        <v>1500</v>
      </c>
      <c r="H30" s="43">
        <f>F30-G30</f>
        <v>0</v>
      </c>
    </row>
    <row r="31" spans="1:12" x14ac:dyDescent="0.25">
      <c r="A31" s="39">
        <v>14</v>
      </c>
      <c r="B31" s="44" t="s">
        <v>165</v>
      </c>
      <c r="C31" s="12"/>
      <c r="D31" s="13">
        <f>'MAY 21'!H31:H47</f>
        <v>0</v>
      </c>
      <c r="E31" s="41">
        <v>1500</v>
      </c>
      <c r="F31" s="13">
        <f>E31+D31+C31</f>
        <v>1500</v>
      </c>
      <c r="G31" s="42">
        <f>1500</f>
        <v>1500</v>
      </c>
      <c r="H31" s="43">
        <f t="shared" si="3"/>
        <v>0</v>
      </c>
    </row>
    <row r="32" spans="1:12" x14ac:dyDescent="0.25">
      <c r="A32" s="39">
        <v>15</v>
      </c>
      <c r="B32" s="44" t="s">
        <v>136</v>
      </c>
      <c r="C32" s="12"/>
      <c r="D32" s="13">
        <f>'MAY 21'!H32:H48</f>
        <v>100</v>
      </c>
      <c r="E32" s="41">
        <v>1000</v>
      </c>
      <c r="F32" s="13">
        <f t="shared" si="4"/>
        <v>1100</v>
      </c>
      <c r="G32" s="42">
        <v>1000</v>
      </c>
      <c r="H32" s="43">
        <f>F32-G32</f>
        <v>100</v>
      </c>
    </row>
    <row r="33" spans="1:8" x14ac:dyDescent="0.25">
      <c r="A33" s="39">
        <v>16</v>
      </c>
      <c r="B33" s="44" t="s">
        <v>272</v>
      </c>
      <c r="C33" s="12"/>
      <c r="D33" s="13">
        <f>'MAY 21'!H33:H49</f>
        <v>0</v>
      </c>
      <c r="E33" s="41">
        <v>1500</v>
      </c>
      <c r="F33" s="13">
        <f>E33+D33+C33</f>
        <v>1500</v>
      </c>
      <c r="G33" s="42">
        <f>500+1000</f>
        <v>1500</v>
      </c>
      <c r="H33" s="43">
        <f t="shared" si="3"/>
        <v>0</v>
      </c>
    </row>
    <row r="34" spans="1:8" x14ac:dyDescent="0.25">
      <c r="A34" s="39"/>
      <c r="B34" s="51" t="s">
        <v>7</v>
      </c>
      <c r="C34" s="52">
        <f>SUM(C18:C33)</f>
        <v>0</v>
      </c>
      <c r="D34" s="13">
        <f>'MAY 21'!H34:H50</f>
        <v>2700</v>
      </c>
      <c r="E34" s="53">
        <f>SUM(E18:E33)</f>
        <v>23500</v>
      </c>
      <c r="F34" s="13">
        <f>C34+D34+E34</f>
        <v>26200</v>
      </c>
      <c r="G34" s="10">
        <f>SUM(G18:G33)</f>
        <v>21800</v>
      </c>
      <c r="H34" s="43">
        <f>F34-G34</f>
        <v>4400</v>
      </c>
    </row>
    <row r="35" spans="1:8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8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8" x14ac:dyDescent="0.25">
      <c r="A37" s="22" t="s">
        <v>103</v>
      </c>
      <c r="B37" s="8">
        <f>E34+E16</f>
        <v>29500</v>
      </c>
      <c r="C37" s="23"/>
      <c r="D37" s="13">
        <f>'FEBRUARY 21'!H37:H57</f>
        <v>0</v>
      </c>
      <c r="E37" s="22" t="s">
        <v>103</v>
      </c>
      <c r="F37" s="8">
        <f>G34+G16</f>
        <v>27750</v>
      </c>
      <c r="G37" s="23"/>
      <c r="H37" s="8"/>
    </row>
    <row r="38" spans="1:8" x14ac:dyDescent="0.25">
      <c r="A38" s="22" t="s">
        <v>12</v>
      </c>
      <c r="B38" s="24">
        <v>0.1</v>
      </c>
      <c r="C38" s="25">
        <f>B37*B38</f>
        <v>2950</v>
      </c>
      <c r="D38" s="13">
        <f>'FEBRUARY 21'!H38:H58</f>
        <v>0</v>
      </c>
      <c r="E38" s="22" t="s">
        <v>12</v>
      </c>
      <c r="F38" s="24">
        <v>0.1</v>
      </c>
      <c r="G38" s="25">
        <f>C38</f>
        <v>2950</v>
      </c>
      <c r="H38" s="8"/>
    </row>
    <row r="39" spans="1:8" x14ac:dyDescent="0.25">
      <c r="A39" s="22"/>
      <c r="B39" s="24"/>
      <c r="C39" s="25"/>
      <c r="D39" s="22"/>
      <c r="E39" s="22"/>
      <c r="F39" s="24"/>
      <c r="G39" s="25"/>
      <c r="H39" s="8"/>
    </row>
    <row r="40" spans="1:8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8" x14ac:dyDescent="0.25">
      <c r="A41" s="26" t="s">
        <v>2</v>
      </c>
      <c r="B41" s="25">
        <f>'MAY 21'!D52</f>
        <v>-2087.5999999999804</v>
      </c>
      <c r="C41" s="22"/>
      <c r="D41" s="22"/>
      <c r="E41" s="26" t="s">
        <v>2</v>
      </c>
      <c r="F41" s="25">
        <f>'MAY 21'!H52</f>
        <v>-9786.9000000000087</v>
      </c>
      <c r="G41" s="22"/>
      <c r="H41" s="8"/>
    </row>
    <row r="42" spans="1:8" x14ac:dyDescent="0.25">
      <c r="A42" s="26" t="s">
        <v>7</v>
      </c>
      <c r="B42" s="25">
        <f>B37+B41+B40</f>
        <v>27412.40000000002</v>
      </c>
      <c r="C42" s="22"/>
      <c r="D42" s="22"/>
      <c r="E42" s="26" t="s">
        <v>7</v>
      </c>
      <c r="F42" s="25">
        <f>F37+F41+F39</f>
        <v>17963.099999999991</v>
      </c>
      <c r="G42" s="22"/>
      <c r="H42" s="8"/>
    </row>
    <row r="43" spans="1:8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8" x14ac:dyDescent="0.25">
      <c r="A44" s="27" t="s">
        <v>294</v>
      </c>
      <c r="B44" s="59"/>
      <c r="C44" s="29">
        <v>2062</v>
      </c>
      <c r="D44" s="28"/>
      <c r="E44" s="27" t="s">
        <v>294</v>
      </c>
      <c r="F44" s="59"/>
      <c r="G44" s="29">
        <v>2062</v>
      </c>
      <c r="H44" s="30"/>
    </row>
    <row r="45" spans="1:8" x14ac:dyDescent="0.25">
      <c r="A45" s="27" t="s">
        <v>295</v>
      </c>
      <c r="B45" s="59"/>
      <c r="C45" s="29">
        <v>5055</v>
      </c>
      <c r="D45" s="28"/>
      <c r="E45" s="27" t="s">
        <v>295</v>
      </c>
      <c r="F45" s="59"/>
      <c r="G45" s="29">
        <v>5055</v>
      </c>
      <c r="H45" s="30"/>
    </row>
    <row r="46" spans="1:8" x14ac:dyDescent="0.25">
      <c r="A46" s="27" t="s">
        <v>296</v>
      </c>
      <c r="B46" s="59"/>
      <c r="C46" s="29">
        <v>2062</v>
      </c>
      <c r="D46" s="28"/>
      <c r="E46" s="27" t="s">
        <v>296</v>
      </c>
      <c r="F46" s="59"/>
      <c r="G46" s="29">
        <v>2062</v>
      </c>
      <c r="H46" s="30"/>
    </row>
    <row r="47" spans="1:8" x14ac:dyDescent="0.25">
      <c r="A47" s="27" t="s">
        <v>148</v>
      </c>
      <c r="B47" s="59"/>
      <c r="C47" s="29">
        <v>5000</v>
      </c>
      <c r="D47" s="28"/>
      <c r="E47" s="27" t="s">
        <v>148</v>
      </c>
      <c r="F47" s="59"/>
      <c r="G47" s="29">
        <v>5000</v>
      </c>
      <c r="H47" s="30"/>
    </row>
    <row r="48" spans="1:8" x14ac:dyDescent="0.25">
      <c r="A48" s="27" t="s">
        <v>302</v>
      </c>
      <c r="B48" s="59"/>
      <c r="C48" s="29">
        <v>12083</v>
      </c>
      <c r="D48" s="28"/>
      <c r="E48" s="27" t="s">
        <v>302</v>
      </c>
      <c r="F48" s="59"/>
      <c r="G48" s="29">
        <v>12083</v>
      </c>
      <c r="H48" s="30"/>
    </row>
    <row r="49" spans="1:10" x14ac:dyDescent="0.25">
      <c r="A49" s="27" t="s">
        <v>303</v>
      </c>
      <c r="B49" s="59"/>
      <c r="C49" s="29">
        <v>5105</v>
      </c>
      <c r="D49" s="28"/>
      <c r="E49" s="27" t="s">
        <v>303</v>
      </c>
      <c r="F49" s="59"/>
      <c r="G49" s="29">
        <v>5105</v>
      </c>
      <c r="H49" s="30"/>
    </row>
    <row r="50" spans="1:10" x14ac:dyDescent="0.25">
      <c r="A50" s="27" t="s">
        <v>313</v>
      </c>
      <c r="B50" s="59"/>
      <c r="C50" s="29">
        <v>500</v>
      </c>
      <c r="D50" s="28"/>
      <c r="E50" s="27"/>
      <c r="F50" s="59"/>
      <c r="G50" s="29"/>
      <c r="H50" s="30"/>
    </row>
    <row r="51" spans="1:10" x14ac:dyDescent="0.25">
      <c r="A51" s="27" t="s">
        <v>305</v>
      </c>
      <c r="B51" s="59"/>
      <c r="C51" s="29">
        <v>1150</v>
      </c>
      <c r="D51" s="28"/>
      <c r="E51" s="27"/>
      <c r="F51" s="59"/>
      <c r="G51" s="29"/>
      <c r="H51" s="30"/>
    </row>
    <row r="52" spans="1:10" x14ac:dyDescent="0.25">
      <c r="A52" s="27" t="s">
        <v>306</v>
      </c>
      <c r="B52" s="59"/>
      <c r="C52" s="29">
        <f>2300</f>
        <v>2300</v>
      </c>
      <c r="D52" s="28"/>
      <c r="E52" s="27"/>
      <c r="F52" s="59"/>
      <c r="G52" s="29"/>
      <c r="H52" s="30"/>
    </row>
    <row r="53" spans="1:10" x14ac:dyDescent="0.25">
      <c r="A53" s="27" t="s">
        <v>310</v>
      </c>
      <c r="B53" s="59"/>
      <c r="C53" s="29">
        <v>1200</v>
      </c>
      <c r="D53" s="28"/>
      <c r="E53" s="27"/>
      <c r="F53" s="59"/>
      <c r="G53" s="29"/>
      <c r="H53" s="30"/>
    </row>
    <row r="54" spans="1:10" x14ac:dyDescent="0.25">
      <c r="A54" s="27" t="s">
        <v>254</v>
      </c>
      <c r="B54" s="59"/>
      <c r="C54" s="29">
        <v>1500</v>
      </c>
      <c r="D54" s="28"/>
      <c r="E54" s="27" t="s">
        <v>254</v>
      </c>
      <c r="F54" s="59"/>
      <c r="G54" s="29">
        <v>1500</v>
      </c>
      <c r="H54" s="30"/>
      <c r="J54" s="60"/>
    </row>
    <row r="55" spans="1:10" x14ac:dyDescent="0.25">
      <c r="A55" s="11" t="s">
        <v>7</v>
      </c>
      <c r="B55" s="34">
        <f>B37+B40+B41-C38</f>
        <v>24462.40000000002</v>
      </c>
      <c r="C55" s="7">
        <f>SUM(C44:C54)</f>
        <v>38017</v>
      </c>
      <c r="D55" s="7">
        <f>B55-C55</f>
        <v>-13554.59999999998</v>
      </c>
      <c r="E55" s="11" t="s">
        <v>7</v>
      </c>
      <c r="F55" s="34">
        <f>F37+F39+F41-G38</f>
        <v>15013.099999999991</v>
      </c>
      <c r="G55" s="7">
        <f>SUM(G44:G54)</f>
        <v>32867</v>
      </c>
      <c r="H55" s="7">
        <f>F55-G55</f>
        <v>-17853.900000000009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  <row r="61" spans="1:10" x14ac:dyDescent="0.25">
      <c r="E61" s="6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E60" sqref="E60"/>
    </sheetView>
  </sheetViews>
  <sheetFormatPr defaultRowHeight="15" x14ac:dyDescent="0.25"/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309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ht="22.5" x14ac:dyDescent="0.25">
      <c r="A6" s="39" t="s">
        <v>23</v>
      </c>
      <c r="B6" s="40" t="s">
        <v>45</v>
      </c>
      <c r="C6" s="12"/>
      <c r="D6" s="13">
        <f>'JUNE 21'!H6:H16</f>
        <v>500</v>
      </c>
      <c r="E6" s="41">
        <v>1500</v>
      </c>
      <c r="F6" s="13">
        <f>E6+D6+C6</f>
        <v>2000</v>
      </c>
      <c r="G6" s="42">
        <v>1500</v>
      </c>
      <c r="H6" s="43">
        <f>F6-G6</f>
        <v>500</v>
      </c>
    </row>
    <row r="7" spans="1:12" x14ac:dyDescent="0.25">
      <c r="A7" s="39" t="s">
        <v>24</v>
      </c>
      <c r="B7" s="55" t="s">
        <v>46</v>
      </c>
      <c r="C7" s="12"/>
      <c r="D7" s="13"/>
      <c r="E7" s="41"/>
      <c r="F7" s="13">
        <f t="shared" ref="F7:F15" si="0">E7+D7+C7</f>
        <v>0</v>
      </c>
      <c r="G7" s="13"/>
      <c r="H7" s="43">
        <f>F7-G7</f>
        <v>0</v>
      </c>
    </row>
    <row r="8" spans="1:12" x14ac:dyDescent="0.25">
      <c r="A8" s="39" t="s">
        <v>26</v>
      </c>
      <c r="B8" s="14" t="s">
        <v>308</v>
      </c>
      <c r="C8" s="14"/>
      <c r="D8" s="13">
        <f>'JUNE 21'!H8:H18</f>
        <v>0</v>
      </c>
      <c r="E8" s="14">
        <v>1500</v>
      </c>
      <c r="F8" s="13">
        <f t="shared" si="0"/>
        <v>1500</v>
      </c>
      <c r="G8" s="14">
        <v>1500</v>
      </c>
      <c r="H8" s="43">
        <f t="shared" ref="H8:H15" si="1">F8-G8</f>
        <v>0</v>
      </c>
      <c r="I8" t="s">
        <v>128</v>
      </c>
    </row>
    <row r="9" spans="1:12" x14ac:dyDescent="0.25">
      <c r="A9" s="45" t="s">
        <v>27</v>
      </c>
      <c r="B9" s="55" t="s">
        <v>46</v>
      </c>
      <c r="C9" s="14"/>
      <c r="D9" s="13">
        <f>'JUNE 21'!H9:H19</f>
        <v>0</v>
      </c>
      <c r="E9" s="46">
        <v>0</v>
      </c>
      <c r="F9" s="13">
        <f t="shared" si="0"/>
        <v>0</v>
      </c>
      <c r="G9" s="43"/>
      <c r="H9" s="43">
        <f t="shared" si="1"/>
        <v>0</v>
      </c>
    </row>
    <row r="10" spans="1:12" x14ac:dyDescent="0.25">
      <c r="A10" s="47" t="s">
        <v>28</v>
      </c>
      <c r="B10" s="55" t="s">
        <v>46</v>
      </c>
      <c r="C10" s="12"/>
      <c r="D10" s="13">
        <f>'JUNE 21'!H10:H20</f>
        <v>0</v>
      </c>
      <c r="E10" s="41"/>
      <c r="F10" s="13">
        <f t="shared" si="0"/>
        <v>0</v>
      </c>
      <c r="G10" s="42"/>
      <c r="H10" s="43">
        <f t="shared" si="1"/>
        <v>0</v>
      </c>
    </row>
    <row r="11" spans="1:12" x14ac:dyDescent="0.25">
      <c r="A11" s="48" t="s">
        <v>29</v>
      </c>
      <c r="B11" s="40" t="s">
        <v>46</v>
      </c>
      <c r="C11" s="14"/>
      <c r="D11" s="13"/>
      <c r="E11" s="49"/>
      <c r="F11" s="13">
        <f t="shared" si="0"/>
        <v>0</v>
      </c>
      <c r="G11" s="50"/>
      <c r="H11" s="43">
        <f t="shared" si="1"/>
        <v>0</v>
      </c>
    </row>
    <row r="12" spans="1:12" x14ac:dyDescent="0.25">
      <c r="A12" s="39" t="s">
        <v>30</v>
      </c>
      <c r="B12" s="67" t="s">
        <v>46</v>
      </c>
      <c r="C12" s="12"/>
      <c r="D12" s="13"/>
      <c r="E12" s="41"/>
      <c r="F12" s="13">
        <f>E12+D12+C12</f>
        <v>0</v>
      </c>
      <c r="G12" s="42"/>
      <c r="H12" s="43">
        <f t="shared" si="1"/>
        <v>0</v>
      </c>
      <c r="L12" s="60">
        <f>E16</f>
        <v>6000</v>
      </c>
    </row>
    <row r="13" spans="1:12" ht="22.5" x14ac:dyDescent="0.25">
      <c r="A13" s="39" t="s">
        <v>31</v>
      </c>
      <c r="B13" s="40" t="s">
        <v>253</v>
      </c>
      <c r="C13" s="12"/>
      <c r="D13" s="13">
        <f>'JUNE 21'!H13:H23</f>
        <v>600</v>
      </c>
      <c r="E13" s="41">
        <v>1500</v>
      </c>
      <c r="F13" s="13">
        <f t="shared" si="0"/>
        <v>2100</v>
      </c>
      <c r="G13" s="42">
        <v>1500</v>
      </c>
      <c r="H13" s="43">
        <f>F13-G13</f>
        <v>600</v>
      </c>
      <c r="I13" t="s">
        <v>128</v>
      </c>
      <c r="L13" s="60">
        <f>E34</f>
        <v>25500</v>
      </c>
    </row>
    <row r="14" spans="1:12" x14ac:dyDescent="0.25">
      <c r="A14" s="39" t="s">
        <v>32</v>
      </c>
      <c r="B14" s="44" t="s">
        <v>25</v>
      </c>
      <c r="C14" s="12"/>
      <c r="D14" s="13">
        <f>'JUNE 21'!H14:H24</f>
        <v>0</v>
      </c>
      <c r="E14" s="41"/>
      <c r="F14" s="13">
        <f>E14+D14+C14</f>
        <v>0</v>
      </c>
      <c r="G14" s="42"/>
      <c r="H14" s="43">
        <f t="shared" si="1"/>
        <v>0</v>
      </c>
      <c r="L14" s="60">
        <f>L12+L13</f>
        <v>31500</v>
      </c>
    </row>
    <row r="15" spans="1:12" x14ac:dyDescent="0.25">
      <c r="A15" s="39" t="s">
        <v>33</v>
      </c>
      <c r="B15" s="44" t="s">
        <v>301</v>
      </c>
      <c r="C15" s="12"/>
      <c r="D15" s="13">
        <f>'JUNE 21'!H15:H25</f>
        <v>1500</v>
      </c>
      <c r="E15" s="15">
        <v>1500</v>
      </c>
      <c r="F15" s="13">
        <f t="shared" si="0"/>
        <v>3000</v>
      </c>
      <c r="G15" s="42"/>
      <c r="H15" s="43">
        <f t="shared" si="1"/>
        <v>3000</v>
      </c>
      <c r="I15" t="s">
        <v>75</v>
      </c>
      <c r="J15" t="s">
        <v>177</v>
      </c>
      <c r="L15" s="60">
        <f>C38</f>
        <v>3150</v>
      </c>
    </row>
    <row r="16" spans="1:12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2600</v>
      </c>
      <c r="E16" s="53">
        <f t="shared" si="2"/>
        <v>6000</v>
      </c>
      <c r="F16" s="13">
        <f t="shared" si="2"/>
        <v>8600</v>
      </c>
      <c r="G16" s="10">
        <f>SUM(G6:G15)</f>
        <v>4500</v>
      </c>
      <c r="H16" s="54">
        <f t="shared" si="2"/>
        <v>4100</v>
      </c>
      <c r="L16" s="60">
        <f>L14-L15</f>
        <v>28350</v>
      </c>
    </row>
    <row r="17" spans="1:12" x14ac:dyDescent="0.25">
      <c r="C17" s="35"/>
      <c r="D17" s="35" t="s">
        <v>37</v>
      </c>
      <c r="E17" s="35"/>
      <c r="H17" s="60">
        <f>H16-H15</f>
        <v>1100</v>
      </c>
      <c r="J17" t="s">
        <v>225</v>
      </c>
      <c r="L17" s="60">
        <v>6528</v>
      </c>
    </row>
    <row r="18" spans="1:12" ht="22.5" x14ac:dyDescent="0.25">
      <c r="A18" s="39">
        <v>1</v>
      </c>
      <c r="B18" s="44" t="s">
        <v>164</v>
      </c>
      <c r="C18" s="12"/>
      <c r="D18" s="13">
        <f>'JUNE 21'!H18:H33</f>
        <v>600</v>
      </c>
      <c r="E18" s="41">
        <v>2000</v>
      </c>
      <c r="F18" s="13">
        <f>C18+D18+E18</f>
        <v>2600</v>
      </c>
      <c r="G18" s="13"/>
      <c r="H18" s="43">
        <f t="shared" ref="H18:H33" si="3">F18-G18</f>
        <v>2600</v>
      </c>
      <c r="L18" s="60">
        <f>L16-L17</f>
        <v>21822</v>
      </c>
    </row>
    <row r="19" spans="1:12" x14ac:dyDescent="0.25">
      <c r="A19" s="39">
        <v>2</v>
      </c>
      <c r="B19" s="44" t="s">
        <v>152</v>
      </c>
      <c r="C19" s="12"/>
      <c r="D19" s="13">
        <f>'JUNE 21'!H19:H34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L19" s="61"/>
    </row>
    <row r="20" spans="1:12" x14ac:dyDescent="0.25">
      <c r="A20" s="39">
        <v>3</v>
      </c>
      <c r="B20" s="14" t="s">
        <v>39</v>
      </c>
      <c r="C20" s="14"/>
      <c r="D20" s="13">
        <f>'JUNE 21'!H20:H35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L20" s="60"/>
    </row>
    <row r="21" spans="1:12" ht="33.75" x14ac:dyDescent="0.25">
      <c r="A21" s="39">
        <v>4</v>
      </c>
      <c r="B21" s="44" t="s">
        <v>315</v>
      </c>
      <c r="C21" s="14"/>
      <c r="D21" s="13"/>
      <c r="E21" s="46">
        <v>2000</v>
      </c>
      <c r="F21" s="13">
        <f t="shared" si="4"/>
        <v>2000</v>
      </c>
      <c r="G21" s="43">
        <v>1500</v>
      </c>
      <c r="H21" s="43">
        <f>F21-G21</f>
        <v>500</v>
      </c>
    </row>
    <row r="22" spans="1:12" ht="22.5" x14ac:dyDescent="0.25">
      <c r="A22" s="39">
        <v>5</v>
      </c>
      <c r="B22" s="40" t="s">
        <v>312</v>
      </c>
      <c r="C22" s="12"/>
      <c r="D22" s="13">
        <f>'JUNE 21'!H22:H37</f>
        <v>0</v>
      </c>
      <c r="E22" s="41">
        <v>2000</v>
      </c>
      <c r="F22" s="13">
        <f t="shared" si="4"/>
        <v>2000</v>
      </c>
      <c r="G22" s="42">
        <f>1450+550</f>
        <v>2000</v>
      </c>
      <c r="H22" s="43">
        <f t="shared" si="3"/>
        <v>0</v>
      </c>
    </row>
    <row r="23" spans="1:12" x14ac:dyDescent="0.25">
      <c r="A23" s="39">
        <v>6</v>
      </c>
      <c r="B23" s="40" t="s">
        <v>128</v>
      </c>
      <c r="C23" s="14"/>
      <c r="D23" s="13">
        <f>'JUNE 21'!H23:H38</f>
        <v>0</v>
      </c>
      <c r="E23" s="49"/>
      <c r="F23" s="13">
        <f t="shared" si="4"/>
        <v>0</v>
      </c>
      <c r="G23" s="50"/>
      <c r="H23" s="43">
        <f t="shared" si="3"/>
        <v>0</v>
      </c>
      <c r="I23" s="60">
        <f>H21+H22</f>
        <v>500</v>
      </c>
    </row>
    <row r="24" spans="1:12" x14ac:dyDescent="0.25">
      <c r="A24" s="39">
        <v>7</v>
      </c>
      <c r="B24" s="40" t="s">
        <v>204</v>
      </c>
      <c r="C24" s="12"/>
      <c r="D24" s="13">
        <f>'JUNE 21'!H24:H39</f>
        <v>0</v>
      </c>
      <c r="E24" s="41">
        <v>2000</v>
      </c>
      <c r="F24" s="13">
        <f t="shared" si="4"/>
        <v>2000</v>
      </c>
      <c r="G24" s="42">
        <f>2000</f>
        <v>2000</v>
      </c>
      <c r="H24" s="43">
        <f t="shared" si="3"/>
        <v>0</v>
      </c>
    </row>
    <row r="25" spans="1:12" ht="22.5" x14ac:dyDescent="0.25">
      <c r="A25" s="39">
        <v>8</v>
      </c>
      <c r="B25" s="40" t="s">
        <v>41</v>
      </c>
      <c r="C25" s="12"/>
      <c r="D25" s="13">
        <f>'JUNE 21'!H25:H40</f>
        <v>1500</v>
      </c>
      <c r="E25" s="41">
        <v>2000</v>
      </c>
      <c r="F25" s="13">
        <f t="shared" si="4"/>
        <v>3500</v>
      </c>
      <c r="G25" s="42">
        <f>1500+500</f>
        <v>2000</v>
      </c>
      <c r="H25" s="43">
        <f>F25-G25</f>
        <v>1500</v>
      </c>
    </row>
    <row r="26" spans="1:12" ht="22.5" x14ac:dyDescent="0.25">
      <c r="A26" s="39">
        <v>9</v>
      </c>
      <c r="B26" s="63" t="s">
        <v>285</v>
      </c>
      <c r="C26" s="44"/>
      <c r="D26" s="13">
        <f>'JUNE 21'!H26:H41</f>
        <v>0</v>
      </c>
      <c r="E26" s="13">
        <v>1500</v>
      </c>
      <c r="F26" s="13">
        <f t="shared" si="4"/>
        <v>1500</v>
      </c>
      <c r="G26" s="13">
        <f>1500</f>
        <v>1500</v>
      </c>
      <c r="H26" s="43">
        <f>F26-G26</f>
        <v>0</v>
      </c>
    </row>
    <row r="27" spans="1:12" ht="22.5" x14ac:dyDescent="0.25">
      <c r="A27" s="39">
        <v>10</v>
      </c>
      <c r="B27" s="44" t="s">
        <v>222</v>
      </c>
      <c r="C27" s="12"/>
      <c r="D27" s="13">
        <f>'JUNE 21'!H27:H42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2" ht="22.5" x14ac:dyDescent="0.25">
      <c r="A28" s="39">
        <v>11</v>
      </c>
      <c r="B28" s="40" t="s">
        <v>53</v>
      </c>
      <c r="C28" s="12"/>
      <c r="D28" s="13">
        <f>'JUNE 21'!H28:H43</f>
        <v>200</v>
      </c>
      <c r="E28" s="41">
        <v>1500</v>
      </c>
      <c r="F28" s="13">
        <f t="shared" si="4"/>
        <v>1700</v>
      </c>
      <c r="G28" s="42">
        <f>700+750</f>
        <v>1450</v>
      </c>
      <c r="H28" s="43">
        <f>F28-G28</f>
        <v>250</v>
      </c>
    </row>
    <row r="29" spans="1:12" ht="22.5" x14ac:dyDescent="0.25">
      <c r="A29" s="39">
        <v>12</v>
      </c>
      <c r="B29" s="44" t="s">
        <v>297</v>
      </c>
      <c r="C29" s="12"/>
      <c r="D29" s="13">
        <f>'JUNE 21'!H29:H44</f>
        <v>0</v>
      </c>
      <c r="E29" s="41">
        <v>1500</v>
      </c>
      <c r="F29" s="13">
        <f t="shared" si="4"/>
        <v>1500</v>
      </c>
      <c r="G29" s="42">
        <v>1500</v>
      </c>
      <c r="H29" s="43">
        <f>F29-G29</f>
        <v>0</v>
      </c>
    </row>
    <row r="30" spans="1:12" x14ac:dyDescent="0.25">
      <c r="A30" s="39">
        <v>13</v>
      </c>
      <c r="B30" s="44" t="s">
        <v>307</v>
      </c>
      <c r="C30" s="12"/>
      <c r="D30" s="13">
        <f>'JUNE 21'!H30:H45</f>
        <v>0</v>
      </c>
      <c r="E30" s="41">
        <v>1500</v>
      </c>
      <c r="F30" s="13">
        <f t="shared" si="4"/>
        <v>1500</v>
      </c>
      <c r="G30" s="42">
        <v>1500</v>
      </c>
      <c r="H30" s="43">
        <f>F30-G30</f>
        <v>0</v>
      </c>
    </row>
    <row r="31" spans="1:12" ht="22.5" x14ac:dyDescent="0.25">
      <c r="A31" s="39">
        <v>14</v>
      </c>
      <c r="B31" s="44" t="s">
        <v>165</v>
      </c>
      <c r="C31" s="12"/>
      <c r="D31" s="13">
        <f>'JUNE 21'!H31:H46</f>
        <v>0</v>
      </c>
      <c r="E31" s="41">
        <v>1500</v>
      </c>
      <c r="F31" s="13">
        <f>E31+D31+C31</f>
        <v>1500</v>
      </c>
      <c r="G31" s="42">
        <f>500+1000</f>
        <v>1500</v>
      </c>
      <c r="H31" s="43">
        <f t="shared" si="3"/>
        <v>0</v>
      </c>
    </row>
    <row r="32" spans="1:12" ht="22.5" x14ac:dyDescent="0.25">
      <c r="A32" s="39">
        <v>15</v>
      </c>
      <c r="B32" s="44" t="s">
        <v>136</v>
      </c>
      <c r="C32" s="12"/>
      <c r="D32" s="13">
        <f>'JUNE 21'!H32:H47</f>
        <v>100</v>
      </c>
      <c r="E32" s="41">
        <v>1000</v>
      </c>
      <c r="F32" s="13">
        <f t="shared" si="4"/>
        <v>1100</v>
      </c>
      <c r="G32" s="42">
        <f>500+500</f>
        <v>1000</v>
      </c>
      <c r="H32" s="43">
        <f>F32-G32</f>
        <v>100</v>
      </c>
    </row>
    <row r="33" spans="1:11" ht="22.5" x14ac:dyDescent="0.25">
      <c r="A33" s="39">
        <v>16</v>
      </c>
      <c r="B33" s="44" t="s">
        <v>272</v>
      </c>
      <c r="C33" s="12"/>
      <c r="D33" s="13">
        <f>'JUNE 21'!H33:H48</f>
        <v>0</v>
      </c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</row>
    <row r="34" spans="1:11" x14ac:dyDescent="0.25">
      <c r="A34" s="39"/>
      <c r="B34" s="51" t="s">
        <v>7</v>
      </c>
      <c r="C34" s="52">
        <f>SUM(C18:C33)</f>
        <v>0</v>
      </c>
      <c r="D34" s="13">
        <f>SUM(D18:D33)</f>
        <v>2400</v>
      </c>
      <c r="E34" s="53">
        <f>SUM(E18:E33)</f>
        <v>25500</v>
      </c>
      <c r="F34" s="13">
        <f>C34+D34+E34</f>
        <v>27900</v>
      </c>
      <c r="G34" s="10">
        <f>SUM(G18:G33)</f>
        <v>22950</v>
      </c>
      <c r="H34" s="43">
        <f>F34-G34</f>
        <v>4950</v>
      </c>
    </row>
    <row r="35" spans="1:11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1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1" x14ac:dyDescent="0.25">
      <c r="A37" s="22" t="s">
        <v>121</v>
      </c>
      <c r="B37" s="8">
        <f>E34+E16</f>
        <v>31500</v>
      </c>
      <c r="C37" s="23"/>
      <c r="D37" s="13">
        <f>'FEBRUARY 21'!H37:H57</f>
        <v>0</v>
      </c>
      <c r="E37" s="22" t="s">
        <v>121</v>
      </c>
      <c r="F37" s="8">
        <f>G34+G16</f>
        <v>27450</v>
      </c>
      <c r="G37" s="23"/>
      <c r="H37" s="8"/>
      <c r="J37" s="60">
        <f>H34-H18</f>
        <v>2350</v>
      </c>
      <c r="K37" s="60">
        <f>J37+1100</f>
        <v>3450</v>
      </c>
    </row>
    <row r="38" spans="1:11" x14ac:dyDescent="0.25">
      <c r="A38" s="22" t="s">
        <v>12</v>
      </c>
      <c r="B38" s="24">
        <v>0.1</v>
      </c>
      <c r="C38" s="25">
        <f>B37*B38</f>
        <v>3150</v>
      </c>
      <c r="D38" s="13">
        <f>'FEBRUARY 21'!H38:H58</f>
        <v>0</v>
      </c>
      <c r="E38" s="22" t="s">
        <v>12</v>
      </c>
      <c r="F38" s="24">
        <v>0.1</v>
      </c>
      <c r="G38" s="25">
        <f>C38</f>
        <v>3150</v>
      </c>
      <c r="H38" s="8"/>
    </row>
    <row r="39" spans="1:11" x14ac:dyDescent="0.25">
      <c r="A39" s="22"/>
      <c r="B39" s="24"/>
      <c r="C39" s="25"/>
      <c r="D39" s="22"/>
      <c r="E39" s="22"/>
      <c r="F39" s="24"/>
      <c r="G39" s="25"/>
      <c r="H39" s="8"/>
    </row>
    <row r="40" spans="1:11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1" x14ac:dyDescent="0.25">
      <c r="A41" s="26" t="s">
        <v>2</v>
      </c>
      <c r="B41" s="25">
        <f>'JUNE 21'!D55</f>
        <v>-13554.59999999998</v>
      </c>
      <c r="C41" s="22"/>
      <c r="D41" s="22"/>
      <c r="E41" s="26" t="s">
        <v>2</v>
      </c>
      <c r="F41" s="25">
        <f>'JUNE 21'!H55</f>
        <v>-17853.900000000009</v>
      </c>
      <c r="G41" s="22"/>
      <c r="H41" s="8"/>
    </row>
    <row r="42" spans="1:11" x14ac:dyDescent="0.25">
      <c r="A42" s="26" t="s">
        <v>7</v>
      </c>
      <c r="B42" s="25">
        <f>B37+B41+B40</f>
        <v>17945.40000000002</v>
      </c>
      <c r="C42" s="22"/>
      <c r="D42" s="22"/>
      <c r="E42" s="26" t="s">
        <v>7</v>
      </c>
      <c r="F42" s="25">
        <f>F37+F41+F39</f>
        <v>9596.0999999999913</v>
      </c>
      <c r="G42" s="22"/>
      <c r="H42" s="8"/>
    </row>
    <row r="43" spans="1:11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1" x14ac:dyDescent="0.25">
      <c r="A44" s="27"/>
      <c r="B44" s="59"/>
      <c r="C44" s="29"/>
      <c r="D44" s="28"/>
      <c r="E44" s="27"/>
      <c r="F44" s="59"/>
      <c r="G44" s="29"/>
      <c r="H44" s="30"/>
    </row>
    <row r="45" spans="1:11" x14ac:dyDescent="0.25">
      <c r="A45" s="27" t="s">
        <v>311</v>
      </c>
      <c r="B45" s="59"/>
      <c r="C45" s="29">
        <v>9300</v>
      </c>
      <c r="D45" s="28"/>
      <c r="E45" s="27" t="s">
        <v>311</v>
      </c>
      <c r="F45" s="59"/>
      <c r="G45" s="29">
        <v>9300</v>
      </c>
      <c r="H45" s="30"/>
    </row>
    <row r="46" spans="1:11" x14ac:dyDescent="0.25">
      <c r="A46" s="27" t="s">
        <v>311</v>
      </c>
      <c r="B46" s="59"/>
      <c r="C46" s="29">
        <v>12523</v>
      </c>
      <c r="D46" s="28"/>
      <c r="E46" s="27" t="s">
        <v>311</v>
      </c>
      <c r="F46" s="59"/>
      <c r="G46" s="29">
        <v>12523</v>
      </c>
      <c r="H46" s="30"/>
    </row>
    <row r="47" spans="1:11" x14ac:dyDescent="0.25">
      <c r="A47" s="27" t="s">
        <v>316</v>
      </c>
      <c r="B47" s="59"/>
      <c r="C47" s="29">
        <v>1500</v>
      </c>
      <c r="D47" s="28"/>
      <c r="E47" s="27" t="s">
        <v>316</v>
      </c>
      <c r="F47" s="59"/>
      <c r="G47" s="29">
        <v>1500</v>
      </c>
      <c r="H47" s="30"/>
    </row>
    <row r="48" spans="1:11" x14ac:dyDescent="0.25">
      <c r="A48" s="27" t="s">
        <v>254</v>
      </c>
      <c r="B48" s="59"/>
      <c r="C48" s="29">
        <v>2100</v>
      </c>
      <c r="D48" s="28"/>
      <c r="E48" s="27" t="s">
        <v>254</v>
      </c>
      <c r="F48" s="59"/>
      <c r="G48" s="29">
        <v>1500</v>
      </c>
      <c r="H48" s="30"/>
    </row>
    <row r="49" spans="1:10" x14ac:dyDescent="0.25">
      <c r="A49" s="27" t="s">
        <v>319</v>
      </c>
      <c r="B49" s="59"/>
      <c r="C49" s="29">
        <v>3000</v>
      </c>
      <c r="D49" s="28"/>
      <c r="E49" s="27"/>
      <c r="F49" s="59"/>
      <c r="G49" s="29"/>
      <c r="H49" s="30"/>
    </row>
    <row r="50" spans="1:10" x14ac:dyDescent="0.25">
      <c r="A50" s="27" t="s">
        <v>324</v>
      </c>
      <c r="B50" s="59"/>
      <c r="C50" s="29">
        <v>2600</v>
      </c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</row>
    <row r="53" spans="1:10" x14ac:dyDescent="0.25">
      <c r="A53" s="27"/>
      <c r="B53" s="59"/>
      <c r="C53" s="29"/>
      <c r="D53" s="28"/>
      <c r="E53" s="27"/>
      <c r="F53" s="59"/>
      <c r="G53" s="29"/>
      <c r="H53" s="30"/>
      <c r="J53" s="60"/>
    </row>
    <row r="54" spans="1:10" x14ac:dyDescent="0.25">
      <c r="A54" s="27"/>
      <c r="B54" s="59"/>
      <c r="C54" s="29"/>
      <c r="D54" s="28"/>
      <c r="E54" s="27"/>
      <c r="F54" s="59"/>
      <c r="G54" s="29"/>
      <c r="H54" s="30"/>
      <c r="J54" s="60"/>
    </row>
    <row r="55" spans="1:10" x14ac:dyDescent="0.25">
      <c r="A55" s="11" t="s">
        <v>7</v>
      </c>
      <c r="B55" s="34">
        <f>B37+B40+B41-C38</f>
        <v>14795.40000000002</v>
      </c>
      <c r="C55" s="7">
        <f>SUM(C44:C54)</f>
        <v>31023</v>
      </c>
      <c r="D55" s="7">
        <f>B55-C55</f>
        <v>-16227.59999999998</v>
      </c>
      <c r="E55" s="11" t="s">
        <v>7</v>
      </c>
      <c r="F55" s="34">
        <f>F37+F39+F41-G38</f>
        <v>6446.0999999999913</v>
      </c>
      <c r="G55" s="7">
        <f>SUM(G44:G54)</f>
        <v>24823</v>
      </c>
      <c r="H55" s="7">
        <f>F55-G55</f>
        <v>-18376.900000000009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B22" workbookViewId="0">
      <selection activeCell="L49" sqref="L49"/>
    </sheetView>
  </sheetViews>
  <sheetFormatPr defaultRowHeight="15" x14ac:dyDescent="0.25"/>
  <cols>
    <col min="1" max="1" width="0.5703125" customWidth="1"/>
  </cols>
  <sheetData>
    <row r="1" spans="1:10" ht="15.75" x14ac:dyDescent="0.25">
      <c r="A1" s="1"/>
      <c r="C1" s="1"/>
      <c r="D1" s="2" t="s">
        <v>55</v>
      </c>
      <c r="E1" s="1"/>
      <c r="F1" s="1"/>
      <c r="G1" s="1"/>
    </row>
    <row r="2" spans="1:10" ht="15.75" x14ac:dyDescent="0.25">
      <c r="D2" s="3"/>
      <c r="E2" s="3" t="s">
        <v>0</v>
      </c>
      <c r="F2" s="1"/>
      <c r="G2" s="1"/>
    </row>
    <row r="3" spans="1:10" ht="21" x14ac:dyDescent="0.25">
      <c r="A3" s="1"/>
      <c r="D3" s="4" t="s">
        <v>64</v>
      </c>
      <c r="E3" s="3"/>
      <c r="F3" s="5"/>
      <c r="G3" s="5"/>
    </row>
    <row r="4" spans="1:10" x14ac:dyDescent="0.25">
      <c r="A4" s="1"/>
      <c r="E4" s="35" t="s">
        <v>48</v>
      </c>
    </row>
    <row r="5" spans="1:10" x14ac:dyDescent="0.25">
      <c r="A5" s="1"/>
      <c r="B5" s="36" t="s">
        <v>19</v>
      </c>
      <c r="C5" s="36" t="s">
        <v>1</v>
      </c>
      <c r="D5" s="36" t="s">
        <v>20</v>
      </c>
      <c r="E5" s="36" t="s">
        <v>21</v>
      </c>
      <c r="F5" s="36" t="s">
        <v>3</v>
      </c>
      <c r="G5" s="37" t="s">
        <v>4</v>
      </c>
      <c r="H5" s="36" t="s">
        <v>5</v>
      </c>
      <c r="I5" s="38" t="s">
        <v>22</v>
      </c>
    </row>
    <row r="6" spans="1:10" x14ac:dyDescent="0.25">
      <c r="A6" s="1"/>
      <c r="B6" s="39" t="s">
        <v>23</v>
      </c>
      <c r="C6" s="40" t="s">
        <v>46</v>
      </c>
      <c r="D6" s="12"/>
      <c r="E6" s="13"/>
      <c r="F6" s="41"/>
      <c r="G6" s="13">
        <f>F6+E6+D6</f>
        <v>0</v>
      </c>
      <c r="H6" s="42"/>
      <c r="I6" s="43">
        <f>G6-H6</f>
        <v>0</v>
      </c>
    </row>
    <row r="7" spans="1:10" x14ac:dyDescent="0.25">
      <c r="A7" s="1"/>
      <c r="B7" s="39" t="s">
        <v>24</v>
      </c>
      <c r="C7" s="44"/>
      <c r="D7" s="12"/>
      <c r="E7" s="13"/>
      <c r="F7" s="41"/>
      <c r="G7" s="13">
        <f t="shared" ref="G7:G15" si="0">F7+E7+D7</f>
        <v>0</v>
      </c>
      <c r="H7" s="13"/>
      <c r="I7" s="43">
        <f t="shared" ref="I7:I15" si="1">G7-H7</f>
        <v>0</v>
      </c>
    </row>
    <row r="8" spans="1:10" x14ac:dyDescent="0.25">
      <c r="A8" s="1"/>
      <c r="B8" s="39" t="s">
        <v>26</v>
      </c>
      <c r="C8" s="14" t="s">
        <v>45</v>
      </c>
      <c r="D8" s="14"/>
      <c r="E8" s="13"/>
      <c r="F8" s="14">
        <v>1500</v>
      </c>
      <c r="G8" s="13">
        <f t="shared" si="0"/>
        <v>1500</v>
      </c>
      <c r="H8" s="14">
        <v>1500</v>
      </c>
      <c r="I8" s="43">
        <f t="shared" si="1"/>
        <v>0</v>
      </c>
    </row>
    <row r="9" spans="1:10" x14ac:dyDescent="0.25">
      <c r="A9" s="1"/>
      <c r="B9" s="45" t="s">
        <v>27</v>
      </c>
      <c r="C9" s="44" t="s">
        <v>46</v>
      </c>
      <c r="D9" s="14"/>
      <c r="E9" s="13"/>
      <c r="F9" s="46"/>
      <c r="G9" s="13">
        <f t="shared" si="0"/>
        <v>0</v>
      </c>
      <c r="H9" s="43"/>
      <c r="I9" s="43">
        <f t="shared" si="1"/>
        <v>0</v>
      </c>
    </row>
    <row r="10" spans="1:10" ht="22.5" x14ac:dyDescent="0.25">
      <c r="A10" s="1"/>
      <c r="B10" s="47" t="s">
        <v>28</v>
      </c>
      <c r="C10" s="44" t="s">
        <v>54</v>
      </c>
      <c r="D10" s="12"/>
      <c r="E10" s="13">
        <v>1500</v>
      </c>
      <c r="F10" s="41"/>
      <c r="G10" s="13">
        <f t="shared" si="0"/>
        <v>1500</v>
      </c>
      <c r="H10" s="42">
        <v>1500</v>
      </c>
      <c r="I10" s="43">
        <f t="shared" si="1"/>
        <v>0</v>
      </c>
      <c r="J10" t="s">
        <v>75</v>
      </c>
    </row>
    <row r="11" spans="1:10" x14ac:dyDescent="0.25">
      <c r="A11" s="1"/>
      <c r="B11" s="48" t="s">
        <v>29</v>
      </c>
      <c r="C11" s="40"/>
      <c r="D11" s="14"/>
      <c r="E11" s="13"/>
      <c r="F11" s="49"/>
      <c r="G11" s="13">
        <f t="shared" si="0"/>
        <v>0</v>
      </c>
      <c r="H11" s="50"/>
      <c r="I11" s="43">
        <f t="shared" si="1"/>
        <v>0</v>
      </c>
    </row>
    <row r="12" spans="1:10" x14ac:dyDescent="0.25">
      <c r="A12" s="1"/>
      <c r="B12" s="39" t="s">
        <v>30</v>
      </c>
      <c r="C12" s="40" t="s">
        <v>66</v>
      </c>
      <c r="D12" s="12"/>
      <c r="E12" s="13"/>
      <c r="F12" s="41">
        <v>1500</v>
      </c>
      <c r="G12" s="13">
        <f t="shared" si="0"/>
        <v>1500</v>
      </c>
      <c r="H12" s="42"/>
      <c r="I12" s="43">
        <f t="shared" si="1"/>
        <v>1500</v>
      </c>
    </row>
    <row r="13" spans="1:10" x14ac:dyDescent="0.25">
      <c r="A13" s="9"/>
      <c r="B13" s="39" t="s">
        <v>31</v>
      </c>
      <c r="C13" s="40" t="s">
        <v>51</v>
      </c>
      <c r="D13" s="12"/>
      <c r="E13" s="13"/>
      <c r="F13" s="41"/>
      <c r="G13" s="13">
        <f t="shared" si="0"/>
        <v>0</v>
      </c>
      <c r="H13" s="42"/>
      <c r="I13" s="43">
        <f t="shared" si="1"/>
        <v>0</v>
      </c>
    </row>
    <row r="14" spans="1:10" x14ac:dyDescent="0.25">
      <c r="A14" s="1"/>
      <c r="B14" s="39" t="s">
        <v>32</v>
      </c>
      <c r="C14" s="44" t="s">
        <v>46</v>
      </c>
      <c r="D14" s="12"/>
      <c r="E14" s="13"/>
      <c r="F14" s="41"/>
      <c r="G14" s="13">
        <f t="shared" si="0"/>
        <v>0</v>
      </c>
      <c r="H14" s="42"/>
      <c r="I14" s="43">
        <f t="shared" si="1"/>
        <v>0</v>
      </c>
    </row>
    <row r="15" spans="1:10" x14ac:dyDescent="0.25">
      <c r="A15" s="1"/>
      <c r="B15" s="39" t="s">
        <v>33</v>
      </c>
      <c r="C15" s="44" t="s">
        <v>25</v>
      </c>
      <c r="D15" s="12"/>
      <c r="E15" s="13"/>
      <c r="F15" s="15"/>
      <c r="G15" s="13">
        <f t="shared" si="0"/>
        <v>0</v>
      </c>
      <c r="H15" s="42"/>
      <c r="I15" s="43">
        <f t="shared" si="1"/>
        <v>0</v>
      </c>
    </row>
    <row r="16" spans="1:10" x14ac:dyDescent="0.25">
      <c r="A16" s="1"/>
      <c r="B16" s="39"/>
      <c r="C16" s="51" t="s">
        <v>7</v>
      </c>
      <c r="D16" s="52">
        <f>SUM(D6:D15)</f>
        <v>0</v>
      </c>
      <c r="E16" s="13"/>
      <c r="F16" s="53">
        <f>SUM(F6:F15)</f>
        <v>3000</v>
      </c>
      <c r="G16" s="13">
        <f>SUM(G6:G15)</f>
        <v>4500</v>
      </c>
      <c r="H16" s="10">
        <f>SUM(H6:H15)</f>
        <v>3000</v>
      </c>
      <c r="I16" s="54">
        <f>SUM(I6:I15)</f>
        <v>1500</v>
      </c>
    </row>
    <row r="17" spans="1:9" x14ac:dyDescent="0.25">
      <c r="A17" s="1"/>
      <c r="D17" s="35"/>
      <c r="E17" s="35" t="s">
        <v>37</v>
      </c>
      <c r="F17" s="35"/>
    </row>
    <row r="18" spans="1:9" ht="22.5" x14ac:dyDescent="0.25">
      <c r="B18" s="39">
        <v>1</v>
      </c>
      <c r="C18" s="44" t="s">
        <v>52</v>
      </c>
      <c r="D18" s="12"/>
      <c r="E18" s="13"/>
      <c r="F18" s="41">
        <v>2000</v>
      </c>
      <c r="G18" s="13">
        <f>D18+E18+F18</f>
        <v>2000</v>
      </c>
      <c r="H18" s="13">
        <v>2000</v>
      </c>
      <c r="I18" s="43">
        <f t="shared" ref="I18:I33" si="2">G18-H18</f>
        <v>0</v>
      </c>
    </row>
    <row r="19" spans="1:9" ht="22.5" x14ac:dyDescent="0.25">
      <c r="B19" s="39">
        <v>2</v>
      </c>
      <c r="C19" s="44" t="s">
        <v>38</v>
      </c>
      <c r="D19" s="12"/>
      <c r="E19" s="13"/>
      <c r="F19" s="41">
        <v>2000</v>
      </c>
      <c r="G19" s="13">
        <f>F19+E19+D19</f>
        <v>2000</v>
      </c>
      <c r="H19" s="13">
        <f>1000+1000</f>
        <v>2000</v>
      </c>
      <c r="I19" s="43">
        <f>G19-H19</f>
        <v>0</v>
      </c>
    </row>
    <row r="20" spans="1:9" x14ac:dyDescent="0.25">
      <c r="B20" s="39">
        <v>3</v>
      </c>
      <c r="C20" s="14" t="s">
        <v>39</v>
      </c>
      <c r="D20" s="14"/>
      <c r="E20" s="13"/>
      <c r="F20" s="14">
        <v>2000</v>
      </c>
      <c r="G20" s="13">
        <f t="shared" ref="G20:G32" si="3">F20+E20+D20</f>
        <v>2000</v>
      </c>
      <c r="H20" s="14">
        <v>2000</v>
      </c>
      <c r="I20" s="43">
        <f>G20-H20</f>
        <v>0</v>
      </c>
    </row>
    <row r="21" spans="1:9" x14ac:dyDescent="0.25">
      <c r="B21" s="39">
        <v>4</v>
      </c>
      <c r="C21" s="44" t="s">
        <v>72</v>
      </c>
      <c r="D21" s="14"/>
      <c r="E21" s="13"/>
      <c r="F21" s="46">
        <v>2000</v>
      </c>
      <c r="G21" s="13">
        <f t="shared" si="3"/>
        <v>2000</v>
      </c>
      <c r="H21" s="43">
        <v>2000</v>
      </c>
      <c r="I21" s="43">
        <f t="shared" si="2"/>
        <v>0</v>
      </c>
    </row>
    <row r="22" spans="1:9" ht="22.5" x14ac:dyDescent="0.25">
      <c r="B22" s="39">
        <v>5</v>
      </c>
      <c r="C22" s="40" t="s">
        <v>59</v>
      </c>
      <c r="D22" s="12"/>
      <c r="E22" s="13"/>
      <c r="F22" s="41">
        <v>2000</v>
      </c>
      <c r="G22" s="13">
        <f t="shared" si="3"/>
        <v>2000</v>
      </c>
      <c r="H22" s="42">
        <v>2000</v>
      </c>
      <c r="I22" s="43">
        <f t="shared" si="2"/>
        <v>0</v>
      </c>
    </row>
    <row r="23" spans="1:9" ht="22.5" x14ac:dyDescent="0.25">
      <c r="B23" s="39">
        <v>6</v>
      </c>
      <c r="C23" s="40" t="s">
        <v>50</v>
      </c>
      <c r="D23" s="14"/>
      <c r="E23" s="13"/>
      <c r="F23" s="49">
        <v>2000</v>
      </c>
      <c r="G23" s="13">
        <f t="shared" si="3"/>
        <v>2000</v>
      </c>
      <c r="H23" s="50">
        <v>2000</v>
      </c>
      <c r="I23" s="43">
        <f t="shared" si="2"/>
        <v>0</v>
      </c>
    </row>
    <row r="24" spans="1:9" ht="22.5" x14ac:dyDescent="0.25">
      <c r="B24" s="39">
        <v>7</v>
      </c>
      <c r="C24" s="40" t="s">
        <v>68</v>
      </c>
      <c r="D24" s="12"/>
      <c r="E24" s="13"/>
      <c r="F24" s="41">
        <v>2000</v>
      </c>
      <c r="G24" s="13">
        <f t="shared" si="3"/>
        <v>2000</v>
      </c>
      <c r="H24" s="42">
        <v>2000</v>
      </c>
      <c r="I24" s="43">
        <f t="shared" si="2"/>
        <v>0</v>
      </c>
    </row>
    <row r="25" spans="1:9" ht="22.5" x14ac:dyDescent="0.25">
      <c r="B25" s="39">
        <v>8</v>
      </c>
      <c r="C25" s="40" t="s">
        <v>41</v>
      </c>
      <c r="D25" s="12"/>
      <c r="E25" s="13"/>
      <c r="F25" s="41">
        <v>2000</v>
      </c>
      <c r="G25" s="13">
        <f t="shared" si="3"/>
        <v>2000</v>
      </c>
      <c r="H25" s="42">
        <v>2000</v>
      </c>
      <c r="I25" s="43">
        <f t="shared" si="2"/>
        <v>0</v>
      </c>
    </row>
    <row r="26" spans="1:9" ht="22.5" x14ac:dyDescent="0.25">
      <c r="B26" s="39">
        <v>9</v>
      </c>
      <c r="C26" s="44" t="s">
        <v>42</v>
      </c>
      <c r="D26" s="12"/>
      <c r="E26" s="13"/>
      <c r="F26" s="41">
        <v>1500</v>
      </c>
      <c r="G26" s="13">
        <f t="shared" si="3"/>
        <v>1500</v>
      </c>
      <c r="H26" s="42">
        <v>1500</v>
      </c>
      <c r="I26" s="43">
        <f t="shared" si="2"/>
        <v>0</v>
      </c>
    </row>
    <row r="27" spans="1:9" ht="22.5" x14ac:dyDescent="0.25">
      <c r="B27" s="39">
        <v>10</v>
      </c>
      <c r="C27" s="44" t="s">
        <v>73</v>
      </c>
      <c r="D27" s="12"/>
      <c r="E27" s="13"/>
      <c r="F27" s="41">
        <v>1500</v>
      </c>
      <c r="G27" s="13">
        <f t="shared" si="3"/>
        <v>1500</v>
      </c>
      <c r="H27" s="42">
        <v>1500</v>
      </c>
      <c r="I27" s="43">
        <f t="shared" si="2"/>
        <v>0</v>
      </c>
    </row>
    <row r="28" spans="1:9" ht="22.5" x14ac:dyDescent="0.25">
      <c r="B28" s="39">
        <v>11</v>
      </c>
      <c r="C28" s="40" t="s">
        <v>53</v>
      </c>
      <c r="D28" s="12"/>
      <c r="E28" s="13"/>
      <c r="F28" s="41">
        <v>1500</v>
      </c>
      <c r="G28" s="13">
        <f t="shared" si="3"/>
        <v>1500</v>
      </c>
      <c r="H28" s="42">
        <v>1500</v>
      </c>
      <c r="I28" s="43">
        <f>G28-H28</f>
        <v>0</v>
      </c>
    </row>
    <row r="29" spans="1:9" x14ac:dyDescent="0.25">
      <c r="B29" s="39">
        <v>12</v>
      </c>
      <c r="C29" s="44" t="s">
        <v>70</v>
      </c>
      <c r="D29" s="12"/>
      <c r="E29" s="13"/>
      <c r="F29" s="41">
        <v>1500</v>
      </c>
      <c r="G29" s="13">
        <f t="shared" si="3"/>
        <v>1500</v>
      </c>
      <c r="H29" s="42">
        <v>1500</v>
      </c>
      <c r="I29" s="43">
        <f t="shared" si="2"/>
        <v>0</v>
      </c>
    </row>
    <row r="30" spans="1:9" ht="22.5" x14ac:dyDescent="0.25">
      <c r="B30" s="39">
        <v>13</v>
      </c>
      <c r="C30" s="44" t="s">
        <v>60</v>
      </c>
      <c r="D30" s="12"/>
      <c r="E30" s="13"/>
      <c r="F30" s="41">
        <v>1500</v>
      </c>
      <c r="G30" s="13">
        <f t="shared" si="3"/>
        <v>1500</v>
      </c>
      <c r="H30" s="42">
        <v>1500</v>
      </c>
      <c r="I30" s="43">
        <f>G30-H30</f>
        <v>0</v>
      </c>
    </row>
    <row r="31" spans="1:9" ht="22.5" x14ac:dyDescent="0.25">
      <c r="B31" s="39">
        <v>14</v>
      </c>
      <c r="C31" s="44" t="s">
        <v>43</v>
      </c>
      <c r="D31" s="12"/>
      <c r="E31" s="13"/>
      <c r="F31" s="41">
        <v>1500</v>
      </c>
      <c r="G31" s="13">
        <f t="shared" si="3"/>
        <v>1500</v>
      </c>
      <c r="H31" s="42">
        <v>1500</v>
      </c>
      <c r="I31" s="43">
        <f t="shared" si="2"/>
        <v>0</v>
      </c>
    </row>
    <row r="32" spans="1:9" ht="22.5" x14ac:dyDescent="0.25">
      <c r="B32" s="39">
        <v>15</v>
      </c>
      <c r="C32" s="44" t="s">
        <v>69</v>
      </c>
      <c r="D32" s="12"/>
      <c r="E32" s="13"/>
      <c r="F32" s="41">
        <v>1500</v>
      </c>
      <c r="G32" s="13">
        <f t="shared" si="3"/>
        <v>1500</v>
      </c>
      <c r="H32" s="42">
        <v>1500</v>
      </c>
      <c r="I32" s="43">
        <f>G32-H32</f>
        <v>0</v>
      </c>
    </row>
    <row r="33" spans="2:11" ht="22.5" x14ac:dyDescent="0.25">
      <c r="B33" s="39">
        <v>16</v>
      </c>
      <c r="C33" s="44" t="s">
        <v>44</v>
      </c>
      <c r="D33" s="12"/>
      <c r="E33" s="13"/>
      <c r="F33" s="41">
        <v>1500</v>
      </c>
      <c r="G33" s="13">
        <f>F33+E33+D33</f>
        <v>1500</v>
      </c>
      <c r="H33" s="42"/>
      <c r="I33" s="43">
        <f t="shared" si="2"/>
        <v>1500</v>
      </c>
    </row>
    <row r="34" spans="2:11" x14ac:dyDescent="0.25">
      <c r="B34" s="39"/>
      <c r="C34" s="51" t="s">
        <v>7</v>
      </c>
      <c r="D34" s="52">
        <f>SUM(D18:D33)</f>
        <v>0</v>
      </c>
      <c r="E34" s="13">
        <f>SUM(E18:E33)</f>
        <v>0</v>
      </c>
      <c r="F34" s="53">
        <f>SUM(F18:F33)</f>
        <v>28000</v>
      </c>
      <c r="G34" s="13">
        <f>D34+E34+F34</f>
        <v>28000</v>
      </c>
      <c r="H34" s="10">
        <f>SUM(H18:H33)</f>
        <v>26500</v>
      </c>
      <c r="I34" s="43">
        <f>G34-H34</f>
        <v>1500</v>
      </c>
    </row>
    <row r="35" spans="2:11" x14ac:dyDescent="0.25">
      <c r="B35" s="56" t="s">
        <v>34</v>
      </c>
      <c r="C35" s="17"/>
      <c r="D35" s="18"/>
      <c r="E35" s="17"/>
      <c r="F35" s="19"/>
      <c r="G35" s="17"/>
      <c r="H35" s="1"/>
      <c r="I35" s="6"/>
    </row>
    <row r="36" spans="2:11" x14ac:dyDescent="0.25">
      <c r="B36" s="20" t="s">
        <v>8</v>
      </c>
      <c r="C36" s="20" t="s">
        <v>9</v>
      </c>
      <c r="D36" s="20" t="s">
        <v>10</v>
      </c>
      <c r="E36" s="20" t="s">
        <v>11</v>
      </c>
      <c r="F36" s="20" t="s">
        <v>8</v>
      </c>
      <c r="G36" s="20" t="s">
        <v>9</v>
      </c>
      <c r="H36" s="20" t="s">
        <v>10</v>
      </c>
      <c r="I36" s="21" t="s">
        <v>6</v>
      </c>
    </row>
    <row r="37" spans="2:11" x14ac:dyDescent="0.25">
      <c r="B37" s="22" t="s">
        <v>65</v>
      </c>
      <c r="C37" s="8">
        <f>F34+F16</f>
        <v>31000</v>
      </c>
      <c r="D37" s="23"/>
      <c r="E37" s="23"/>
      <c r="F37" s="22" t="s">
        <v>65</v>
      </c>
      <c r="G37" s="8">
        <f>H34+H16</f>
        <v>29500</v>
      </c>
      <c r="H37" s="23"/>
      <c r="I37" s="8"/>
    </row>
    <row r="38" spans="2:11" x14ac:dyDescent="0.25">
      <c r="B38" s="22" t="s">
        <v>12</v>
      </c>
      <c r="C38" s="24">
        <v>0.1</v>
      </c>
      <c r="D38" s="25">
        <f>C37*C38</f>
        <v>3100</v>
      </c>
      <c r="E38" s="22"/>
      <c r="F38" s="22" t="s">
        <v>12</v>
      </c>
      <c r="G38" s="24">
        <v>0.1</v>
      </c>
      <c r="H38" s="25">
        <f>D38</f>
        <v>3100</v>
      </c>
      <c r="I38" s="8"/>
      <c r="K38" s="60"/>
    </row>
    <row r="39" spans="2:11" x14ac:dyDescent="0.25">
      <c r="B39" s="22" t="s">
        <v>15</v>
      </c>
      <c r="C39" s="24">
        <v>0.3</v>
      </c>
      <c r="D39" s="25"/>
      <c r="E39" s="22"/>
      <c r="F39" s="22" t="s">
        <v>15</v>
      </c>
      <c r="G39" s="24">
        <v>0.3</v>
      </c>
      <c r="H39" s="25"/>
      <c r="I39" s="8"/>
      <c r="K39" s="60"/>
    </row>
    <row r="40" spans="2:11" ht="1.5" customHeight="1" x14ac:dyDescent="0.25">
      <c r="B40" s="26" t="s">
        <v>13</v>
      </c>
      <c r="C40" s="25">
        <f>D34</f>
        <v>0</v>
      </c>
      <c r="D40" s="22"/>
      <c r="E40" s="22"/>
      <c r="F40" s="26"/>
      <c r="G40" s="25"/>
      <c r="H40" s="22"/>
      <c r="I40" s="8"/>
    </row>
    <row r="41" spans="2:11" x14ac:dyDescent="0.25">
      <c r="B41" s="26" t="s">
        <v>2</v>
      </c>
      <c r="C41" s="25">
        <f>'JANUARY 20'!E50</f>
        <v>803.29999999999927</v>
      </c>
      <c r="D41" s="22"/>
      <c r="E41" s="22"/>
      <c r="F41" s="26" t="s">
        <v>2</v>
      </c>
      <c r="G41" s="25">
        <f>'JANUARY 20'!I50</f>
        <v>-696.70000000000073</v>
      </c>
      <c r="H41" s="22"/>
      <c r="I41" s="8"/>
    </row>
    <row r="42" spans="2:11" x14ac:dyDescent="0.25">
      <c r="B42" s="26" t="s">
        <v>7</v>
      </c>
      <c r="C42" s="25">
        <f>C37+C41+C40</f>
        <v>31803.3</v>
      </c>
      <c r="D42" s="22"/>
      <c r="E42" s="22"/>
      <c r="F42" s="26" t="s">
        <v>7</v>
      </c>
      <c r="G42" s="25">
        <f>G37+G41+G39</f>
        <v>28803.599999999999</v>
      </c>
      <c r="H42" s="22"/>
      <c r="I42" s="8"/>
    </row>
    <row r="43" spans="2:11" x14ac:dyDescent="0.25">
      <c r="B43" s="57" t="s">
        <v>14</v>
      </c>
      <c r="C43" s="24"/>
      <c r="D43" s="58"/>
      <c r="E43" s="22"/>
      <c r="F43" s="57" t="s">
        <v>14</v>
      </c>
      <c r="G43" s="24"/>
      <c r="H43" s="58"/>
      <c r="I43" s="8"/>
    </row>
    <row r="44" spans="2:11" x14ac:dyDescent="0.25">
      <c r="B44" s="27" t="s">
        <v>67</v>
      </c>
      <c r="C44" s="59"/>
      <c r="D44" s="29">
        <v>1500</v>
      </c>
      <c r="E44" s="28"/>
      <c r="F44" s="27" t="s">
        <v>67</v>
      </c>
      <c r="G44" s="59"/>
      <c r="H44" s="29">
        <v>1500</v>
      </c>
      <c r="I44" s="30"/>
    </row>
    <row r="45" spans="2:11" x14ac:dyDescent="0.25">
      <c r="B45" s="27" t="s">
        <v>71</v>
      </c>
      <c r="C45" s="59"/>
      <c r="D45" s="29">
        <v>25404</v>
      </c>
      <c r="E45" s="28"/>
      <c r="F45" s="27" t="s">
        <v>71</v>
      </c>
      <c r="G45" s="59"/>
      <c r="H45" s="29">
        <v>25404</v>
      </c>
      <c r="I45" s="30"/>
    </row>
    <row r="46" spans="2:11" x14ac:dyDescent="0.25">
      <c r="B46" s="27" t="s">
        <v>74</v>
      </c>
      <c r="C46" s="59"/>
      <c r="D46" s="29">
        <v>1800</v>
      </c>
      <c r="E46" s="28"/>
      <c r="F46" s="27" t="s">
        <v>74</v>
      </c>
      <c r="G46" s="59"/>
      <c r="H46" s="29">
        <v>1800</v>
      </c>
      <c r="I46" s="30"/>
    </row>
    <row r="47" spans="2:11" x14ac:dyDescent="0.25">
      <c r="B47" s="27" t="s">
        <v>119</v>
      </c>
      <c r="C47" s="59"/>
      <c r="D47" s="29">
        <v>1500</v>
      </c>
      <c r="E47" s="28"/>
      <c r="F47" s="27" t="s">
        <v>119</v>
      </c>
      <c r="G47" s="59"/>
      <c r="H47" s="29">
        <v>1500</v>
      </c>
      <c r="I47" s="30"/>
    </row>
    <row r="48" spans="2:11" x14ac:dyDescent="0.25">
      <c r="B48" s="11" t="s">
        <v>7</v>
      </c>
      <c r="C48" s="34">
        <f>C37+C39+C40+C41-D38-D39</f>
        <v>28703.599999999999</v>
      </c>
      <c r="D48" s="7">
        <f>SUM(D44:D47)</f>
        <v>30204</v>
      </c>
      <c r="E48" s="7">
        <f>C48-D48</f>
        <v>-1500.4000000000015</v>
      </c>
      <c r="F48" s="11" t="s">
        <v>7</v>
      </c>
      <c r="G48" s="34">
        <f>G37+G39+G41-H38</f>
        <v>25703.599999999999</v>
      </c>
      <c r="H48" s="7">
        <f>SUM(H44:H47)</f>
        <v>30204</v>
      </c>
      <c r="I48" s="7">
        <f>G48-H48</f>
        <v>-4500.4000000000015</v>
      </c>
    </row>
    <row r="49" spans="2:9" x14ac:dyDescent="0.25">
      <c r="B49" s="1" t="s">
        <v>16</v>
      </c>
      <c r="C49" s="16"/>
      <c r="E49" s="1" t="s">
        <v>17</v>
      </c>
      <c r="H49" s="1" t="s">
        <v>18</v>
      </c>
      <c r="I49" s="6"/>
    </row>
    <row r="50" spans="2:9" x14ac:dyDescent="0.25">
      <c r="B50" s="1" t="s">
        <v>35</v>
      </c>
      <c r="C50" s="1"/>
      <c r="E50" s="1" t="s">
        <v>36</v>
      </c>
      <c r="H50" s="1" t="s">
        <v>63</v>
      </c>
    </row>
  </sheetData>
  <pageMargins left="0.7" right="0.7" top="0" bottom="0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B10" sqref="B10"/>
    </sheetView>
  </sheetViews>
  <sheetFormatPr defaultRowHeight="15" x14ac:dyDescent="0.25"/>
  <cols>
    <col min="1" max="1" width="12.140625" customWidth="1"/>
    <col min="11" max="11" width="14.85546875" customWidth="1"/>
  </cols>
  <sheetData>
    <row r="1" spans="1:16" ht="15.75" x14ac:dyDescent="0.25">
      <c r="B1" s="1"/>
      <c r="C1" s="2" t="s">
        <v>55</v>
      </c>
      <c r="D1" s="1"/>
      <c r="E1" s="1"/>
      <c r="F1" s="1"/>
    </row>
    <row r="2" spans="1:16" ht="15.75" x14ac:dyDescent="0.25">
      <c r="C2" s="3"/>
      <c r="D2" s="3" t="s">
        <v>0</v>
      </c>
      <c r="E2" s="1"/>
      <c r="F2" s="1"/>
    </row>
    <row r="3" spans="1:16" ht="21" x14ac:dyDescent="0.25">
      <c r="C3" s="4" t="s">
        <v>314</v>
      </c>
      <c r="D3" s="3"/>
      <c r="E3" s="5"/>
      <c r="F3" s="5"/>
    </row>
    <row r="4" spans="1:16" x14ac:dyDescent="0.25">
      <c r="D4" s="35" t="s">
        <v>48</v>
      </c>
    </row>
    <row r="5" spans="1:16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6" ht="22.5" x14ac:dyDescent="0.25">
      <c r="A6" s="39" t="s">
        <v>23</v>
      </c>
      <c r="B6" s="40" t="s">
        <v>45</v>
      </c>
      <c r="C6" s="12"/>
      <c r="D6" s="13">
        <f>'JULY 21'!H6:H15</f>
        <v>500</v>
      </c>
      <c r="E6" s="41">
        <v>1500</v>
      </c>
      <c r="F6" s="13">
        <f>E6+D6+C6</f>
        <v>2000</v>
      </c>
      <c r="G6" s="42">
        <v>2000</v>
      </c>
      <c r="H6" s="43">
        <f>F6-G6</f>
        <v>0</v>
      </c>
    </row>
    <row r="7" spans="1:16" ht="22.5" x14ac:dyDescent="0.25">
      <c r="A7" s="39" t="s">
        <v>24</v>
      </c>
      <c r="B7" s="44" t="s">
        <v>317</v>
      </c>
      <c r="C7" s="12"/>
      <c r="D7" s="13">
        <f>'JULY 21'!H7:H16</f>
        <v>0</v>
      </c>
      <c r="E7" s="41">
        <v>1500</v>
      </c>
      <c r="F7" s="13">
        <f t="shared" ref="F7:F15" si="0">E7+D7+C7</f>
        <v>1500</v>
      </c>
      <c r="G7" s="13">
        <v>1500</v>
      </c>
      <c r="H7" s="43">
        <f>F7-G7</f>
        <v>0</v>
      </c>
    </row>
    <row r="8" spans="1:16" x14ac:dyDescent="0.25">
      <c r="A8" s="39" t="s">
        <v>26</v>
      </c>
      <c r="B8" s="72" t="s">
        <v>325</v>
      </c>
      <c r="C8" s="14"/>
      <c r="D8" s="13">
        <f>'JULY 21'!H8:H17</f>
        <v>0</v>
      </c>
      <c r="E8" s="14"/>
      <c r="F8" s="13">
        <f t="shared" si="0"/>
        <v>0</v>
      </c>
      <c r="G8" s="14"/>
      <c r="H8" s="43">
        <f t="shared" ref="H8:H14" si="1">F8-G8</f>
        <v>0</v>
      </c>
      <c r="I8" t="s">
        <v>128</v>
      </c>
    </row>
    <row r="9" spans="1:16" x14ac:dyDescent="0.25">
      <c r="A9" s="45" t="s">
        <v>27</v>
      </c>
      <c r="B9" s="55" t="s">
        <v>46</v>
      </c>
      <c r="C9" s="14"/>
      <c r="D9" s="13">
        <f>'JULY 21'!H9:H18</f>
        <v>0</v>
      </c>
      <c r="E9" s="46">
        <v>0</v>
      </c>
      <c r="F9" s="13">
        <f t="shared" si="0"/>
        <v>0</v>
      </c>
      <c r="G9" s="43"/>
      <c r="H9" s="43">
        <f t="shared" si="1"/>
        <v>0</v>
      </c>
    </row>
    <row r="10" spans="1:16" ht="22.5" x14ac:dyDescent="0.25">
      <c r="A10" s="47" t="s">
        <v>28</v>
      </c>
      <c r="B10" s="44" t="s">
        <v>330</v>
      </c>
      <c r="C10" s="12"/>
      <c r="D10" s="13">
        <f>'JULY 21'!H10:H19</f>
        <v>0</v>
      </c>
      <c r="E10" s="41">
        <v>1500</v>
      </c>
      <c r="F10" s="13">
        <f t="shared" si="0"/>
        <v>1500</v>
      </c>
      <c r="G10" s="42">
        <v>1500</v>
      </c>
      <c r="H10" s="43">
        <f t="shared" si="1"/>
        <v>0</v>
      </c>
    </row>
    <row r="11" spans="1:16" ht="22.5" x14ac:dyDescent="0.25">
      <c r="A11" s="48" t="s">
        <v>29</v>
      </c>
      <c r="B11" s="40" t="s">
        <v>318</v>
      </c>
      <c r="C11" s="14"/>
      <c r="D11" s="13">
        <f>'JULY 21'!H11:H20</f>
        <v>0</v>
      </c>
      <c r="E11" s="49">
        <v>1500</v>
      </c>
      <c r="F11" s="13">
        <f t="shared" si="0"/>
        <v>1500</v>
      </c>
      <c r="G11" s="50">
        <v>1500</v>
      </c>
      <c r="H11" s="43">
        <f t="shared" si="1"/>
        <v>0</v>
      </c>
    </row>
    <row r="12" spans="1:16" x14ac:dyDescent="0.25">
      <c r="A12" s="39" t="s">
        <v>30</v>
      </c>
      <c r="B12" s="67" t="s">
        <v>46</v>
      </c>
      <c r="C12" s="12"/>
      <c r="D12" s="13">
        <f>'JULY 21'!H12:H21</f>
        <v>0</v>
      </c>
      <c r="E12" s="41"/>
      <c r="F12" s="13">
        <f>E12+D12+C12</f>
        <v>0</v>
      </c>
      <c r="G12" s="42"/>
      <c r="H12" s="43">
        <f t="shared" si="1"/>
        <v>0</v>
      </c>
      <c r="L12" s="60">
        <f>E16</f>
        <v>6000</v>
      </c>
    </row>
    <row r="13" spans="1:16" ht="33.75" x14ac:dyDescent="0.25">
      <c r="A13" s="39" t="s">
        <v>31</v>
      </c>
      <c r="B13" s="73" t="s">
        <v>326</v>
      </c>
      <c r="C13" s="12"/>
      <c r="D13" s="13"/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23500</v>
      </c>
    </row>
    <row r="14" spans="1:16" x14ac:dyDescent="0.25">
      <c r="A14" s="39" t="s">
        <v>32</v>
      </c>
      <c r="B14" s="44" t="s">
        <v>25</v>
      </c>
      <c r="C14" s="12"/>
      <c r="D14" s="13">
        <f>'JULY 21'!H14:H23</f>
        <v>0</v>
      </c>
      <c r="E14" s="41"/>
      <c r="F14" s="13">
        <f>E14+D14+C14</f>
        <v>0</v>
      </c>
      <c r="G14" s="42"/>
      <c r="H14" s="43">
        <f t="shared" si="1"/>
        <v>0</v>
      </c>
      <c r="L14" s="60">
        <f>L12+L13</f>
        <v>29500</v>
      </c>
    </row>
    <row r="15" spans="1:16" x14ac:dyDescent="0.25">
      <c r="A15" s="39" t="s">
        <v>33</v>
      </c>
      <c r="B15" s="55" t="s">
        <v>301</v>
      </c>
      <c r="C15" s="68"/>
      <c r="D15" s="64">
        <f>'JULY 21'!H15:H24</f>
        <v>3000</v>
      </c>
      <c r="E15" s="69"/>
      <c r="F15" s="64">
        <f t="shared" si="0"/>
        <v>3000</v>
      </c>
      <c r="G15" s="64"/>
      <c r="H15" s="70"/>
      <c r="I15" s="66" t="s">
        <v>75</v>
      </c>
      <c r="J15" t="s">
        <v>177</v>
      </c>
      <c r="L15" s="60">
        <f>C38</f>
        <v>2950</v>
      </c>
      <c r="O15" s="66"/>
      <c r="P15" s="66"/>
    </row>
    <row r="16" spans="1:16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3500</v>
      </c>
      <c r="E16" s="53">
        <f t="shared" si="2"/>
        <v>6000</v>
      </c>
      <c r="F16" s="13">
        <f t="shared" si="2"/>
        <v>9500</v>
      </c>
      <c r="G16" s="10">
        <f>SUM(G6:G15)</f>
        <v>6500</v>
      </c>
      <c r="H16" s="54">
        <f>SUM(H6:H15)</f>
        <v>0</v>
      </c>
      <c r="L16" s="60">
        <f>L14-L15</f>
        <v>26550</v>
      </c>
      <c r="O16" s="62">
        <v>16228</v>
      </c>
      <c r="P16" s="66" t="s">
        <v>323</v>
      </c>
    </row>
    <row r="17" spans="1:17" x14ac:dyDescent="0.25">
      <c r="C17" s="35"/>
      <c r="D17" s="35" t="s">
        <v>37</v>
      </c>
      <c r="E17" s="35"/>
      <c r="J17" t="s">
        <v>225</v>
      </c>
      <c r="L17" s="60">
        <v>5114</v>
      </c>
      <c r="N17" t="s">
        <v>5</v>
      </c>
      <c r="O17" s="62">
        <v>5000</v>
      </c>
      <c r="P17" s="66"/>
    </row>
    <row r="18" spans="1:17" ht="22.5" x14ac:dyDescent="0.25">
      <c r="A18" s="39">
        <v>1</v>
      </c>
      <c r="B18" s="55" t="s">
        <v>164</v>
      </c>
      <c r="C18" s="68"/>
      <c r="D18" s="64">
        <f>'JULY 21'!H18:H34</f>
        <v>2600</v>
      </c>
      <c r="E18" s="71"/>
      <c r="F18" s="64">
        <f>C18+D18+E18</f>
        <v>2600</v>
      </c>
      <c r="G18" s="64"/>
      <c r="H18" s="70"/>
      <c r="I18" s="66" t="s">
        <v>75</v>
      </c>
      <c r="L18" s="60">
        <f>L16-L17</f>
        <v>21436</v>
      </c>
      <c r="O18" s="62">
        <f>O16-O17</f>
        <v>11228</v>
      </c>
      <c r="P18" s="66" t="s">
        <v>327</v>
      </c>
      <c r="Q18" s="60">
        <f>O16/2</f>
        <v>8114</v>
      </c>
    </row>
    <row r="19" spans="1:17" x14ac:dyDescent="0.25">
      <c r="A19" s="39">
        <v>2</v>
      </c>
      <c r="B19" s="44" t="s">
        <v>152</v>
      </c>
      <c r="C19" s="12"/>
      <c r="D19" s="13">
        <f>'JULY 21'!H19:H35</f>
        <v>0</v>
      </c>
      <c r="E19" s="41">
        <v>2000</v>
      </c>
      <c r="F19" s="13">
        <f>E19+D19+C19</f>
        <v>2000</v>
      </c>
      <c r="G19" s="13">
        <f>2000</f>
        <v>2000</v>
      </c>
      <c r="H19" s="43">
        <f>F19-G19</f>
        <v>0</v>
      </c>
      <c r="L19" s="61"/>
      <c r="N19" s="60"/>
      <c r="O19" s="66"/>
      <c r="P19" s="66"/>
    </row>
    <row r="20" spans="1:17" x14ac:dyDescent="0.25">
      <c r="A20" s="39">
        <v>3</v>
      </c>
      <c r="B20" s="14" t="s">
        <v>39</v>
      </c>
      <c r="C20" s="14"/>
      <c r="D20" s="13">
        <f>'JULY 21'!H20:H36</f>
        <v>0</v>
      </c>
      <c r="E20" s="14">
        <v>2000</v>
      </c>
      <c r="F20" s="13">
        <f t="shared" ref="F20:F32" si="3">E20+D20+C20</f>
        <v>2000</v>
      </c>
      <c r="G20" s="14">
        <v>2000</v>
      </c>
      <c r="H20" s="43">
        <f>F20-G20</f>
        <v>0</v>
      </c>
      <c r="L20" s="60"/>
      <c r="N20" s="60"/>
      <c r="O20" s="66"/>
      <c r="P20" s="66"/>
    </row>
    <row r="21" spans="1:17" x14ac:dyDescent="0.25">
      <c r="A21" s="39">
        <v>4</v>
      </c>
      <c r="B21" s="44" t="s">
        <v>320</v>
      </c>
      <c r="C21" s="14"/>
      <c r="D21" s="13">
        <f>'JULY 21'!H21:H37</f>
        <v>500</v>
      </c>
      <c r="E21" s="46">
        <v>2000</v>
      </c>
      <c r="F21" s="13">
        <f t="shared" si="3"/>
        <v>2500</v>
      </c>
      <c r="G21" s="43">
        <f>500+2000</f>
        <v>2500</v>
      </c>
      <c r="H21" s="43">
        <f>F21-G21</f>
        <v>0</v>
      </c>
      <c r="L21" s="60">
        <f>L18-L19-L20</f>
        <v>21436</v>
      </c>
      <c r="N21" s="60"/>
    </row>
    <row r="22" spans="1:17" ht="22.5" x14ac:dyDescent="0.25">
      <c r="A22" s="39">
        <v>5</v>
      </c>
      <c r="B22" s="40" t="s">
        <v>312</v>
      </c>
      <c r="C22" s="12"/>
      <c r="D22" s="13">
        <f>'JULY 21'!H22:H38</f>
        <v>0</v>
      </c>
      <c r="E22" s="41">
        <v>2000</v>
      </c>
      <c r="F22" s="13">
        <f t="shared" si="3"/>
        <v>2000</v>
      </c>
      <c r="G22" s="42">
        <v>2000</v>
      </c>
      <c r="H22" s="43">
        <f t="shared" ref="H22:H33" si="4">F22-G22</f>
        <v>0</v>
      </c>
      <c r="K22" t="s">
        <v>5</v>
      </c>
      <c r="L22">
        <v>3051</v>
      </c>
    </row>
    <row r="23" spans="1:17" x14ac:dyDescent="0.25">
      <c r="A23" s="39">
        <v>6</v>
      </c>
      <c r="B23" s="40" t="s">
        <v>128</v>
      </c>
      <c r="C23" s="14"/>
      <c r="D23" s="13">
        <f>'JULY 21'!H23:H39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K23" t="s">
        <v>5</v>
      </c>
      <c r="L23" s="60">
        <v>2032</v>
      </c>
    </row>
    <row r="24" spans="1:17" x14ac:dyDescent="0.25">
      <c r="A24" s="39">
        <v>7</v>
      </c>
      <c r="B24" s="40" t="s">
        <v>204</v>
      </c>
      <c r="C24" s="12"/>
      <c r="D24" s="13">
        <f>'JULY 21'!H24:H40</f>
        <v>0</v>
      </c>
      <c r="E24" s="41">
        <v>2000</v>
      </c>
      <c r="F24" s="13">
        <f t="shared" si="3"/>
        <v>2000</v>
      </c>
      <c r="G24" s="42">
        <f>2000</f>
        <v>2000</v>
      </c>
      <c r="H24" s="43">
        <f t="shared" si="4"/>
        <v>0</v>
      </c>
      <c r="L24" s="60">
        <f>L21-L22-L23</f>
        <v>16353</v>
      </c>
    </row>
    <row r="25" spans="1:17" ht="22.5" x14ac:dyDescent="0.25">
      <c r="A25" s="39">
        <v>8</v>
      </c>
      <c r="B25" s="40" t="s">
        <v>41</v>
      </c>
      <c r="C25" s="12"/>
      <c r="D25" s="13">
        <f>'JULY 21'!H25:H41</f>
        <v>1500</v>
      </c>
      <c r="E25" s="41">
        <v>2000</v>
      </c>
      <c r="F25" s="13">
        <f t="shared" si="3"/>
        <v>3500</v>
      </c>
      <c r="G25" s="42">
        <f>2000+1000</f>
        <v>3000</v>
      </c>
      <c r="H25" s="43">
        <f>F25-G25</f>
        <v>500</v>
      </c>
      <c r="L25" s="60"/>
      <c r="O25" s="60">
        <f>L12</f>
        <v>6000</v>
      </c>
    </row>
    <row r="26" spans="1:17" ht="22.5" x14ac:dyDescent="0.25">
      <c r="A26" s="39">
        <v>9</v>
      </c>
      <c r="B26" s="63" t="s">
        <v>285</v>
      </c>
      <c r="C26" s="44"/>
      <c r="D26" s="13">
        <f>'JULY 21'!H26:H42</f>
        <v>0</v>
      </c>
      <c r="E26" s="13">
        <v>1500</v>
      </c>
      <c r="F26" s="13">
        <f t="shared" si="3"/>
        <v>1500</v>
      </c>
      <c r="G26" s="13">
        <f>1500</f>
        <v>1500</v>
      </c>
      <c r="H26" s="43">
        <f>F26-G26</f>
        <v>0</v>
      </c>
      <c r="L26" s="60">
        <f>L24-L25</f>
        <v>16353</v>
      </c>
      <c r="O26" s="60">
        <f>L13</f>
        <v>23500</v>
      </c>
    </row>
    <row r="27" spans="1:17" ht="22.5" x14ac:dyDescent="0.25">
      <c r="A27" s="39">
        <v>10</v>
      </c>
      <c r="B27" s="44" t="s">
        <v>222</v>
      </c>
      <c r="C27" s="12"/>
      <c r="D27" s="13">
        <f>'JULY 21'!H27:H43</f>
        <v>0</v>
      </c>
      <c r="E27" s="41">
        <v>1500</v>
      </c>
      <c r="F27" s="13">
        <f t="shared" si="3"/>
        <v>1500</v>
      </c>
      <c r="G27" s="42">
        <v>1500</v>
      </c>
      <c r="H27" s="43">
        <f t="shared" si="4"/>
        <v>0</v>
      </c>
      <c r="O27" s="60">
        <f>O25+O26</f>
        <v>29500</v>
      </c>
    </row>
    <row r="28" spans="1:17" ht="22.5" x14ac:dyDescent="0.25">
      <c r="A28" s="39">
        <v>11</v>
      </c>
      <c r="B28" s="40" t="s">
        <v>53</v>
      </c>
      <c r="C28" s="12"/>
      <c r="D28" s="13">
        <f>'JULY 21'!H28:H44</f>
        <v>250</v>
      </c>
      <c r="E28" s="41">
        <v>1500</v>
      </c>
      <c r="F28" s="13">
        <f t="shared" si="3"/>
        <v>1750</v>
      </c>
      <c r="G28" s="42">
        <f>700+250+350</f>
        <v>1300</v>
      </c>
      <c r="H28" s="43">
        <f>F28-G28</f>
        <v>450</v>
      </c>
      <c r="N28" t="s">
        <v>177</v>
      </c>
      <c r="O28" s="60">
        <f>C38</f>
        <v>2950</v>
      </c>
    </row>
    <row r="29" spans="1:17" ht="22.5" x14ac:dyDescent="0.25">
      <c r="A29" s="39">
        <v>12</v>
      </c>
      <c r="B29" s="44" t="s">
        <v>297</v>
      </c>
      <c r="C29" s="12"/>
      <c r="D29" s="13">
        <f>'JULY 21'!H29:H45</f>
        <v>0</v>
      </c>
      <c r="E29" s="41">
        <v>1500</v>
      </c>
      <c r="F29" s="13">
        <f t="shared" si="3"/>
        <v>1500</v>
      </c>
      <c r="G29" s="42">
        <f>1500</f>
        <v>1500</v>
      </c>
      <c r="H29" s="43">
        <f>F29-G29</f>
        <v>0</v>
      </c>
      <c r="O29" s="60">
        <f>O27-O28</f>
        <v>26550</v>
      </c>
    </row>
    <row r="30" spans="1:17" x14ac:dyDescent="0.25">
      <c r="A30" s="39">
        <v>13</v>
      </c>
      <c r="B30" s="44" t="s">
        <v>307</v>
      </c>
      <c r="C30" s="12"/>
      <c r="D30" s="13">
        <f>'JULY 21'!H30:H46</f>
        <v>0</v>
      </c>
      <c r="E30" s="41">
        <v>1500</v>
      </c>
      <c r="F30" s="13">
        <f t="shared" si="3"/>
        <v>1500</v>
      </c>
      <c r="G30" s="42">
        <f>1500</f>
        <v>1500</v>
      </c>
      <c r="H30" s="43">
        <f>F30-G30</f>
        <v>0</v>
      </c>
      <c r="O30" s="61">
        <f>C47</f>
        <v>3051</v>
      </c>
    </row>
    <row r="31" spans="1:17" ht="22.5" x14ac:dyDescent="0.25">
      <c r="A31" s="39">
        <v>14</v>
      </c>
      <c r="B31" s="44" t="s">
        <v>165</v>
      </c>
      <c r="C31" s="12"/>
      <c r="D31" s="13">
        <f>'JULY 21'!H31:H47</f>
        <v>0</v>
      </c>
      <c r="E31" s="41">
        <v>1500</v>
      </c>
      <c r="F31" s="13">
        <f>E31+D31+C31</f>
        <v>1500</v>
      </c>
      <c r="G31" s="42">
        <f>1500</f>
        <v>1500</v>
      </c>
      <c r="H31" s="43">
        <f t="shared" si="4"/>
        <v>0</v>
      </c>
      <c r="O31" s="61">
        <f>C48</f>
        <v>2032</v>
      </c>
    </row>
    <row r="32" spans="1:17" ht="22.5" x14ac:dyDescent="0.25">
      <c r="A32" s="39">
        <v>15</v>
      </c>
      <c r="B32" s="44" t="s">
        <v>136</v>
      </c>
      <c r="C32" s="12"/>
      <c r="D32" s="13">
        <f>'JULY 21'!H32:H48</f>
        <v>100</v>
      </c>
      <c r="E32" s="41">
        <v>1000</v>
      </c>
      <c r="F32" s="13">
        <f t="shared" si="3"/>
        <v>1100</v>
      </c>
      <c r="G32" s="42">
        <f>500+500</f>
        <v>1000</v>
      </c>
      <c r="H32" s="43">
        <f>F32-G32</f>
        <v>100</v>
      </c>
      <c r="O32" s="60">
        <f>O29-O30-O31</f>
        <v>21467</v>
      </c>
    </row>
    <row r="33" spans="1:17" ht="22.5" x14ac:dyDescent="0.25">
      <c r="A33" s="39">
        <v>16</v>
      </c>
      <c r="B33" s="44" t="s">
        <v>272</v>
      </c>
      <c r="C33" s="12"/>
      <c r="D33" s="13">
        <f>'JULY 21'!H33:H49</f>
        <v>0</v>
      </c>
      <c r="E33" s="41">
        <v>1500</v>
      </c>
      <c r="F33" s="13">
        <f>E33+D33+C33</f>
        <v>1500</v>
      </c>
      <c r="G33" s="42">
        <v>1500</v>
      </c>
      <c r="H33" s="43">
        <f t="shared" si="4"/>
        <v>0</v>
      </c>
      <c r="J33" s="60">
        <f>H34+2000</f>
        <v>3050</v>
      </c>
      <c r="O33">
        <v>20000</v>
      </c>
    </row>
    <row r="34" spans="1:17" x14ac:dyDescent="0.25">
      <c r="A34" s="39"/>
      <c r="B34" s="51" t="s">
        <v>7</v>
      </c>
      <c r="C34" s="52">
        <f>SUM(C18:C33)</f>
        <v>0</v>
      </c>
      <c r="D34" s="13">
        <f>SUM(D18:D33)</f>
        <v>4950</v>
      </c>
      <c r="E34" s="53">
        <f>SUM(E18:E33)</f>
        <v>23500</v>
      </c>
      <c r="F34" s="13">
        <f>C34+D34+E34</f>
        <v>28450</v>
      </c>
      <c r="G34" s="10">
        <f>SUM(G18:G33)</f>
        <v>24800</v>
      </c>
      <c r="H34" s="43">
        <f>SUM(H18:H33)</f>
        <v>1050</v>
      </c>
      <c r="O34" s="60">
        <f>O32-O33</f>
        <v>1467</v>
      </c>
      <c r="Q34">
        <f>16228</f>
        <v>16228</v>
      </c>
    </row>
    <row r="35" spans="1:17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  <c r="Q35" s="62">
        <f>O34</f>
        <v>1467</v>
      </c>
    </row>
    <row r="36" spans="1:17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  <c r="Q36" s="60">
        <f>Q34-Q35</f>
        <v>14761</v>
      </c>
    </row>
    <row r="37" spans="1:17" x14ac:dyDescent="0.25">
      <c r="A37" s="22" t="s">
        <v>137</v>
      </c>
      <c r="B37" s="8">
        <f>E34+E16</f>
        <v>29500</v>
      </c>
      <c r="C37" s="23"/>
      <c r="D37" s="13">
        <f>'FEBRUARY 21'!H37:H57</f>
        <v>0</v>
      </c>
      <c r="E37" s="22" t="s">
        <v>137</v>
      </c>
      <c r="F37" s="8">
        <f>G34+G16</f>
        <v>31300</v>
      </c>
      <c r="G37" s="23"/>
      <c r="H37" s="8"/>
      <c r="L37" s="60"/>
    </row>
    <row r="38" spans="1:17" x14ac:dyDescent="0.25">
      <c r="A38" s="22" t="s">
        <v>12</v>
      </c>
      <c r="B38" s="24">
        <v>0.1</v>
      </c>
      <c r="C38" s="25">
        <f>B37*B38</f>
        <v>2950</v>
      </c>
      <c r="D38" s="13">
        <f>'FEBRUARY 21'!H38:H58</f>
        <v>0</v>
      </c>
      <c r="E38" s="22" t="s">
        <v>12</v>
      </c>
      <c r="F38" s="24">
        <v>0.1</v>
      </c>
      <c r="G38" s="25">
        <f>C38</f>
        <v>2950</v>
      </c>
      <c r="H38" s="8"/>
      <c r="K38" s="60"/>
      <c r="L38" s="60"/>
    </row>
    <row r="39" spans="1:17" x14ac:dyDescent="0.25">
      <c r="A39" s="22"/>
      <c r="B39" s="24"/>
      <c r="C39" s="25"/>
      <c r="D39" s="22"/>
      <c r="E39" s="22"/>
      <c r="F39" s="24"/>
      <c r="G39" s="25"/>
      <c r="H39" s="8"/>
      <c r="K39" s="60"/>
      <c r="L39" s="60"/>
    </row>
    <row r="40" spans="1:17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K40" t="s">
        <v>298</v>
      </c>
    </row>
    <row r="41" spans="1:17" x14ac:dyDescent="0.25">
      <c r="A41" s="26" t="s">
        <v>2</v>
      </c>
      <c r="B41" s="25">
        <f>'JULY 21'!D55</f>
        <v>-16227.59999999998</v>
      </c>
      <c r="C41" s="22"/>
      <c r="D41" s="22"/>
      <c r="E41" s="26" t="s">
        <v>2</v>
      </c>
      <c r="F41" s="25">
        <f>'JULY 21'!H55</f>
        <v>-18376.900000000009</v>
      </c>
      <c r="G41" s="22"/>
      <c r="H41" s="8"/>
      <c r="J41" s="60"/>
    </row>
    <row r="42" spans="1:17" x14ac:dyDescent="0.25">
      <c r="A42" s="26" t="s">
        <v>7</v>
      </c>
      <c r="B42" s="25">
        <f>B37+B41+B40</f>
        <v>13272.40000000002</v>
      </c>
      <c r="C42" s="22"/>
      <c r="D42" s="22"/>
      <c r="E42" s="26" t="s">
        <v>7</v>
      </c>
      <c r="F42" s="25">
        <f>F37+F41+F39</f>
        <v>12923.099999999991</v>
      </c>
      <c r="G42" s="22"/>
      <c r="H42" s="8"/>
    </row>
    <row r="43" spans="1:17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7" x14ac:dyDescent="0.25">
      <c r="A44" s="27"/>
      <c r="B44" s="59"/>
      <c r="C44" s="29"/>
      <c r="D44" s="28"/>
      <c r="E44" s="27"/>
      <c r="F44" s="59"/>
      <c r="G44" s="29"/>
      <c r="H44" s="30"/>
    </row>
    <row r="45" spans="1:17" x14ac:dyDescent="0.25">
      <c r="A45" s="27"/>
      <c r="B45" s="59"/>
      <c r="C45" s="29"/>
      <c r="D45" s="28"/>
      <c r="E45" s="27"/>
      <c r="F45" s="59"/>
      <c r="G45" s="29"/>
      <c r="H45" s="30"/>
    </row>
    <row r="46" spans="1:17" x14ac:dyDescent="0.25">
      <c r="A46" s="27"/>
      <c r="B46" s="59"/>
      <c r="C46" s="29"/>
      <c r="D46" s="28"/>
      <c r="E46" s="27"/>
      <c r="F46" s="59"/>
      <c r="G46" s="29"/>
      <c r="H46" s="30"/>
    </row>
    <row r="47" spans="1:17" x14ac:dyDescent="0.25">
      <c r="A47" s="27" t="s">
        <v>321</v>
      </c>
      <c r="B47" s="59"/>
      <c r="C47" s="29">
        <v>3051</v>
      </c>
      <c r="D47" s="28"/>
      <c r="E47" s="27" t="s">
        <v>321</v>
      </c>
      <c r="F47" s="59"/>
      <c r="G47" s="29">
        <v>3051</v>
      </c>
      <c r="H47" s="30"/>
    </row>
    <row r="48" spans="1:17" x14ac:dyDescent="0.25">
      <c r="A48" s="27" t="s">
        <v>322</v>
      </c>
      <c r="B48" s="59"/>
      <c r="C48" s="29">
        <v>2032</v>
      </c>
      <c r="D48" s="28"/>
      <c r="E48" s="27" t="s">
        <v>322</v>
      </c>
      <c r="F48" s="59"/>
      <c r="G48" s="29">
        <v>2032</v>
      </c>
      <c r="H48" s="30"/>
    </row>
    <row r="49" spans="1:10" x14ac:dyDescent="0.25">
      <c r="A49" s="27" t="s">
        <v>328</v>
      </c>
      <c r="B49" s="59"/>
      <c r="C49" s="29">
        <v>20000</v>
      </c>
      <c r="D49" s="28"/>
      <c r="E49" s="27" t="s">
        <v>328</v>
      </c>
      <c r="F49" s="59"/>
      <c r="G49" s="29">
        <v>20000</v>
      </c>
      <c r="H49" s="30"/>
    </row>
    <row r="50" spans="1:10" x14ac:dyDescent="0.25">
      <c r="A50" s="27"/>
      <c r="B50" s="59"/>
      <c r="C50" s="29"/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  <c r="J52" s="60"/>
    </row>
    <row r="53" spans="1:10" x14ac:dyDescent="0.25">
      <c r="A53" s="27"/>
      <c r="B53" s="59"/>
      <c r="C53" s="29"/>
      <c r="D53" s="28"/>
      <c r="E53" s="27"/>
      <c r="F53" s="59"/>
      <c r="G53" s="29"/>
      <c r="H53" s="30"/>
      <c r="J53" s="60"/>
    </row>
    <row r="54" spans="1:10" x14ac:dyDescent="0.25">
      <c r="A54" s="27"/>
      <c r="B54" s="59"/>
      <c r="C54" s="29"/>
      <c r="D54" s="28"/>
      <c r="E54" s="27"/>
      <c r="F54" s="59"/>
      <c r="G54" s="29"/>
      <c r="H54" s="30"/>
    </row>
    <row r="55" spans="1:10" x14ac:dyDescent="0.25">
      <c r="A55" s="11" t="s">
        <v>7</v>
      </c>
      <c r="B55" s="34">
        <f>B37+B40+B41-C38</f>
        <v>10322.40000000002</v>
      </c>
      <c r="C55" s="7">
        <f>SUM(C44:C54)</f>
        <v>25083</v>
      </c>
      <c r="D55" s="7">
        <f>B55-C55</f>
        <v>-14760.59999999998</v>
      </c>
      <c r="E55" s="11" t="s">
        <v>7</v>
      </c>
      <c r="F55" s="34">
        <f>F37+F39+F41-G38</f>
        <v>9973.0999999999913</v>
      </c>
      <c r="G55" s="7">
        <f>SUM(G44:G54)</f>
        <v>25083</v>
      </c>
      <c r="H55" s="7">
        <f>F55-G55</f>
        <v>-15109.900000000009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  <c r="I56" s="60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19" workbookViewId="0">
      <selection activeCell="A28" sqref="A28:XFD28"/>
    </sheetView>
  </sheetViews>
  <sheetFormatPr defaultRowHeight="15" x14ac:dyDescent="0.25"/>
  <cols>
    <col min="1" max="1" width="12.85546875" customWidth="1"/>
    <col min="5" max="5" width="11.42578125" customWidth="1"/>
  </cols>
  <sheetData>
    <row r="1" spans="1:16" ht="15.75" x14ac:dyDescent="0.25">
      <c r="B1" s="1"/>
      <c r="C1" s="2" t="s">
        <v>55</v>
      </c>
      <c r="D1" s="1"/>
      <c r="E1" s="1"/>
      <c r="F1" s="1"/>
    </row>
    <row r="2" spans="1:16" ht="15.75" x14ac:dyDescent="0.25">
      <c r="C2" s="3"/>
      <c r="D2" s="3" t="s">
        <v>0</v>
      </c>
      <c r="E2" s="1"/>
      <c r="F2" s="1"/>
    </row>
    <row r="3" spans="1:16" ht="21" x14ac:dyDescent="0.25">
      <c r="C3" s="4" t="s">
        <v>333</v>
      </c>
      <c r="D3" s="3"/>
      <c r="E3" s="5"/>
      <c r="F3" s="5"/>
    </row>
    <row r="4" spans="1:16" x14ac:dyDescent="0.25">
      <c r="D4" s="35" t="s">
        <v>48</v>
      </c>
    </row>
    <row r="5" spans="1:16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6" ht="22.5" x14ac:dyDescent="0.25">
      <c r="A6" s="39" t="s">
        <v>23</v>
      </c>
      <c r="B6" s="40" t="s">
        <v>45</v>
      </c>
      <c r="C6" s="12"/>
      <c r="D6" s="13">
        <f>'AUGUST 21'!H6:H15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16" ht="22.5" x14ac:dyDescent="0.25">
      <c r="A7" s="39" t="s">
        <v>24</v>
      </c>
      <c r="B7" s="44" t="s">
        <v>317</v>
      </c>
      <c r="C7" s="12"/>
      <c r="D7" s="13">
        <f>'AUGUST 21'!H7:H16</f>
        <v>0</v>
      </c>
      <c r="E7" s="41">
        <v>1500</v>
      </c>
      <c r="F7" s="13">
        <f t="shared" ref="F7:F15" si="0">E7+D7+C7</f>
        <v>1500</v>
      </c>
      <c r="G7" s="13">
        <v>1500</v>
      </c>
      <c r="H7" s="43">
        <f>F7-G7</f>
        <v>0</v>
      </c>
    </row>
    <row r="8" spans="1:16" x14ac:dyDescent="0.25">
      <c r="A8" s="39" t="s">
        <v>26</v>
      </c>
      <c r="B8" s="72" t="s">
        <v>46</v>
      </c>
      <c r="C8" s="14"/>
      <c r="D8" s="13">
        <f>'AUGUST 21'!H8:H17</f>
        <v>0</v>
      </c>
      <c r="E8" s="14"/>
      <c r="F8" s="13">
        <f t="shared" si="0"/>
        <v>0</v>
      </c>
      <c r="G8" s="14"/>
      <c r="H8" s="43">
        <f t="shared" ref="H8:H14" si="1">F8-G8</f>
        <v>0</v>
      </c>
      <c r="I8" t="s">
        <v>128</v>
      </c>
    </row>
    <row r="9" spans="1:16" x14ac:dyDescent="0.25">
      <c r="A9" s="45" t="s">
        <v>27</v>
      </c>
      <c r="B9" s="55" t="s">
        <v>46</v>
      </c>
      <c r="C9" s="14"/>
      <c r="D9" s="13">
        <f>'AUGUST 21'!H9:H18</f>
        <v>0</v>
      </c>
      <c r="E9" s="46">
        <v>0</v>
      </c>
      <c r="F9" s="13">
        <f t="shared" si="0"/>
        <v>0</v>
      </c>
      <c r="G9" s="43"/>
      <c r="H9" s="43">
        <f t="shared" si="1"/>
        <v>0</v>
      </c>
    </row>
    <row r="10" spans="1:16" ht="22.5" x14ac:dyDescent="0.25">
      <c r="A10" s="47" t="s">
        <v>28</v>
      </c>
      <c r="B10" s="44" t="s">
        <v>330</v>
      </c>
      <c r="C10" s="12"/>
      <c r="D10" s="13">
        <f>'AUGUST 21'!H10:H19</f>
        <v>0</v>
      </c>
      <c r="E10" s="41">
        <v>1500</v>
      </c>
      <c r="F10" s="13">
        <f t="shared" si="0"/>
        <v>1500</v>
      </c>
      <c r="G10" s="42">
        <f>1500</f>
        <v>1500</v>
      </c>
      <c r="H10" s="43">
        <f t="shared" si="1"/>
        <v>0</v>
      </c>
      <c r="K10" t="s">
        <v>336</v>
      </c>
    </row>
    <row r="11" spans="1:16" ht="22.5" x14ac:dyDescent="0.25">
      <c r="A11" s="48" t="s">
        <v>29</v>
      </c>
      <c r="B11" s="40" t="s">
        <v>318</v>
      </c>
      <c r="C11" s="14"/>
      <c r="D11" s="13">
        <f>'AUGUST 21'!H11:H20</f>
        <v>0</v>
      </c>
      <c r="E11" s="49">
        <v>1500</v>
      </c>
      <c r="F11" s="13">
        <f t="shared" si="0"/>
        <v>1500</v>
      </c>
      <c r="G11" s="50"/>
      <c r="H11" s="43">
        <f t="shared" si="1"/>
        <v>1500</v>
      </c>
      <c r="I11" t="s">
        <v>83</v>
      </c>
    </row>
    <row r="12" spans="1:16" x14ac:dyDescent="0.25">
      <c r="A12" s="39" t="s">
        <v>30</v>
      </c>
      <c r="B12" s="67" t="s">
        <v>46</v>
      </c>
      <c r="C12" s="12"/>
      <c r="D12" s="13">
        <f>'AUGUST 21'!H12:H21</f>
        <v>0</v>
      </c>
      <c r="E12" s="41"/>
      <c r="F12" s="13">
        <f>E12+D12+C12</f>
        <v>0</v>
      </c>
      <c r="G12" s="42"/>
      <c r="H12" s="43">
        <f t="shared" si="1"/>
        <v>0</v>
      </c>
      <c r="L12" s="60">
        <f>E16</f>
        <v>6000</v>
      </c>
    </row>
    <row r="13" spans="1:16" ht="33.75" x14ac:dyDescent="0.25">
      <c r="A13" s="39" t="s">
        <v>31</v>
      </c>
      <c r="B13" s="73" t="s">
        <v>326</v>
      </c>
      <c r="C13" s="12"/>
      <c r="D13" s="13">
        <f>'AUGUST 21'!H13:H22</f>
        <v>0</v>
      </c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25000</v>
      </c>
    </row>
    <row r="14" spans="1:16" x14ac:dyDescent="0.25">
      <c r="A14" s="39" t="s">
        <v>32</v>
      </c>
      <c r="B14" s="44" t="s">
        <v>25</v>
      </c>
      <c r="C14" s="12"/>
      <c r="D14" s="13">
        <f>'AUGUST 21'!H14:H23</f>
        <v>0</v>
      </c>
      <c r="E14" s="41"/>
      <c r="F14" s="13">
        <f>E14+D14+C14</f>
        <v>0</v>
      </c>
      <c r="G14" s="42"/>
      <c r="H14" s="43">
        <f t="shared" si="1"/>
        <v>0</v>
      </c>
      <c r="L14" s="60">
        <f>L12+L13</f>
        <v>31000</v>
      </c>
    </row>
    <row r="15" spans="1:16" x14ac:dyDescent="0.25">
      <c r="A15" s="39" t="s">
        <v>33</v>
      </c>
      <c r="B15" s="55" t="s">
        <v>301</v>
      </c>
      <c r="C15" s="68"/>
      <c r="D15" s="13">
        <f>'AUGUST 21'!H15:H24</f>
        <v>0</v>
      </c>
      <c r="E15" s="69"/>
      <c r="F15" s="64">
        <f t="shared" si="0"/>
        <v>0</v>
      </c>
      <c r="G15" s="64"/>
      <c r="H15" s="70"/>
      <c r="I15" s="66"/>
      <c r="J15" s="66" t="s">
        <v>177</v>
      </c>
      <c r="K15" s="66"/>
      <c r="L15" s="62">
        <f>C38</f>
        <v>3100</v>
      </c>
      <c r="O15" s="66"/>
      <c r="P15" s="66"/>
    </row>
    <row r="16" spans="1:16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0</v>
      </c>
      <c r="E16" s="53">
        <f t="shared" si="2"/>
        <v>6000</v>
      </c>
      <c r="F16" s="13">
        <f t="shared" si="2"/>
        <v>6000</v>
      </c>
      <c r="G16" s="10">
        <f>SUM(G6:G15)</f>
        <v>4500</v>
      </c>
      <c r="H16" s="54">
        <f>SUM(H6:H15)</f>
        <v>1500</v>
      </c>
      <c r="L16" s="60">
        <f>L14-L15</f>
        <v>27900</v>
      </c>
      <c r="O16" s="62"/>
      <c r="P16" s="66"/>
    </row>
    <row r="17" spans="1:16" x14ac:dyDescent="0.25">
      <c r="C17" s="35"/>
      <c r="D17" s="35" t="s">
        <v>37</v>
      </c>
      <c r="E17" s="35"/>
      <c r="J17" s="66" t="s">
        <v>331</v>
      </c>
      <c r="K17" s="66"/>
      <c r="L17" s="62">
        <v>1052</v>
      </c>
      <c r="O17" s="62"/>
      <c r="P17" s="66"/>
    </row>
    <row r="18" spans="1:16" ht="22.5" x14ac:dyDescent="0.25">
      <c r="A18" s="39">
        <v>1</v>
      </c>
      <c r="B18" s="55" t="s">
        <v>329</v>
      </c>
      <c r="C18" s="68"/>
      <c r="D18" s="64">
        <f>'AUGUST 21'!H18:H33</f>
        <v>0</v>
      </c>
      <c r="E18" s="71">
        <v>2000</v>
      </c>
      <c r="F18" s="64">
        <f>C18+D18+E18</f>
        <v>2000</v>
      </c>
      <c r="G18" s="64">
        <v>2000</v>
      </c>
      <c r="H18" s="43">
        <f>F18-G18</f>
        <v>0</v>
      </c>
      <c r="I18" s="66"/>
      <c r="L18" s="60">
        <f>L16-L17</f>
        <v>26848</v>
      </c>
      <c r="O18" s="62"/>
      <c r="P18" s="66"/>
    </row>
    <row r="19" spans="1:16" x14ac:dyDescent="0.25">
      <c r="A19" s="39">
        <v>2</v>
      </c>
      <c r="B19" s="44" t="s">
        <v>152</v>
      </c>
      <c r="C19" s="12"/>
      <c r="D19" s="64">
        <f>'AUGUST 21'!H19:H34</f>
        <v>0</v>
      </c>
      <c r="E19" s="41">
        <v>2000</v>
      </c>
      <c r="F19" s="13">
        <f>E19+D19+C19</f>
        <v>2000</v>
      </c>
      <c r="G19" s="13">
        <f>1000+1000</f>
        <v>2000</v>
      </c>
      <c r="H19" s="43">
        <f>F19-G19</f>
        <v>0</v>
      </c>
      <c r="K19" s="66" t="s">
        <v>323</v>
      </c>
      <c r="L19" s="65">
        <v>2000</v>
      </c>
      <c r="N19" s="60"/>
      <c r="O19" s="66"/>
      <c r="P19" s="66"/>
    </row>
    <row r="20" spans="1:16" x14ac:dyDescent="0.25">
      <c r="A20" s="39">
        <v>3</v>
      </c>
      <c r="B20" s="14" t="s">
        <v>39</v>
      </c>
      <c r="C20" s="14"/>
      <c r="D20" s="64">
        <f>'AUGUST 21'!H20:H35</f>
        <v>0</v>
      </c>
      <c r="E20" s="14">
        <v>2000</v>
      </c>
      <c r="F20" s="13">
        <f t="shared" ref="F20:F32" si="3">E20+D20+C20</f>
        <v>2000</v>
      </c>
      <c r="G20" s="14">
        <v>2000</v>
      </c>
      <c r="H20" s="43">
        <f>F20-G20</f>
        <v>0</v>
      </c>
      <c r="K20" t="s">
        <v>249</v>
      </c>
      <c r="L20" s="60">
        <f>L18-L19</f>
        <v>24848</v>
      </c>
      <c r="N20" s="60" t="s">
        <v>332</v>
      </c>
      <c r="O20" s="66">
        <v>14761</v>
      </c>
      <c r="P20" s="66"/>
    </row>
    <row r="21" spans="1:16" x14ac:dyDescent="0.25">
      <c r="A21" s="39">
        <v>4</v>
      </c>
      <c r="B21" s="44" t="s">
        <v>320</v>
      </c>
      <c r="C21" s="14"/>
      <c r="D21" s="64">
        <f>'AUGUST 21'!H21:H36</f>
        <v>0</v>
      </c>
      <c r="E21" s="46">
        <v>2000</v>
      </c>
      <c r="F21" s="13">
        <f t="shared" si="3"/>
        <v>2000</v>
      </c>
      <c r="G21" s="43">
        <v>2000</v>
      </c>
      <c r="H21" s="43">
        <f>F21-G21</f>
        <v>0</v>
      </c>
      <c r="L21" s="60"/>
      <c r="N21" s="60" t="s">
        <v>5</v>
      </c>
      <c r="O21">
        <v>2000</v>
      </c>
    </row>
    <row r="22" spans="1:16" x14ac:dyDescent="0.25">
      <c r="A22" s="39">
        <v>5</v>
      </c>
      <c r="B22" s="40" t="s">
        <v>78</v>
      </c>
      <c r="C22" s="12"/>
      <c r="D22" s="64">
        <f>'AUGUST 21'!H22:H37</f>
        <v>0</v>
      </c>
      <c r="E22" s="41">
        <v>2000</v>
      </c>
      <c r="F22" s="13">
        <f t="shared" si="3"/>
        <v>2000</v>
      </c>
      <c r="G22" s="42">
        <f>1000+500</f>
        <v>1500</v>
      </c>
      <c r="H22" s="43">
        <f t="shared" ref="H22:H33" si="4">F22-G22</f>
        <v>500</v>
      </c>
      <c r="N22" s="66" t="s">
        <v>6</v>
      </c>
      <c r="O22" s="66">
        <f>O20-O21</f>
        <v>12761</v>
      </c>
    </row>
    <row r="23" spans="1:16" x14ac:dyDescent="0.25">
      <c r="A23" s="39">
        <v>6</v>
      </c>
      <c r="B23" s="40" t="s">
        <v>128</v>
      </c>
      <c r="C23" s="14"/>
      <c r="D23" s="64">
        <f>'AUGUST 21'!H23:H38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L23" s="60"/>
    </row>
    <row r="24" spans="1:16" x14ac:dyDescent="0.25">
      <c r="A24" s="39">
        <v>7</v>
      </c>
      <c r="B24" s="40" t="s">
        <v>204</v>
      </c>
      <c r="C24" s="12"/>
      <c r="D24" s="64">
        <f>'AUGUST 21'!H24:H39</f>
        <v>0</v>
      </c>
      <c r="E24" s="41">
        <v>2000</v>
      </c>
      <c r="F24" s="13">
        <f t="shared" si="3"/>
        <v>2000</v>
      </c>
      <c r="G24" s="42">
        <f>2000</f>
        <v>2000</v>
      </c>
      <c r="H24" s="43">
        <f t="shared" si="4"/>
        <v>0</v>
      </c>
      <c r="L24" s="60"/>
    </row>
    <row r="25" spans="1:16" ht="22.5" x14ac:dyDescent="0.25">
      <c r="A25" s="39">
        <v>8</v>
      </c>
      <c r="B25" s="40" t="s">
        <v>41</v>
      </c>
      <c r="C25" s="12"/>
      <c r="D25" s="64">
        <f>'AUGUST 21'!H25:H40</f>
        <v>500</v>
      </c>
      <c r="E25" s="41">
        <v>2000</v>
      </c>
      <c r="F25" s="13">
        <f t="shared" si="3"/>
        <v>2500</v>
      </c>
      <c r="G25" s="42">
        <f>1000</f>
        <v>1000</v>
      </c>
      <c r="H25" s="43">
        <f>F25-G25</f>
        <v>1500</v>
      </c>
      <c r="L25" s="60"/>
    </row>
    <row r="26" spans="1:16" ht="22.5" x14ac:dyDescent="0.25">
      <c r="A26" s="39">
        <v>9</v>
      </c>
      <c r="B26" s="63" t="s">
        <v>285</v>
      </c>
      <c r="C26" s="44"/>
      <c r="D26" s="64">
        <f>'AUGUST 21'!H26:H41</f>
        <v>0</v>
      </c>
      <c r="E26" s="13">
        <v>1500</v>
      </c>
      <c r="F26" s="13">
        <f t="shared" si="3"/>
        <v>1500</v>
      </c>
      <c r="G26" s="13">
        <v>1500</v>
      </c>
      <c r="H26" s="43">
        <f>F26-G26</f>
        <v>0</v>
      </c>
      <c r="L26" s="60">
        <f>L24-L25</f>
        <v>0</v>
      </c>
    </row>
    <row r="27" spans="1:16" x14ac:dyDescent="0.25">
      <c r="A27" s="39">
        <v>10</v>
      </c>
      <c r="B27" s="44" t="s">
        <v>337</v>
      </c>
      <c r="C27" s="12"/>
      <c r="D27" s="64">
        <f>'AUGUST 21'!H27:H42</f>
        <v>0</v>
      </c>
      <c r="E27" s="41">
        <v>1000</v>
      </c>
      <c r="F27" s="13">
        <f>E27+D27+C27</f>
        <v>1000</v>
      </c>
      <c r="G27" s="42">
        <v>1000</v>
      </c>
      <c r="H27" s="43">
        <f t="shared" si="4"/>
        <v>0</v>
      </c>
    </row>
    <row r="28" spans="1:16" ht="22.5" x14ac:dyDescent="0.25">
      <c r="A28" s="39">
        <v>11</v>
      </c>
      <c r="B28" s="40" t="s">
        <v>53</v>
      </c>
      <c r="C28" s="12"/>
      <c r="D28" s="64">
        <f>'AUGUST 21'!H28:H43</f>
        <v>450</v>
      </c>
      <c r="E28" s="41">
        <v>1500</v>
      </c>
      <c r="F28" s="13">
        <f t="shared" si="3"/>
        <v>1950</v>
      </c>
      <c r="G28" s="42">
        <f>700+350+300</f>
        <v>1350</v>
      </c>
      <c r="H28" s="43">
        <f>F28-G28</f>
        <v>600</v>
      </c>
    </row>
    <row r="29" spans="1:16" ht="22.5" x14ac:dyDescent="0.25">
      <c r="A29" s="39">
        <v>12</v>
      </c>
      <c r="B29" s="44" t="s">
        <v>297</v>
      </c>
      <c r="C29" s="12"/>
      <c r="D29" s="64">
        <f>'AUGUST 21'!H29:H44</f>
        <v>0</v>
      </c>
      <c r="E29" s="41">
        <v>1500</v>
      </c>
      <c r="F29" s="13">
        <f t="shared" si="3"/>
        <v>1500</v>
      </c>
      <c r="G29" s="42">
        <f>1500</f>
        <v>1500</v>
      </c>
      <c r="H29" s="43">
        <f>F29-G29</f>
        <v>0</v>
      </c>
    </row>
    <row r="30" spans="1:16" x14ac:dyDescent="0.25">
      <c r="A30" s="39">
        <v>13</v>
      </c>
      <c r="B30" s="44" t="s">
        <v>307</v>
      </c>
      <c r="C30" s="12"/>
      <c r="D30" s="64">
        <f>'AUGUST 21'!H30:H45</f>
        <v>0</v>
      </c>
      <c r="E30" s="41">
        <v>1500</v>
      </c>
      <c r="F30" s="13">
        <f t="shared" si="3"/>
        <v>1500</v>
      </c>
      <c r="G30" s="42">
        <f>1500</f>
        <v>1500</v>
      </c>
      <c r="H30" s="43">
        <f>F30-G30</f>
        <v>0</v>
      </c>
    </row>
    <row r="31" spans="1:16" ht="22.5" x14ac:dyDescent="0.25">
      <c r="A31" s="39">
        <v>14</v>
      </c>
      <c r="B31" s="44" t="s">
        <v>165</v>
      </c>
      <c r="C31" s="12"/>
      <c r="D31" s="64">
        <f>'AUGUST 21'!H31:H46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4"/>
        <v>0</v>
      </c>
    </row>
    <row r="32" spans="1:16" ht="22.5" x14ac:dyDescent="0.25">
      <c r="A32" s="39">
        <v>15</v>
      </c>
      <c r="B32" s="44" t="s">
        <v>136</v>
      </c>
      <c r="C32" s="12"/>
      <c r="D32" s="64">
        <f>'AUGUST 21'!H32:H47</f>
        <v>100</v>
      </c>
      <c r="E32" s="41">
        <v>1000</v>
      </c>
      <c r="F32" s="13">
        <f t="shared" si="3"/>
        <v>1100</v>
      </c>
      <c r="G32" s="42">
        <f>200+500</f>
        <v>700</v>
      </c>
      <c r="H32" s="43">
        <f>F32-G32</f>
        <v>400</v>
      </c>
    </row>
    <row r="33" spans="1:12" ht="22.5" x14ac:dyDescent="0.25">
      <c r="A33" s="39">
        <v>16</v>
      </c>
      <c r="B33" s="44" t="s">
        <v>272</v>
      </c>
      <c r="C33" s="12"/>
      <c r="D33" s="64">
        <f>'AUGUST 21'!H33:H48</f>
        <v>0</v>
      </c>
      <c r="E33" s="41">
        <v>1500</v>
      </c>
      <c r="F33" s="13">
        <f>E33+D33+C33</f>
        <v>1500</v>
      </c>
      <c r="G33" s="42">
        <v>1500</v>
      </c>
      <c r="H33" s="43">
        <f t="shared" si="4"/>
        <v>0</v>
      </c>
      <c r="J33" s="60"/>
    </row>
    <row r="34" spans="1:12" x14ac:dyDescent="0.25">
      <c r="A34" s="39"/>
      <c r="B34" s="51" t="s">
        <v>7</v>
      </c>
      <c r="C34" s="52">
        <f>SUM(C18:C33)</f>
        <v>0</v>
      </c>
      <c r="D34" s="13">
        <f>SUM(D18:D33)</f>
        <v>1050</v>
      </c>
      <c r="E34" s="53">
        <f>SUM(E18:E33)</f>
        <v>25000</v>
      </c>
      <c r="F34" s="13">
        <f>C34+D34+E34</f>
        <v>26050</v>
      </c>
      <c r="G34" s="10">
        <f>SUM(G18:G33)</f>
        <v>23050</v>
      </c>
      <c r="H34" s="43">
        <f>SUM(H18:H33)</f>
        <v>3000</v>
      </c>
    </row>
    <row r="35" spans="1:12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2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x14ac:dyDescent="0.25">
      <c r="A37" s="22" t="s">
        <v>156</v>
      </c>
      <c r="B37" s="8">
        <f>E34+E16</f>
        <v>31000</v>
      </c>
      <c r="C37" s="23"/>
      <c r="D37" s="13">
        <f>'FEBRUARY 21'!H37:H57</f>
        <v>0</v>
      </c>
      <c r="E37" s="22" t="s">
        <v>156</v>
      </c>
      <c r="F37" s="8">
        <f>G34+G16</f>
        <v>27550</v>
      </c>
      <c r="G37" s="23"/>
      <c r="H37" s="8"/>
      <c r="L37" s="60"/>
    </row>
    <row r="38" spans="1:12" x14ac:dyDescent="0.25">
      <c r="A38" s="22" t="s">
        <v>12</v>
      </c>
      <c r="B38" s="24">
        <v>0.1</v>
      </c>
      <c r="C38" s="25">
        <f>B37*B38</f>
        <v>3100</v>
      </c>
      <c r="D38" s="13">
        <f>'FEBRUARY 21'!H38:H58</f>
        <v>0</v>
      </c>
      <c r="E38" s="22" t="s">
        <v>12</v>
      </c>
      <c r="F38" s="24">
        <v>0.1</v>
      </c>
      <c r="G38" s="25">
        <f>C38</f>
        <v>3100</v>
      </c>
      <c r="H38" s="8"/>
      <c r="K38" s="60"/>
      <c r="L38" s="60"/>
    </row>
    <row r="39" spans="1:12" x14ac:dyDescent="0.25">
      <c r="A39" s="22"/>
      <c r="B39" s="24"/>
      <c r="C39" s="25"/>
      <c r="D39" s="22"/>
      <c r="E39" s="22"/>
      <c r="F39" s="24"/>
      <c r="G39" s="25"/>
      <c r="H39" s="8"/>
      <c r="K39" s="60"/>
      <c r="L39" s="60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'AUGUST 21'!D55</f>
        <v>-14760.59999999998</v>
      </c>
      <c r="C41" s="22"/>
      <c r="D41" s="22"/>
      <c r="E41" s="26" t="s">
        <v>2</v>
      </c>
      <c r="F41" s="25">
        <f>'AUGUST 21'!H55</f>
        <v>-15109.900000000009</v>
      </c>
      <c r="G41" s="22"/>
      <c r="H41" s="8"/>
      <c r="J41" s="60"/>
    </row>
    <row r="42" spans="1:12" x14ac:dyDescent="0.25">
      <c r="A42" s="26" t="s">
        <v>7</v>
      </c>
      <c r="B42" s="25">
        <f>B37+B41+B40</f>
        <v>16239.40000000002</v>
      </c>
      <c r="C42" s="22"/>
      <c r="D42" s="22"/>
      <c r="E42" s="26" t="s">
        <v>7</v>
      </c>
      <c r="F42" s="25">
        <f>F37+F41+F39</f>
        <v>12440.099999999991</v>
      </c>
      <c r="G42" s="22"/>
      <c r="H42" s="8"/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2" x14ac:dyDescent="0.25">
      <c r="A44" s="27"/>
      <c r="B44" s="59"/>
      <c r="C44" s="29"/>
      <c r="D44" s="28"/>
      <c r="E44" s="27"/>
      <c r="F44" s="59"/>
      <c r="G44" s="29"/>
      <c r="H44" s="30"/>
    </row>
    <row r="45" spans="1:12" x14ac:dyDescent="0.25">
      <c r="A45" s="27" t="s">
        <v>148</v>
      </c>
      <c r="B45" s="59"/>
      <c r="C45" s="29"/>
      <c r="D45" s="28"/>
      <c r="E45" s="27" t="s">
        <v>148</v>
      </c>
      <c r="F45" s="59"/>
      <c r="G45" s="29"/>
      <c r="H45" s="30"/>
    </row>
    <row r="46" spans="1:12" x14ac:dyDescent="0.25">
      <c r="A46" s="27" t="s">
        <v>331</v>
      </c>
      <c r="B46" s="59"/>
      <c r="C46" s="29">
        <v>1052</v>
      </c>
      <c r="D46" s="28"/>
      <c r="E46" s="27" t="s">
        <v>331</v>
      </c>
      <c r="F46" s="59"/>
      <c r="G46" s="29">
        <v>1052</v>
      </c>
      <c r="H46" s="30"/>
    </row>
    <row r="47" spans="1:12" x14ac:dyDescent="0.25">
      <c r="A47" s="27" t="s">
        <v>334</v>
      </c>
      <c r="B47" s="59"/>
      <c r="C47" s="29">
        <v>25105</v>
      </c>
      <c r="D47" s="28"/>
      <c r="E47" s="27" t="s">
        <v>334</v>
      </c>
      <c r="F47" s="59"/>
      <c r="G47" s="29">
        <v>25105</v>
      </c>
      <c r="H47" s="30"/>
    </row>
    <row r="48" spans="1:12" x14ac:dyDescent="0.25">
      <c r="A48" s="27" t="s">
        <v>338</v>
      </c>
      <c r="B48" s="59"/>
      <c r="C48" s="29">
        <v>1012</v>
      </c>
      <c r="D48" s="28"/>
      <c r="E48" s="27" t="s">
        <v>338</v>
      </c>
      <c r="F48" s="59"/>
      <c r="G48" s="29">
        <v>1012</v>
      </c>
      <c r="H48" s="30"/>
    </row>
    <row r="49" spans="1:10" x14ac:dyDescent="0.25">
      <c r="A49" s="27" t="s">
        <v>343</v>
      </c>
      <c r="B49" s="59"/>
      <c r="C49" s="29">
        <v>1500</v>
      </c>
      <c r="D49" s="28"/>
      <c r="E49" s="27"/>
      <c r="F49" s="59"/>
      <c r="G49" s="29"/>
      <c r="H49" s="30"/>
    </row>
    <row r="50" spans="1:10" x14ac:dyDescent="0.25">
      <c r="A50" s="27"/>
      <c r="B50" s="59"/>
      <c r="C50" s="29"/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  <c r="J52" s="60"/>
    </row>
    <row r="53" spans="1:10" x14ac:dyDescent="0.25">
      <c r="A53" s="27"/>
      <c r="B53" s="59"/>
      <c r="C53" s="29"/>
      <c r="D53" s="28"/>
      <c r="E53" s="27"/>
      <c r="F53" s="59"/>
      <c r="G53" s="29"/>
      <c r="H53" s="30"/>
      <c r="J53" s="60"/>
    </row>
    <row r="54" spans="1:10" x14ac:dyDescent="0.25">
      <c r="A54" s="27"/>
      <c r="B54" s="59"/>
      <c r="C54" s="29"/>
      <c r="D54" s="28"/>
      <c r="E54" s="27"/>
      <c r="F54" s="59"/>
      <c r="G54" s="29"/>
      <c r="H54" s="30"/>
    </row>
    <row r="55" spans="1:10" x14ac:dyDescent="0.25">
      <c r="A55" s="11" t="s">
        <v>7</v>
      </c>
      <c r="B55" s="34">
        <f>B37+B40+B41-C38</f>
        <v>13139.40000000002</v>
      </c>
      <c r="C55" s="7">
        <f>SUM(C44:C54)</f>
        <v>28669</v>
      </c>
      <c r="D55" s="7">
        <f>B55-C55</f>
        <v>-15529.59999999998</v>
      </c>
      <c r="E55" s="11" t="s">
        <v>7</v>
      </c>
      <c r="F55" s="34">
        <f>F37+F39+F41-G38</f>
        <v>9340.0999999999913</v>
      </c>
      <c r="G55" s="7">
        <f>SUM(G44:G54)</f>
        <v>27169</v>
      </c>
      <c r="H55" s="7">
        <f>F55-G55</f>
        <v>-17828.900000000009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7" workbookViewId="0">
      <selection activeCell="I22" sqref="I22"/>
    </sheetView>
  </sheetViews>
  <sheetFormatPr defaultRowHeight="15" x14ac:dyDescent="0.25"/>
  <cols>
    <col min="1" max="1" width="13.42578125" customWidth="1"/>
    <col min="2" max="2" width="14.5703125" customWidth="1"/>
  </cols>
  <sheetData>
    <row r="1" spans="1:15" ht="15.75" x14ac:dyDescent="0.25">
      <c r="B1" s="1"/>
      <c r="C1" s="2" t="s">
        <v>55</v>
      </c>
      <c r="D1" s="1"/>
      <c r="E1" s="1"/>
      <c r="F1" s="1"/>
    </row>
    <row r="2" spans="1:15" ht="15.75" x14ac:dyDescent="0.25">
      <c r="C2" s="3"/>
      <c r="D2" s="3" t="s">
        <v>0</v>
      </c>
      <c r="E2" s="1"/>
      <c r="F2" s="1"/>
    </row>
    <row r="3" spans="1:15" ht="21" x14ac:dyDescent="0.25">
      <c r="C3" s="4" t="s">
        <v>335</v>
      </c>
      <c r="D3" s="3"/>
      <c r="E3" s="5"/>
      <c r="F3" s="5"/>
    </row>
    <row r="4" spans="1:15" x14ac:dyDescent="0.25">
      <c r="D4" s="35" t="s">
        <v>48</v>
      </c>
    </row>
    <row r="5" spans="1:15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5" x14ac:dyDescent="0.25">
      <c r="A6" s="39" t="s">
        <v>23</v>
      </c>
      <c r="B6" s="74" t="s">
        <v>45</v>
      </c>
      <c r="C6" s="12"/>
      <c r="D6" s="13">
        <f>'SEPTEMBER 21'!H6:H16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15" x14ac:dyDescent="0.25">
      <c r="A7" s="39" t="s">
        <v>24</v>
      </c>
      <c r="B7" s="75" t="s">
        <v>350</v>
      </c>
      <c r="C7" s="12"/>
      <c r="D7" s="13">
        <f>'SEPTEMBER 21'!H7:H17</f>
        <v>0</v>
      </c>
      <c r="E7" s="41">
        <v>1500</v>
      </c>
      <c r="F7" s="13">
        <f t="shared" ref="F7:F15" si="0">E7+D7+C7</f>
        <v>1500</v>
      </c>
      <c r="G7" s="13"/>
      <c r="H7" s="43">
        <f>F7-G7</f>
        <v>1500</v>
      </c>
    </row>
    <row r="8" spans="1:15" x14ac:dyDescent="0.25">
      <c r="A8" s="39" t="s">
        <v>26</v>
      </c>
      <c r="B8" s="76"/>
      <c r="C8" s="14"/>
      <c r="D8" s="13">
        <f>'SEPTEMBER 21'!H8:H18</f>
        <v>0</v>
      </c>
      <c r="E8" s="14"/>
      <c r="F8" s="13">
        <f t="shared" si="0"/>
        <v>0</v>
      </c>
      <c r="G8" s="14"/>
      <c r="H8" s="43">
        <f t="shared" ref="H8:H15" si="1">F8-G8</f>
        <v>0</v>
      </c>
    </row>
    <row r="9" spans="1:15" x14ac:dyDescent="0.25">
      <c r="A9" s="45" t="s">
        <v>27</v>
      </c>
      <c r="B9" s="75" t="s">
        <v>347</v>
      </c>
      <c r="C9" s="14"/>
      <c r="D9" s="13">
        <f>'SEPTEMBER 21'!H9:H19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</row>
    <row r="10" spans="1:15" x14ac:dyDescent="0.25">
      <c r="A10" s="47" t="s">
        <v>28</v>
      </c>
      <c r="B10" s="75" t="s">
        <v>346</v>
      </c>
      <c r="C10" s="12"/>
      <c r="D10" s="13">
        <f>'SEPTEMBER 21'!H10:H20</f>
        <v>0</v>
      </c>
      <c r="E10" s="41">
        <v>1500</v>
      </c>
      <c r="F10" s="13">
        <f t="shared" si="0"/>
        <v>1500</v>
      </c>
      <c r="G10" s="42">
        <f>1000+500</f>
        <v>1500</v>
      </c>
      <c r="H10" s="43">
        <f t="shared" si="1"/>
        <v>0</v>
      </c>
    </row>
    <row r="11" spans="1:15" x14ac:dyDescent="0.25">
      <c r="A11" s="48" t="s">
        <v>29</v>
      </c>
      <c r="B11" s="74" t="s">
        <v>341</v>
      </c>
      <c r="C11" s="14"/>
      <c r="D11" s="13"/>
      <c r="E11" s="49">
        <v>1500</v>
      </c>
      <c r="F11" s="13">
        <f t="shared" si="0"/>
        <v>1500</v>
      </c>
      <c r="G11" s="50">
        <v>1500</v>
      </c>
      <c r="H11" s="43">
        <f t="shared" si="1"/>
        <v>0</v>
      </c>
    </row>
    <row r="12" spans="1:15" x14ac:dyDescent="0.25">
      <c r="A12" s="39" t="s">
        <v>30</v>
      </c>
      <c r="B12" s="77" t="s">
        <v>342</v>
      </c>
      <c r="C12" s="12"/>
      <c r="D12" s="13">
        <f>'SEPTEMBER 21'!H12:H22</f>
        <v>0</v>
      </c>
      <c r="E12" s="41">
        <v>1500</v>
      </c>
      <c r="F12" s="13">
        <f>E12+D12+C12</f>
        <v>1500</v>
      </c>
      <c r="G12" s="42">
        <v>1500</v>
      </c>
      <c r="H12" s="43">
        <f t="shared" si="1"/>
        <v>0</v>
      </c>
      <c r="L12" s="60">
        <f>E16</f>
        <v>10500</v>
      </c>
    </row>
    <row r="13" spans="1:15" ht="22.5" x14ac:dyDescent="0.25">
      <c r="A13" s="39" t="s">
        <v>31</v>
      </c>
      <c r="B13" s="78" t="s">
        <v>326</v>
      </c>
      <c r="C13" s="12"/>
      <c r="D13" s="13">
        <f>'SEPTEMBER 21'!H13:H23</f>
        <v>0</v>
      </c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25500</v>
      </c>
    </row>
    <row r="14" spans="1:15" x14ac:dyDescent="0.25">
      <c r="A14" s="39" t="s">
        <v>32</v>
      </c>
      <c r="B14" s="75" t="s">
        <v>330</v>
      </c>
      <c r="C14" s="12"/>
      <c r="D14" s="13">
        <f>'SEPTEMBER 21'!H14:H24</f>
        <v>0</v>
      </c>
      <c r="E14" s="41">
        <v>1500</v>
      </c>
      <c r="F14" s="13">
        <f>E14+D14+C14</f>
        <v>1500</v>
      </c>
      <c r="G14" s="42">
        <v>1500</v>
      </c>
      <c r="H14" s="43">
        <f t="shared" si="1"/>
        <v>0</v>
      </c>
      <c r="L14" s="60">
        <f>L12+L13</f>
        <v>36000</v>
      </c>
    </row>
    <row r="15" spans="1:15" x14ac:dyDescent="0.25">
      <c r="A15" s="39" t="s">
        <v>33</v>
      </c>
      <c r="B15" s="79" t="s">
        <v>128</v>
      </c>
      <c r="C15" s="68"/>
      <c r="D15" s="13">
        <f>'SEPTEMBER 21'!H15:H25</f>
        <v>0</v>
      </c>
      <c r="E15" s="69"/>
      <c r="F15" s="64">
        <f t="shared" si="0"/>
        <v>0</v>
      </c>
      <c r="G15" s="64"/>
      <c r="H15" s="43">
        <f t="shared" si="1"/>
        <v>0</v>
      </c>
      <c r="I15" s="66"/>
      <c r="J15" s="66" t="s">
        <v>177</v>
      </c>
      <c r="K15" s="66"/>
      <c r="L15" s="62">
        <f>C38</f>
        <v>3600</v>
      </c>
      <c r="O15" s="66"/>
    </row>
    <row r="16" spans="1:15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0</v>
      </c>
      <c r="E16" s="53">
        <f t="shared" si="2"/>
        <v>10500</v>
      </c>
      <c r="F16" s="13">
        <f t="shared" si="2"/>
        <v>10500</v>
      </c>
      <c r="G16" s="10">
        <f>SUM(G6:G15)</f>
        <v>9000</v>
      </c>
      <c r="H16" s="54">
        <f>SUM(H6:H15)</f>
        <v>1500</v>
      </c>
      <c r="L16" s="60">
        <f>L14-L15</f>
        <v>32400</v>
      </c>
      <c r="O16" s="62"/>
    </row>
    <row r="17" spans="1:15" x14ac:dyDescent="0.25">
      <c r="C17" s="35"/>
      <c r="D17" s="35" t="s">
        <v>37</v>
      </c>
      <c r="E17" s="35"/>
      <c r="J17" s="80" t="s">
        <v>195</v>
      </c>
      <c r="K17" s="81"/>
      <c r="L17" s="29">
        <v>2532</v>
      </c>
      <c r="O17" s="62"/>
    </row>
    <row r="18" spans="1:15" x14ac:dyDescent="0.25">
      <c r="A18" s="39">
        <v>1</v>
      </c>
      <c r="B18" s="55" t="s">
        <v>329</v>
      </c>
      <c r="C18" s="68"/>
      <c r="D18" s="64">
        <f>'SEPTEMBER 21'!H18:H34</f>
        <v>0</v>
      </c>
      <c r="E18" s="71">
        <v>2000</v>
      </c>
      <c r="F18" s="64">
        <f>C18+D18+E18</f>
        <v>2000</v>
      </c>
      <c r="G18" s="64">
        <v>2000</v>
      </c>
      <c r="H18" s="43">
        <f>F18-G18</f>
        <v>0</v>
      </c>
      <c r="I18" s="66"/>
      <c r="L18" s="60">
        <f>L16-L17</f>
        <v>29868</v>
      </c>
      <c r="O18" s="62"/>
    </row>
    <row r="19" spans="1:15" x14ac:dyDescent="0.25">
      <c r="A19" s="39">
        <v>2</v>
      </c>
      <c r="B19" s="44" t="s">
        <v>152</v>
      </c>
      <c r="C19" s="12"/>
      <c r="D19" s="64">
        <f>'SEPTEMBER 21'!H19:H35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K19" s="66" t="s">
        <v>323</v>
      </c>
      <c r="L19" s="65">
        <v>5000</v>
      </c>
      <c r="N19" s="60"/>
      <c r="O19" s="66"/>
    </row>
    <row r="20" spans="1:15" x14ac:dyDescent="0.25">
      <c r="A20" s="39">
        <v>3</v>
      </c>
      <c r="B20" s="14" t="s">
        <v>39</v>
      </c>
      <c r="C20" s="14"/>
      <c r="D20" s="64">
        <f>'SEPTEMBER 21'!H20:H36</f>
        <v>0</v>
      </c>
      <c r="E20" s="14">
        <v>2000</v>
      </c>
      <c r="F20" s="13">
        <f t="shared" ref="F20:F32" si="3">E20+D20+C20</f>
        <v>2000</v>
      </c>
      <c r="G20" s="14">
        <v>2000</v>
      </c>
      <c r="H20" s="43">
        <f>F20-G20</f>
        <v>0</v>
      </c>
      <c r="K20" t="s">
        <v>249</v>
      </c>
      <c r="L20" s="60">
        <f>L18-L19</f>
        <v>24868</v>
      </c>
      <c r="N20" s="60" t="s">
        <v>332</v>
      </c>
      <c r="O20" s="66">
        <v>14761</v>
      </c>
    </row>
    <row r="21" spans="1:15" x14ac:dyDescent="0.25">
      <c r="A21" s="39">
        <v>4</v>
      </c>
      <c r="B21" s="44" t="s">
        <v>320</v>
      </c>
      <c r="C21" s="14"/>
      <c r="D21" s="64">
        <f>'SEPTEMBER 21'!H21:H37</f>
        <v>0</v>
      </c>
      <c r="E21" s="46">
        <v>2000</v>
      </c>
      <c r="F21" s="13">
        <f t="shared" si="3"/>
        <v>2000</v>
      </c>
      <c r="G21" s="43">
        <v>2000</v>
      </c>
      <c r="H21" s="43">
        <f>F21-G21</f>
        <v>0</v>
      </c>
      <c r="L21" s="60"/>
      <c r="N21" s="60" t="s">
        <v>5</v>
      </c>
      <c r="O21">
        <v>2000</v>
      </c>
    </row>
    <row r="22" spans="1:15" x14ac:dyDescent="0.25">
      <c r="A22" s="39">
        <v>5</v>
      </c>
      <c r="B22" s="40" t="s">
        <v>339</v>
      </c>
      <c r="C22" s="12"/>
      <c r="D22" s="64">
        <f>'SEPTEMBER 21'!H22:H38</f>
        <v>500</v>
      </c>
      <c r="E22" s="41">
        <v>2000</v>
      </c>
      <c r="F22" s="13">
        <f t="shared" si="3"/>
        <v>2500</v>
      </c>
      <c r="G22" s="42"/>
      <c r="H22" s="43">
        <f t="shared" ref="H22:H33" si="4">F22-G22</f>
        <v>2500</v>
      </c>
      <c r="N22" s="66" t="s">
        <v>6</v>
      </c>
      <c r="O22" s="66">
        <f>O20-O21</f>
        <v>12761</v>
      </c>
    </row>
    <row r="23" spans="1:15" x14ac:dyDescent="0.25">
      <c r="A23" s="39">
        <v>6</v>
      </c>
      <c r="B23" s="40" t="s">
        <v>128</v>
      </c>
      <c r="C23" s="14"/>
      <c r="D23" s="64">
        <f>'SEPTEMBER 21'!H23:H39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L23" s="60"/>
    </row>
    <row r="24" spans="1:15" x14ac:dyDescent="0.25">
      <c r="A24" s="39">
        <v>7</v>
      </c>
      <c r="B24" s="40" t="s">
        <v>204</v>
      </c>
      <c r="C24" s="12"/>
      <c r="D24" s="64">
        <f>'SEPTEMBER 21'!H24:H40</f>
        <v>0</v>
      </c>
      <c r="E24" s="41">
        <v>2000</v>
      </c>
      <c r="F24" s="13">
        <f t="shared" si="3"/>
        <v>2000</v>
      </c>
      <c r="G24" s="42">
        <v>2000</v>
      </c>
      <c r="H24" s="43">
        <f t="shared" si="4"/>
        <v>0</v>
      </c>
      <c r="L24" s="60"/>
    </row>
    <row r="25" spans="1:15" x14ac:dyDescent="0.25">
      <c r="A25" s="39">
        <v>8</v>
      </c>
      <c r="B25" s="40" t="s">
        <v>41</v>
      </c>
      <c r="C25" s="12"/>
      <c r="D25" s="64">
        <f>'SEPTEMBER 21'!H25:H41</f>
        <v>1500</v>
      </c>
      <c r="E25" s="41">
        <v>2000</v>
      </c>
      <c r="F25" s="13">
        <f t="shared" si="3"/>
        <v>3500</v>
      </c>
      <c r="G25" s="42">
        <v>800</v>
      </c>
      <c r="H25" s="43">
        <f>F25-G25</f>
        <v>2700</v>
      </c>
      <c r="L25" s="60"/>
    </row>
    <row r="26" spans="1:15" x14ac:dyDescent="0.25">
      <c r="A26" s="39">
        <v>9</v>
      </c>
      <c r="B26" s="63" t="s">
        <v>285</v>
      </c>
      <c r="C26" s="44"/>
      <c r="D26" s="64">
        <f>'SEPTEMBER 21'!H26:H42</f>
        <v>0</v>
      </c>
      <c r="E26" s="13">
        <v>1500</v>
      </c>
      <c r="F26" s="13">
        <f t="shared" si="3"/>
        <v>1500</v>
      </c>
      <c r="G26" s="13">
        <v>1500</v>
      </c>
      <c r="H26" s="43">
        <f>F26-G26</f>
        <v>0</v>
      </c>
      <c r="L26" s="60">
        <f>L24-L25</f>
        <v>0</v>
      </c>
    </row>
    <row r="27" spans="1:15" x14ac:dyDescent="0.25">
      <c r="A27" s="39">
        <v>10</v>
      </c>
      <c r="B27" s="44" t="s">
        <v>340</v>
      </c>
      <c r="C27" s="12"/>
      <c r="D27" s="64">
        <f>'SEPTEMBER 21'!H27:H43</f>
        <v>0</v>
      </c>
      <c r="E27" s="41">
        <v>1500</v>
      </c>
      <c r="F27" s="13">
        <f>E27+D27+C27</f>
        <v>1500</v>
      </c>
      <c r="G27" s="42">
        <v>1500</v>
      </c>
      <c r="H27" s="43">
        <f t="shared" si="4"/>
        <v>0</v>
      </c>
    </row>
    <row r="28" spans="1:15" x14ac:dyDescent="0.25">
      <c r="A28" s="39">
        <v>11</v>
      </c>
      <c r="B28" s="40" t="s">
        <v>53</v>
      </c>
      <c r="C28" s="12"/>
      <c r="D28" s="64">
        <f>'SEPTEMBER 21'!H28:H44</f>
        <v>600</v>
      </c>
      <c r="E28" s="41">
        <v>1500</v>
      </c>
      <c r="F28" s="13">
        <f t="shared" si="3"/>
        <v>2100</v>
      </c>
      <c r="G28" s="42">
        <v>1200</v>
      </c>
      <c r="H28" s="43">
        <f>F28-G28</f>
        <v>900</v>
      </c>
    </row>
    <row r="29" spans="1:15" x14ac:dyDescent="0.25">
      <c r="A29" s="39">
        <v>12</v>
      </c>
      <c r="B29" s="44" t="s">
        <v>297</v>
      </c>
      <c r="C29" s="12"/>
      <c r="D29" s="64">
        <f>'SEPTEMBER 21'!H29:H45</f>
        <v>0</v>
      </c>
      <c r="E29" s="41">
        <v>1500</v>
      </c>
      <c r="F29" s="13">
        <f t="shared" si="3"/>
        <v>1500</v>
      </c>
      <c r="G29" s="42">
        <v>1500</v>
      </c>
      <c r="H29" s="43">
        <f>F29-G29</f>
        <v>0</v>
      </c>
    </row>
    <row r="30" spans="1:15" x14ac:dyDescent="0.25">
      <c r="A30" s="39">
        <v>13</v>
      </c>
      <c r="B30" s="44" t="s">
        <v>307</v>
      </c>
      <c r="C30" s="12"/>
      <c r="D30" s="64">
        <f>'SEPTEMBER 21'!H30:H46</f>
        <v>0</v>
      </c>
      <c r="E30" s="41">
        <v>1500</v>
      </c>
      <c r="F30" s="13">
        <f t="shared" si="3"/>
        <v>1500</v>
      </c>
      <c r="G30" s="42">
        <v>1500</v>
      </c>
      <c r="H30" s="43">
        <f>F30-G30</f>
        <v>0</v>
      </c>
    </row>
    <row r="31" spans="1:15" x14ac:dyDescent="0.25">
      <c r="A31" s="39">
        <v>14</v>
      </c>
      <c r="B31" s="44" t="s">
        <v>165</v>
      </c>
      <c r="C31" s="12"/>
      <c r="D31" s="64">
        <f>'SEPTEMBER 21'!H31:H47</f>
        <v>0</v>
      </c>
      <c r="E31" s="41">
        <v>1500</v>
      </c>
      <c r="F31" s="13">
        <f>E31+D31+C31</f>
        <v>1500</v>
      </c>
      <c r="G31" s="42">
        <v>1500</v>
      </c>
      <c r="H31" s="43">
        <f t="shared" si="4"/>
        <v>0</v>
      </c>
    </row>
    <row r="32" spans="1:15" x14ac:dyDescent="0.25">
      <c r="A32" s="39">
        <v>15</v>
      </c>
      <c r="B32" s="44" t="s">
        <v>136</v>
      </c>
      <c r="C32" s="12"/>
      <c r="D32" s="64">
        <f>'SEPTEMBER 21'!H32:H48</f>
        <v>400</v>
      </c>
      <c r="E32" s="41">
        <v>1000</v>
      </c>
      <c r="F32" s="13">
        <f t="shared" si="3"/>
        <v>1400</v>
      </c>
      <c r="G32" s="42">
        <f>600</f>
        <v>600</v>
      </c>
      <c r="H32" s="43">
        <f>F32-G32</f>
        <v>800</v>
      </c>
    </row>
    <row r="33" spans="1:12" x14ac:dyDescent="0.25">
      <c r="A33" s="39">
        <v>16</v>
      </c>
      <c r="B33" s="44" t="s">
        <v>272</v>
      </c>
      <c r="C33" s="12"/>
      <c r="D33" s="64">
        <f>'SEPTEMBER 21'!H33:H49</f>
        <v>0</v>
      </c>
      <c r="E33" s="41">
        <v>1500</v>
      </c>
      <c r="F33" s="13">
        <f>E33+D33+C33</f>
        <v>1500</v>
      </c>
      <c r="G33" s="42">
        <f>1500</f>
        <v>1500</v>
      </c>
      <c r="H33" s="43">
        <f t="shared" si="4"/>
        <v>0</v>
      </c>
      <c r="J33" s="60"/>
    </row>
    <row r="34" spans="1:12" x14ac:dyDescent="0.25">
      <c r="A34" s="39"/>
      <c r="B34" s="51" t="s">
        <v>7</v>
      </c>
      <c r="C34" s="52">
        <f>SUM(C18:C33)</f>
        <v>0</v>
      </c>
      <c r="D34" s="64">
        <f>'SEPTEMBER 21'!H34:H50</f>
        <v>3000</v>
      </c>
      <c r="E34" s="53">
        <f>SUM(E18:E33)</f>
        <v>25500</v>
      </c>
      <c r="F34" s="13">
        <f>C34+D34+E34</f>
        <v>28500</v>
      </c>
      <c r="G34" s="10">
        <f>SUM(G18:G33)</f>
        <v>21600</v>
      </c>
      <c r="H34" s="43">
        <f>SUM(H18:H33)</f>
        <v>6900</v>
      </c>
    </row>
    <row r="35" spans="1:12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2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x14ac:dyDescent="0.25">
      <c r="A37" s="22" t="s">
        <v>345</v>
      </c>
      <c r="B37" s="8">
        <f>E34+E16</f>
        <v>36000</v>
      </c>
      <c r="C37" s="23"/>
      <c r="D37" s="13">
        <f>'FEBRUARY 21'!H37:H57</f>
        <v>0</v>
      </c>
      <c r="E37" s="22" t="s">
        <v>345</v>
      </c>
      <c r="F37" s="8">
        <f>G34+G16</f>
        <v>30600</v>
      </c>
      <c r="G37" s="23"/>
      <c r="H37" s="8"/>
      <c r="L37" s="60"/>
    </row>
    <row r="38" spans="1:12" x14ac:dyDescent="0.25">
      <c r="A38" s="22" t="s">
        <v>12</v>
      </c>
      <c r="B38" s="24">
        <v>0.1</v>
      </c>
      <c r="C38" s="25">
        <f>B37*B38</f>
        <v>3600</v>
      </c>
      <c r="D38" s="13">
        <f>'FEBRUARY 21'!H38:H58</f>
        <v>0</v>
      </c>
      <c r="E38" s="22" t="s">
        <v>12</v>
      </c>
      <c r="F38" s="24">
        <v>0.1</v>
      </c>
      <c r="G38" s="25">
        <f>C38</f>
        <v>3600</v>
      </c>
      <c r="H38" s="8"/>
      <c r="K38" s="60"/>
      <c r="L38" s="60"/>
    </row>
    <row r="39" spans="1:12" x14ac:dyDescent="0.25">
      <c r="A39" s="22"/>
      <c r="B39" s="24"/>
      <c r="C39" s="25"/>
      <c r="D39" s="22"/>
      <c r="E39" s="22"/>
      <c r="F39" s="24"/>
      <c r="G39" s="25"/>
      <c r="H39" s="8"/>
      <c r="K39" s="60"/>
      <c r="L39" s="60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'SEPTEMBER 21'!D55</f>
        <v>-15529.59999999998</v>
      </c>
      <c r="C41" s="22"/>
      <c r="D41" s="22"/>
      <c r="E41" s="26" t="s">
        <v>2</v>
      </c>
      <c r="F41" s="25">
        <f>'SEPTEMBER 21'!H55</f>
        <v>-17828.900000000009</v>
      </c>
      <c r="G41" s="22"/>
      <c r="H41" s="8"/>
      <c r="J41" s="60"/>
    </row>
    <row r="42" spans="1:12" x14ac:dyDescent="0.25">
      <c r="A42" s="26" t="s">
        <v>7</v>
      </c>
      <c r="B42" s="25">
        <f>B37+B41+B40</f>
        <v>20470.40000000002</v>
      </c>
      <c r="C42" s="22"/>
      <c r="D42" s="22"/>
      <c r="E42" s="26" t="s">
        <v>7</v>
      </c>
      <c r="F42" s="25">
        <f>F37+F41+F39</f>
        <v>12771.099999999991</v>
      </c>
      <c r="G42" s="22"/>
      <c r="H42" s="8"/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2" x14ac:dyDescent="0.25">
      <c r="A44" s="27"/>
      <c r="B44" s="59"/>
      <c r="C44" s="29"/>
      <c r="D44" s="28"/>
      <c r="E44" s="27"/>
      <c r="F44" s="59"/>
      <c r="G44" s="29"/>
      <c r="H44" s="30"/>
    </row>
    <row r="45" spans="1:12" x14ac:dyDescent="0.25">
      <c r="A45" s="27" t="s">
        <v>148</v>
      </c>
      <c r="B45" s="59"/>
      <c r="C45" s="29"/>
      <c r="D45" s="28"/>
      <c r="E45" s="27" t="s">
        <v>148</v>
      </c>
      <c r="F45" s="59"/>
      <c r="G45" s="29"/>
      <c r="H45" s="30"/>
    </row>
    <row r="46" spans="1:12" x14ac:dyDescent="0.25">
      <c r="A46" s="27" t="s">
        <v>195</v>
      </c>
      <c r="B46" s="59"/>
      <c r="C46" s="29">
        <v>2532</v>
      </c>
      <c r="D46" s="28"/>
      <c r="E46" s="27" t="s">
        <v>195</v>
      </c>
      <c r="F46" s="59"/>
      <c r="G46" s="29">
        <v>2532</v>
      </c>
      <c r="H46" s="30"/>
    </row>
    <row r="47" spans="1:12" x14ac:dyDescent="0.25">
      <c r="A47" s="27" t="s">
        <v>348</v>
      </c>
      <c r="B47" s="59"/>
      <c r="C47" s="29">
        <f>13000+11800</f>
        <v>24800</v>
      </c>
      <c r="D47" s="28"/>
      <c r="E47" s="27" t="s">
        <v>348</v>
      </c>
      <c r="F47" s="59"/>
      <c r="G47" s="29">
        <f>13000+11800</f>
        <v>24800</v>
      </c>
      <c r="H47" s="30"/>
    </row>
    <row r="48" spans="1:12" x14ac:dyDescent="0.25">
      <c r="A48" s="27" t="s">
        <v>349</v>
      </c>
      <c r="B48" s="59"/>
      <c r="C48" s="29">
        <v>1500</v>
      </c>
      <c r="D48" s="28"/>
      <c r="E48" s="27"/>
      <c r="F48" s="59"/>
      <c r="G48" s="29"/>
      <c r="H48" s="30"/>
    </row>
    <row r="49" spans="1:10" x14ac:dyDescent="0.25">
      <c r="A49" s="27" t="s">
        <v>351</v>
      </c>
      <c r="B49" s="59"/>
      <c r="C49" s="29">
        <v>1350</v>
      </c>
      <c r="D49" s="28"/>
      <c r="E49" s="27" t="s">
        <v>351</v>
      </c>
      <c r="F49" s="59"/>
      <c r="G49" s="29">
        <v>1350</v>
      </c>
      <c r="H49" s="30"/>
    </row>
    <row r="50" spans="1:10" x14ac:dyDescent="0.25">
      <c r="A50" s="27" t="s">
        <v>352</v>
      </c>
      <c r="B50" s="59"/>
      <c r="C50" s="29">
        <v>1500</v>
      </c>
      <c r="D50" s="28"/>
      <c r="E50" s="27" t="s">
        <v>352</v>
      </c>
      <c r="F50" s="59"/>
      <c r="G50" s="29">
        <v>1500</v>
      </c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27"/>
      <c r="B52" s="59"/>
      <c r="C52" s="29"/>
      <c r="D52" s="28"/>
      <c r="E52" s="27"/>
      <c r="F52" s="59"/>
      <c r="G52" s="29"/>
      <c r="H52" s="30"/>
      <c r="J52" s="60"/>
    </row>
    <row r="53" spans="1:10" x14ac:dyDescent="0.25">
      <c r="A53" s="27"/>
      <c r="B53" s="59"/>
      <c r="C53" s="29"/>
      <c r="D53" s="28"/>
      <c r="E53" s="27"/>
      <c r="F53" s="59"/>
      <c r="G53" s="29"/>
      <c r="H53" s="30"/>
      <c r="J53" s="60"/>
    </row>
    <row r="54" spans="1:10" x14ac:dyDescent="0.25">
      <c r="A54" s="27"/>
      <c r="B54" s="59"/>
      <c r="C54" s="29"/>
      <c r="D54" s="28"/>
      <c r="E54" s="27"/>
      <c r="F54" s="59"/>
      <c r="G54" s="29"/>
      <c r="H54" s="30"/>
    </row>
    <row r="55" spans="1:10" x14ac:dyDescent="0.25">
      <c r="A55" s="11" t="s">
        <v>7</v>
      </c>
      <c r="B55" s="34">
        <f>B37+B40+B41-C38</f>
        <v>16870.40000000002</v>
      </c>
      <c r="C55" s="7">
        <f>SUM(C44:C54)</f>
        <v>31682</v>
      </c>
      <c r="D55" s="7">
        <f>B55-C55</f>
        <v>-14811.59999999998</v>
      </c>
      <c r="E55" s="11" t="s">
        <v>7</v>
      </c>
      <c r="F55" s="34">
        <f>F37+F39+F41-G38</f>
        <v>9171.0999999999913</v>
      </c>
      <c r="G55" s="7">
        <f>SUM(G44:G54)</f>
        <v>30182</v>
      </c>
      <c r="H55" s="7">
        <f>F55-G55</f>
        <v>-21010.900000000009</v>
      </c>
      <c r="I55" s="60"/>
    </row>
    <row r="56" spans="1:10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10" x14ac:dyDescent="0.25">
      <c r="A57" s="1" t="s">
        <v>35</v>
      </c>
      <c r="B57" s="1"/>
      <c r="D57" s="1" t="s">
        <v>36</v>
      </c>
      <c r="G57" s="1" t="s">
        <v>63</v>
      </c>
      <c r="I57" s="60"/>
    </row>
  </sheetData>
  <mergeCells count="1">
    <mergeCell ref="J17:K17"/>
  </mergeCells>
  <conditionalFormatting sqref="B6:B15">
    <cfRule type="notContainsText" dxfId="9" priority="2" operator="notContains" text="VACCANT">
      <formula>ISERROR(SEARCH("VACCANT",B6))</formula>
    </cfRule>
    <cfRule type="containsText" dxfId="8" priority="1" operator="containsText" text="VACCANT">
      <formula>NOT(ISERROR(SEARCH("VACCANT",B6)))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E38" sqref="E38"/>
    </sheetView>
  </sheetViews>
  <sheetFormatPr defaultRowHeight="15" x14ac:dyDescent="0.25"/>
  <cols>
    <col min="1" max="1" width="19.28515625" customWidth="1"/>
    <col min="5" max="5" width="13" customWidth="1"/>
    <col min="9" max="9" width="10" bestFit="1" customWidth="1"/>
  </cols>
  <sheetData>
    <row r="1" spans="1:12" ht="15.75" x14ac:dyDescent="0.25">
      <c r="B1" s="1"/>
      <c r="C1" s="2" t="s">
        <v>55</v>
      </c>
      <c r="D1" s="1"/>
      <c r="E1" s="1"/>
      <c r="F1" s="1"/>
    </row>
    <row r="2" spans="1:12" ht="15.75" x14ac:dyDescent="0.25">
      <c r="C2" s="3"/>
      <c r="D2" s="3" t="s">
        <v>0</v>
      </c>
      <c r="E2" s="1"/>
      <c r="F2" s="1"/>
    </row>
    <row r="3" spans="1:12" ht="21" x14ac:dyDescent="0.25">
      <c r="C3" s="4" t="s">
        <v>344</v>
      </c>
      <c r="D3" s="3"/>
      <c r="E3" s="5"/>
      <c r="F3" s="5"/>
    </row>
    <row r="4" spans="1:12" x14ac:dyDescent="0.25">
      <c r="D4" s="35" t="s">
        <v>48</v>
      </c>
    </row>
    <row r="5" spans="1:12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2" ht="22.5" x14ac:dyDescent="0.25">
      <c r="A6" s="39" t="s">
        <v>23</v>
      </c>
      <c r="B6" s="74" t="s">
        <v>45</v>
      </c>
      <c r="C6" s="12"/>
      <c r="D6" s="13">
        <f>'OCTOBER 21'!H6</f>
        <v>0</v>
      </c>
      <c r="E6" s="41">
        <v>1500</v>
      </c>
      <c r="F6" s="13">
        <f>E6+D6+C6</f>
        <v>1500</v>
      </c>
      <c r="G6" s="42">
        <v>1500</v>
      </c>
      <c r="H6" s="43">
        <f>F6-G6</f>
        <v>0</v>
      </c>
    </row>
    <row r="7" spans="1:12" x14ac:dyDescent="0.25">
      <c r="A7" s="39" t="s">
        <v>24</v>
      </c>
      <c r="B7" s="75"/>
      <c r="C7" s="12"/>
      <c r="D7" s="13"/>
      <c r="E7" s="41"/>
      <c r="F7" s="13">
        <f t="shared" ref="F7:F15" si="0">E7+D7+C7</f>
        <v>0</v>
      </c>
      <c r="G7" s="42"/>
      <c r="H7" s="43">
        <f>F7-G7</f>
        <v>0</v>
      </c>
    </row>
    <row r="8" spans="1:12" x14ac:dyDescent="0.25">
      <c r="A8" s="39" t="s">
        <v>26</v>
      </c>
      <c r="B8" s="76" t="s">
        <v>78</v>
      </c>
      <c r="C8" s="14"/>
      <c r="D8" s="13">
        <f>'OCTOBER 21'!H8</f>
        <v>0</v>
      </c>
      <c r="E8" s="14">
        <v>1500</v>
      </c>
      <c r="F8" s="13">
        <f t="shared" si="0"/>
        <v>1500</v>
      </c>
      <c r="G8" s="42"/>
      <c r="H8" s="43">
        <f t="shared" ref="H8:H15" si="1">F8-G8</f>
        <v>1500</v>
      </c>
      <c r="I8" t="s">
        <v>128</v>
      </c>
    </row>
    <row r="9" spans="1:12" ht="22.5" x14ac:dyDescent="0.25">
      <c r="A9" s="45" t="s">
        <v>27</v>
      </c>
      <c r="B9" s="75" t="s">
        <v>347</v>
      </c>
      <c r="C9" s="14"/>
      <c r="D9" s="13">
        <f>'OCTOBER 21'!H9</f>
        <v>0</v>
      </c>
      <c r="E9" s="46">
        <v>1500</v>
      </c>
      <c r="F9" s="13">
        <f t="shared" si="0"/>
        <v>1500</v>
      </c>
      <c r="G9" s="42"/>
      <c r="H9" s="43">
        <f t="shared" si="1"/>
        <v>1500</v>
      </c>
    </row>
    <row r="10" spans="1:12" ht="22.5" x14ac:dyDescent="0.25">
      <c r="A10" s="47" t="s">
        <v>28</v>
      </c>
      <c r="B10" s="75" t="s">
        <v>346</v>
      </c>
      <c r="C10" s="12"/>
      <c r="D10" s="13">
        <f>'OCTOBER 21'!H10</f>
        <v>0</v>
      </c>
      <c r="E10" s="41">
        <v>1500</v>
      </c>
      <c r="F10" s="13">
        <f t="shared" si="0"/>
        <v>1500</v>
      </c>
      <c r="G10" s="42">
        <v>1500</v>
      </c>
      <c r="H10" s="43">
        <f t="shared" si="1"/>
        <v>0</v>
      </c>
    </row>
    <row r="11" spans="1:12" ht="22.5" x14ac:dyDescent="0.25">
      <c r="A11" s="48" t="s">
        <v>29</v>
      </c>
      <c r="B11" s="74" t="s">
        <v>341</v>
      </c>
      <c r="C11" s="14"/>
      <c r="D11" s="13">
        <f>'OCTOBER 21'!H11</f>
        <v>0</v>
      </c>
      <c r="E11" s="49">
        <v>1500</v>
      </c>
      <c r="F11" s="13">
        <f t="shared" si="0"/>
        <v>1500</v>
      </c>
      <c r="G11" s="42"/>
      <c r="H11" s="43">
        <f t="shared" si="1"/>
        <v>1500</v>
      </c>
      <c r="I11" t="s">
        <v>141</v>
      </c>
    </row>
    <row r="12" spans="1:12" ht="22.5" x14ac:dyDescent="0.25">
      <c r="A12" s="39" t="s">
        <v>30</v>
      </c>
      <c r="B12" s="77" t="s">
        <v>355</v>
      </c>
      <c r="C12" s="12"/>
      <c r="D12" s="13">
        <f>'OCTOBER 21'!H12</f>
        <v>0</v>
      </c>
      <c r="E12" s="41">
        <v>1500</v>
      </c>
      <c r="F12" s="13">
        <f>E12+D12+C12</f>
        <v>1500</v>
      </c>
      <c r="G12" s="42">
        <v>1500</v>
      </c>
      <c r="H12" s="43">
        <f t="shared" si="1"/>
        <v>0</v>
      </c>
      <c r="L12" s="60">
        <f>E16</f>
        <v>10500</v>
      </c>
    </row>
    <row r="13" spans="1:12" ht="33.75" x14ac:dyDescent="0.25">
      <c r="A13" s="39" t="s">
        <v>31</v>
      </c>
      <c r="B13" s="78" t="s">
        <v>326</v>
      </c>
      <c r="C13" s="12"/>
      <c r="D13" s="13">
        <f>'OCTOBER 21'!H13</f>
        <v>0</v>
      </c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25500</v>
      </c>
    </row>
    <row r="14" spans="1:12" ht="22.5" x14ac:dyDescent="0.25">
      <c r="A14" s="39" t="s">
        <v>32</v>
      </c>
      <c r="B14" s="75" t="s">
        <v>330</v>
      </c>
      <c r="C14" s="12"/>
      <c r="D14" s="13">
        <f>'OCTOBER 21'!H14</f>
        <v>0</v>
      </c>
      <c r="E14" s="41">
        <v>1500</v>
      </c>
      <c r="F14" s="13">
        <f>E14+D14+C14</f>
        <v>1500</v>
      </c>
      <c r="G14" s="42">
        <f>700+500</f>
        <v>1200</v>
      </c>
      <c r="H14" s="43">
        <f t="shared" si="1"/>
        <v>300</v>
      </c>
      <c r="L14" s="60">
        <f>L12+L13</f>
        <v>36000</v>
      </c>
    </row>
    <row r="15" spans="1:12" x14ac:dyDescent="0.25">
      <c r="A15" s="39" t="s">
        <v>33</v>
      </c>
      <c r="B15" s="79" t="s">
        <v>128</v>
      </c>
      <c r="C15" s="68"/>
      <c r="D15" s="13">
        <f>'OCTOBER 21'!H15</f>
        <v>0</v>
      </c>
      <c r="E15" s="69"/>
      <c r="F15" s="64">
        <f t="shared" si="0"/>
        <v>0</v>
      </c>
      <c r="G15" s="42"/>
      <c r="H15" s="43">
        <f t="shared" si="1"/>
        <v>0</v>
      </c>
      <c r="I15" s="66"/>
      <c r="J15" s="66" t="s">
        <v>177</v>
      </c>
      <c r="K15" s="66"/>
      <c r="L15" s="62">
        <f>C38</f>
        <v>3600</v>
      </c>
    </row>
    <row r="16" spans="1:12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0</v>
      </c>
      <c r="E16" s="53">
        <f t="shared" si="2"/>
        <v>10500</v>
      </c>
      <c r="F16" s="13">
        <f t="shared" si="2"/>
        <v>10500</v>
      </c>
      <c r="G16" s="10">
        <f>SUM(G6:G15)</f>
        <v>5700</v>
      </c>
      <c r="H16" s="54">
        <f>SUM(H6:H15)</f>
        <v>4800</v>
      </c>
      <c r="L16" s="60">
        <f>L14-L15</f>
        <v>32400</v>
      </c>
    </row>
    <row r="17" spans="1:12" x14ac:dyDescent="0.25">
      <c r="C17" s="35"/>
      <c r="D17" s="35" t="s">
        <v>37</v>
      </c>
      <c r="E17" s="35"/>
      <c r="J17" s="80" t="s">
        <v>203</v>
      </c>
      <c r="K17" s="81"/>
      <c r="L17" s="29">
        <v>2082</v>
      </c>
    </row>
    <row r="18" spans="1:12" ht="22.5" x14ac:dyDescent="0.25">
      <c r="A18" s="39">
        <v>1</v>
      </c>
      <c r="B18" s="55" t="s">
        <v>329</v>
      </c>
      <c r="C18" s="68"/>
      <c r="D18" s="64">
        <f>'OCTOBER 21'!H18</f>
        <v>0</v>
      </c>
      <c r="E18" s="71">
        <v>2000</v>
      </c>
      <c r="F18" s="64">
        <f>C18+D18+E18</f>
        <v>2000</v>
      </c>
      <c r="G18" s="64">
        <v>2000</v>
      </c>
      <c r="H18" s="43">
        <f>F18-G18</f>
        <v>0</v>
      </c>
      <c r="I18" s="66"/>
      <c r="L18" s="60">
        <f>L16-L17</f>
        <v>30318</v>
      </c>
    </row>
    <row r="19" spans="1:12" x14ac:dyDescent="0.25">
      <c r="A19" s="39">
        <v>2</v>
      </c>
      <c r="B19" s="44" t="s">
        <v>152</v>
      </c>
      <c r="C19" s="12"/>
      <c r="D19" s="64">
        <f>'OCTOBER 21'!H19</f>
        <v>0</v>
      </c>
      <c r="E19" s="41">
        <v>2000</v>
      </c>
      <c r="F19" s="13">
        <f>E19+D19+C19</f>
        <v>2000</v>
      </c>
      <c r="G19" s="13">
        <f>1000+1000</f>
        <v>2000</v>
      </c>
      <c r="H19" s="43">
        <f>F19-G19</f>
        <v>0</v>
      </c>
      <c r="K19" s="66" t="s">
        <v>323</v>
      </c>
      <c r="L19" s="65">
        <v>3000</v>
      </c>
    </row>
    <row r="20" spans="1:12" x14ac:dyDescent="0.25">
      <c r="A20" s="39">
        <v>3</v>
      </c>
      <c r="B20" s="14" t="s">
        <v>39</v>
      </c>
      <c r="C20" s="14"/>
      <c r="D20" s="64">
        <f>'OCTOBER 21'!H20</f>
        <v>0</v>
      </c>
      <c r="E20" s="14">
        <v>2000</v>
      </c>
      <c r="F20" s="13">
        <f t="shared" ref="F20:F32" si="3">E20+D20+C20</f>
        <v>2000</v>
      </c>
      <c r="G20" s="14">
        <v>2000</v>
      </c>
      <c r="H20" s="43">
        <f>F20-G20</f>
        <v>0</v>
      </c>
      <c r="K20" t="s">
        <v>249</v>
      </c>
      <c r="L20" s="60">
        <f>L18-L19</f>
        <v>27318</v>
      </c>
    </row>
    <row r="21" spans="1:12" x14ac:dyDescent="0.25">
      <c r="A21" s="39">
        <v>4</v>
      </c>
      <c r="B21" s="44" t="s">
        <v>320</v>
      </c>
      <c r="C21" s="14"/>
      <c r="D21" s="64">
        <f>'OCTOBER 21'!H21</f>
        <v>0</v>
      </c>
      <c r="E21" s="46">
        <v>2000</v>
      </c>
      <c r="F21" s="13">
        <f t="shared" si="3"/>
        <v>2000</v>
      </c>
      <c r="G21" s="43"/>
      <c r="H21" s="43">
        <f>F21-G21</f>
        <v>2000</v>
      </c>
      <c r="L21" s="60">
        <v>22000</v>
      </c>
    </row>
    <row r="22" spans="1:12" ht="22.5" x14ac:dyDescent="0.25">
      <c r="A22" s="39">
        <v>5</v>
      </c>
      <c r="B22" s="40" t="s">
        <v>339</v>
      </c>
      <c r="C22" s="12"/>
      <c r="D22" s="64">
        <f>'OCTOBER 21'!H22</f>
        <v>2500</v>
      </c>
      <c r="E22" s="41">
        <v>2000</v>
      </c>
      <c r="F22" s="13">
        <f t="shared" si="3"/>
        <v>4500</v>
      </c>
      <c r="G22" s="42"/>
      <c r="H22" s="43">
        <f t="shared" ref="H22:H33" si="4">F22-G22</f>
        <v>4500</v>
      </c>
      <c r="I22">
        <v>723529915</v>
      </c>
      <c r="L22" s="60">
        <f>L20-L21</f>
        <v>5318</v>
      </c>
    </row>
    <row r="23" spans="1:12" x14ac:dyDescent="0.25">
      <c r="A23" s="39">
        <v>6</v>
      </c>
      <c r="B23" s="40" t="s">
        <v>128</v>
      </c>
      <c r="C23" s="14"/>
      <c r="D23" s="64">
        <f>'OCTOBER 21'!H23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L23" s="60"/>
    </row>
    <row r="24" spans="1:12" x14ac:dyDescent="0.25">
      <c r="A24" s="39">
        <v>7</v>
      </c>
      <c r="B24" s="40" t="s">
        <v>204</v>
      </c>
      <c r="C24" s="12"/>
      <c r="D24" s="64">
        <f>'OCTOBER 21'!H24</f>
        <v>0</v>
      </c>
      <c r="E24" s="41">
        <v>2000</v>
      </c>
      <c r="F24" s="13">
        <f t="shared" si="3"/>
        <v>2000</v>
      </c>
      <c r="G24" s="42">
        <v>2000</v>
      </c>
      <c r="H24" s="43">
        <f t="shared" si="4"/>
        <v>0</v>
      </c>
      <c r="L24" s="60"/>
    </row>
    <row r="25" spans="1:12" ht="22.5" x14ac:dyDescent="0.25">
      <c r="A25" s="39">
        <v>8</v>
      </c>
      <c r="B25" s="40" t="s">
        <v>41</v>
      </c>
      <c r="C25" s="12"/>
      <c r="D25" s="64">
        <f>'OCTOBER 21'!H25</f>
        <v>2700</v>
      </c>
      <c r="E25" s="41">
        <v>2000</v>
      </c>
      <c r="F25" s="13">
        <f t="shared" si="3"/>
        <v>4700</v>
      </c>
      <c r="G25" s="42">
        <f>2000</f>
        <v>2000</v>
      </c>
      <c r="H25" s="43">
        <f>F25-G25</f>
        <v>2700</v>
      </c>
      <c r="L25" s="60"/>
    </row>
    <row r="26" spans="1:12" ht="22.5" x14ac:dyDescent="0.25">
      <c r="A26" s="39">
        <v>9</v>
      </c>
      <c r="B26" s="63" t="s">
        <v>285</v>
      </c>
      <c r="C26" s="44"/>
      <c r="D26" s="64">
        <f>'OCTOBER 21'!H26</f>
        <v>0</v>
      </c>
      <c r="E26" s="13">
        <v>1500</v>
      </c>
      <c r="F26" s="13">
        <f t="shared" si="3"/>
        <v>1500</v>
      </c>
      <c r="G26" s="13">
        <v>1500</v>
      </c>
      <c r="H26" s="43">
        <f>F26-G26</f>
        <v>0</v>
      </c>
      <c r="L26" s="60">
        <f>L24-L25</f>
        <v>0</v>
      </c>
    </row>
    <row r="27" spans="1:12" x14ac:dyDescent="0.25">
      <c r="A27" s="39">
        <v>10</v>
      </c>
      <c r="B27" s="44" t="s">
        <v>340</v>
      </c>
      <c r="C27" s="12"/>
      <c r="D27" s="64">
        <f>'OCTOBER 21'!H27</f>
        <v>0</v>
      </c>
      <c r="E27" s="41">
        <v>1500</v>
      </c>
      <c r="F27" s="13">
        <f>E27+D27+C27</f>
        <v>1500</v>
      </c>
      <c r="G27" s="42">
        <v>1500</v>
      </c>
      <c r="H27" s="43">
        <f t="shared" si="4"/>
        <v>0</v>
      </c>
    </row>
    <row r="28" spans="1:12" ht="22.5" x14ac:dyDescent="0.25">
      <c r="A28" s="39">
        <v>11</v>
      </c>
      <c r="B28" s="40" t="s">
        <v>53</v>
      </c>
      <c r="C28" s="12"/>
      <c r="D28" s="64">
        <f>'OCTOBER 21'!H28</f>
        <v>900</v>
      </c>
      <c r="E28" s="41">
        <v>1500</v>
      </c>
      <c r="F28" s="13">
        <f t="shared" si="3"/>
        <v>2400</v>
      </c>
      <c r="G28" s="42">
        <f>600+500+400</f>
        <v>1500</v>
      </c>
      <c r="H28" s="43">
        <f>F28-G28</f>
        <v>900</v>
      </c>
    </row>
    <row r="29" spans="1:12" ht="22.5" x14ac:dyDescent="0.25">
      <c r="A29" s="39">
        <v>12</v>
      </c>
      <c r="B29" s="44" t="s">
        <v>297</v>
      </c>
      <c r="C29" s="12"/>
      <c r="D29" s="64">
        <f>'OCTOBER 21'!H29</f>
        <v>0</v>
      </c>
      <c r="E29" s="41">
        <v>1500</v>
      </c>
      <c r="F29" s="13">
        <f t="shared" si="3"/>
        <v>1500</v>
      </c>
      <c r="G29" s="42">
        <v>1450</v>
      </c>
      <c r="H29" s="43">
        <f>F29-G29</f>
        <v>50</v>
      </c>
    </row>
    <row r="30" spans="1:12" x14ac:dyDescent="0.25">
      <c r="A30" s="39">
        <v>13</v>
      </c>
      <c r="B30" s="44" t="s">
        <v>307</v>
      </c>
      <c r="C30" s="12"/>
      <c r="D30" s="64">
        <f>'OCTOBER 21'!H30</f>
        <v>0</v>
      </c>
      <c r="E30" s="41">
        <v>1500</v>
      </c>
      <c r="F30" s="13">
        <f t="shared" si="3"/>
        <v>1500</v>
      </c>
      <c r="G30" s="42">
        <v>1500</v>
      </c>
      <c r="H30" s="43">
        <f>F30-G30</f>
        <v>0</v>
      </c>
    </row>
    <row r="31" spans="1:12" ht="22.5" x14ac:dyDescent="0.25">
      <c r="A31" s="39">
        <v>14</v>
      </c>
      <c r="B31" s="44" t="s">
        <v>165</v>
      </c>
      <c r="C31" s="12"/>
      <c r="D31" s="64">
        <f>'OCTOBER 21'!H31</f>
        <v>0</v>
      </c>
      <c r="E31" s="41">
        <v>1500</v>
      </c>
      <c r="F31" s="13">
        <f>E31+D31+C31</f>
        <v>1500</v>
      </c>
      <c r="G31" s="42">
        <v>1500</v>
      </c>
      <c r="H31" s="43">
        <f t="shared" si="4"/>
        <v>0</v>
      </c>
    </row>
    <row r="32" spans="1:12" ht="22.5" x14ac:dyDescent="0.25">
      <c r="A32" s="39">
        <v>15</v>
      </c>
      <c r="B32" s="44" t="s">
        <v>136</v>
      </c>
      <c r="C32" s="12"/>
      <c r="D32" s="64">
        <f>'OCTOBER 21'!H32</f>
        <v>800</v>
      </c>
      <c r="E32" s="41">
        <v>1000</v>
      </c>
      <c r="F32" s="13">
        <f t="shared" si="3"/>
        <v>1800</v>
      </c>
      <c r="G32" s="42">
        <f>50+1000+200+200</f>
        <v>1450</v>
      </c>
      <c r="H32" s="43">
        <f>F32-G32</f>
        <v>350</v>
      </c>
    </row>
    <row r="33" spans="1:12" ht="22.5" x14ac:dyDescent="0.25">
      <c r="A33" s="39">
        <v>16</v>
      </c>
      <c r="B33" s="44" t="s">
        <v>272</v>
      </c>
      <c r="C33" s="12"/>
      <c r="D33" s="64">
        <f>'OCTOBER 21'!H33</f>
        <v>0</v>
      </c>
      <c r="E33" s="41">
        <v>1500</v>
      </c>
      <c r="F33" s="13">
        <f>E33+D33+C33</f>
        <v>1500</v>
      </c>
      <c r="G33" s="42">
        <f>1250+250</f>
        <v>1500</v>
      </c>
      <c r="H33" s="43">
        <f t="shared" si="4"/>
        <v>0</v>
      </c>
      <c r="J33" s="60"/>
    </row>
    <row r="34" spans="1:12" x14ac:dyDescent="0.25">
      <c r="A34" s="39"/>
      <c r="B34" s="51" t="s">
        <v>7</v>
      </c>
      <c r="C34" s="52">
        <f>SUM(C18:C33)</f>
        <v>0</v>
      </c>
      <c r="D34" s="64">
        <f>SUM(D18:D33)</f>
        <v>6900</v>
      </c>
      <c r="E34" s="53">
        <f>SUM(E18:E33)</f>
        <v>25500</v>
      </c>
      <c r="F34" s="13">
        <f>C34+D34+E34</f>
        <v>32400</v>
      </c>
      <c r="G34" s="10">
        <f>SUM(G18:G33)</f>
        <v>21900</v>
      </c>
      <c r="H34" s="43">
        <f>SUM(H18:H33)</f>
        <v>10500</v>
      </c>
    </row>
    <row r="35" spans="1:12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2" ht="48.75" customHeight="1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ht="39" customHeight="1" x14ac:dyDescent="0.25">
      <c r="A37" s="22" t="s">
        <v>199</v>
      </c>
      <c r="B37" s="8">
        <f>E34+E16</f>
        <v>36000</v>
      </c>
      <c r="C37" s="23"/>
      <c r="D37" s="13">
        <f>'FEBRUARY 21'!H37:H57</f>
        <v>0</v>
      </c>
      <c r="E37" s="22" t="s">
        <v>199</v>
      </c>
      <c r="F37" s="8">
        <f>G34+G16</f>
        <v>27600</v>
      </c>
      <c r="G37" s="23"/>
      <c r="H37" s="8"/>
      <c r="L37" s="60"/>
    </row>
    <row r="38" spans="1:12" ht="57" customHeight="1" x14ac:dyDescent="0.25">
      <c r="A38" s="22" t="s">
        <v>12</v>
      </c>
      <c r="B38" s="24">
        <v>0.1</v>
      </c>
      <c r="C38" s="25">
        <f>B37*B38</f>
        <v>3600</v>
      </c>
      <c r="D38" s="13">
        <f>'FEBRUARY 21'!H38:H58</f>
        <v>0</v>
      </c>
      <c r="E38" s="22" t="s">
        <v>12</v>
      </c>
      <c r="F38" s="24">
        <v>0.1</v>
      </c>
      <c r="G38" s="25">
        <f>C38</f>
        <v>3600</v>
      </c>
      <c r="H38" s="8"/>
      <c r="K38" s="60"/>
      <c r="L38" s="60"/>
    </row>
    <row r="39" spans="1:12" x14ac:dyDescent="0.25">
      <c r="A39" s="22"/>
      <c r="B39" s="24"/>
      <c r="C39" s="25"/>
      <c r="D39" s="22"/>
      <c r="E39" s="22"/>
      <c r="F39" s="24"/>
      <c r="G39" s="25"/>
      <c r="H39" s="8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'OCTOBER 21'!D55</f>
        <v>-14811.59999999998</v>
      </c>
      <c r="C41" s="22"/>
      <c r="D41" s="22"/>
      <c r="E41" s="26" t="s">
        <v>2</v>
      </c>
      <c r="F41" s="25">
        <f>'OCTOBER 21'!H55</f>
        <v>-21010.900000000009</v>
      </c>
      <c r="G41" s="22"/>
      <c r="H41" s="8"/>
    </row>
    <row r="42" spans="1:12" x14ac:dyDescent="0.25">
      <c r="A42" s="26" t="s">
        <v>7</v>
      </c>
      <c r="B42" s="25">
        <f>B37+B41+B40</f>
        <v>21188.40000000002</v>
      </c>
      <c r="C42" s="22"/>
      <c r="D42" s="22"/>
      <c r="E42" s="26" t="s">
        <v>7</v>
      </c>
      <c r="F42" s="25">
        <f>F37+F41+F39</f>
        <v>6589.0999999999913</v>
      </c>
      <c r="G42" s="22"/>
      <c r="H42" s="8"/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2" x14ac:dyDescent="0.25">
      <c r="A44" s="27"/>
      <c r="B44" s="59"/>
      <c r="C44" s="29"/>
      <c r="D44" s="28"/>
      <c r="E44" s="27"/>
      <c r="F44" s="59"/>
      <c r="G44" s="29"/>
      <c r="H44" s="30"/>
    </row>
    <row r="45" spans="1:12" x14ac:dyDescent="0.25">
      <c r="A45" s="27" t="s">
        <v>148</v>
      </c>
      <c r="B45" s="59"/>
      <c r="C45" s="29"/>
      <c r="D45" s="28"/>
      <c r="E45" s="27" t="s">
        <v>148</v>
      </c>
      <c r="F45" s="59"/>
      <c r="G45" s="29"/>
      <c r="H45" s="30"/>
    </row>
    <row r="46" spans="1:12" x14ac:dyDescent="0.25">
      <c r="A46" s="27" t="s">
        <v>353</v>
      </c>
      <c r="B46" s="59"/>
      <c r="C46" s="29">
        <v>2082</v>
      </c>
      <c r="D46" s="28"/>
      <c r="E46" s="27" t="s">
        <v>353</v>
      </c>
      <c r="F46" s="59"/>
      <c r="G46" s="29">
        <v>2082</v>
      </c>
      <c r="H46" s="30"/>
    </row>
    <row r="47" spans="1:12" x14ac:dyDescent="0.25">
      <c r="A47" s="27" t="s">
        <v>354</v>
      </c>
      <c r="B47" s="59"/>
      <c r="C47" s="29">
        <v>27300</v>
      </c>
      <c r="D47" s="28"/>
      <c r="E47" s="27" t="s">
        <v>354</v>
      </c>
      <c r="F47" s="59"/>
      <c r="G47" s="29">
        <v>27300</v>
      </c>
      <c r="H47" s="30"/>
    </row>
    <row r="48" spans="1:12" x14ac:dyDescent="0.25">
      <c r="A48" s="27" t="s">
        <v>356</v>
      </c>
      <c r="B48" s="59"/>
      <c r="C48" s="29">
        <f>1500</f>
        <v>1500</v>
      </c>
      <c r="D48" s="28"/>
      <c r="E48" s="27"/>
      <c r="F48" s="59"/>
      <c r="G48" s="29"/>
      <c r="H48" s="30"/>
    </row>
    <row r="49" spans="1:8" x14ac:dyDescent="0.25">
      <c r="A49" s="27" t="s">
        <v>358</v>
      </c>
      <c r="B49" s="59"/>
      <c r="C49" s="29">
        <v>1500</v>
      </c>
      <c r="D49" s="28"/>
      <c r="E49" s="27"/>
      <c r="F49" s="59"/>
      <c r="G49" s="29"/>
      <c r="H49" s="30"/>
    </row>
    <row r="50" spans="1:8" x14ac:dyDescent="0.25">
      <c r="A50" s="27"/>
      <c r="B50" s="59"/>
      <c r="C50" s="29"/>
      <c r="D50" s="28"/>
      <c r="E50" s="27"/>
      <c r="F50" s="59"/>
      <c r="G50" s="29"/>
      <c r="H50" s="30"/>
    </row>
    <row r="51" spans="1:8" x14ac:dyDescent="0.25">
      <c r="A51" s="27"/>
      <c r="B51" s="59"/>
      <c r="C51" s="29"/>
      <c r="D51" s="28"/>
      <c r="E51" s="27"/>
      <c r="F51" s="59"/>
      <c r="G51" s="29"/>
      <c r="H51" s="30"/>
    </row>
    <row r="52" spans="1:8" x14ac:dyDescent="0.25">
      <c r="A52" s="27"/>
      <c r="B52" s="59"/>
      <c r="C52" s="29"/>
      <c r="D52" s="28"/>
      <c r="E52" s="27"/>
      <c r="F52" s="59"/>
      <c r="G52" s="29"/>
      <c r="H52" s="30"/>
    </row>
    <row r="53" spans="1:8" x14ac:dyDescent="0.25">
      <c r="A53" s="27"/>
      <c r="B53" s="59"/>
      <c r="C53" s="29"/>
      <c r="D53" s="28"/>
      <c r="E53" s="27"/>
      <c r="F53" s="59"/>
      <c r="G53" s="29"/>
      <c r="H53" s="30"/>
    </row>
    <row r="54" spans="1:8" x14ac:dyDescent="0.25">
      <c r="A54" s="27"/>
      <c r="B54" s="59"/>
      <c r="C54" s="29"/>
      <c r="D54" s="28"/>
      <c r="E54" s="27"/>
      <c r="F54" s="59"/>
      <c r="G54" s="29"/>
      <c r="H54" s="30"/>
    </row>
    <row r="55" spans="1:8" x14ac:dyDescent="0.25">
      <c r="A55" s="11" t="s">
        <v>7</v>
      </c>
      <c r="B55" s="34">
        <f>B37+B40+B41-C38</f>
        <v>17588.40000000002</v>
      </c>
      <c r="C55" s="7">
        <f>SUM(C44:C54)</f>
        <v>32382</v>
      </c>
      <c r="D55" s="7">
        <f>B55-C55</f>
        <v>-14793.59999999998</v>
      </c>
      <c r="E55" s="11" t="s">
        <v>7</v>
      </c>
      <c r="F55" s="34">
        <f>F37+F39+F41-G38</f>
        <v>2989.0999999999913</v>
      </c>
      <c r="G55" s="7">
        <f>SUM(G44:G54)</f>
        <v>29382</v>
      </c>
      <c r="H55" s="7">
        <f>F55-G55</f>
        <v>-26392.900000000009</v>
      </c>
    </row>
    <row r="56" spans="1:8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8" x14ac:dyDescent="0.25">
      <c r="A57" s="1" t="s">
        <v>35</v>
      </c>
      <c r="B57" s="1"/>
      <c r="D57" s="1" t="s">
        <v>36</v>
      </c>
      <c r="G57" s="1" t="s">
        <v>63</v>
      </c>
    </row>
  </sheetData>
  <mergeCells count="1">
    <mergeCell ref="J17:K17"/>
  </mergeCells>
  <conditionalFormatting sqref="B6:B9 B11:B15">
    <cfRule type="containsText" dxfId="7" priority="3" operator="containsText" text="VACCANT">
      <formula>NOT(ISERROR(SEARCH("VACCANT",B6)))</formula>
    </cfRule>
    <cfRule type="notContainsText" dxfId="6" priority="4" operator="notContains" text="VACCANT">
      <formula>ISERROR(SEARCH("VACCANT",B6))</formula>
    </cfRule>
  </conditionalFormatting>
  <conditionalFormatting sqref="B10">
    <cfRule type="containsText" dxfId="5" priority="1" operator="containsText" text="VACCANT">
      <formula>NOT(ISERROR(SEARCH("VACCANT",B10)))</formula>
    </cfRule>
    <cfRule type="notContainsText" dxfId="4" priority="2" operator="notContains" text="VACCANT">
      <formula>ISERROR(SEARCH("VACCANT",B10))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4" workbookViewId="0">
      <selection activeCell="R23" sqref="R22:R23"/>
    </sheetView>
  </sheetViews>
  <sheetFormatPr defaultRowHeight="15" x14ac:dyDescent="0.25"/>
  <cols>
    <col min="1" max="1" width="13" customWidth="1"/>
    <col min="2" max="2" width="15" customWidth="1"/>
    <col min="5" max="5" width="11.42578125" customWidth="1"/>
  </cols>
  <sheetData>
    <row r="1" spans="1:20" ht="15.75" x14ac:dyDescent="0.25">
      <c r="B1" s="1"/>
      <c r="C1" s="2" t="s">
        <v>55</v>
      </c>
      <c r="D1" s="1"/>
      <c r="E1" s="1"/>
      <c r="F1" s="1"/>
    </row>
    <row r="2" spans="1:20" ht="15.75" x14ac:dyDescent="0.25">
      <c r="C2" s="3"/>
      <c r="D2" s="3" t="s">
        <v>0</v>
      </c>
      <c r="E2" s="1"/>
      <c r="F2" s="1"/>
    </row>
    <row r="3" spans="1:20" ht="21" x14ac:dyDescent="0.25">
      <c r="C3" s="4" t="s">
        <v>357</v>
      </c>
      <c r="D3" s="3"/>
      <c r="E3" s="5"/>
      <c r="F3" s="5"/>
    </row>
    <row r="4" spans="1:20" x14ac:dyDescent="0.25">
      <c r="D4" s="35" t="s">
        <v>48</v>
      </c>
    </row>
    <row r="5" spans="1:20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20" ht="22.5" x14ac:dyDescent="0.25">
      <c r="A6" s="39" t="s">
        <v>23</v>
      </c>
      <c r="B6" s="74" t="s">
        <v>45</v>
      </c>
      <c r="C6" s="12"/>
      <c r="D6" s="13">
        <f>'NOVEMBER 21'!H6:H15</f>
        <v>0</v>
      </c>
      <c r="E6" s="41">
        <v>1500</v>
      </c>
      <c r="F6" s="13">
        <f>E6+D6+C6</f>
        <v>1500</v>
      </c>
      <c r="G6" s="42"/>
      <c r="H6" s="43">
        <f>F6-G6</f>
        <v>1500</v>
      </c>
    </row>
    <row r="7" spans="1:20" ht="22.5" x14ac:dyDescent="0.25">
      <c r="A7" s="39" t="s">
        <v>24</v>
      </c>
      <c r="B7" s="75" t="s">
        <v>359</v>
      </c>
      <c r="C7" s="12"/>
      <c r="D7" s="13">
        <f>'NOVEMBER 21'!H7:H16</f>
        <v>0</v>
      </c>
      <c r="E7" s="41">
        <v>1500</v>
      </c>
      <c r="F7" s="13">
        <f t="shared" ref="F7:F15" si="0">E7+D7+C7</f>
        <v>1500</v>
      </c>
      <c r="G7" s="42">
        <v>1500</v>
      </c>
      <c r="H7" s="43">
        <f>F7-G7</f>
        <v>0</v>
      </c>
    </row>
    <row r="8" spans="1:20" x14ac:dyDescent="0.25">
      <c r="A8" s="39" t="s">
        <v>26</v>
      </c>
      <c r="B8" s="76" t="s">
        <v>78</v>
      </c>
      <c r="C8" s="14"/>
      <c r="D8" s="13">
        <f>'NOVEMBER 21'!H8:H17</f>
        <v>1500</v>
      </c>
      <c r="E8" s="14">
        <v>1500</v>
      </c>
      <c r="F8" s="13">
        <f t="shared" si="0"/>
        <v>3000</v>
      </c>
      <c r="G8" s="42"/>
      <c r="H8" s="43">
        <f t="shared" ref="H8:H15" si="1">F8-G8</f>
        <v>3000</v>
      </c>
      <c r="I8" t="s">
        <v>128</v>
      </c>
    </row>
    <row r="9" spans="1:20" ht="22.5" x14ac:dyDescent="0.25">
      <c r="A9" s="45" t="s">
        <v>27</v>
      </c>
      <c r="B9" s="75" t="s">
        <v>347</v>
      </c>
      <c r="C9" s="14"/>
      <c r="D9" s="13">
        <f>'NOVEMBER 21'!H9:H18</f>
        <v>1500</v>
      </c>
      <c r="E9" s="46">
        <v>1500</v>
      </c>
      <c r="F9" s="13">
        <f t="shared" si="0"/>
        <v>3000</v>
      </c>
      <c r="G9" s="42"/>
      <c r="H9" s="43">
        <f t="shared" si="1"/>
        <v>3000</v>
      </c>
    </row>
    <row r="10" spans="1:20" ht="22.5" x14ac:dyDescent="0.25">
      <c r="A10" s="47" t="s">
        <v>28</v>
      </c>
      <c r="B10" s="75" t="s">
        <v>346</v>
      </c>
      <c r="C10" s="12"/>
      <c r="D10" s="13">
        <f>'NOVEMBER 21'!H10:H19</f>
        <v>0</v>
      </c>
      <c r="E10" s="41">
        <v>1500</v>
      </c>
      <c r="F10" s="13">
        <f t="shared" si="0"/>
        <v>1500</v>
      </c>
      <c r="G10" s="42"/>
      <c r="H10" s="43">
        <f t="shared" si="1"/>
        <v>1500</v>
      </c>
    </row>
    <row r="11" spans="1:20" ht="22.5" x14ac:dyDescent="0.25">
      <c r="A11" s="48" t="s">
        <v>29</v>
      </c>
      <c r="B11" s="74" t="s">
        <v>341</v>
      </c>
      <c r="C11" s="14"/>
      <c r="D11" s="13">
        <f>'NOVEMBER 21'!H11:H20</f>
        <v>1500</v>
      </c>
      <c r="E11" s="49">
        <v>1500</v>
      </c>
      <c r="F11" s="13">
        <f t="shared" si="0"/>
        <v>3000</v>
      </c>
      <c r="G11" s="42"/>
      <c r="H11" s="43">
        <f t="shared" si="1"/>
        <v>3000</v>
      </c>
      <c r="I11" t="s">
        <v>141</v>
      </c>
    </row>
    <row r="12" spans="1:20" x14ac:dyDescent="0.25">
      <c r="A12" s="39" t="s">
        <v>30</v>
      </c>
      <c r="B12" s="77" t="s">
        <v>355</v>
      </c>
      <c r="C12" s="12"/>
      <c r="D12" s="13">
        <f>'NOVEMBER 21'!H12:H21</f>
        <v>0</v>
      </c>
      <c r="E12" s="41">
        <v>1500</v>
      </c>
      <c r="F12" s="13">
        <f>E12+D12+C12</f>
        <v>1500</v>
      </c>
      <c r="G12" s="42"/>
      <c r="H12" s="43">
        <f t="shared" si="1"/>
        <v>1500</v>
      </c>
      <c r="L12" s="60">
        <f>E16</f>
        <v>12000</v>
      </c>
      <c r="Q12" s="27" t="s">
        <v>275</v>
      </c>
      <c r="R12" s="59"/>
      <c r="S12" s="29">
        <v>10000</v>
      </c>
      <c r="T12" s="28"/>
    </row>
    <row r="13" spans="1:20" ht="22.5" x14ac:dyDescent="0.25">
      <c r="A13" s="39" t="s">
        <v>31</v>
      </c>
      <c r="B13" s="78" t="s">
        <v>326</v>
      </c>
      <c r="C13" s="12"/>
      <c r="D13" s="13">
        <f>'NOVEMBER 21'!H13:H22</f>
        <v>0</v>
      </c>
      <c r="E13" s="41"/>
      <c r="F13" s="13">
        <f t="shared" si="0"/>
        <v>0</v>
      </c>
      <c r="G13" s="42"/>
      <c r="H13" s="43">
        <f>F13-G13</f>
        <v>0</v>
      </c>
      <c r="I13" t="s">
        <v>128</v>
      </c>
      <c r="L13" s="60">
        <f>E34</f>
        <v>25500</v>
      </c>
      <c r="Q13" s="27" t="s">
        <v>276</v>
      </c>
      <c r="R13" s="59"/>
      <c r="S13" s="29">
        <v>3000</v>
      </c>
      <c r="T13" s="28"/>
    </row>
    <row r="14" spans="1:20" x14ac:dyDescent="0.25">
      <c r="A14" s="39" t="s">
        <v>32</v>
      </c>
      <c r="B14" s="75" t="s">
        <v>330</v>
      </c>
      <c r="C14" s="12"/>
      <c r="D14" s="13">
        <f>'NOVEMBER 21'!H14:H23</f>
        <v>300</v>
      </c>
      <c r="E14" s="41">
        <v>1500</v>
      </c>
      <c r="F14" s="13">
        <f>E14+D14+C14</f>
        <v>1800</v>
      </c>
      <c r="G14" s="42"/>
      <c r="H14" s="43">
        <f t="shared" si="1"/>
        <v>1800</v>
      </c>
      <c r="L14" s="60">
        <f>L12+L13</f>
        <v>37500</v>
      </c>
      <c r="Q14" s="27" t="s">
        <v>277</v>
      </c>
      <c r="R14" s="59"/>
      <c r="S14" s="29">
        <v>12000</v>
      </c>
      <c r="T14" s="28"/>
    </row>
    <row r="15" spans="1:20" x14ac:dyDescent="0.25">
      <c r="A15" s="39" t="s">
        <v>33</v>
      </c>
      <c r="B15" s="79" t="s">
        <v>128</v>
      </c>
      <c r="C15" s="68"/>
      <c r="D15" s="13">
        <f>'NOVEMBER 21'!H15:H24</f>
        <v>0</v>
      </c>
      <c r="E15" s="69"/>
      <c r="F15" s="64">
        <f t="shared" si="0"/>
        <v>0</v>
      </c>
      <c r="G15" s="42"/>
      <c r="H15" s="43">
        <f t="shared" si="1"/>
        <v>0</v>
      </c>
      <c r="I15" s="66"/>
      <c r="J15" s="66" t="s">
        <v>177</v>
      </c>
      <c r="K15" s="66"/>
      <c r="L15" s="62">
        <f>C38</f>
        <v>3750</v>
      </c>
      <c r="Q15" s="27" t="s">
        <v>278</v>
      </c>
      <c r="R15" s="59"/>
      <c r="S15" s="29">
        <v>2500</v>
      </c>
      <c r="T15" s="28"/>
    </row>
    <row r="16" spans="1:20" x14ac:dyDescent="0.25">
      <c r="A16" s="39"/>
      <c r="B16" s="51" t="s">
        <v>7</v>
      </c>
      <c r="C16" s="52">
        <f t="shared" ref="C16:F16" si="2">SUM(C6:C15)</f>
        <v>0</v>
      </c>
      <c r="D16" s="13">
        <f>SUM(D6:D15)</f>
        <v>4800</v>
      </c>
      <c r="E16" s="53">
        <f t="shared" si="2"/>
        <v>12000</v>
      </c>
      <c r="F16" s="13">
        <f t="shared" si="2"/>
        <v>16800</v>
      </c>
      <c r="G16" s="10">
        <f>SUM(G6:G15)</f>
        <v>1500</v>
      </c>
      <c r="H16" s="54">
        <f>SUM(H6:H15)</f>
        <v>15300</v>
      </c>
      <c r="L16" s="60">
        <f>L14-L15</f>
        <v>33750</v>
      </c>
      <c r="Q16" s="27" t="s">
        <v>279</v>
      </c>
      <c r="R16" s="59"/>
      <c r="S16" s="29">
        <v>3000</v>
      </c>
      <c r="T16" s="28"/>
    </row>
    <row r="17" spans="1:19" x14ac:dyDescent="0.25">
      <c r="C17" s="35"/>
      <c r="D17" s="35" t="s">
        <v>37</v>
      </c>
      <c r="E17" s="35"/>
      <c r="J17" s="80" t="s">
        <v>203</v>
      </c>
      <c r="K17" s="81"/>
      <c r="L17" s="29">
        <v>2082</v>
      </c>
      <c r="S17" s="61">
        <f>SUM(S12:S16)</f>
        <v>30500</v>
      </c>
    </row>
    <row r="18" spans="1:19" ht="22.5" x14ac:dyDescent="0.25">
      <c r="A18" s="39">
        <v>1</v>
      </c>
      <c r="B18" s="44" t="s">
        <v>329</v>
      </c>
      <c r="C18" s="68"/>
      <c r="D18" s="64">
        <f>'NOVEMBER 21'!H18:H33</f>
        <v>0</v>
      </c>
      <c r="E18" s="71">
        <v>2000</v>
      </c>
      <c r="F18" s="64">
        <f>C18+D18+E18</f>
        <v>2000</v>
      </c>
      <c r="G18" s="64"/>
      <c r="H18" s="43">
        <f>F18-G18</f>
        <v>2000</v>
      </c>
      <c r="I18" s="66"/>
      <c r="L18" s="60">
        <f>L16-L17</f>
        <v>31668</v>
      </c>
    </row>
    <row r="19" spans="1:19" x14ac:dyDescent="0.25">
      <c r="A19" s="39">
        <v>2</v>
      </c>
      <c r="B19" s="44" t="s">
        <v>152</v>
      </c>
      <c r="C19" s="12"/>
      <c r="D19" s="64">
        <f>'NOVEMBER 21'!H19:H34</f>
        <v>0</v>
      </c>
      <c r="E19" s="41">
        <v>2000</v>
      </c>
      <c r="F19" s="13">
        <f>E19+D19+C19</f>
        <v>2000</v>
      </c>
      <c r="G19" s="13"/>
      <c r="H19" s="43">
        <f>F19-G19</f>
        <v>2000</v>
      </c>
      <c r="K19" s="66" t="s">
        <v>323</v>
      </c>
      <c r="L19" s="65">
        <v>3000</v>
      </c>
    </row>
    <row r="20" spans="1:19" x14ac:dyDescent="0.25">
      <c r="A20" s="39">
        <v>3</v>
      </c>
      <c r="B20" s="14" t="s">
        <v>39</v>
      </c>
      <c r="C20" s="14"/>
      <c r="D20" s="64">
        <f>'NOVEMBER 21'!H20:H35</f>
        <v>0</v>
      </c>
      <c r="E20" s="14">
        <v>2000</v>
      </c>
      <c r="F20" s="13">
        <f t="shared" ref="F20:F32" si="3">E20+D20+C20</f>
        <v>2000</v>
      </c>
      <c r="G20" s="14"/>
      <c r="H20" s="43">
        <f>F20-G20</f>
        <v>2000</v>
      </c>
      <c r="K20" t="s">
        <v>249</v>
      </c>
      <c r="L20" s="60">
        <f>L18-L19</f>
        <v>28668</v>
      </c>
    </row>
    <row r="21" spans="1:19" x14ac:dyDescent="0.25">
      <c r="A21" s="39">
        <v>4</v>
      </c>
      <c r="B21" s="44" t="s">
        <v>320</v>
      </c>
      <c r="C21" s="14"/>
      <c r="D21" s="64">
        <f>'NOVEMBER 21'!H21:H36</f>
        <v>2000</v>
      </c>
      <c r="E21" s="46">
        <v>2000</v>
      </c>
      <c r="F21" s="13">
        <f t="shared" si="3"/>
        <v>4000</v>
      </c>
      <c r="G21" s="43"/>
      <c r="H21" s="43">
        <f>F21-G21</f>
        <v>4000</v>
      </c>
      <c r="L21" s="60">
        <v>22000</v>
      </c>
    </row>
    <row r="22" spans="1:19" ht="22.5" x14ac:dyDescent="0.25">
      <c r="A22" s="39">
        <v>5</v>
      </c>
      <c r="B22" s="40" t="s">
        <v>339</v>
      </c>
      <c r="C22" s="12"/>
      <c r="D22" s="64">
        <f>'NOVEMBER 21'!H22:H37</f>
        <v>4500</v>
      </c>
      <c r="E22" s="41">
        <v>2000</v>
      </c>
      <c r="F22" s="13">
        <f t="shared" si="3"/>
        <v>6500</v>
      </c>
      <c r="G22" s="42"/>
      <c r="H22" s="43">
        <f t="shared" ref="H22:H33" si="4">F22-G22</f>
        <v>6500</v>
      </c>
      <c r="L22" s="60">
        <f>L20-L21</f>
        <v>6668</v>
      </c>
    </row>
    <row r="23" spans="1:19" x14ac:dyDescent="0.25">
      <c r="A23" s="39">
        <v>6</v>
      </c>
      <c r="B23" s="40" t="s">
        <v>128</v>
      </c>
      <c r="C23" s="14"/>
      <c r="D23" s="64">
        <f>'NOVEMBER 21'!H23:H38</f>
        <v>0</v>
      </c>
      <c r="E23" s="49"/>
      <c r="F23" s="13">
        <f t="shared" si="3"/>
        <v>0</v>
      </c>
      <c r="G23" s="50"/>
      <c r="H23" s="43">
        <f t="shared" si="4"/>
        <v>0</v>
      </c>
      <c r="I23" s="60"/>
      <c r="L23" s="60"/>
    </row>
    <row r="24" spans="1:19" x14ac:dyDescent="0.25">
      <c r="A24" s="39">
        <v>7</v>
      </c>
      <c r="B24" s="40" t="s">
        <v>204</v>
      </c>
      <c r="C24" s="12"/>
      <c r="D24" s="64">
        <f>'NOVEMBER 21'!H24:H39</f>
        <v>0</v>
      </c>
      <c r="E24" s="41">
        <v>2000</v>
      </c>
      <c r="F24" s="13">
        <f t="shared" si="3"/>
        <v>2000</v>
      </c>
      <c r="G24" s="42"/>
      <c r="H24" s="43">
        <f t="shared" si="4"/>
        <v>2000</v>
      </c>
      <c r="L24" s="60"/>
    </row>
    <row r="25" spans="1:19" ht="22.5" x14ac:dyDescent="0.25">
      <c r="A25" s="39">
        <v>8</v>
      </c>
      <c r="B25" s="40" t="s">
        <v>41</v>
      </c>
      <c r="C25" s="12"/>
      <c r="D25" s="64">
        <f>'NOVEMBER 21'!H25:H40</f>
        <v>2700</v>
      </c>
      <c r="E25" s="41">
        <v>2000</v>
      </c>
      <c r="F25" s="13">
        <f t="shared" si="3"/>
        <v>4700</v>
      </c>
      <c r="G25" s="42"/>
      <c r="H25" s="43">
        <f>F25-G25</f>
        <v>4700</v>
      </c>
      <c r="L25" s="60"/>
    </row>
    <row r="26" spans="1:19" ht="22.5" x14ac:dyDescent="0.25">
      <c r="A26" s="39">
        <v>9</v>
      </c>
      <c r="B26" s="63" t="s">
        <v>285</v>
      </c>
      <c r="C26" s="44"/>
      <c r="D26" s="64">
        <f>'NOVEMBER 21'!H26:H41</f>
        <v>0</v>
      </c>
      <c r="E26" s="13">
        <v>1500</v>
      </c>
      <c r="F26" s="13">
        <f t="shared" si="3"/>
        <v>1500</v>
      </c>
      <c r="G26" s="13"/>
      <c r="H26" s="43">
        <f>F26-G26</f>
        <v>1500</v>
      </c>
      <c r="L26" s="60">
        <f>L24-L25</f>
        <v>0</v>
      </c>
    </row>
    <row r="27" spans="1:19" x14ac:dyDescent="0.25">
      <c r="A27" s="39">
        <v>10</v>
      </c>
      <c r="B27" s="44" t="s">
        <v>340</v>
      </c>
      <c r="C27" s="12"/>
      <c r="D27" s="64">
        <f>'NOVEMBER 21'!H27:H42</f>
        <v>0</v>
      </c>
      <c r="E27" s="41">
        <v>1500</v>
      </c>
      <c r="F27" s="13">
        <f>E27+D27+C27</f>
        <v>1500</v>
      </c>
      <c r="G27" s="42"/>
      <c r="H27" s="43">
        <f t="shared" si="4"/>
        <v>1500</v>
      </c>
    </row>
    <row r="28" spans="1:19" ht="22.5" x14ac:dyDescent="0.25">
      <c r="A28" s="39">
        <v>11</v>
      </c>
      <c r="B28" s="40" t="s">
        <v>53</v>
      </c>
      <c r="C28" s="12"/>
      <c r="D28" s="64">
        <f>'NOVEMBER 21'!H28:H43</f>
        <v>900</v>
      </c>
      <c r="E28" s="41">
        <v>1500</v>
      </c>
      <c r="F28" s="13">
        <f t="shared" si="3"/>
        <v>2400</v>
      </c>
      <c r="G28" s="42"/>
      <c r="H28" s="43">
        <f>F28-G28</f>
        <v>2400</v>
      </c>
    </row>
    <row r="29" spans="1:19" x14ac:dyDescent="0.25">
      <c r="A29" s="39">
        <v>12</v>
      </c>
      <c r="B29" s="44" t="s">
        <v>297</v>
      </c>
      <c r="C29" s="12"/>
      <c r="D29" s="64">
        <f>'NOVEMBER 21'!H29:H44</f>
        <v>50</v>
      </c>
      <c r="E29" s="41">
        <v>1500</v>
      </c>
      <c r="F29" s="13">
        <f t="shared" si="3"/>
        <v>1550</v>
      </c>
      <c r="G29" s="42"/>
      <c r="H29" s="43">
        <f>F29-G29</f>
        <v>1550</v>
      </c>
    </row>
    <row r="30" spans="1:19" x14ac:dyDescent="0.25">
      <c r="A30" s="39">
        <v>13</v>
      </c>
      <c r="B30" s="44" t="s">
        <v>307</v>
      </c>
      <c r="C30" s="12"/>
      <c r="D30" s="64">
        <f>'NOVEMBER 21'!H30:H45</f>
        <v>0</v>
      </c>
      <c r="E30" s="41">
        <v>1500</v>
      </c>
      <c r="F30" s="13">
        <f t="shared" si="3"/>
        <v>1500</v>
      </c>
      <c r="G30" s="42"/>
      <c r="H30" s="43">
        <f>F30-G30</f>
        <v>1500</v>
      </c>
    </row>
    <row r="31" spans="1:19" x14ac:dyDescent="0.25">
      <c r="A31" s="39">
        <v>14</v>
      </c>
      <c r="B31" s="44" t="s">
        <v>165</v>
      </c>
      <c r="C31" s="12"/>
      <c r="D31" s="64">
        <f>'NOVEMBER 21'!H31:H46</f>
        <v>0</v>
      </c>
      <c r="E31" s="41">
        <v>1500</v>
      </c>
      <c r="F31" s="13">
        <f>E31+D31+C31</f>
        <v>1500</v>
      </c>
      <c r="G31" s="42"/>
      <c r="H31" s="43">
        <f t="shared" si="4"/>
        <v>1500</v>
      </c>
    </row>
    <row r="32" spans="1:19" x14ac:dyDescent="0.25">
      <c r="A32" s="39">
        <v>15</v>
      </c>
      <c r="B32" s="44" t="s">
        <v>136</v>
      </c>
      <c r="C32" s="12"/>
      <c r="D32" s="64">
        <f>'NOVEMBER 21'!H32:H47</f>
        <v>350</v>
      </c>
      <c r="E32" s="41">
        <v>1000</v>
      </c>
      <c r="F32" s="13">
        <f t="shared" si="3"/>
        <v>1350</v>
      </c>
      <c r="G32" s="42"/>
      <c r="H32" s="43">
        <f>F32-G32</f>
        <v>1350</v>
      </c>
    </row>
    <row r="33" spans="1:12" ht="12.75" customHeight="1" x14ac:dyDescent="0.25">
      <c r="A33" s="39">
        <v>16</v>
      </c>
      <c r="B33" s="44" t="s">
        <v>272</v>
      </c>
      <c r="C33" s="12"/>
      <c r="D33" s="64">
        <f>'NOVEMBER 21'!H33:H48</f>
        <v>0</v>
      </c>
      <c r="E33" s="41">
        <v>1500</v>
      </c>
      <c r="F33" s="13">
        <f>E33+D33+C33</f>
        <v>1500</v>
      </c>
      <c r="G33" s="42"/>
      <c r="H33" s="43">
        <f t="shared" si="4"/>
        <v>1500</v>
      </c>
      <c r="J33" s="60"/>
    </row>
    <row r="34" spans="1:12" x14ac:dyDescent="0.25">
      <c r="A34" s="39"/>
      <c r="B34" s="51" t="s">
        <v>7</v>
      </c>
      <c r="C34" s="52">
        <f>SUM(C18:C33)</f>
        <v>0</v>
      </c>
      <c r="D34" s="64">
        <f>SUM(D18:D33)</f>
        <v>10500</v>
      </c>
      <c r="E34" s="53">
        <f>SUM(E18:E33)</f>
        <v>25500</v>
      </c>
      <c r="F34" s="13">
        <f>C34+D34+E34</f>
        <v>36000</v>
      </c>
      <c r="G34" s="10">
        <f>SUM(G18:G33)</f>
        <v>0</v>
      </c>
      <c r="H34" s="43">
        <f>SUM(H18:H33)</f>
        <v>36000</v>
      </c>
    </row>
    <row r="35" spans="1:12" x14ac:dyDescent="0.25">
      <c r="A35" s="56" t="s">
        <v>34</v>
      </c>
      <c r="B35" s="17"/>
      <c r="C35" s="18"/>
      <c r="D35" s="13">
        <f>'FEBRUARY 21'!H35:H50</f>
        <v>0</v>
      </c>
      <c r="E35" s="19"/>
      <c r="F35" s="17"/>
      <c r="G35" s="1"/>
      <c r="H35" s="6"/>
    </row>
    <row r="36" spans="1:12" x14ac:dyDescent="0.25">
      <c r="A36" s="20" t="s">
        <v>8</v>
      </c>
      <c r="B36" s="20" t="s">
        <v>9</v>
      </c>
      <c r="C36" s="20" t="s">
        <v>10</v>
      </c>
      <c r="D36" s="13" t="str">
        <f>'FEBRUARY 21'!H36:H56</f>
        <v>BAL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x14ac:dyDescent="0.25">
      <c r="A37" s="22" t="s">
        <v>216</v>
      </c>
      <c r="B37" s="8">
        <f>E34+E16</f>
        <v>37500</v>
      </c>
      <c r="C37" s="23"/>
      <c r="D37" s="13">
        <f>'FEBRUARY 21'!H37:H57</f>
        <v>0</v>
      </c>
      <c r="E37" s="22" t="s">
        <v>216</v>
      </c>
      <c r="F37" s="8">
        <f>G34+G16</f>
        <v>1500</v>
      </c>
      <c r="G37" s="23"/>
      <c r="H37" s="8"/>
      <c r="L37" s="60"/>
    </row>
    <row r="38" spans="1:12" x14ac:dyDescent="0.25">
      <c r="A38" s="22" t="s">
        <v>12</v>
      </c>
      <c r="B38" s="24">
        <v>0.1</v>
      </c>
      <c r="C38" s="25">
        <f>B37*B38</f>
        <v>3750</v>
      </c>
      <c r="D38" s="13">
        <f>'FEBRUARY 21'!H38:H58</f>
        <v>0</v>
      </c>
      <c r="E38" s="22" t="s">
        <v>12</v>
      </c>
      <c r="F38" s="24">
        <v>0.1</v>
      </c>
      <c r="G38" s="25">
        <f>C38</f>
        <v>3750</v>
      </c>
      <c r="H38" s="8"/>
      <c r="K38" s="60"/>
      <c r="L38" s="60"/>
    </row>
    <row r="39" spans="1:12" x14ac:dyDescent="0.25">
      <c r="A39" s="22"/>
      <c r="B39" s="24"/>
      <c r="C39" s="25"/>
      <c r="D39" s="22"/>
      <c r="E39" s="22"/>
      <c r="F39" s="24"/>
      <c r="G39" s="25"/>
      <c r="H39" s="8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'NOVEMBER 21'!D55</f>
        <v>-14793.59999999998</v>
      </c>
      <c r="C41" s="22"/>
      <c r="D41" s="22"/>
      <c r="E41" s="26" t="s">
        <v>2</v>
      </c>
      <c r="F41" s="25">
        <f>'NOVEMBER 21'!H55</f>
        <v>-26392.900000000009</v>
      </c>
      <c r="G41" s="22"/>
      <c r="H41" s="8"/>
    </row>
    <row r="42" spans="1:12" x14ac:dyDescent="0.25">
      <c r="A42" s="26" t="s">
        <v>7</v>
      </c>
      <c r="B42" s="25">
        <f>B37+B41+B40</f>
        <v>22706.40000000002</v>
      </c>
      <c r="C42" s="22"/>
      <c r="D42" s="22"/>
      <c r="E42" s="26" t="s">
        <v>7</v>
      </c>
      <c r="F42" s="25">
        <f>F37+F41+F39</f>
        <v>-24892.900000000009</v>
      </c>
      <c r="G42" s="22"/>
      <c r="H42" s="8"/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2" x14ac:dyDescent="0.25">
      <c r="A44" s="27"/>
      <c r="B44" s="59"/>
      <c r="C44" s="29"/>
      <c r="D44" s="28"/>
      <c r="E44" s="27"/>
      <c r="F44" s="59"/>
      <c r="G44" s="29"/>
      <c r="H44" s="30"/>
    </row>
    <row r="45" spans="1:12" x14ac:dyDescent="0.25">
      <c r="A45" s="27" t="s">
        <v>148</v>
      </c>
      <c r="B45" s="59"/>
      <c r="C45" s="29"/>
      <c r="D45" s="28"/>
      <c r="E45" s="27" t="s">
        <v>148</v>
      </c>
      <c r="F45" s="59"/>
      <c r="G45" s="29"/>
      <c r="H45" s="30"/>
    </row>
    <row r="46" spans="1:12" x14ac:dyDescent="0.25">
      <c r="A46" s="27" t="s">
        <v>360</v>
      </c>
      <c r="B46" s="59"/>
      <c r="C46" s="29">
        <v>3051</v>
      </c>
      <c r="D46" s="28"/>
      <c r="E46" s="27" t="s">
        <v>360</v>
      </c>
      <c r="F46" s="59"/>
      <c r="G46" s="29">
        <v>3051</v>
      </c>
      <c r="H46" s="30"/>
    </row>
    <row r="47" spans="1:12" x14ac:dyDescent="0.25">
      <c r="A47" s="27"/>
      <c r="B47" s="59"/>
      <c r="C47" s="29"/>
      <c r="D47" s="28"/>
      <c r="E47" s="27"/>
      <c r="F47" s="59"/>
      <c r="G47" s="29"/>
      <c r="H47" s="30"/>
    </row>
    <row r="48" spans="1:12" x14ac:dyDescent="0.25">
      <c r="A48" s="27"/>
      <c r="B48" s="59"/>
      <c r="C48" s="29"/>
      <c r="D48" s="28"/>
      <c r="E48" s="27"/>
      <c r="F48" s="59"/>
      <c r="G48" s="29"/>
      <c r="H48" s="30"/>
    </row>
    <row r="49" spans="1:8" x14ac:dyDescent="0.25">
      <c r="A49" s="27"/>
      <c r="B49" s="59"/>
      <c r="C49" s="29"/>
      <c r="D49" s="28"/>
      <c r="E49" s="27"/>
      <c r="F49" s="59"/>
      <c r="G49" s="29"/>
      <c r="H49" s="30"/>
    </row>
    <row r="50" spans="1:8" x14ac:dyDescent="0.25">
      <c r="A50" s="27"/>
      <c r="B50" s="59"/>
      <c r="C50" s="29"/>
      <c r="D50" s="28"/>
      <c r="E50" s="27"/>
      <c r="F50" s="59"/>
      <c r="G50" s="29"/>
      <c r="H50" s="30"/>
    </row>
    <row r="51" spans="1:8" x14ac:dyDescent="0.25">
      <c r="A51" s="27"/>
      <c r="B51" s="59"/>
      <c r="C51" s="29"/>
      <c r="D51" s="28"/>
      <c r="E51" s="27"/>
      <c r="F51" s="59"/>
      <c r="G51" s="29"/>
      <c r="H51" s="30"/>
    </row>
    <row r="52" spans="1:8" x14ac:dyDescent="0.25">
      <c r="A52" s="27"/>
      <c r="B52" s="59"/>
      <c r="C52" s="29"/>
      <c r="D52" s="28"/>
      <c r="E52" s="27"/>
      <c r="F52" s="59"/>
      <c r="G52" s="29"/>
      <c r="H52" s="30"/>
    </row>
    <row r="53" spans="1:8" x14ac:dyDescent="0.25">
      <c r="A53" s="27"/>
      <c r="B53" s="59"/>
      <c r="C53" s="29"/>
      <c r="D53" s="28"/>
      <c r="E53" s="27"/>
      <c r="F53" s="59"/>
      <c r="G53" s="29"/>
      <c r="H53" s="30"/>
    </row>
    <row r="54" spans="1:8" x14ac:dyDescent="0.25">
      <c r="A54" s="27"/>
      <c r="B54" s="59"/>
      <c r="C54" s="29"/>
      <c r="D54" s="28"/>
      <c r="E54" s="27"/>
      <c r="F54" s="59"/>
      <c r="G54" s="29"/>
      <c r="H54" s="30"/>
    </row>
    <row r="55" spans="1:8" x14ac:dyDescent="0.25">
      <c r="A55" s="11" t="s">
        <v>7</v>
      </c>
      <c r="B55" s="34">
        <f>B37+B40+B41-C38</f>
        <v>18956.40000000002</v>
      </c>
      <c r="C55" s="7">
        <f>SUM(C44:C54)</f>
        <v>3051</v>
      </c>
      <c r="D55" s="7">
        <f>B55-C55</f>
        <v>15905.40000000002</v>
      </c>
      <c r="E55" s="11" t="s">
        <v>7</v>
      </c>
      <c r="F55" s="34">
        <f>F37+F39+F41-G38</f>
        <v>-28642.900000000009</v>
      </c>
      <c r="G55" s="7">
        <f>SUM(G44:G54)</f>
        <v>3051</v>
      </c>
      <c r="H55" s="7">
        <f>F55-G55</f>
        <v>-31693.900000000009</v>
      </c>
    </row>
    <row r="56" spans="1:8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8" x14ac:dyDescent="0.25">
      <c r="A57" s="1" t="s">
        <v>35</v>
      </c>
      <c r="B57" s="1"/>
      <c r="D57" s="1" t="s">
        <v>36</v>
      </c>
      <c r="G57" s="1" t="s">
        <v>63</v>
      </c>
    </row>
  </sheetData>
  <mergeCells count="1">
    <mergeCell ref="J17:K17"/>
  </mergeCells>
  <conditionalFormatting sqref="B6:B9 B11:B15">
    <cfRule type="containsText" dxfId="3" priority="3" operator="containsText" text="VACCANT">
      <formula>NOT(ISERROR(SEARCH("VACCANT",B6)))</formula>
    </cfRule>
    <cfRule type="notContainsText" dxfId="2" priority="4" operator="notContains" text="VACCANT">
      <formula>ISERROR(SEARCH("VACCANT",B6))</formula>
    </cfRule>
  </conditionalFormatting>
  <conditionalFormatting sqref="B10">
    <cfRule type="containsText" dxfId="1" priority="1" operator="containsText" text="VACCANT">
      <formula>NOT(ISERROR(SEARCH("VACCANT",B10)))</formula>
    </cfRule>
    <cfRule type="notContainsText" dxfId="0" priority="2" operator="notContains" text="VACCANT">
      <formula>ISERROR(SEARCH("VACCANT",B10))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4" workbookViewId="0">
      <selection activeCell="F52" sqref="F52"/>
    </sheetView>
  </sheetViews>
  <sheetFormatPr defaultRowHeight="15" x14ac:dyDescent="0.25"/>
  <cols>
    <col min="7" max="7" width="16.7109375" customWidth="1"/>
    <col min="8" max="8" width="10.42578125" customWidth="1"/>
  </cols>
  <sheetData>
    <row r="1" spans="1:8" ht="15.75" x14ac:dyDescent="0.25">
      <c r="B1" s="1"/>
      <c r="C1" s="2" t="s">
        <v>55</v>
      </c>
      <c r="D1" s="1"/>
      <c r="E1" s="1"/>
      <c r="F1" s="1"/>
    </row>
    <row r="2" spans="1:8" ht="15.75" x14ac:dyDescent="0.25">
      <c r="C2" s="3"/>
      <c r="D2" s="3" t="s">
        <v>0</v>
      </c>
      <c r="E2" s="1"/>
      <c r="F2" s="1"/>
    </row>
    <row r="3" spans="1:8" ht="21" x14ac:dyDescent="0.25">
      <c r="C3" s="4" t="s">
        <v>77</v>
      </c>
      <c r="D3" s="3"/>
      <c r="E3" s="5"/>
      <c r="F3" s="5"/>
    </row>
    <row r="4" spans="1:8" x14ac:dyDescent="0.25">
      <c r="D4" s="35" t="s">
        <v>48</v>
      </c>
    </row>
    <row r="5" spans="1:8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8" x14ac:dyDescent="0.25">
      <c r="A6" s="39" t="s">
        <v>23</v>
      </c>
      <c r="B6" s="40" t="s">
        <v>46</v>
      </c>
      <c r="C6" s="12"/>
      <c r="D6" s="13">
        <f>FEBRUARY!I6:I15</f>
        <v>0</v>
      </c>
      <c r="E6" s="41"/>
      <c r="F6" s="13">
        <f>E6+D6+C6</f>
        <v>0</v>
      </c>
      <c r="G6" s="42"/>
      <c r="H6" s="43">
        <f>F6-G6</f>
        <v>0</v>
      </c>
    </row>
    <row r="7" spans="1:8" x14ac:dyDescent="0.25">
      <c r="A7" s="39" t="s">
        <v>24</v>
      </c>
      <c r="B7" s="44"/>
      <c r="C7" s="12"/>
      <c r="D7" s="13">
        <f>FEBRUARY!I7:I16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8" x14ac:dyDescent="0.25">
      <c r="A8" s="39" t="s">
        <v>26</v>
      </c>
      <c r="B8" s="14" t="s">
        <v>45</v>
      </c>
      <c r="C8" s="14"/>
      <c r="D8" s="13">
        <f>FEBRUARY!I8:I17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</row>
    <row r="9" spans="1:8" x14ac:dyDescent="0.25">
      <c r="A9" s="45" t="s">
        <v>27</v>
      </c>
      <c r="B9" s="44" t="s">
        <v>78</v>
      </c>
      <c r="C9" s="14"/>
      <c r="D9" s="13">
        <f>FEBRUARY!I9:I18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</row>
    <row r="10" spans="1:8" x14ac:dyDescent="0.25">
      <c r="A10" s="47" t="s">
        <v>28</v>
      </c>
      <c r="B10" s="44" t="s">
        <v>78</v>
      </c>
      <c r="C10" s="12"/>
      <c r="D10" s="13"/>
      <c r="E10" s="41">
        <v>1500</v>
      </c>
      <c r="F10" s="13">
        <f t="shared" si="0"/>
        <v>1500</v>
      </c>
      <c r="G10" s="42"/>
      <c r="H10" s="43">
        <f t="shared" si="1"/>
        <v>1500</v>
      </c>
    </row>
    <row r="11" spans="1:8" x14ac:dyDescent="0.25">
      <c r="A11" s="48" t="s">
        <v>29</v>
      </c>
      <c r="B11" s="40"/>
      <c r="C11" s="14"/>
      <c r="D11" s="13">
        <f>FEBRUARY!I11:I20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8" x14ac:dyDescent="0.25">
      <c r="A12" s="39" t="s">
        <v>30</v>
      </c>
      <c r="B12" s="40" t="s">
        <v>66</v>
      </c>
      <c r="C12" s="12"/>
      <c r="D12" s="13">
        <f>FEBRUARY!I12:I21</f>
        <v>1500</v>
      </c>
      <c r="E12" s="41">
        <v>1500</v>
      </c>
      <c r="F12" s="13">
        <f t="shared" si="0"/>
        <v>3000</v>
      </c>
      <c r="G12" s="42"/>
      <c r="H12" s="43">
        <f t="shared" si="1"/>
        <v>3000</v>
      </c>
    </row>
    <row r="13" spans="1:8" x14ac:dyDescent="0.25">
      <c r="A13" s="39" t="s">
        <v>31</v>
      </c>
      <c r="B13" s="40" t="s">
        <v>51</v>
      </c>
      <c r="C13" s="12"/>
      <c r="D13" s="13">
        <f>FEBRUARY!I13:I22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8" x14ac:dyDescent="0.25">
      <c r="A14" s="39" t="s">
        <v>32</v>
      </c>
      <c r="B14" s="44" t="s">
        <v>46</v>
      </c>
      <c r="C14" s="12"/>
      <c r="D14" s="13">
        <f>FEBRUARY!I14:I23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8" x14ac:dyDescent="0.25">
      <c r="A15" s="39" t="s">
        <v>33</v>
      </c>
      <c r="B15" s="44" t="s">
        <v>25</v>
      </c>
      <c r="C15" s="12"/>
      <c r="D15" s="13">
        <f>FEBRUARY!I15:I24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8" x14ac:dyDescent="0.25">
      <c r="A16" s="39"/>
      <c r="B16" s="51" t="s">
        <v>7</v>
      </c>
      <c r="C16" s="52">
        <f t="shared" ref="C16:H16" si="2">SUM(C6:C15)</f>
        <v>0</v>
      </c>
      <c r="D16" s="13">
        <f t="shared" si="2"/>
        <v>1500</v>
      </c>
      <c r="E16" s="53">
        <f t="shared" si="2"/>
        <v>6000</v>
      </c>
      <c r="F16" s="13">
        <f t="shared" si="2"/>
        <v>7500</v>
      </c>
      <c r="G16" s="10">
        <f t="shared" si="2"/>
        <v>3000</v>
      </c>
      <c r="H16" s="54">
        <f t="shared" si="2"/>
        <v>4500</v>
      </c>
    </row>
    <row r="17" spans="1:9" x14ac:dyDescent="0.25">
      <c r="C17" s="35"/>
      <c r="D17" s="35" t="s">
        <v>37</v>
      </c>
      <c r="E17" s="35"/>
    </row>
    <row r="18" spans="1:9" ht="22.5" x14ac:dyDescent="0.25">
      <c r="A18" s="39">
        <v>1</v>
      </c>
      <c r="B18" s="44" t="s">
        <v>52</v>
      </c>
      <c r="C18" s="12"/>
      <c r="D18" s="13">
        <f>FEBRUARY!I18:I33</f>
        <v>0</v>
      </c>
      <c r="E18" s="41">
        <v>2000</v>
      </c>
      <c r="F18" s="13">
        <f>C18+D18+E18</f>
        <v>2000</v>
      </c>
      <c r="G18" s="13">
        <f>1000+1000</f>
        <v>2000</v>
      </c>
      <c r="H18" s="43">
        <f t="shared" ref="H18:H33" si="3">F18-G18</f>
        <v>0</v>
      </c>
    </row>
    <row r="19" spans="1:9" ht="22.5" x14ac:dyDescent="0.25">
      <c r="A19" s="39">
        <v>2</v>
      </c>
      <c r="B19" s="44" t="s">
        <v>38</v>
      </c>
      <c r="C19" s="12"/>
      <c r="D19" s="13">
        <f>FEBRUARY!I19:I34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</row>
    <row r="20" spans="1:9" x14ac:dyDescent="0.25">
      <c r="A20" s="39">
        <v>3</v>
      </c>
      <c r="B20" s="14" t="s">
        <v>39</v>
      </c>
      <c r="C20" s="14"/>
      <c r="D20" s="13">
        <f>FEBRUARY!I20:I35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</row>
    <row r="21" spans="1:9" x14ac:dyDescent="0.25">
      <c r="A21" s="39">
        <v>4</v>
      </c>
      <c r="B21" s="44" t="s">
        <v>72</v>
      </c>
      <c r="C21" s="14"/>
      <c r="D21" s="13">
        <f>FEBRUARY!I21:I36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</row>
    <row r="22" spans="1:9" ht="22.5" x14ac:dyDescent="0.25">
      <c r="A22" s="39">
        <v>5</v>
      </c>
      <c r="B22" s="40" t="s">
        <v>59</v>
      </c>
      <c r="C22" s="12"/>
      <c r="D22" s="13">
        <f>FEBRUARY!I22:I37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</row>
    <row r="23" spans="1:9" ht="22.5" x14ac:dyDescent="0.25">
      <c r="A23" s="39">
        <v>6</v>
      </c>
      <c r="B23" s="40" t="s">
        <v>50</v>
      </c>
      <c r="C23" s="14"/>
      <c r="D23" s="13">
        <f>FEBRUARY!I23:I38</f>
        <v>0</v>
      </c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  <c r="I23" t="s">
        <v>83</v>
      </c>
    </row>
    <row r="24" spans="1:9" ht="22.5" x14ac:dyDescent="0.25">
      <c r="A24" s="39">
        <v>7</v>
      </c>
      <c r="B24" s="40" t="s">
        <v>68</v>
      </c>
      <c r="C24" s="12"/>
      <c r="D24" s="13">
        <f>FEBRUARY!I24:I39</f>
        <v>0</v>
      </c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</row>
    <row r="25" spans="1:9" ht="22.5" x14ac:dyDescent="0.25">
      <c r="A25" s="39">
        <v>8</v>
      </c>
      <c r="B25" s="40" t="s">
        <v>41</v>
      </c>
      <c r="C25" s="12"/>
      <c r="D25" s="13">
        <f>FEBRUARY!I25:I40</f>
        <v>0</v>
      </c>
      <c r="E25" s="41">
        <v>2000</v>
      </c>
      <c r="F25" s="13">
        <f t="shared" si="4"/>
        <v>2000</v>
      </c>
      <c r="G25" s="42">
        <f>1500</f>
        <v>1500</v>
      </c>
      <c r="H25" s="43">
        <f t="shared" si="3"/>
        <v>500</v>
      </c>
    </row>
    <row r="26" spans="1:9" ht="22.5" x14ac:dyDescent="0.25">
      <c r="A26" s="39">
        <v>9</v>
      </c>
      <c r="B26" s="44" t="s">
        <v>42</v>
      </c>
      <c r="C26" s="12"/>
      <c r="D26" s="13">
        <f>FEBRUARY!I26:I41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</row>
    <row r="27" spans="1:9" ht="22.5" x14ac:dyDescent="0.25">
      <c r="A27" s="39">
        <v>10</v>
      </c>
      <c r="B27" s="44" t="s">
        <v>73</v>
      </c>
      <c r="C27" s="12"/>
      <c r="D27" s="13">
        <f>FEBRUARY!I27:I42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9" ht="22.5" x14ac:dyDescent="0.25">
      <c r="A28" s="39">
        <v>11</v>
      </c>
      <c r="B28" s="40" t="s">
        <v>53</v>
      </c>
      <c r="C28" s="12"/>
      <c r="D28" s="13">
        <f>FEBRUARY!I28:I43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9" x14ac:dyDescent="0.25">
      <c r="A29" s="39">
        <v>12</v>
      </c>
      <c r="B29" s="44" t="s">
        <v>70</v>
      </c>
      <c r="C29" s="12"/>
      <c r="D29" s="13">
        <f>FEBRUARY!I29:I44</f>
        <v>0</v>
      </c>
      <c r="E29" s="41">
        <v>1500</v>
      </c>
      <c r="F29" s="13">
        <f t="shared" si="4"/>
        <v>1500</v>
      </c>
      <c r="G29" s="42">
        <v>1500</v>
      </c>
      <c r="H29" s="43">
        <f t="shared" si="3"/>
        <v>0</v>
      </c>
    </row>
    <row r="30" spans="1:9" ht="22.5" x14ac:dyDescent="0.25">
      <c r="A30" s="39">
        <v>13</v>
      </c>
      <c r="B30" s="44" t="s">
        <v>60</v>
      </c>
      <c r="C30" s="12"/>
      <c r="D30" s="13">
        <f>FEBRUARY!I30:I45</f>
        <v>0</v>
      </c>
      <c r="E30" s="41">
        <v>1500</v>
      </c>
      <c r="F30" s="13">
        <f t="shared" si="4"/>
        <v>1500</v>
      </c>
      <c r="G30" s="42">
        <v>1400</v>
      </c>
      <c r="H30" s="43">
        <f>F30-G30</f>
        <v>100</v>
      </c>
    </row>
    <row r="31" spans="1:9" ht="22.5" x14ac:dyDescent="0.25">
      <c r="A31" s="39">
        <v>14</v>
      </c>
      <c r="B31" s="44" t="s">
        <v>79</v>
      </c>
      <c r="C31" s="12"/>
      <c r="D31" s="13">
        <f>FEBRUARY!I31:I46</f>
        <v>0</v>
      </c>
      <c r="E31" s="41">
        <v>1500</v>
      </c>
      <c r="F31" s="13">
        <f t="shared" si="4"/>
        <v>1500</v>
      </c>
      <c r="G31" s="42">
        <v>1500</v>
      </c>
      <c r="H31" s="43">
        <f t="shared" si="3"/>
        <v>0</v>
      </c>
    </row>
    <row r="32" spans="1:9" ht="22.5" x14ac:dyDescent="0.25">
      <c r="A32" s="39">
        <v>15</v>
      </c>
      <c r="B32" s="44" t="s">
        <v>69</v>
      </c>
      <c r="C32" s="12"/>
      <c r="D32" s="13">
        <f>FEBRUARY!I32:I47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1" ht="22.5" x14ac:dyDescent="0.25">
      <c r="A33" s="39">
        <v>16</v>
      </c>
      <c r="B33" s="44" t="s">
        <v>44</v>
      </c>
      <c r="C33" s="12"/>
      <c r="D33" s="13">
        <f>FEBRUARY!I33:I48</f>
        <v>1500</v>
      </c>
      <c r="E33" s="41">
        <v>1500</v>
      </c>
      <c r="F33" s="13">
        <f>E33+D33+C33</f>
        <v>3000</v>
      </c>
      <c r="G33" s="42">
        <f>1500+1000</f>
        <v>2500</v>
      </c>
      <c r="H33" s="43">
        <f t="shared" si="3"/>
        <v>500</v>
      </c>
    </row>
    <row r="34" spans="1:11" x14ac:dyDescent="0.25">
      <c r="A34" s="39"/>
      <c r="B34" s="51" t="s">
        <v>7</v>
      </c>
      <c r="C34" s="52">
        <f>SUM(C18:C33)</f>
        <v>0</v>
      </c>
      <c r="D34" s="13">
        <f>SUM(D18:D33)</f>
        <v>1500</v>
      </c>
      <c r="E34" s="53">
        <f>SUM(E18:E33)</f>
        <v>28000</v>
      </c>
      <c r="F34" s="13">
        <f>C34+D34+E34</f>
        <v>29500</v>
      </c>
      <c r="G34" s="10">
        <f>SUM(G18:G33)</f>
        <v>28400</v>
      </c>
      <c r="H34" s="43">
        <f>F34-G34</f>
        <v>1100</v>
      </c>
    </row>
    <row r="35" spans="1:11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1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1" x14ac:dyDescent="0.25">
      <c r="A37" s="22" t="s">
        <v>76</v>
      </c>
      <c r="B37" s="8">
        <f>E34+E16</f>
        <v>34000</v>
      </c>
      <c r="C37" s="23"/>
      <c r="D37" s="23"/>
      <c r="E37" s="22" t="s">
        <v>76</v>
      </c>
      <c r="F37" s="8">
        <f>G34+G16</f>
        <v>31400</v>
      </c>
      <c r="G37" s="23"/>
      <c r="H37" s="8"/>
    </row>
    <row r="38" spans="1:11" x14ac:dyDescent="0.25">
      <c r="A38" s="22" t="s">
        <v>12</v>
      </c>
      <c r="B38" s="24">
        <v>0.1</v>
      </c>
      <c r="C38" s="25">
        <f>B37*B38</f>
        <v>3400</v>
      </c>
      <c r="D38" s="22"/>
      <c r="E38" s="22" t="s">
        <v>12</v>
      </c>
      <c r="F38" s="24">
        <v>0.1</v>
      </c>
      <c r="G38" s="25">
        <f>C38</f>
        <v>3400</v>
      </c>
      <c r="H38" s="8"/>
      <c r="J38" s="60"/>
    </row>
    <row r="39" spans="1:11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1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1" x14ac:dyDescent="0.25">
      <c r="A41" s="26" t="s">
        <v>2</v>
      </c>
      <c r="B41" s="25">
        <f>FEBRUARY!E48</f>
        <v>-1500.4000000000015</v>
      </c>
      <c r="C41" s="22"/>
      <c r="D41" s="22"/>
      <c r="E41" s="26" t="s">
        <v>2</v>
      </c>
      <c r="F41" s="25">
        <f>FEBRUARY!I48</f>
        <v>-4500.4000000000015</v>
      </c>
      <c r="G41" s="22"/>
      <c r="H41" s="8"/>
    </row>
    <row r="42" spans="1:11" x14ac:dyDescent="0.25">
      <c r="A42" s="26" t="s">
        <v>7</v>
      </c>
      <c r="B42" s="25">
        <f>B37+B41+B40</f>
        <v>32499.599999999999</v>
      </c>
      <c r="C42" s="22"/>
      <c r="D42" s="22"/>
      <c r="E42" s="26" t="s">
        <v>7</v>
      </c>
      <c r="F42" s="25">
        <f>F37+F41+F39</f>
        <v>26899.899999999998</v>
      </c>
      <c r="G42" s="22"/>
      <c r="H42" s="8"/>
    </row>
    <row r="43" spans="1:11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1" x14ac:dyDescent="0.25">
      <c r="A44" s="27" t="s">
        <v>80</v>
      </c>
      <c r="B44" s="59"/>
      <c r="C44" s="29">
        <v>29900</v>
      </c>
      <c r="D44" s="28"/>
      <c r="E44" s="27" t="s">
        <v>80</v>
      </c>
      <c r="F44" s="59"/>
      <c r="G44" s="29">
        <v>29900</v>
      </c>
      <c r="H44" s="30"/>
    </row>
    <row r="45" spans="1:11" x14ac:dyDescent="0.25">
      <c r="A45" s="27" t="s">
        <v>117</v>
      </c>
      <c r="B45" s="59"/>
      <c r="C45" s="29">
        <v>2000</v>
      </c>
      <c r="D45" s="28"/>
      <c r="E45" s="27" t="s">
        <v>118</v>
      </c>
      <c r="F45" s="59"/>
      <c r="G45" s="29">
        <v>2000</v>
      </c>
      <c r="H45" s="30"/>
      <c r="K45" s="60">
        <f>F37-G38</f>
        <v>28000</v>
      </c>
    </row>
    <row r="46" spans="1:11" x14ac:dyDescent="0.25">
      <c r="A46" s="27"/>
      <c r="B46" s="59"/>
      <c r="C46" s="29"/>
      <c r="D46" s="28"/>
      <c r="E46" s="27"/>
      <c r="F46" s="59"/>
      <c r="G46" s="29"/>
      <c r="H46" s="30"/>
      <c r="K46">
        <f>29900</f>
        <v>29900</v>
      </c>
    </row>
    <row r="47" spans="1:11" x14ac:dyDescent="0.25">
      <c r="A47" s="27"/>
      <c r="B47" s="59"/>
      <c r="C47" s="29"/>
      <c r="D47" s="28"/>
      <c r="E47" s="27"/>
      <c r="F47" s="59"/>
      <c r="G47" s="29"/>
      <c r="H47" s="30"/>
      <c r="K47">
        <v>2000</v>
      </c>
    </row>
    <row r="48" spans="1:11" x14ac:dyDescent="0.25">
      <c r="A48" s="11" t="s">
        <v>7</v>
      </c>
      <c r="B48" s="34">
        <f>B37+B39+B40+B41-C38-C39</f>
        <v>29099.9</v>
      </c>
      <c r="C48" s="7">
        <f>SUM(C44:C47)</f>
        <v>31900</v>
      </c>
      <c r="D48" s="7">
        <f>B48-C48</f>
        <v>-2800.0999999999985</v>
      </c>
      <c r="E48" s="11" t="s">
        <v>7</v>
      </c>
      <c r="F48" s="34">
        <f>F37+F39+F41-G38</f>
        <v>23499.899999999998</v>
      </c>
      <c r="G48" s="7">
        <f>SUM(G44:G47)</f>
        <v>31900</v>
      </c>
      <c r="H48" s="7">
        <f>F48-G48</f>
        <v>-8400.1000000000022</v>
      </c>
      <c r="K48" s="60">
        <f>K45-K46-K47-4500</f>
        <v>-8400</v>
      </c>
    </row>
    <row r="49" spans="1:8" x14ac:dyDescent="0.25">
      <c r="A49" s="1" t="s">
        <v>16</v>
      </c>
      <c r="B49" s="16"/>
      <c r="D49" s="1" t="s">
        <v>17</v>
      </c>
      <c r="G49" s="1" t="s">
        <v>18</v>
      </c>
      <c r="H49" s="6"/>
    </row>
    <row r="50" spans="1:8" x14ac:dyDescent="0.25">
      <c r="A50" s="1" t="s">
        <v>35</v>
      </c>
      <c r="B50" s="1"/>
      <c r="D50" s="1" t="s">
        <v>36</v>
      </c>
      <c r="G50" s="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0" workbookViewId="0">
      <selection activeCell="L28" sqref="L28"/>
    </sheetView>
  </sheetViews>
  <sheetFormatPr defaultRowHeight="15" x14ac:dyDescent="0.25"/>
  <cols>
    <col min="1" max="1" width="12.42578125" customWidth="1"/>
    <col min="5" max="5" width="12.140625" customWidth="1"/>
  </cols>
  <sheetData>
    <row r="1" spans="1:9" ht="15.75" x14ac:dyDescent="0.25">
      <c r="B1" s="1"/>
      <c r="C1" s="2" t="s">
        <v>55</v>
      </c>
      <c r="D1" s="1"/>
      <c r="E1" s="1"/>
      <c r="F1" s="1"/>
    </row>
    <row r="2" spans="1:9" ht="15.75" x14ac:dyDescent="0.25">
      <c r="C2" s="3"/>
      <c r="D2" s="3" t="s">
        <v>0</v>
      </c>
      <c r="E2" s="1"/>
      <c r="F2" s="1"/>
    </row>
    <row r="3" spans="1:9" ht="21" x14ac:dyDescent="0.25">
      <c r="C3" s="4" t="s">
        <v>82</v>
      </c>
      <c r="D3" s="3"/>
      <c r="E3" s="5"/>
      <c r="F3" s="5"/>
    </row>
    <row r="4" spans="1:9" x14ac:dyDescent="0.25">
      <c r="D4" s="35" t="s">
        <v>48</v>
      </c>
    </row>
    <row r="5" spans="1:9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9" x14ac:dyDescent="0.25">
      <c r="A6" s="39" t="s">
        <v>23</v>
      </c>
      <c r="B6" s="40" t="s">
        <v>46</v>
      </c>
      <c r="C6" s="12"/>
      <c r="D6" s="13">
        <f>'MARCH 20'!H6:H16</f>
        <v>0</v>
      </c>
      <c r="E6" s="41"/>
      <c r="F6" s="13">
        <f>E6+D6+C6</f>
        <v>0</v>
      </c>
      <c r="G6" s="42"/>
      <c r="H6" s="43">
        <f>F6-G6</f>
        <v>0</v>
      </c>
    </row>
    <row r="7" spans="1:9" x14ac:dyDescent="0.25">
      <c r="A7" s="39" t="s">
        <v>24</v>
      </c>
      <c r="B7" s="44"/>
      <c r="C7" s="12"/>
      <c r="D7" s="13">
        <f>'MARCH 20'!H7:H17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9" x14ac:dyDescent="0.25">
      <c r="A8" s="39" t="s">
        <v>26</v>
      </c>
      <c r="B8" s="14" t="s">
        <v>45</v>
      </c>
      <c r="C8" s="14"/>
      <c r="D8" s="13">
        <f>'MARCH 20'!H8:H18</f>
        <v>0</v>
      </c>
      <c r="E8" s="14">
        <v>1500</v>
      </c>
      <c r="F8" s="13">
        <f t="shared" si="0"/>
        <v>1500</v>
      </c>
      <c r="G8" s="14">
        <f>1000+500</f>
        <v>1500</v>
      </c>
      <c r="H8" s="43">
        <f t="shared" si="1"/>
        <v>0</v>
      </c>
    </row>
    <row r="9" spans="1:9" x14ac:dyDescent="0.25">
      <c r="A9" s="45" t="s">
        <v>27</v>
      </c>
      <c r="B9" s="44" t="s">
        <v>85</v>
      </c>
      <c r="C9" s="14"/>
      <c r="D9" s="13">
        <f>'MARCH 20'!H9:H19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  <c r="I9" t="s">
        <v>88</v>
      </c>
    </row>
    <row r="10" spans="1:9" x14ac:dyDescent="0.25">
      <c r="A10" s="47" t="s">
        <v>28</v>
      </c>
      <c r="B10" s="44" t="s">
        <v>84</v>
      </c>
      <c r="C10" s="12"/>
      <c r="D10" s="13">
        <f>'MARCH 20'!H10:H20</f>
        <v>1500</v>
      </c>
      <c r="E10" s="41">
        <v>1500</v>
      </c>
      <c r="F10" s="13">
        <f t="shared" si="0"/>
        <v>3000</v>
      </c>
      <c r="G10" s="42">
        <v>1500</v>
      </c>
      <c r="H10" s="43">
        <f t="shared" si="1"/>
        <v>1500</v>
      </c>
      <c r="I10" t="s">
        <v>91</v>
      </c>
    </row>
    <row r="11" spans="1:9" x14ac:dyDescent="0.25">
      <c r="A11" s="48" t="s">
        <v>29</v>
      </c>
      <c r="B11" s="40"/>
      <c r="C11" s="14"/>
      <c r="D11" s="13">
        <f>'MARCH 20'!H11:H21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9" x14ac:dyDescent="0.25">
      <c r="A12" s="39" t="s">
        <v>30</v>
      </c>
      <c r="B12" s="40" t="s">
        <v>66</v>
      </c>
      <c r="C12" s="12"/>
      <c r="D12" s="13">
        <f>'MARCH 20'!H12:H22</f>
        <v>3000</v>
      </c>
      <c r="E12" s="41"/>
      <c r="F12" s="13">
        <f t="shared" si="0"/>
        <v>3000</v>
      </c>
      <c r="G12" s="42">
        <v>3000</v>
      </c>
      <c r="H12" s="43">
        <f t="shared" si="1"/>
        <v>0</v>
      </c>
      <c r="I12" t="s">
        <v>87</v>
      </c>
    </row>
    <row r="13" spans="1:9" x14ac:dyDescent="0.25">
      <c r="A13" s="39" t="s">
        <v>31</v>
      </c>
      <c r="B13" s="40" t="s">
        <v>51</v>
      </c>
      <c r="C13" s="12"/>
      <c r="D13" s="13">
        <f>'MARCH 20'!H13:H23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9" x14ac:dyDescent="0.25">
      <c r="A14" s="39" t="s">
        <v>32</v>
      </c>
      <c r="B14" s="44" t="s">
        <v>46</v>
      </c>
      <c r="C14" s="12"/>
      <c r="D14" s="13">
        <f>'MARCH 20'!H14:H24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9" x14ac:dyDescent="0.25">
      <c r="A15" s="39" t="s">
        <v>33</v>
      </c>
      <c r="B15" s="44" t="s">
        <v>25</v>
      </c>
      <c r="C15" s="12"/>
      <c r="D15" s="13">
        <f>'MARCH 20'!H15:H25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9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4500</v>
      </c>
      <c r="E16" s="53">
        <f t="shared" si="2"/>
        <v>4500</v>
      </c>
      <c r="F16" s="13">
        <f t="shared" si="2"/>
        <v>9000</v>
      </c>
      <c r="G16" s="10">
        <f t="shared" si="2"/>
        <v>7500</v>
      </c>
      <c r="H16" s="54">
        <f t="shared" si="2"/>
        <v>1500</v>
      </c>
    </row>
    <row r="17" spans="1:9" x14ac:dyDescent="0.25">
      <c r="C17" s="35"/>
      <c r="D17" s="35" t="s">
        <v>37</v>
      </c>
      <c r="E17" s="35"/>
    </row>
    <row r="18" spans="1:9" ht="18" customHeight="1" x14ac:dyDescent="0.25">
      <c r="A18" s="39">
        <v>1</v>
      </c>
      <c r="B18" s="44" t="s">
        <v>52</v>
      </c>
      <c r="C18" s="12"/>
      <c r="D18" s="13">
        <f>'MARCH 20'!H18:H33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9" ht="22.5" x14ac:dyDescent="0.25">
      <c r="A19" s="39">
        <v>2</v>
      </c>
      <c r="B19" s="44" t="s">
        <v>38</v>
      </c>
      <c r="C19" s="12"/>
      <c r="D19" s="13">
        <f>'MARCH 20'!H19:H34</f>
        <v>0</v>
      </c>
      <c r="E19" s="41">
        <v>2000</v>
      </c>
      <c r="F19" s="13">
        <f>E19+D19+C19</f>
        <v>2000</v>
      </c>
      <c r="G19" s="13"/>
      <c r="H19" s="43">
        <f>F19-G19</f>
        <v>2000</v>
      </c>
    </row>
    <row r="20" spans="1:9" x14ac:dyDescent="0.25">
      <c r="A20" s="39">
        <v>3</v>
      </c>
      <c r="B20" s="14" t="s">
        <v>39</v>
      </c>
      <c r="C20" s="14"/>
      <c r="D20" s="13">
        <f>'MARCH 20'!H20:H35</f>
        <v>0</v>
      </c>
      <c r="E20" s="14">
        <v>2000</v>
      </c>
      <c r="F20" s="13">
        <f t="shared" ref="F20:F32" si="4">E20+D20+C20</f>
        <v>2000</v>
      </c>
      <c r="G20" s="14"/>
      <c r="H20" s="43">
        <f>F20-G20</f>
        <v>2000</v>
      </c>
    </row>
    <row r="21" spans="1:9" x14ac:dyDescent="0.25">
      <c r="A21" s="39">
        <v>4</v>
      </c>
      <c r="B21" s="44" t="s">
        <v>72</v>
      </c>
      <c r="C21" s="14"/>
      <c r="D21" s="13">
        <f>'MARCH 20'!H21:H36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</row>
    <row r="22" spans="1:9" ht="22.5" x14ac:dyDescent="0.25">
      <c r="A22" s="39">
        <v>5</v>
      </c>
      <c r="B22" s="40" t="s">
        <v>59</v>
      </c>
      <c r="C22" s="12"/>
      <c r="D22" s="13">
        <f>'MARCH 20'!H22:H37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</row>
    <row r="23" spans="1:9" x14ac:dyDescent="0.25">
      <c r="A23" s="39">
        <v>6</v>
      </c>
      <c r="B23" s="40" t="s">
        <v>92</v>
      </c>
      <c r="C23" s="14"/>
      <c r="D23" s="13"/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</row>
    <row r="24" spans="1:9" ht="22.5" x14ac:dyDescent="0.25">
      <c r="A24" s="39">
        <v>7</v>
      </c>
      <c r="B24" s="40" t="s">
        <v>68</v>
      </c>
      <c r="C24" s="12"/>
      <c r="D24" s="13">
        <f>'MARCH 20'!H24:H39</f>
        <v>0</v>
      </c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</row>
    <row r="25" spans="1:9" ht="22.5" x14ac:dyDescent="0.25">
      <c r="A25" s="39">
        <v>8</v>
      </c>
      <c r="B25" s="40" t="s">
        <v>41</v>
      </c>
      <c r="C25" s="12"/>
      <c r="D25" s="13">
        <f>'MARCH 20'!H25:H40</f>
        <v>500</v>
      </c>
      <c r="E25" s="41">
        <v>2000</v>
      </c>
      <c r="F25" s="13">
        <f t="shared" si="4"/>
        <v>2500</v>
      </c>
      <c r="G25" s="42">
        <v>1500</v>
      </c>
      <c r="H25" s="43">
        <f t="shared" si="3"/>
        <v>1000</v>
      </c>
    </row>
    <row r="26" spans="1:9" ht="22.5" x14ac:dyDescent="0.25">
      <c r="A26" s="39">
        <v>9</v>
      </c>
      <c r="B26" s="44" t="s">
        <v>42</v>
      </c>
      <c r="C26" s="12"/>
      <c r="D26" s="13">
        <f>'MARCH 20'!H26:H41</f>
        <v>0</v>
      </c>
      <c r="E26" s="41">
        <v>1500</v>
      </c>
      <c r="F26" s="13">
        <f t="shared" si="4"/>
        <v>1500</v>
      </c>
      <c r="G26" s="42">
        <v>800</v>
      </c>
      <c r="H26" s="43">
        <f t="shared" si="3"/>
        <v>700</v>
      </c>
    </row>
    <row r="27" spans="1:9" ht="22.5" x14ac:dyDescent="0.25">
      <c r="A27" s="39">
        <v>10</v>
      </c>
      <c r="B27" s="44" t="s">
        <v>73</v>
      </c>
      <c r="C27" s="12"/>
      <c r="D27" s="13">
        <f>'MARCH 20'!H27:H42</f>
        <v>0</v>
      </c>
      <c r="E27" s="41">
        <v>1500</v>
      </c>
      <c r="F27" s="13">
        <f t="shared" si="4"/>
        <v>1500</v>
      </c>
      <c r="G27" s="42"/>
      <c r="H27" s="43">
        <f t="shared" si="3"/>
        <v>1500</v>
      </c>
      <c r="I27" t="s">
        <v>93</v>
      </c>
    </row>
    <row r="28" spans="1:9" ht="22.5" x14ac:dyDescent="0.25">
      <c r="A28" s="39">
        <v>11</v>
      </c>
      <c r="B28" s="40" t="s">
        <v>53</v>
      </c>
      <c r="C28" s="12"/>
      <c r="D28" s="13">
        <f>'MARCH 20'!H28:H43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9" x14ac:dyDescent="0.25">
      <c r="A29" s="39">
        <v>12</v>
      </c>
      <c r="B29" s="44" t="s">
        <v>70</v>
      </c>
      <c r="C29" s="12"/>
      <c r="D29" s="13">
        <f>'MARCH 20'!H29:H44</f>
        <v>0</v>
      </c>
      <c r="E29" s="41">
        <v>1500</v>
      </c>
      <c r="F29" s="13">
        <f t="shared" si="4"/>
        <v>1500</v>
      </c>
      <c r="G29" s="42"/>
      <c r="H29" s="43">
        <f t="shared" si="3"/>
        <v>1500</v>
      </c>
      <c r="I29" t="s">
        <v>93</v>
      </c>
    </row>
    <row r="30" spans="1:9" ht="22.5" x14ac:dyDescent="0.25">
      <c r="A30" s="39">
        <v>13</v>
      </c>
      <c r="B30" s="44" t="s">
        <v>60</v>
      </c>
      <c r="C30" s="12"/>
      <c r="D30" s="13">
        <f>'MARCH 20'!H30:H45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</row>
    <row r="31" spans="1:9" ht="22.5" x14ac:dyDescent="0.25">
      <c r="A31" s="39">
        <v>14</v>
      </c>
      <c r="B31" s="44" t="s">
        <v>79</v>
      </c>
      <c r="C31" s="12"/>
      <c r="D31" s="13">
        <f>'MARCH 20'!H31:H46</f>
        <v>0</v>
      </c>
      <c r="E31" s="41">
        <v>1500</v>
      </c>
      <c r="F31" s="13">
        <f t="shared" si="4"/>
        <v>1500</v>
      </c>
      <c r="G31" s="42">
        <v>500</v>
      </c>
      <c r="H31" s="43">
        <f t="shared" si="3"/>
        <v>1000</v>
      </c>
    </row>
    <row r="32" spans="1:9" ht="22.5" x14ac:dyDescent="0.25">
      <c r="A32" s="39">
        <v>15</v>
      </c>
      <c r="B32" s="44" t="s">
        <v>69</v>
      </c>
      <c r="C32" s="12"/>
      <c r="D32" s="13">
        <f>'MARCH 20'!H32:H47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2" ht="22.5" x14ac:dyDescent="0.25">
      <c r="A33" s="39">
        <v>16</v>
      </c>
      <c r="B33" s="44" t="s">
        <v>44</v>
      </c>
      <c r="C33" s="12"/>
      <c r="D33" s="13">
        <f>'MARCH 20'!H33:H48</f>
        <v>500</v>
      </c>
      <c r="E33" s="41">
        <v>1500</v>
      </c>
      <c r="F33" s="13">
        <f>E33+D33+C33</f>
        <v>2000</v>
      </c>
      <c r="G33" s="42"/>
      <c r="H33" s="43">
        <f t="shared" si="3"/>
        <v>2000</v>
      </c>
      <c r="I33" t="s">
        <v>94</v>
      </c>
    </row>
    <row r="34" spans="1:12" x14ac:dyDescent="0.25">
      <c r="A34" s="39"/>
      <c r="B34" s="51" t="s">
        <v>7</v>
      </c>
      <c r="C34" s="52">
        <f>SUM(C18:C33)</f>
        <v>0</v>
      </c>
      <c r="D34" s="13">
        <f>SUM(D18:D33)</f>
        <v>1100</v>
      </c>
      <c r="E34" s="53">
        <f>SUM(E18:E33)</f>
        <v>28000</v>
      </c>
      <c r="F34" s="13">
        <f>C34+D34+E34</f>
        <v>29100</v>
      </c>
      <c r="G34" s="10">
        <f>SUM(G18:G33)</f>
        <v>17300</v>
      </c>
      <c r="H34" s="43">
        <f>F34-G34</f>
        <v>11800</v>
      </c>
    </row>
    <row r="35" spans="1:12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2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2" x14ac:dyDescent="0.25">
      <c r="A37" s="22" t="s">
        <v>81</v>
      </c>
      <c r="B37" s="8">
        <f>E34+E16</f>
        <v>32500</v>
      </c>
      <c r="C37" s="23"/>
      <c r="D37" s="23"/>
      <c r="E37" s="22" t="s">
        <v>81</v>
      </c>
      <c r="F37" s="8">
        <f>G34+G16</f>
        <v>24800</v>
      </c>
      <c r="G37" s="23"/>
      <c r="H37" s="8"/>
    </row>
    <row r="38" spans="1:12" x14ac:dyDescent="0.25">
      <c r="A38" s="22" t="s">
        <v>12</v>
      </c>
      <c r="B38" s="24">
        <v>0.1</v>
      </c>
      <c r="C38" s="25">
        <f>B37*B38</f>
        <v>3250</v>
      </c>
      <c r="D38" s="22"/>
      <c r="E38" s="22" t="s">
        <v>12</v>
      </c>
      <c r="F38" s="24">
        <v>0.1</v>
      </c>
      <c r="G38" s="25">
        <f>C38</f>
        <v>3250</v>
      </c>
      <c r="H38" s="8"/>
      <c r="J38" s="60"/>
    </row>
    <row r="39" spans="1:12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2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2" x14ac:dyDescent="0.25">
      <c r="A41" s="26" t="s">
        <v>2</v>
      </c>
      <c r="B41" s="25">
        <f>'MARCH 20'!D48</f>
        <v>-2800.0999999999985</v>
      </c>
      <c r="C41" s="22"/>
      <c r="D41" s="22"/>
      <c r="E41" s="26" t="s">
        <v>2</v>
      </c>
      <c r="F41" s="25">
        <f>'MARCH 20'!H48</f>
        <v>-8400.1000000000022</v>
      </c>
      <c r="G41" s="22"/>
      <c r="H41" s="8"/>
    </row>
    <row r="42" spans="1:12" x14ac:dyDescent="0.25">
      <c r="A42" s="26" t="s">
        <v>7</v>
      </c>
      <c r="B42" s="25">
        <f>B37+B41+B40</f>
        <v>29699.9</v>
      </c>
      <c r="C42" s="22"/>
      <c r="D42" s="22"/>
      <c r="E42" s="26" t="s">
        <v>7</v>
      </c>
      <c r="F42" s="25">
        <f>F37+F41+F39</f>
        <v>16400.199999999997</v>
      </c>
      <c r="G42" s="22"/>
      <c r="H42" s="8"/>
      <c r="K42">
        <v>24800</v>
      </c>
      <c r="L42" s="60">
        <f>K42-G38</f>
        <v>21550</v>
      </c>
    </row>
    <row r="43" spans="1:12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K43">
        <f>K42-8400</f>
        <v>16400</v>
      </c>
      <c r="L43" s="60">
        <f>L42-12700</f>
        <v>8850</v>
      </c>
    </row>
    <row r="44" spans="1:12" x14ac:dyDescent="0.25">
      <c r="A44" s="27" t="s">
        <v>116</v>
      </c>
      <c r="B44" s="59"/>
      <c r="C44" s="29">
        <f>D12</f>
        <v>3000</v>
      </c>
      <c r="D44" s="28"/>
      <c r="E44" s="27" t="s">
        <v>116</v>
      </c>
      <c r="F44" s="59"/>
      <c r="G44" s="29">
        <f>F12</f>
        <v>3000</v>
      </c>
      <c r="H44" s="30"/>
      <c r="K44" s="60">
        <f>K43-G38</f>
        <v>13150</v>
      </c>
    </row>
    <row r="45" spans="1:12" x14ac:dyDescent="0.25">
      <c r="A45" s="27" t="s">
        <v>86</v>
      </c>
      <c r="B45" s="59"/>
      <c r="C45" s="29">
        <v>23450</v>
      </c>
      <c r="D45" s="28"/>
      <c r="E45" s="27" t="s">
        <v>86</v>
      </c>
      <c r="F45" s="59"/>
      <c r="G45" s="29">
        <v>23450</v>
      </c>
      <c r="H45" s="30"/>
      <c r="K45" s="61">
        <f>K44-G44-G46-G47-G48</f>
        <v>7950</v>
      </c>
    </row>
    <row r="46" spans="1:12" x14ac:dyDescent="0.25">
      <c r="A46" s="27" t="s">
        <v>99</v>
      </c>
      <c r="B46" s="59"/>
      <c r="C46" s="29">
        <v>200</v>
      </c>
      <c r="D46" s="28"/>
      <c r="E46" s="27" t="s">
        <v>99</v>
      </c>
      <c r="F46" s="59"/>
      <c r="G46" s="29">
        <v>200</v>
      </c>
      <c r="H46" s="30"/>
    </row>
    <row r="47" spans="1:12" x14ac:dyDescent="0.25">
      <c r="A47" s="27" t="s">
        <v>115</v>
      </c>
      <c r="B47" s="59"/>
      <c r="C47" s="29">
        <v>1500</v>
      </c>
      <c r="D47" s="28"/>
      <c r="E47" s="27" t="s">
        <v>115</v>
      </c>
      <c r="F47" s="59"/>
      <c r="G47" s="29">
        <v>1500</v>
      </c>
      <c r="H47" s="30"/>
    </row>
    <row r="48" spans="1:12" x14ac:dyDescent="0.25">
      <c r="A48" s="27" t="s">
        <v>98</v>
      </c>
      <c r="B48" s="59"/>
      <c r="C48" s="29">
        <v>500</v>
      </c>
      <c r="D48" s="28"/>
      <c r="E48" s="27" t="s">
        <v>100</v>
      </c>
      <c r="F48" s="59"/>
      <c r="G48" s="29">
        <v>500</v>
      </c>
      <c r="H48" s="30"/>
    </row>
    <row r="49" spans="1:8" x14ac:dyDescent="0.25">
      <c r="A49" s="11" t="s">
        <v>7</v>
      </c>
      <c r="B49" s="34">
        <f>B37+B39+B40+B41-C38-C39</f>
        <v>26450.2</v>
      </c>
      <c r="C49" s="7">
        <f>SUM(C44:C48)</f>
        <v>28650</v>
      </c>
      <c r="D49" s="7">
        <f>B49-C49</f>
        <v>-2199.7999999999993</v>
      </c>
      <c r="E49" s="11" t="s">
        <v>7</v>
      </c>
      <c r="F49" s="34">
        <f>F37+F39+F41-G38</f>
        <v>13150.199999999997</v>
      </c>
      <c r="G49" s="7">
        <f>SUM(G44:G48)</f>
        <v>28650</v>
      </c>
      <c r="H49" s="7">
        <f>F49-G49</f>
        <v>-15499.800000000003</v>
      </c>
    </row>
    <row r="50" spans="1:8" x14ac:dyDescent="0.25">
      <c r="A50" s="1" t="s">
        <v>16</v>
      </c>
      <c r="B50" s="16"/>
      <c r="D50" s="1" t="s">
        <v>17</v>
      </c>
      <c r="G50" s="1" t="s">
        <v>18</v>
      </c>
      <c r="H50" s="6"/>
    </row>
    <row r="51" spans="1:8" x14ac:dyDescent="0.25">
      <c r="A51" s="1" t="s">
        <v>35</v>
      </c>
      <c r="B51" s="1"/>
      <c r="D51" s="1" t="s">
        <v>36</v>
      </c>
      <c r="G51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3" workbookViewId="0">
      <selection activeCell="I43" sqref="I43"/>
    </sheetView>
  </sheetViews>
  <sheetFormatPr defaultRowHeight="15" x14ac:dyDescent="0.25"/>
  <cols>
    <col min="1" max="1" width="9.28515625" customWidth="1"/>
    <col min="2" max="2" width="9.140625" customWidth="1"/>
    <col min="5" max="5" width="15.5703125" bestFit="1" customWidth="1"/>
  </cols>
  <sheetData>
    <row r="1" spans="1:9" ht="15.75" x14ac:dyDescent="0.25">
      <c r="B1" s="1"/>
      <c r="C1" s="2" t="s">
        <v>55</v>
      </c>
      <c r="D1" s="1"/>
      <c r="E1" s="1"/>
      <c r="F1" s="1"/>
    </row>
    <row r="2" spans="1:9" ht="15.75" x14ac:dyDescent="0.25">
      <c r="C2" s="3"/>
      <c r="D2" s="3" t="s">
        <v>0</v>
      </c>
      <c r="E2" s="1"/>
      <c r="F2" s="1"/>
    </row>
    <row r="3" spans="1:9" ht="21" x14ac:dyDescent="0.25">
      <c r="C3" s="4" t="s">
        <v>90</v>
      </c>
      <c r="D3" s="3"/>
      <c r="E3" s="5"/>
      <c r="F3" s="5"/>
    </row>
    <row r="4" spans="1:9" x14ac:dyDescent="0.25">
      <c r="D4" s="35" t="s">
        <v>48</v>
      </c>
    </row>
    <row r="5" spans="1:9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9" x14ac:dyDescent="0.25">
      <c r="A6" s="39" t="s">
        <v>23</v>
      </c>
      <c r="B6" s="40" t="s">
        <v>46</v>
      </c>
      <c r="C6" s="12"/>
      <c r="D6" s="13">
        <f>'APRIL 20'!H6:H15</f>
        <v>0</v>
      </c>
      <c r="E6" s="41"/>
      <c r="F6" s="13">
        <f>E6+D6+C6</f>
        <v>0</v>
      </c>
      <c r="G6" s="42"/>
      <c r="H6" s="43">
        <f>F6-G6</f>
        <v>0</v>
      </c>
    </row>
    <row r="7" spans="1:9" x14ac:dyDescent="0.25">
      <c r="A7" s="39" t="s">
        <v>24</v>
      </c>
      <c r="B7" s="44"/>
      <c r="C7" s="12"/>
      <c r="D7" s="13">
        <f>'APRIL 20'!H7:H16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9" x14ac:dyDescent="0.25">
      <c r="A8" s="39" t="s">
        <v>26</v>
      </c>
      <c r="B8" s="14" t="s">
        <v>45</v>
      </c>
      <c r="C8" s="14"/>
      <c r="D8" s="13">
        <f>'APRIL 20'!H8:H17</f>
        <v>0</v>
      </c>
      <c r="E8" s="14">
        <v>1500</v>
      </c>
      <c r="F8" s="13">
        <f t="shared" si="0"/>
        <v>1500</v>
      </c>
      <c r="G8" s="14">
        <f>1000+500</f>
        <v>1500</v>
      </c>
      <c r="H8" s="43">
        <f t="shared" si="1"/>
        <v>0</v>
      </c>
    </row>
    <row r="9" spans="1:9" x14ac:dyDescent="0.25">
      <c r="A9" s="45" t="s">
        <v>27</v>
      </c>
      <c r="B9" s="44" t="s">
        <v>85</v>
      </c>
      <c r="C9" s="14"/>
      <c r="D9" s="13">
        <f>'APRIL 20'!H9:H18</f>
        <v>0</v>
      </c>
      <c r="E9" s="46">
        <v>1500</v>
      </c>
      <c r="F9" s="13">
        <f t="shared" si="0"/>
        <v>1500</v>
      </c>
      <c r="G9" s="43">
        <f>1500</f>
        <v>1500</v>
      </c>
      <c r="H9" s="43">
        <f t="shared" si="1"/>
        <v>0</v>
      </c>
    </row>
    <row r="10" spans="1:9" x14ac:dyDescent="0.25">
      <c r="A10" s="47" t="s">
        <v>28</v>
      </c>
      <c r="B10" s="44" t="s">
        <v>84</v>
      </c>
      <c r="C10" s="12"/>
      <c r="D10" s="13">
        <f>'APRIL 20'!H10:H19</f>
        <v>1500</v>
      </c>
      <c r="E10" s="41"/>
      <c r="F10" s="13">
        <f t="shared" si="0"/>
        <v>1500</v>
      </c>
      <c r="G10" s="42"/>
      <c r="H10" s="43">
        <f t="shared" si="1"/>
        <v>1500</v>
      </c>
      <c r="I10" t="s">
        <v>83</v>
      </c>
    </row>
    <row r="11" spans="1:9" x14ac:dyDescent="0.25">
      <c r="A11" s="48" t="s">
        <v>29</v>
      </c>
      <c r="B11" s="40"/>
      <c r="C11" s="14"/>
      <c r="D11" s="13">
        <f>'APRIL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9" x14ac:dyDescent="0.25">
      <c r="A12" s="39" t="s">
        <v>30</v>
      </c>
      <c r="B12" s="40"/>
      <c r="C12" s="12"/>
      <c r="D12" s="13">
        <f>'APRIL 20'!H12:H21</f>
        <v>0</v>
      </c>
      <c r="E12" s="41"/>
      <c r="F12" s="13">
        <f t="shared" si="0"/>
        <v>0</v>
      </c>
      <c r="G12" s="42"/>
      <c r="H12" s="43">
        <f t="shared" si="1"/>
        <v>0</v>
      </c>
    </row>
    <row r="13" spans="1:9" x14ac:dyDescent="0.25">
      <c r="A13" s="39" t="s">
        <v>31</v>
      </c>
      <c r="B13" s="40" t="s">
        <v>51</v>
      </c>
      <c r="C13" s="12"/>
      <c r="D13" s="13">
        <f>'APRIL 20'!H13:H22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9" x14ac:dyDescent="0.25">
      <c r="A14" s="39" t="s">
        <v>32</v>
      </c>
      <c r="B14" s="44" t="s">
        <v>46</v>
      </c>
      <c r="C14" s="12"/>
      <c r="D14" s="13">
        <f>'APRIL 20'!H14:H23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9" x14ac:dyDescent="0.25">
      <c r="A15" s="39" t="s">
        <v>33</v>
      </c>
      <c r="B15" s="44" t="s">
        <v>25</v>
      </c>
      <c r="C15" s="12"/>
      <c r="D15" s="13">
        <f>'APRIL 20'!H15:H24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9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1500</v>
      </c>
      <c r="E16" s="53">
        <f t="shared" si="2"/>
        <v>3000</v>
      </c>
      <c r="F16" s="13">
        <f t="shared" si="2"/>
        <v>4500</v>
      </c>
      <c r="G16" s="10">
        <f t="shared" si="2"/>
        <v>3000</v>
      </c>
      <c r="H16" s="54">
        <f t="shared" si="2"/>
        <v>1500</v>
      </c>
    </row>
    <row r="17" spans="1:13" x14ac:dyDescent="0.25">
      <c r="C17" s="35"/>
      <c r="D17" s="35" t="s">
        <v>37</v>
      </c>
      <c r="E17" s="35"/>
    </row>
    <row r="18" spans="1:13" ht="22.5" x14ac:dyDescent="0.25">
      <c r="A18" s="39">
        <v>1</v>
      </c>
      <c r="B18" s="44" t="s">
        <v>52</v>
      </c>
      <c r="C18" s="12"/>
      <c r="D18" s="13">
        <f>'APRIL 20'!H18:H33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13" ht="22.5" x14ac:dyDescent="0.25">
      <c r="A19" s="39">
        <v>2</v>
      </c>
      <c r="B19" s="44" t="s">
        <v>38</v>
      </c>
      <c r="C19" s="12"/>
      <c r="D19" s="13">
        <f>'APRIL 20'!H19:H34</f>
        <v>2000</v>
      </c>
      <c r="E19" s="41">
        <v>2000</v>
      </c>
      <c r="F19" s="13">
        <f>E19+D19+C19</f>
        <v>4000</v>
      </c>
      <c r="G19" s="13"/>
      <c r="H19" s="43">
        <f>F19-G19</f>
        <v>4000</v>
      </c>
      <c r="M19">
        <f>10000/30</f>
        <v>333.33333333333331</v>
      </c>
    </row>
    <row r="20" spans="1:13" x14ac:dyDescent="0.25">
      <c r="A20" s="39">
        <v>3</v>
      </c>
      <c r="B20" s="14" t="s">
        <v>39</v>
      </c>
      <c r="C20" s="14"/>
      <c r="D20" s="13">
        <f>'APRIL 20'!H20:H35</f>
        <v>2000</v>
      </c>
      <c r="E20" s="14">
        <v>2000</v>
      </c>
      <c r="F20" s="13">
        <f t="shared" ref="F20:F32" si="4">E20+D20+C20</f>
        <v>4000</v>
      </c>
      <c r="G20" s="14">
        <f>2000+1000</f>
        <v>3000</v>
      </c>
      <c r="H20" s="43">
        <f>F20-G20</f>
        <v>1000</v>
      </c>
      <c r="M20">
        <f>M19*9</f>
        <v>3000</v>
      </c>
    </row>
    <row r="21" spans="1:13" x14ac:dyDescent="0.25">
      <c r="A21" s="39">
        <v>4</v>
      </c>
      <c r="B21" s="44" t="s">
        <v>72</v>
      </c>
      <c r="C21" s="14"/>
      <c r="D21" s="13">
        <f>'APRIL 20'!H21:H36</f>
        <v>0</v>
      </c>
      <c r="E21" s="46">
        <v>2000</v>
      </c>
      <c r="F21" s="13">
        <f t="shared" si="4"/>
        <v>2000</v>
      </c>
      <c r="G21" s="43"/>
      <c r="H21" s="43">
        <f t="shared" si="3"/>
        <v>2000</v>
      </c>
      <c r="M21">
        <v>10000</v>
      </c>
    </row>
    <row r="22" spans="1:13" ht="22.5" x14ac:dyDescent="0.25">
      <c r="A22" s="39">
        <v>5</v>
      </c>
      <c r="B22" s="40" t="s">
        <v>59</v>
      </c>
      <c r="C22" s="12"/>
      <c r="D22" s="13">
        <f>'APRIL 20'!H22:H37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  <c r="M22">
        <v>600</v>
      </c>
    </row>
    <row r="23" spans="1:13" x14ac:dyDescent="0.25">
      <c r="A23" s="39">
        <v>6</v>
      </c>
      <c r="B23" s="40" t="s">
        <v>101</v>
      </c>
      <c r="C23" s="14"/>
      <c r="D23" s="13">
        <f>'APRIL 20'!H23:H38</f>
        <v>0</v>
      </c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  <c r="M23">
        <v>250</v>
      </c>
    </row>
    <row r="24" spans="1:13" ht="22.5" x14ac:dyDescent="0.25">
      <c r="A24" s="39">
        <v>7</v>
      </c>
      <c r="B24" s="40" t="s">
        <v>68</v>
      </c>
      <c r="C24" s="12"/>
      <c r="D24" s="13">
        <f>'APRIL 20'!H24:H39</f>
        <v>0</v>
      </c>
      <c r="E24" s="41">
        <v>2000</v>
      </c>
      <c r="F24" s="13">
        <f t="shared" si="4"/>
        <v>2000</v>
      </c>
      <c r="G24" s="42">
        <f>1000</f>
        <v>1000</v>
      </c>
      <c r="H24" s="43">
        <f t="shared" si="3"/>
        <v>1000</v>
      </c>
      <c r="M24">
        <f>SUM(M20:M23)</f>
        <v>13850</v>
      </c>
    </row>
    <row r="25" spans="1:13" ht="22.5" x14ac:dyDescent="0.25">
      <c r="A25" s="39">
        <v>8</v>
      </c>
      <c r="B25" s="40" t="s">
        <v>41</v>
      </c>
      <c r="C25" s="12"/>
      <c r="D25" s="13">
        <f>'APRIL 20'!H25:H40</f>
        <v>1000</v>
      </c>
      <c r="E25" s="41">
        <v>2000</v>
      </c>
      <c r="F25" s="13">
        <f t="shared" si="4"/>
        <v>3000</v>
      </c>
      <c r="G25" s="42">
        <f>1500+500</f>
        <v>2000</v>
      </c>
      <c r="H25" s="43">
        <f t="shared" si="3"/>
        <v>1000</v>
      </c>
    </row>
    <row r="26" spans="1:13" ht="22.5" x14ac:dyDescent="0.25">
      <c r="A26" s="39">
        <v>9</v>
      </c>
      <c r="B26" s="44" t="s">
        <v>42</v>
      </c>
      <c r="C26" s="12"/>
      <c r="D26" s="13">
        <f>'APRIL 20'!H26:H41</f>
        <v>700</v>
      </c>
      <c r="E26" s="41">
        <v>1500</v>
      </c>
      <c r="F26" s="13">
        <f t="shared" si="4"/>
        <v>2200</v>
      </c>
      <c r="G26" s="42">
        <v>2200</v>
      </c>
      <c r="H26" s="43">
        <f t="shared" si="3"/>
        <v>0</v>
      </c>
    </row>
    <row r="27" spans="1:13" ht="22.5" x14ac:dyDescent="0.25">
      <c r="A27" s="39">
        <v>10</v>
      </c>
      <c r="B27" s="44" t="s">
        <v>73</v>
      </c>
      <c r="C27" s="12"/>
      <c r="D27" s="13">
        <f>'APRIL 20'!H27:H42</f>
        <v>1500</v>
      </c>
      <c r="E27" s="41">
        <v>1500</v>
      </c>
      <c r="F27" s="13">
        <f t="shared" si="4"/>
        <v>3000</v>
      </c>
      <c r="G27" s="42"/>
      <c r="H27" s="43">
        <f t="shared" si="3"/>
        <v>3000</v>
      </c>
      <c r="I27" t="s">
        <v>75</v>
      </c>
    </row>
    <row r="28" spans="1:13" ht="22.5" x14ac:dyDescent="0.25">
      <c r="A28" s="39">
        <v>11</v>
      </c>
      <c r="B28" s="40" t="s">
        <v>53</v>
      </c>
      <c r="C28" s="12"/>
      <c r="D28" s="13">
        <f>'APRIL 20'!H28:H43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13" x14ac:dyDescent="0.25">
      <c r="A29" s="39">
        <v>12</v>
      </c>
      <c r="B29" s="44" t="s">
        <v>70</v>
      </c>
      <c r="C29" s="12"/>
      <c r="D29" s="13">
        <f>'APRIL 20'!H29:H44</f>
        <v>1500</v>
      </c>
      <c r="E29" s="41">
        <v>1500</v>
      </c>
      <c r="F29" s="13">
        <f t="shared" si="4"/>
        <v>3000</v>
      </c>
      <c r="G29" s="42">
        <v>1500</v>
      </c>
      <c r="H29" s="43">
        <f t="shared" si="3"/>
        <v>1500</v>
      </c>
    </row>
    <row r="30" spans="1:13" ht="22.5" x14ac:dyDescent="0.25">
      <c r="A30" s="39">
        <v>13</v>
      </c>
      <c r="B30" s="44" t="s">
        <v>60</v>
      </c>
      <c r="C30" s="12"/>
      <c r="D30" s="13">
        <f>'APRIL 20'!H30:H45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</row>
    <row r="31" spans="1:13" ht="22.5" x14ac:dyDescent="0.25">
      <c r="A31" s="39">
        <v>14</v>
      </c>
      <c r="B31" s="44" t="s">
        <v>79</v>
      </c>
      <c r="C31" s="12"/>
      <c r="D31" s="13">
        <f>'APRIL 20'!H31:H46</f>
        <v>1000</v>
      </c>
      <c r="E31" s="41">
        <v>1500</v>
      </c>
      <c r="F31" s="13">
        <f>E31+D31+C31</f>
        <v>2500</v>
      </c>
      <c r="G31" s="42">
        <f>750+400</f>
        <v>1150</v>
      </c>
      <c r="H31" s="43">
        <f t="shared" si="3"/>
        <v>1350</v>
      </c>
      <c r="I31" t="s">
        <v>83</v>
      </c>
    </row>
    <row r="32" spans="1:13" ht="22.5" x14ac:dyDescent="0.25">
      <c r="A32" s="39">
        <v>15</v>
      </c>
      <c r="B32" s="44" t="s">
        <v>97</v>
      </c>
      <c r="C32" s="12"/>
      <c r="D32" s="13">
        <f>'APRIL 20'!H32:H47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0" ht="22.5" x14ac:dyDescent="0.25">
      <c r="A33" s="39">
        <v>16</v>
      </c>
      <c r="B33" s="44" t="s">
        <v>44</v>
      </c>
      <c r="C33" s="12"/>
      <c r="D33" s="13">
        <f>'APRIL 20'!H33:H48</f>
        <v>2000</v>
      </c>
      <c r="E33" s="41">
        <v>1500</v>
      </c>
      <c r="F33" s="13">
        <f>E33+D33+C33</f>
        <v>3500</v>
      </c>
      <c r="G33" s="42">
        <f>1000+500+1000</f>
        <v>2500</v>
      </c>
      <c r="H33" s="43">
        <f t="shared" si="3"/>
        <v>1000</v>
      </c>
    </row>
    <row r="34" spans="1:10" x14ac:dyDescent="0.25">
      <c r="A34" s="39"/>
      <c r="B34" s="51" t="s">
        <v>7</v>
      </c>
      <c r="C34" s="52">
        <f>SUM(C18:C33)</f>
        <v>0</v>
      </c>
      <c r="D34" s="13">
        <f>'APRIL 20'!H34:H49</f>
        <v>11800</v>
      </c>
      <c r="E34" s="53">
        <f>SUM(E18:E33)</f>
        <v>28000</v>
      </c>
      <c r="F34" s="13">
        <f>C34+D34+E34</f>
        <v>39800</v>
      </c>
      <c r="G34" s="10">
        <f>SUM(G18:G33)</f>
        <v>23850</v>
      </c>
      <c r="H34" s="43">
        <f>F34-G34</f>
        <v>15950</v>
      </c>
    </row>
    <row r="35" spans="1:10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0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0" x14ac:dyDescent="0.25">
      <c r="A37" s="22" t="s">
        <v>89</v>
      </c>
      <c r="B37" s="8">
        <f>E34+E16</f>
        <v>31000</v>
      </c>
      <c r="C37" s="23"/>
      <c r="D37" s="23"/>
      <c r="E37" s="22" t="s">
        <v>89</v>
      </c>
      <c r="F37" s="8">
        <f>G34+G16</f>
        <v>26850</v>
      </c>
      <c r="G37" s="23"/>
      <c r="H37" s="8"/>
    </row>
    <row r="38" spans="1:10" x14ac:dyDescent="0.25">
      <c r="A38" s="22" t="s">
        <v>12</v>
      </c>
      <c r="B38" s="24">
        <v>0.1</v>
      </c>
      <c r="C38" s="25">
        <f>B37*B38</f>
        <v>3100</v>
      </c>
      <c r="D38" s="22"/>
      <c r="E38" s="22" t="s">
        <v>12</v>
      </c>
      <c r="F38" s="24">
        <v>0.1</v>
      </c>
      <c r="G38" s="25">
        <f>C38</f>
        <v>3100</v>
      </c>
      <c r="H38" s="8"/>
      <c r="J38" s="60"/>
    </row>
    <row r="39" spans="1:10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0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0" x14ac:dyDescent="0.25">
      <c r="A41" s="26" t="s">
        <v>2</v>
      </c>
      <c r="B41" s="25">
        <f>'APRIL 20'!D49</f>
        <v>-2199.7999999999993</v>
      </c>
      <c r="C41" s="22"/>
      <c r="D41" s="22"/>
      <c r="E41" s="26" t="s">
        <v>2</v>
      </c>
      <c r="F41" s="25">
        <f>'APRIL 20'!H49</f>
        <v>-15499.800000000003</v>
      </c>
      <c r="G41" s="22"/>
      <c r="H41" s="8"/>
    </row>
    <row r="42" spans="1:10" x14ac:dyDescent="0.25">
      <c r="A42" s="26" t="s">
        <v>7</v>
      </c>
      <c r="B42" s="25">
        <f>B37+B41+B40</f>
        <v>28800.2</v>
      </c>
      <c r="C42" s="22"/>
      <c r="D42" s="22"/>
      <c r="E42" s="26" t="s">
        <v>7</v>
      </c>
      <c r="F42" s="25">
        <f>F37+F41+F39</f>
        <v>11350.499999999996</v>
      </c>
      <c r="G42" s="22"/>
      <c r="H42" s="8"/>
    </row>
    <row r="43" spans="1:10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0" x14ac:dyDescent="0.25">
      <c r="A44" s="27" t="s">
        <v>95</v>
      </c>
      <c r="B44" s="59"/>
      <c r="C44" s="29">
        <v>4091</v>
      </c>
      <c r="D44" s="28"/>
      <c r="E44" s="27" t="s">
        <v>95</v>
      </c>
      <c r="F44" s="59"/>
      <c r="G44" s="29">
        <v>4091</v>
      </c>
      <c r="H44" s="30"/>
    </row>
    <row r="45" spans="1:10" x14ac:dyDescent="0.25">
      <c r="A45" s="27" t="s">
        <v>96</v>
      </c>
      <c r="B45" s="59"/>
      <c r="C45" s="29">
        <v>5000</v>
      </c>
      <c r="D45" s="28"/>
      <c r="E45" s="27" t="s">
        <v>96</v>
      </c>
      <c r="F45" s="59"/>
      <c r="G45" s="29">
        <v>5000</v>
      </c>
      <c r="H45" s="30"/>
    </row>
    <row r="46" spans="1:10" x14ac:dyDescent="0.25">
      <c r="A46" s="27" t="s">
        <v>115</v>
      </c>
      <c r="B46" s="59"/>
      <c r="C46" s="29">
        <v>1500</v>
      </c>
      <c r="D46" s="28"/>
      <c r="E46" s="27"/>
      <c r="F46" s="59"/>
      <c r="G46" s="29"/>
      <c r="H46" s="30"/>
    </row>
    <row r="47" spans="1:10" x14ac:dyDescent="0.25">
      <c r="A47" s="27" t="s">
        <v>104</v>
      </c>
      <c r="B47" s="59"/>
      <c r="C47" s="29">
        <v>1056</v>
      </c>
      <c r="D47" s="28"/>
      <c r="E47" s="27" t="s">
        <v>104</v>
      </c>
      <c r="F47" s="59"/>
      <c r="G47" s="29">
        <v>1056</v>
      </c>
      <c r="H47" s="30"/>
    </row>
    <row r="48" spans="1:10" x14ac:dyDescent="0.25">
      <c r="A48" s="27" t="s">
        <v>114</v>
      </c>
      <c r="B48" s="59"/>
      <c r="C48" s="29">
        <f>H31</f>
        <v>1350</v>
      </c>
      <c r="D48" s="28"/>
      <c r="E48" s="27"/>
      <c r="F48" s="59"/>
      <c r="G48" s="29"/>
      <c r="H48" s="30"/>
    </row>
    <row r="49" spans="1:8" x14ac:dyDescent="0.25">
      <c r="A49" s="11" t="s">
        <v>7</v>
      </c>
      <c r="B49" s="34">
        <f>B37+B39+B40+B41-C38-C39</f>
        <v>25700.5</v>
      </c>
      <c r="C49" s="7">
        <f>SUM(C44:C48)</f>
        <v>12997</v>
      </c>
      <c r="D49" s="7">
        <f>B49-C49</f>
        <v>12703.5</v>
      </c>
      <c r="E49" s="11" t="s">
        <v>7</v>
      </c>
      <c r="F49" s="34">
        <f>F37+F39+F41-G38</f>
        <v>8250.4999999999964</v>
      </c>
      <c r="G49" s="7">
        <f>SUM(G44:G48)</f>
        <v>10147</v>
      </c>
      <c r="H49" s="7">
        <f>F49-G49</f>
        <v>-1896.5000000000036</v>
      </c>
    </row>
    <row r="50" spans="1:8" x14ac:dyDescent="0.25">
      <c r="A50" s="1" t="s">
        <v>16</v>
      </c>
      <c r="B50" s="16"/>
      <c r="D50" s="1" t="s">
        <v>17</v>
      </c>
      <c r="G50" s="1" t="s">
        <v>18</v>
      </c>
      <c r="H50" s="6"/>
    </row>
    <row r="51" spans="1:8" x14ac:dyDescent="0.25">
      <c r="A51" s="1" t="s">
        <v>35</v>
      </c>
      <c r="B51" s="1"/>
      <c r="D51" s="1" t="s">
        <v>36</v>
      </c>
      <c r="G51" s="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2" workbookViewId="0">
      <selection activeCell="K27" sqref="K27"/>
    </sheetView>
  </sheetViews>
  <sheetFormatPr defaultRowHeight="15" x14ac:dyDescent="0.25"/>
  <cols>
    <col min="1" max="1" width="8.5703125" customWidth="1"/>
    <col min="2" max="2" width="12.42578125" customWidth="1"/>
  </cols>
  <sheetData>
    <row r="1" spans="1:8" ht="15.75" x14ac:dyDescent="0.25">
      <c r="B1" s="1"/>
      <c r="C1" s="2" t="s">
        <v>55</v>
      </c>
      <c r="D1" s="1"/>
      <c r="E1" s="1"/>
      <c r="F1" s="1"/>
    </row>
    <row r="2" spans="1:8" ht="15.75" x14ac:dyDescent="0.25">
      <c r="C2" s="3"/>
      <c r="D2" s="3" t="s">
        <v>0</v>
      </c>
      <c r="E2" s="1"/>
      <c r="F2" s="1"/>
    </row>
    <row r="3" spans="1:8" ht="21" x14ac:dyDescent="0.25">
      <c r="C3" s="4" t="s">
        <v>102</v>
      </c>
      <c r="D3" s="3"/>
      <c r="E3" s="5"/>
      <c r="F3" s="5"/>
    </row>
    <row r="4" spans="1:8" x14ac:dyDescent="0.25">
      <c r="D4" s="35" t="s">
        <v>48</v>
      </c>
    </row>
    <row r="5" spans="1:8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8" x14ac:dyDescent="0.25">
      <c r="A6" s="39" t="s">
        <v>23</v>
      </c>
      <c r="B6" s="40" t="s">
        <v>46</v>
      </c>
      <c r="C6" s="12"/>
      <c r="D6" s="13">
        <f>'MAY 20'!H6:H15</f>
        <v>0</v>
      </c>
      <c r="E6" s="41"/>
      <c r="F6" s="13">
        <f>E6+D6+C6</f>
        <v>0</v>
      </c>
      <c r="G6" s="42"/>
      <c r="H6" s="43">
        <f>F6-G6</f>
        <v>0</v>
      </c>
    </row>
    <row r="7" spans="1:8" x14ac:dyDescent="0.25">
      <c r="A7" s="39" t="s">
        <v>24</v>
      </c>
      <c r="B7" s="44"/>
      <c r="C7" s="12"/>
      <c r="D7" s="13">
        <f>'MAY 20'!H7:H16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8" x14ac:dyDescent="0.25">
      <c r="A8" s="39" t="s">
        <v>26</v>
      </c>
      <c r="B8" s="14" t="s">
        <v>45</v>
      </c>
      <c r="C8" s="14"/>
      <c r="D8" s="13">
        <f>'MAY 20'!H8:H17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</row>
    <row r="9" spans="1:8" x14ac:dyDescent="0.25">
      <c r="A9" s="45" t="s">
        <v>27</v>
      </c>
      <c r="B9" s="44" t="s">
        <v>85</v>
      </c>
      <c r="C9" s="14"/>
      <c r="D9" s="13">
        <f>'MAY 20'!H9:H18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</row>
    <row r="10" spans="1:8" x14ac:dyDescent="0.25">
      <c r="A10" s="47" t="s">
        <v>28</v>
      </c>
      <c r="B10" s="44"/>
      <c r="C10" s="12"/>
      <c r="D10" s="13"/>
      <c r="E10" s="41"/>
      <c r="F10" s="13">
        <f t="shared" si="0"/>
        <v>0</v>
      </c>
      <c r="G10" s="42"/>
      <c r="H10" s="43">
        <f t="shared" si="1"/>
        <v>0</v>
      </c>
    </row>
    <row r="11" spans="1:8" x14ac:dyDescent="0.25">
      <c r="A11" s="48" t="s">
        <v>29</v>
      </c>
      <c r="B11" s="40"/>
      <c r="C11" s="14"/>
      <c r="D11" s="13">
        <f>'MAY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8" x14ac:dyDescent="0.25">
      <c r="A12" s="39" t="s">
        <v>30</v>
      </c>
      <c r="B12" s="40"/>
      <c r="C12" s="12"/>
      <c r="D12" s="13">
        <f>'MAY 20'!H12:H21</f>
        <v>0</v>
      </c>
      <c r="E12" s="41"/>
      <c r="F12" s="13">
        <f t="shared" si="0"/>
        <v>0</v>
      </c>
      <c r="G12" s="42"/>
      <c r="H12" s="43">
        <f t="shared" si="1"/>
        <v>0</v>
      </c>
    </row>
    <row r="13" spans="1:8" x14ac:dyDescent="0.25">
      <c r="A13" s="39" t="s">
        <v>31</v>
      </c>
      <c r="B13" s="40" t="s">
        <v>51</v>
      </c>
      <c r="C13" s="12"/>
      <c r="D13" s="13">
        <f>'MAY 20'!H13:H22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8" x14ac:dyDescent="0.25">
      <c r="A14" s="39" t="s">
        <v>32</v>
      </c>
      <c r="B14" s="44" t="s">
        <v>46</v>
      </c>
      <c r="C14" s="12"/>
      <c r="D14" s="13">
        <f>'MAY 20'!H14:H23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8" x14ac:dyDescent="0.25">
      <c r="A15" s="39" t="s">
        <v>33</v>
      </c>
      <c r="B15" s="44" t="s">
        <v>25</v>
      </c>
      <c r="C15" s="12"/>
      <c r="D15" s="13">
        <f>'MAY 20'!H15:H24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8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0</v>
      </c>
      <c r="E16" s="53">
        <f t="shared" si="2"/>
        <v>3000</v>
      </c>
      <c r="F16" s="13">
        <f t="shared" si="2"/>
        <v>3000</v>
      </c>
      <c r="G16" s="10">
        <f t="shared" si="2"/>
        <v>3000</v>
      </c>
      <c r="H16" s="54">
        <f t="shared" si="2"/>
        <v>0</v>
      </c>
    </row>
    <row r="17" spans="1:11" x14ac:dyDescent="0.25">
      <c r="C17" s="35"/>
      <c r="D17" s="35" t="s">
        <v>37</v>
      </c>
      <c r="E17" s="35"/>
    </row>
    <row r="18" spans="1:11" ht="22.5" x14ac:dyDescent="0.25">
      <c r="A18" s="39">
        <v>1</v>
      </c>
      <c r="B18" s="44" t="s">
        <v>52</v>
      </c>
      <c r="C18" s="12"/>
      <c r="D18" s="13">
        <f>'MAY 20'!H18:H33</f>
        <v>0</v>
      </c>
      <c r="E18" s="41">
        <v>2000</v>
      </c>
      <c r="F18" s="13">
        <f>C18+D18+E18</f>
        <v>2000</v>
      </c>
      <c r="G18" s="13">
        <f>1500+500</f>
        <v>2000</v>
      </c>
      <c r="H18" s="43">
        <f t="shared" ref="H18:H33" si="3">F18-G18</f>
        <v>0</v>
      </c>
    </row>
    <row r="19" spans="1:11" x14ac:dyDescent="0.25">
      <c r="A19" s="39">
        <v>2</v>
      </c>
      <c r="B19" s="44" t="s">
        <v>38</v>
      </c>
      <c r="C19" s="12"/>
      <c r="D19" s="13">
        <f>'MAY 20'!H19:H34</f>
        <v>4000</v>
      </c>
      <c r="E19" s="41">
        <v>2000</v>
      </c>
      <c r="F19" s="13">
        <f>E19+D19+C19</f>
        <v>6000</v>
      </c>
      <c r="G19" s="13"/>
      <c r="H19" s="43">
        <f>F19-G19</f>
        <v>6000</v>
      </c>
      <c r="I19" t="s">
        <v>75</v>
      </c>
    </row>
    <row r="20" spans="1:11" x14ac:dyDescent="0.25">
      <c r="A20" s="39">
        <v>3</v>
      </c>
      <c r="B20" s="14" t="s">
        <v>39</v>
      </c>
      <c r="C20" s="14"/>
      <c r="D20" s="13">
        <f>'MAY 20'!H20:H35</f>
        <v>1000</v>
      </c>
      <c r="E20" s="14">
        <v>2000</v>
      </c>
      <c r="F20" s="13">
        <f t="shared" ref="F20:F32" si="4">E20+D20+C20</f>
        <v>3000</v>
      </c>
      <c r="G20" s="14">
        <f>1000+1800+200</f>
        <v>3000</v>
      </c>
      <c r="H20" s="43">
        <f>F20-G20</f>
        <v>0</v>
      </c>
    </row>
    <row r="21" spans="1:11" x14ac:dyDescent="0.25">
      <c r="A21" s="39">
        <v>4</v>
      </c>
      <c r="B21" s="44" t="s">
        <v>72</v>
      </c>
      <c r="C21" s="14"/>
      <c r="D21" s="13">
        <f>'MAY 20'!H21:H36</f>
        <v>2000</v>
      </c>
      <c r="E21" s="46">
        <v>2000</v>
      </c>
      <c r="F21" s="13">
        <f t="shared" si="4"/>
        <v>4000</v>
      </c>
      <c r="G21" s="43">
        <f>1000+3000</f>
        <v>4000</v>
      </c>
      <c r="H21" s="43">
        <f t="shared" si="3"/>
        <v>0</v>
      </c>
    </row>
    <row r="22" spans="1:11" x14ac:dyDescent="0.25">
      <c r="A22" s="39">
        <v>5</v>
      </c>
      <c r="B22" s="40" t="s">
        <v>59</v>
      </c>
      <c r="C22" s="12"/>
      <c r="D22" s="13">
        <f>'MAY 20'!H22:H37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  <c r="I22" t="s">
        <v>108</v>
      </c>
    </row>
    <row r="23" spans="1:11" x14ac:dyDescent="0.25">
      <c r="A23" s="39">
        <v>6</v>
      </c>
      <c r="B23" s="40" t="s">
        <v>101</v>
      </c>
      <c r="C23" s="14"/>
      <c r="D23" s="13">
        <f>'MAY 20'!H23:H38</f>
        <v>0</v>
      </c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</row>
    <row r="24" spans="1:11" ht="22.5" x14ac:dyDescent="0.25">
      <c r="A24" s="39">
        <v>7</v>
      </c>
      <c r="B24" s="40" t="s">
        <v>68</v>
      </c>
      <c r="C24" s="12"/>
      <c r="D24" s="13">
        <f>'MAY 20'!H24:H39</f>
        <v>1000</v>
      </c>
      <c r="E24" s="41">
        <v>2000</v>
      </c>
      <c r="F24" s="13">
        <f t="shared" si="4"/>
        <v>3000</v>
      </c>
      <c r="G24" s="42">
        <v>3000</v>
      </c>
      <c r="H24" s="43">
        <f t="shared" si="3"/>
        <v>0</v>
      </c>
      <c r="I24" t="s">
        <v>75</v>
      </c>
    </row>
    <row r="25" spans="1:11" x14ac:dyDescent="0.25">
      <c r="A25" s="39">
        <v>8</v>
      </c>
      <c r="B25" s="40" t="s">
        <v>41</v>
      </c>
      <c r="C25" s="12"/>
      <c r="D25" s="13">
        <f>'MAY 20'!H25:H40</f>
        <v>1000</v>
      </c>
      <c r="E25" s="41">
        <v>2000</v>
      </c>
      <c r="F25" s="13">
        <f t="shared" si="4"/>
        <v>3000</v>
      </c>
      <c r="G25" s="42">
        <f>2000</f>
        <v>2000</v>
      </c>
      <c r="H25" s="43">
        <f t="shared" si="3"/>
        <v>1000</v>
      </c>
    </row>
    <row r="26" spans="1:11" x14ac:dyDescent="0.25">
      <c r="A26" s="39">
        <v>9</v>
      </c>
      <c r="B26" s="44" t="s">
        <v>42</v>
      </c>
      <c r="C26" s="12"/>
      <c r="D26" s="13">
        <f>'MAY 20'!H26:H41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  <c r="K26" s="60">
        <f>E21+E24+E29+E33</f>
        <v>7000</v>
      </c>
    </row>
    <row r="27" spans="1:11" x14ac:dyDescent="0.25">
      <c r="A27" s="39">
        <v>10</v>
      </c>
      <c r="B27" s="44" t="s">
        <v>107</v>
      </c>
      <c r="C27" s="12"/>
      <c r="D27" s="13"/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</row>
    <row r="28" spans="1:11" x14ac:dyDescent="0.25">
      <c r="A28" s="39">
        <v>11</v>
      </c>
      <c r="B28" s="40" t="s">
        <v>53</v>
      </c>
      <c r="C28" s="12"/>
      <c r="D28" s="13">
        <f>'MAY 20'!H28:H43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</row>
    <row r="29" spans="1:11" x14ac:dyDescent="0.25">
      <c r="A29" s="39">
        <v>12</v>
      </c>
      <c r="B29" s="44" t="s">
        <v>70</v>
      </c>
      <c r="C29" s="12"/>
      <c r="D29" s="13">
        <f>'MAY 20'!H29:H44</f>
        <v>1500</v>
      </c>
      <c r="E29" s="41">
        <v>1500</v>
      </c>
      <c r="F29" s="13">
        <f t="shared" si="4"/>
        <v>3000</v>
      </c>
      <c r="G29" s="42">
        <f>1500+1500</f>
        <v>3000</v>
      </c>
      <c r="H29" s="43">
        <f t="shared" si="3"/>
        <v>0</v>
      </c>
      <c r="I29" t="s">
        <v>91</v>
      </c>
    </row>
    <row r="30" spans="1:11" ht="22.5" x14ac:dyDescent="0.25">
      <c r="A30" s="39">
        <v>13</v>
      </c>
      <c r="B30" s="44" t="s">
        <v>60</v>
      </c>
      <c r="C30" s="12"/>
      <c r="D30" s="13">
        <f>'MAY 20'!H30:H45</f>
        <v>100</v>
      </c>
      <c r="E30" s="41">
        <v>1500</v>
      </c>
      <c r="F30" s="13">
        <f t="shared" si="4"/>
        <v>1600</v>
      </c>
      <c r="G30" s="42">
        <f>1500</f>
        <v>1500</v>
      </c>
      <c r="H30" s="43">
        <f>F30-G30</f>
        <v>100</v>
      </c>
    </row>
    <row r="31" spans="1:11" x14ac:dyDescent="0.25">
      <c r="A31" s="39">
        <v>14</v>
      </c>
      <c r="B31" s="44" t="s">
        <v>78</v>
      </c>
      <c r="C31" s="12"/>
      <c r="D31" s="13"/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</row>
    <row r="32" spans="1:11" x14ac:dyDescent="0.25">
      <c r="A32" s="39">
        <v>15</v>
      </c>
      <c r="B32" s="44" t="s">
        <v>111</v>
      </c>
      <c r="C32" s="12"/>
      <c r="D32" s="13">
        <f>'MAY 20'!H32:H48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3" x14ac:dyDescent="0.25">
      <c r="A33" s="39">
        <v>16</v>
      </c>
      <c r="B33" s="44" t="s">
        <v>44</v>
      </c>
      <c r="C33" s="12"/>
      <c r="D33" s="13">
        <f>'MAY 20'!H33:H49</f>
        <v>1000</v>
      </c>
      <c r="E33" s="41">
        <v>1500</v>
      </c>
      <c r="F33" s="13">
        <f>E33+D33+C33</f>
        <v>2500</v>
      </c>
      <c r="G33" s="42"/>
      <c r="H33" s="43">
        <f t="shared" si="3"/>
        <v>2500</v>
      </c>
    </row>
    <row r="34" spans="1:13" x14ac:dyDescent="0.25">
      <c r="A34" s="39"/>
      <c r="B34" s="51" t="s">
        <v>7</v>
      </c>
      <c r="C34" s="52">
        <f>SUM(C18:C33)</f>
        <v>0</v>
      </c>
      <c r="D34" s="13">
        <f>SUM(D18:D33)</f>
        <v>11600</v>
      </c>
      <c r="E34" s="53">
        <f>SUM(E18:E33)</f>
        <v>28000</v>
      </c>
      <c r="F34" s="13">
        <f>C34+D34+E34</f>
        <v>39600</v>
      </c>
      <c r="G34" s="10">
        <f>SUM(G18:G33)</f>
        <v>30000</v>
      </c>
      <c r="H34" s="43">
        <f>F34-G34</f>
        <v>9600</v>
      </c>
    </row>
    <row r="35" spans="1:13" x14ac:dyDescent="0.25">
      <c r="A35" s="56" t="s">
        <v>34</v>
      </c>
      <c r="B35" s="17"/>
      <c r="C35" s="18"/>
      <c r="D35" s="17"/>
      <c r="E35" s="19"/>
      <c r="F35" s="17"/>
      <c r="G35" s="1"/>
      <c r="H35" s="6"/>
      <c r="J35" s="60">
        <f>E34-E19</f>
        <v>26000</v>
      </c>
      <c r="L35" s="60">
        <f>E34-E19-E24</f>
        <v>24000</v>
      </c>
    </row>
    <row r="36" spans="1:13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J36" s="60">
        <f>J35-G46</f>
        <v>11939</v>
      </c>
      <c r="L36" s="60">
        <f>L35-G46</f>
        <v>9939</v>
      </c>
    </row>
    <row r="37" spans="1:13" x14ac:dyDescent="0.25">
      <c r="A37" s="22" t="s">
        <v>103</v>
      </c>
      <c r="B37" s="8">
        <f>E34+E16</f>
        <v>31000</v>
      </c>
      <c r="C37" s="23"/>
      <c r="D37" s="23"/>
      <c r="E37" s="22" t="s">
        <v>103</v>
      </c>
      <c r="F37" s="8">
        <f>G34+G16</f>
        <v>33000</v>
      </c>
      <c r="G37" s="23"/>
      <c r="H37" s="8"/>
      <c r="J37" s="60">
        <f>J36-G47</f>
        <v>9939</v>
      </c>
      <c r="L37" s="60">
        <f>L36-G47</f>
        <v>7939</v>
      </c>
    </row>
    <row r="38" spans="1:13" x14ac:dyDescent="0.25">
      <c r="A38" s="22" t="s">
        <v>12</v>
      </c>
      <c r="B38" s="24">
        <v>0.1</v>
      </c>
      <c r="C38" s="25">
        <f>B37*B38</f>
        <v>3100</v>
      </c>
      <c r="D38" s="22"/>
      <c r="E38" s="22" t="s">
        <v>12</v>
      </c>
      <c r="F38" s="24">
        <v>0.1</v>
      </c>
      <c r="G38" s="25">
        <f>C38</f>
        <v>3100</v>
      </c>
      <c r="H38" s="8"/>
      <c r="J38" s="60">
        <f>J37-C38</f>
        <v>6839</v>
      </c>
      <c r="L38" s="60">
        <f>L37-G38</f>
        <v>4839</v>
      </c>
    </row>
    <row r="39" spans="1:13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3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3" x14ac:dyDescent="0.25">
      <c r="A41" s="26" t="s">
        <v>2</v>
      </c>
      <c r="B41" s="25">
        <f>'MAY 20'!D49</f>
        <v>12703.5</v>
      </c>
      <c r="C41" s="22"/>
      <c r="D41" s="22"/>
      <c r="E41" s="26" t="s">
        <v>2</v>
      </c>
      <c r="F41" s="25">
        <f>'MAY 20'!H49</f>
        <v>-1896.5000000000036</v>
      </c>
      <c r="G41" s="22"/>
      <c r="H41" s="8"/>
      <c r="K41" s="60">
        <f>E34-E19-E24</f>
        <v>24000</v>
      </c>
    </row>
    <row r="42" spans="1:13" x14ac:dyDescent="0.25">
      <c r="A42" s="26" t="s">
        <v>7</v>
      </c>
      <c r="B42" s="25">
        <f>B37+B41+B40</f>
        <v>43703.5</v>
      </c>
      <c r="C42" s="22"/>
      <c r="D42" s="22"/>
      <c r="E42" s="26" t="s">
        <v>7</v>
      </c>
      <c r="F42" s="25">
        <f>F37+F41+F39</f>
        <v>31103.799999999996</v>
      </c>
      <c r="G42" s="22"/>
      <c r="H42" s="8"/>
      <c r="K42" s="60">
        <f>G38</f>
        <v>3100</v>
      </c>
      <c r="M42" s="60">
        <f>H33-1500</f>
        <v>1000</v>
      </c>
    </row>
    <row r="43" spans="1:13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J43" s="60"/>
      <c r="K43" s="60">
        <f>K41-K42</f>
        <v>20900</v>
      </c>
    </row>
    <row r="44" spans="1:13" x14ac:dyDescent="0.25">
      <c r="A44" s="27" t="s">
        <v>105</v>
      </c>
      <c r="B44" s="59" t="s">
        <v>113</v>
      </c>
      <c r="C44" s="29">
        <v>3000</v>
      </c>
      <c r="D44" s="28"/>
      <c r="E44" s="27"/>
      <c r="F44" s="59"/>
      <c r="G44" s="29"/>
      <c r="H44" s="30"/>
      <c r="J44" s="60"/>
    </row>
    <row r="45" spans="1:13" x14ac:dyDescent="0.25">
      <c r="A45" s="27" t="s">
        <v>112</v>
      </c>
      <c r="B45" s="59"/>
      <c r="C45" s="29">
        <v>1500</v>
      </c>
      <c r="D45" s="28"/>
      <c r="E45" s="27" t="s">
        <v>112</v>
      </c>
      <c r="F45" s="59"/>
      <c r="G45" s="29">
        <v>1500</v>
      </c>
      <c r="H45" s="30"/>
      <c r="K45" s="60">
        <f>K43-G46</f>
        <v>6839</v>
      </c>
    </row>
    <row r="46" spans="1:13" x14ac:dyDescent="0.25">
      <c r="A46" s="27" t="s">
        <v>106</v>
      </c>
      <c r="B46" s="59"/>
      <c r="C46" s="29">
        <f>9000+5061</f>
        <v>14061</v>
      </c>
      <c r="D46" s="28"/>
      <c r="E46" s="27" t="s">
        <v>106</v>
      </c>
      <c r="F46" s="59"/>
      <c r="G46" s="29">
        <f>C46</f>
        <v>14061</v>
      </c>
      <c r="H46" s="30"/>
      <c r="K46" s="60">
        <f>K45-2000-1500</f>
        <v>3339</v>
      </c>
    </row>
    <row r="47" spans="1:13" x14ac:dyDescent="0.25">
      <c r="A47" s="27" t="s">
        <v>109</v>
      </c>
      <c r="B47" s="59"/>
      <c r="C47" s="29">
        <v>2000</v>
      </c>
      <c r="D47" s="28"/>
      <c r="E47" s="27" t="s">
        <v>110</v>
      </c>
      <c r="F47" s="59"/>
      <c r="G47" s="29">
        <v>2000</v>
      </c>
      <c r="H47" s="30"/>
      <c r="K47" s="60">
        <f>K46-1897</f>
        <v>1442</v>
      </c>
    </row>
    <row r="48" spans="1:13" x14ac:dyDescent="0.25">
      <c r="A48" s="27" t="s">
        <v>120</v>
      </c>
      <c r="B48" s="59"/>
      <c r="C48" s="29">
        <v>1056</v>
      </c>
      <c r="D48" s="28"/>
      <c r="E48" s="27" t="s">
        <v>120</v>
      </c>
      <c r="F48" s="59"/>
      <c r="G48" s="29">
        <v>1056</v>
      </c>
      <c r="H48" s="30"/>
    </row>
    <row r="49" spans="1:11" x14ac:dyDescent="0.25">
      <c r="A49" s="27" t="s">
        <v>45</v>
      </c>
      <c r="B49" s="59" t="s">
        <v>126</v>
      </c>
      <c r="C49" s="29">
        <f>E8</f>
        <v>1500</v>
      </c>
      <c r="D49" s="28"/>
      <c r="E49" s="27" t="s">
        <v>45</v>
      </c>
      <c r="F49" s="59" t="s">
        <v>126</v>
      </c>
      <c r="G49" s="29">
        <f>C49</f>
        <v>1500</v>
      </c>
      <c r="H49" s="30"/>
    </row>
    <row r="50" spans="1:11" x14ac:dyDescent="0.25">
      <c r="A50" s="27" t="s">
        <v>125</v>
      </c>
      <c r="B50" s="59"/>
      <c r="C50" s="29">
        <f>E9</f>
        <v>1500</v>
      </c>
      <c r="D50" s="28"/>
      <c r="E50" s="27" t="s">
        <v>125</v>
      </c>
      <c r="F50" s="59"/>
      <c r="G50" s="29">
        <f>C50</f>
        <v>1500</v>
      </c>
      <c r="H50" s="30"/>
    </row>
    <row r="51" spans="1:11" x14ac:dyDescent="0.25">
      <c r="A51" s="27" t="s">
        <v>153</v>
      </c>
      <c r="B51" s="59"/>
      <c r="C51" s="29">
        <f>1500+3000</f>
        <v>4500</v>
      </c>
      <c r="D51" s="28"/>
      <c r="E51" s="27" t="s">
        <v>112</v>
      </c>
      <c r="F51" s="59"/>
      <c r="G51" s="29">
        <f>1500+3000</f>
        <v>4500</v>
      </c>
      <c r="H51" s="30"/>
    </row>
    <row r="52" spans="1:11" x14ac:dyDescent="0.25">
      <c r="A52" s="11" t="s">
        <v>7</v>
      </c>
      <c r="B52" s="34">
        <f>B37+B39+B40+B41-C38-C39</f>
        <v>40603.800000000003</v>
      </c>
      <c r="C52" s="7">
        <f>SUM(C44:C51)</f>
        <v>29117</v>
      </c>
      <c r="D52" s="7">
        <f>B52-C52</f>
        <v>11486.800000000003</v>
      </c>
      <c r="E52" s="11" t="s">
        <v>7</v>
      </c>
      <c r="F52" s="34">
        <f>F37+F39+F41-G38</f>
        <v>28003.8</v>
      </c>
      <c r="G52" s="7">
        <f>SUM(G44:G51)</f>
        <v>26117</v>
      </c>
      <c r="H52" s="7">
        <f>F52-G52</f>
        <v>1886.7999999999993</v>
      </c>
    </row>
    <row r="53" spans="1:11" x14ac:dyDescent="0.25">
      <c r="A53" s="1" t="s">
        <v>16</v>
      </c>
      <c r="B53" s="16"/>
      <c r="D53" s="1" t="s">
        <v>17</v>
      </c>
      <c r="G53" s="1" t="s">
        <v>18</v>
      </c>
      <c r="H53" s="6"/>
      <c r="K53">
        <f>24000-14061</f>
        <v>9939</v>
      </c>
    </row>
    <row r="54" spans="1:11" x14ac:dyDescent="0.25">
      <c r="A54" s="1" t="s">
        <v>35</v>
      </c>
      <c r="B54" s="1"/>
      <c r="D54" s="1" t="s">
        <v>36</v>
      </c>
      <c r="G54" s="1" t="s">
        <v>63</v>
      </c>
      <c r="I54" s="60"/>
    </row>
    <row r="55" spans="1:11" x14ac:dyDescent="0.25">
      <c r="I55" s="60"/>
    </row>
  </sheetData>
  <pageMargins left="0.7" right="0.7" top="0" bottom="0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28" workbookViewId="0">
      <selection activeCell="K52" sqref="K52"/>
    </sheetView>
  </sheetViews>
  <sheetFormatPr defaultRowHeight="15" x14ac:dyDescent="0.25"/>
  <cols>
    <col min="1" max="1" width="5.7109375" customWidth="1"/>
  </cols>
  <sheetData>
    <row r="1" spans="1:9" ht="15.75" x14ac:dyDescent="0.25">
      <c r="B1" s="1"/>
      <c r="C1" s="2" t="s">
        <v>55</v>
      </c>
      <c r="D1" s="1"/>
      <c r="E1" s="1"/>
      <c r="F1" s="1"/>
    </row>
    <row r="2" spans="1:9" ht="15.75" x14ac:dyDescent="0.25">
      <c r="C2" s="3"/>
      <c r="D2" s="3" t="s">
        <v>0</v>
      </c>
      <c r="E2" s="1"/>
      <c r="F2" s="1"/>
    </row>
    <row r="3" spans="1:9" ht="21" x14ac:dyDescent="0.25">
      <c r="C3" s="4" t="s">
        <v>122</v>
      </c>
      <c r="D3" s="3"/>
      <c r="E3" s="5"/>
      <c r="F3" s="5"/>
    </row>
    <row r="4" spans="1:9" x14ac:dyDescent="0.25">
      <c r="D4" s="35" t="s">
        <v>48</v>
      </c>
    </row>
    <row r="5" spans="1:9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9" x14ac:dyDescent="0.25">
      <c r="A6" s="39" t="s">
        <v>23</v>
      </c>
      <c r="B6" s="40" t="s">
        <v>46</v>
      </c>
      <c r="C6" s="12"/>
      <c r="D6" s="13">
        <f>'JUNE 20'!H6:H15</f>
        <v>0</v>
      </c>
      <c r="E6" s="41"/>
      <c r="F6" s="13">
        <f>E6+D6+C6</f>
        <v>0</v>
      </c>
      <c r="G6" s="42"/>
      <c r="H6" s="43">
        <f>F6-G6</f>
        <v>0</v>
      </c>
    </row>
    <row r="7" spans="1:9" x14ac:dyDescent="0.25">
      <c r="A7" s="39" t="s">
        <v>24</v>
      </c>
      <c r="B7" s="44"/>
      <c r="C7" s="12"/>
      <c r="D7" s="13">
        <f>'JUNE 20'!H7:H16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9" x14ac:dyDescent="0.25">
      <c r="A8" s="39" t="s">
        <v>26</v>
      </c>
      <c r="B8" s="14" t="s">
        <v>45</v>
      </c>
      <c r="C8" s="14"/>
      <c r="D8" s="13">
        <f>'JUNE 20'!H8:H17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  <c r="I8" t="s">
        <v>128</v>
      </c>
    </row>
    <row r="9" spans="1:9" x14ac:dyDescent="0.25">
      <c r="A9" s="45" t="s">
        <v>27</v>
      </c>
      <c r="B9" s="44" t="s">
        <v>85</v>
      </c>
      <c r="C9" s="14"/>
      <c r="D9" s="13">
        <f>'JUNE 20'!H9:H18</f>
        <v>0</v>
      </c>
      <c r="E9" s="46">
        <v>1500</v>
      </c>
      <c r="F9" s="13">
        <f t="shared" si="0"/>
        <v>1500</v>
      </c>
      <c r="G9" s="43">
        <v>1500</v>
      </c>
      <c r="H9" s="43">
        <f t="shared" si="1"/>
        <v>0</v>
      </c>
    </row>
    <row r="10" spans="1:9" ht="22.5" x14ac:dyDescent="0.25">
      <c r="A10" s="47" t="s">
        <v>28</v>
      </c>
      <c r="B10" s="44" t="s">
        <v>124</v>
      </c>
      <c r="C10" s="12"/>
      <c r="D10" s="13">
        <f>'JUNE 20'!H10:H19</f>
        <v>0</v>
      </c>
      <c r="E10" s="41">
        <v>1500</v>
      </c>
      <c r="F10" s="13">
        <f t="shared" si="0"/>
        <v>1500</v>
      </c>
      <c r="G10" s="42">
        <v>1500</v>
      </c>
      <c r="H10" s="43">
        <f t="shared" si="1"/>
        <v>0</v>
      </c>
    </row>
    <row r="11" spans="1:9" x14ac:dyDescent="0.25">
      <c r="A11" s="48" t="s">
        <v>29</v>
      </c>
      <c r="B11" s="40"/>
      <c r="C11" s="14"/>
      <c r="D11" s="13">
        <f>'JUNE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9" x14ac:dyDescent="0.25">
      <c r="A12" s="39" t="s">
        <v>30</v>
      </c>
      <c r="B12" s="40"/>
      <c r="C12" s="12"/>
      <c r="D12" s="13">
        <f>'JUNE 20'!H12:H21</f>
        <v>0</v>
      </c>
      <c r="E12" s="41"/>
      <c r="F12" s="13">
        <f t="shared" si="0"/>
        <v>0</v>
      </c>
      <c r="G12" s="42"/>
      <c r="H12" s="43">
        <f t="shared" si="1"/>
        <v>0</v>
      </c>
    </row>
    <row r="13" spans="1:9" x14ac:dyDescent="0.25">
      <c r="A13" s="39" t="s">
        <v>31</v>
      </c>
      <c r="B13" s="40" t="s">
        <v>51</v>
      </c>
      <c r="C13" s="12"/>
      <c r="D13" s="13">
        <f>'JUNE 20'!H13:H22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9" x14ac:dyDescent="0.25">
      <c r="A14" s="39" t="s">
        <v>32</v>
      </c>
      <c r="B14" s="44" t="s">
        <v>46</v>
      </c>
      <c r="C14" s="12"/>
      <c r="D14" s="13">
        <f>'JUNE 20'!H14:H23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9" x14ac:dyDescent="0.25">
      <c r="A15" s="39" t="s">
        <v>33</v>
      </c>
      <c r="B15" s="44" t="s">
        <v>25</v>
      </c>
      <c r="C15" s="12"/>
      <c r="D15" s="13">
        <f>'JUNE 20'!H15:H24</f>
        <v>0</v>
      </c>
      <c r="E15" s="15"/>
      <c r="F15" s="13">
        <f t="shared" si="0"/>
        <v>0</v>
      </c>
      <c r="G15" s="42"/>
      <c r="H15" s="43">
        <f t="shared" si="1"/>
        <v>0</v>
      </c>
    </row>
    <row r="16" spans="1:9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0</v>
      </c>
      <c r="E16" s="53">
        <f t="shared" si="2"/>
        <v>4500</v>
      </c>
      <c r="F16" s="13">
        <f t="shared" si="2"/>
        <v>4500</v>
      </c>
      <c r="G16" s="10">
        <f t="shared" si="2"/>
        <v>4500</v>
      </c>
      <c r="H16" s="54">
        <f t="shared" si="2"/>
        <v>0</v>
      </c>
    </row>
    <row r="17" spans="1:14" x14ac:dyDescent="0.25">
      <c r="C17" s="35"/>
      <c r="D17" s="35" t="s">
        <v>37</v>
      </c>
      <c r="E17" s="35"/>
    </row>
    <row r="18" spans="1:14" ht="22.5" x14ac:dyDescent="0.25">
      <c r="A18" s="39">
        <v>1</v>
      </c>
      <c r="B18" s="44" t="s">
        <v>52</v>
      </c>
      <c r="C18" s="12"/>
      <c r="D18" s="13">
        <f>'JUNE 20'!H18:H34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</row>
    <row r="19" spans="1:14" x14ac:dyDescent="0.25">
      <c r="A19" s="39">
        <v>2</v>
      </c>
      <c r="B19" s="44" t="s">
        <v>72</v>
      </c>
      <c r="C19" s="12"/>
      <c r="D19" s="13"/>
      <c r="E19" s="41"/>
      <c r="F19" s="13"/>
      <c r="G19" s="13"/>
      <c r="H19" s="43"/>
    </row>
    <row r="20" spans="1:14" x14ac:dyDescent="0.25">
      <c r="A20" s="39">
        <v>3</v>
      </c>
      <c r="B20" s="14" t="s">
        <v>39</v>
      </c>
      <c r="C20" s="14"/>
      <c r="D20" s="13">
        <f>'JUNE 20'!H20:H36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  <c r="J20">
        <v>2000</v>
      </c>
    </row>
    <row r="21" spans="1:14" x14ac:dyDescent="0.25">
      <c r="A21" s="39">
        <v>4</v>
      </c>
      <c r="B21" s="44" t="s">
        <v>78</v>
      </c>
      <c r="C21" s="14"/>
      <c r="D21" s="13">
        <f>'JUNE 20'!H21:H37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I21" t="s">
        <v>128</v>
      </c>
      <c r="J21">
        <v>1000</v>
      </c>
      <c r="K21">
        <f>1000</f>
        <v>1000</v>
      </c>
      <c r="M21" t="s">
        <v>141</v>
      </c>
      <c r="N21">
        <v>2000</v>
      </c>
    </row>
    <row r="22" spans="1:14" ht="22.5" x14ac:dyDescent="0.25">
      <c r="A22" s="39">
        <v>5</v>
      </c>
      <c r="B22" s="40" t="s">
        <v>59</v>
      </c>
      <c r="C22" s="12"/>
      <c r="D22" s="13">
        <f>'JUNE 20'!H22:H38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  <c r="J22">
        <v>2000</v>
      </c>
      <c r="K22">
        <v>2000</v>
      </c>
      <c r="N22">
        <v>1500</v>
      </c>
    </row>
    <row r="23" spans="1:14" x14ac:dyDescent="0.25">
      <c r="A23" s="39">
        <v>6</v>
      </c>
      <c r="B23" s="40" t="s">
        <v>101</v>
      </c>
      <c r="C23" s="14"/>
      <c r="D23" s="13">
        <f>'JUNE 20'!H23:H39</f>
        <v>0</v>
      </c>
      <c r="E23" s="49">
        <v>2000</v>
      </c>
      <c r="F23" s="13">
        <f t="shared" si="4"/>
        <v>2000</v>
      </c>
      <c r="G23" s="50">
        <v>2000</v>
      </c>
      <c r="H23" s="43">
        <f t="shared" si="3"/>
        <v>0</v>
      </c>
      <c r="J23">
        <v>1500</v>
      </c>
      <c r="K23">
        <v>1500</v>
      </c>
      <c r="N23">
        <f>SUM(N21:N22)</f>
        <v>3500</v>
      </c>
    </row>
    <row r="24" spans="1:14" ht="22.5" x14ac:dyDescent="0.25">
      <c r="A24" s="39">
        <v>7</v>
      </c>
      <c r="B24" s="40" t="s">
        <v>127</v>
      </c>
      <c r="C24" s="12"/>
      <c r="D24" s="13"/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  <c r="J24">
        <v>1500</v>
      </c>
      <c r="K24">
        <v>1500</v>
      </c>
    </row>
    <row r="25" spans="1:14" ht="22.5" x14ac:dyDescent="0.25">
      <c r="A25" s="39">
        <v>8</v>
      </c>
      <c r="B25" s="40" t="s">
        <v>41</v>
      </c>
      <c r="C25" s="12"/>
      <c r="D25" s="13">
        <f>'JUNE 20'!H25:H41</f>
        <v>1000</v>
      </c>
      <c r="E25" s="41">
        <v>2000</v>
      </c>
      <c r="F25" s="13">
        <f t="shared" si="4"/>
        <v>3000</v>
      </c>
      <c r="G25" s="42">
        <f>1500+500</f>
        <v>2000</v>
      </c>
      <c r="H25" s="43">
        <f t="shared" si="3"/>
        <v>1000</v>
      </c>
      <c r="I25" t="s">
        <v>128</v>
      </c>
      <c r="J25">
        <v>1500</v>
      </c>
      <c r="K25">
        <f>SUM(K21:K24)</f>
        <v>6000</v>
      </c>
    </row>
    <row r="26" spans="1:14" ht="22.5" x14ac:dyDescent="0.25">
      <c r="A26" s="39">
        <v>9</v>
      </c>
      <c r="B26" s="44" t="s">
        <v>42</v>
      </c>
      <c r="C26" s="12"/>
      <c r="D26" s="13">
        <f>'JUNE 20'!H26:H42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  <c r="J26">
        <v>1000</v>
      </c>
    </row>
    <row r="27" spans="1:14" x14ac:dyDescent="0.25">
      <c r="A27" s="39">
        <v>10</v>
      </c>
      <c r="B27" s="44" t="s">
        <v>107</v>
      </c>
      <c r="C27" s="12"/>
      <c r="D27" s="13">
        <f>'JUNE 20'!H27:H43</f>
        <v>0</v>
      </c>
      <c r="E27" s="41">
        <v>1500</v>
      </c>
      <c r="F27" s="13">
        <f t="shared" si="4"/>
        <v>1500</v>
      </c>
      <c r="G27" s="42">
        <v>1500</v>
      </c>
      <c r="H27" s="43">
        <f t="shared" si="3"/>
        <v>0</v>
      </c>
      <c r="J27" s="60">
        <v>1500</v>
      </c>
    </row>
    <row r="28" spans="1:14" ht="22.5" x14ac:dyDescent="0.25">
      <c r="A28" s="39">
        <v>11</v>
      </c>
      <c r="B28" s="40" t="s">
        <v>53</v>
      </c>
      <c r="C28" s="12"/>
      <c r="D28" s="13">
        <f>'JUNE 20'!H28:H44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  <c r="J28" s="60">
        <f>SUM(J20:J27)</f>
        <v>12000</v>
      </c>
      <c r="K28">
        <v>3500</v>
      </c>
      <c r="L28" s="60">
        <f>J28-K28</f>
        <v>8500</v>
      </c>
      <c r="M28">
        <v>1500</v>
      </c>
      <c r="N28" s="60">
        <f>L28-M28</f>
        <v>7000</v>
      </c>
    </row>
    <row r="29" spans="1:14" x14ac:dyDescent="0.25">
      <c r="A29" s="39">
        <v>12</v>
      </c>
      <c r="B29" s="44" t="s">
        <v>70</v>
      </c>
      <c r="C29" s="12"/>
      <c r="D29" s="13">
        <f>'JUNE 20'!H29:H45</f>
        <v>0</v>
      </c>
      <c r="E29" s="41">
        <v>1500</v>
      </c>
      <c r="F29" s="13">
        <f t="shared" si="4"/>
        <v>1500</v>
      </c>
      <c r="G29" s="42">
        <v>1500</v>
      </c>
      <c r="H29" s="43">
        <f t="shared" si="3"/>
        <v>0</v>
      </c>
      <c r="I29" t="s">
        <v>143</v>
      </c>
      <c r="N29">
        <v>1650</v>
      </c>
    </row>
    <row r="30" spans="1:14" ht="22.5" x14ac:dyDescent="0.25">
      <c r="A30" s="39">
        <v>13</v>
      </c>
      <c r="B30" s="44" t="s">
        <v>60</v>
      </c>
      <c r="C30" s="12"/>
      <c r="D30" s="13">
        <f>'JUNE 20'!H30:H46</f>
        <v>100</v>
      </c>
      <c r="E30" s="41">
        <v>1500</v>
      </c>
      <c r="F30" s="13">
        <f t="shared" si="4"/>
        <v>1600</v>
      </c>
      <c r="G30" s="42">
        <f>800+500+200</f>
        <v>1500</v>
      </c>
      <c r="H30" s="43">
        <f>F30-G30</f>
        <v>100</v>
      </c>
      <c r="I30" t="s">
        <v>128</v>
      </c>
      <c r="J30" s="60"/>
      <c r="N30" s="60">
        <f>N28-N29</f>
        <v>5350</v>
      </c>
    </row>
    <row r="31" spans="1:14" x14ac:dyDescent="0.25">
      <c r="A31" s="39">
        <v>14</v>
      </c>
      <c r="B31" s="44" t="s">
        <v>123</v>
      </c>
      <c r="C31" s="12"/>
      <c r="D31" s="13">
        <f>'JUNE 20'!H31:H47</f>
        <v>0</v>
      </c>
      <c r="E31" s="41"/>
      <c r="F31" s="13">
        <f>E31+D31+C31</f>
        <v>0</v>
      </c>
      <c r="G31" s="42"/>
      <c r="H31" s="43">
        <f t="shared" si="3"/>
        <v>0</v>
      </c>
    </row>
    <row r="32" spans="1:14" ht="22.5" x14ac:dyDescent="0.25">
      <c r="A32" s="39">
        <v>15</v>
      </c>
      <c r="B32" s="44" t="s">
        <v>136</v>
      </c>
      <c r="C32" s="12"/>
      <c r="D32" s="13">
        <f>'JUNE 20'!H32:H48</f>
        <v>0</v>
      </c>
      <c r="E32" s="41">
        <v>1500</v>
      </c>
      <c r="F32" s="13">
        <f t="shared" si="4"/>
        <v>1500</v>
      </c>
      <c r="G32" s="42">
        <v>1500</v>
      </c>
      <c r="H32" s="43">
        <f>F32-G32</f>
        <v>0</v>
      </c>
    </row>
    <row r="33" spans="1:13" ht="22.5" x14ac:dyDescent="0.25">
      <c r="A33" s="39">
        <v>16</v>
      </c>
      <c r="B33" s="44" t="s">
        <v>44</v>
      </c>
      <c r="C33" s="12"/>
      <c r="D33" s="13">
        <f>'JUNE 20'!H33:H51</f>
        <v>2500</v>
      </c>
      <c r="E33" s="41">
        <v>1000</v>
      </c>
      <c r="F33" s="13">
        <f>E33+D33+C33</f>
        <v>3500</v>
      </c>
      <c r="G33" s="42">
        <f>1000+800+500</f>
        <v>2300</v>
      </c>
      <c r="H33" s="43">
        <f t="shared" si="3"/>
        <v>1200</v>
      </c>
    </row>
    <row r="34" spans="1:13" x14ac:dyDescent="0.25">
      <c r="A34" s="39"/>
      <c r="B34" s="51" t="s">
        <v>7</v>
      </c>
      <c r="C34" s="52">
        <f>SUM(C18:C33)</f>
        <v>0</v>
      </c>
      <c r="D34" s="13">
        <f>SUM(D18:D33)</f>
        <v>3600</v>
      </c>
      <c r="E34" s="53">
        <f>SUM(E18:E33)</f>
        <v>24000</v>
      </c>
      <c r="F34" s="13">
        <f>C34+D34+E34</f>
        <v>27600</v>
      </c>
      <c r="G34" s="10">
        <f>SUM(G18:G33)</f>
        <v>25300</v>
      </c>
      <c r="H34" s="43">
        <f>SUM(H18:H33)</f>
        <v>2300</v>
      </c>
      <c r="K34">
        <f>2000+1500</f>
        <v>3500</v>
      </c>
      <c r="M34" s="60">
        <f>G38</f>
        <v>2850</v>
      </c>
    </row>
    <row r="35" spans="1:13" x14ac:dyDescent="0.25">
      <c r="A35" s="56" t="s">
        <v>34</v>
      </c>
      <c r="B35" s="17"/>
      <c r="C35" s="18"/>
      <c r="D35" s="17"/>
      <c r="E35" s="19"/>
      <c r="F35" s="17"/>
      <c r="G35" s="1"/>
      <c r="H35" s="6"/>
      <c r="J35" s="60"/>
      <c r="M35">
        <v>1200</v>
      </c>
    </row>
    <row r="36" spans="1:13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J36" s="60"/>
      <c r="M36" s="60">
        <f>M34-M35</f>
        <v>1650</v>
      </c>
    </row>
    <row r="37" spans="1:13" x14ac:dyDescent="0.25">
      <c r="A37" s="22" t="s">
        <v>121</v>
      </c>
      <c r="B37" s="8">
        <f>E34+E16</f>
        <v>28500</v>
      </c>
      <c r="C37" s="23"/>
      <c r="D37" s="23"/>
      <c r="E37" s="22" t="s">
        <v>121</v>
      </c>
      <c r="F37" s="8">
        <f>G34+G16</f>
        <v>29800</v>
      </c>
      <c r="G37" s="23"/>
      <c r="H37" s="8"/>
      <c r="J37" s="60"/>
      <c r="K37" s="60"/>
    </row>
    <row r="38" spans="1:13" x14ac:dyDescent="0.25">
      <c r="A38" s="22" t="s">
        <v>12</v>
      </c>
      <c r="B38" s="24">
        <v>0.1</v>
      </c>
      <c r="C38" s="25">
        <f>B37*B38</f>
        <v>2850</v>
      </c>
      <c r="D38" s="22"/>
      <c r="E38" s="22" t="s">
        <v>12</v>
      </c>
      <c r="F38" s="24">
        <v>0.1</v>
      </c>
      <c r="G38" s="25">
        <f>C38</f>
        <v>2850</v>
      </c>
      <c r="H38" s="8"/>
      <c r="J38" s="60"/>
    </row>
    <row r="39" spans="1:13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/>
    </row>
    <row r="40" spans="1:13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3" x14ac:dyDescent="0.25">
      <c r="A41" s="26" t="s">
        <v>2</v>
      </c>
      <c r="B41" s="25">
        <f>'JUNE 20'!D52</f>
        <v>11486.800000000003</v>
      </c>
      <c r="C41" s="22"/>
      <c r="D41" s="22"/>
      <c r="E41" s="26" t="s">
        <v>2</v>
      </c>
      <c r="F41" s="25">
        <f>'JUNE 20'!H52</f>
        <v>1886.7999999999993</v>
      </c>
      <c r="G41" s="22"/>
      <c r="H41" s="8"/>
    </row>
    <row r="42" spans="1:13" x14ac:dyDescent="0.25">
      <c r="A42" s="26" t="s">
        <v>7</v>
      </c>
      <c r="B42" s="25">
        <f>B37+B41+B40</f>
        <v>39986.800000000003</v>
      </c>
      <c r="C42" s="22"/>
      <c r="D42" s="22"/>
      <c r="E42" s="26" t="s">
        <v>7</v>
      </c>
      <c r="F42" s="25">
        <f>F37+F41+F39</f>
        <v>31687.1</v>
      </c>
      <c r="G42" s="22"/>
      <c r="H42" s="8"/>
      <c r="J42" s="60"/>
    </row>
    <row r="43" spans="1:13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J43" s="60"/>
    </row>
    <row r="44" spans="1:13" x14ac:dyDescent="0.25">
      <c r="A44" s="27" t="s">
        <v>129</v>
      </c>
      <c r="B44" s="59"/>
      <c r="C44" s="29">
        <v>1500</v>
      </c>
      <c r="D44" s="28"/>
      <c r="E44" s="27" t="s">
        <v>129</v>
      </c>
      <c r="F44" s="59"/>
      <c r="G44" s="29">
        <v>1500</v>
      </c>
      <c r="H44" s="30"/>
      <c r="J44" s="60"/>
    </row>
    <row r="45" spans="1:13" x14ac:dyDescent="0.25">
      <c r="A45" s="27" t="s">
        <v>130</v>
      </c>
      <c r="B45" s="59"/>
      <c r="C45" s="29">
        <v>800</v>
      </c>
      <c r="D45" s="28"/>
      <c r="E45" s="27" t="s">
        <v>130</v>
      </c>
      <c r="F45" s="59"/>
      <c r="G45" s="29">
        <v>800</v>
      </c>
      <c r="H45" s="30"/>
      <c r="K45" s="61"/>
    </row>
    <row r="46" spans="1:13" x14ac:dyDescent="0.25">
      <c r="A46" s="27" t="s">
        <v>131</v>
      </c>
      <c r="B46" s="59"/>
      <c r="C46" s="29">
        <v>2887</v>
      </c>
      <c r="D46" s="28"/>
      <c r="E46" s="27" t="s">
        <v>131</v>
      </c>
      <c r="F46" s="59"/>
      <c r="G46" s="29">
        <v>2887</v>
      </c>
      <c r="H46" s="30"/>
      <c r="K46" s="61"/>
    </row>
    <row r="47" spans="1:13" x14ac:dyDescent="0.25">
      <c r="A47" s="27" t="s">
        <v>132</v>
      </c>
      <c r="B47" s="59"/>
      <c r="C47" s="29">
        <v>2000</v>
      </c>
      <c r="D47" s="28"/>
      <c r="E47" s="27" t="s">
        <v>132</v>
      </c>
      <c r="F47" s="59"/>
      <c r="G47" s="29">
        <v>2000</v>
      </c>
      <c r="H47" s="30"/>
    </row>
    <row r="48" spans="1:13" x14ac:dyDescent="0.25">
      <c r="A48" s="27" t="s">
        <v>133</v>
      </c>
      <c r="B48" s="59"/>
      <c r="C48" s="29">
        <v>1500</v>
      </c>
      <c r="D48" s="28"/>
      <c r="E48" s="27" t="s">
        <v>133</v>
      </c>
      <c r="F48" s="59"/>
      <c r="G48" s="29">
        <v>1500</v>
      </c>
      <c r="H48" s="30"/>
    </row>
    <row r="49" spans="1:9" x14ac:dyDescent="0.25">
      <c r="A49" s="27" t="s">
        <v>134</v>
      </c>
      <c r="B49" s="59"/>
      <c r="C49" s="29">
        <v>800</v>
      </c>
      <c r="D49" s="28"/>
      <c r="E49" s="27" t="s">
        <v>134</v>
      </c>
      <c r="F49" s="59"/>
      <c r="G49" s="29">
        <v>800</v>
      </c>
      <c r="H49" s="30"/>
    </row>
    <row r="50" spans="1:9" x14ac:dyDescent="0.25">
      <c r="A50" s="27" t="s">
        <v>131</v>
      </c>
      <c r="B50" s="59"/>
      <c r="C50" s="29">
        <v>5350</v>
      </c>
      <c r="D50" s="28"/>
      <c r="E50" s="27" t="s">
        <v>131</v>
      </c>
      <c r="F50" s="59"/>
      <c r="G50" s="29">
        <v>5350</v>
      </c>
      <c r="H50" s="30"/>
    </row>
    <row r="51" spans="1:9" x14ac:dyDescent="0.25">
      <c r="A51" s="27" t="s">
        <v>135</v>
      </c>
      <c r="B51" s="59"/>
      <c r="C51" s="29">
        <v>11800</v>
      </c>
      <c r="D51" s="28"/>
      <c r="E51" s="27" t="s">
        <v>135</v>
      </c>
      <c r="F51" s="59"/>
      <c r="G51" s="29">
        <v>11800</v>
      </c>
      <c r="H51" s="30"/>
    </row>
    <row r="52" spans="1:9" x14ac:dyDescent="0.25">
      <c r="A52" s="27" t="s">
        <v>139</v>
      </c>
      <c r="B52" s="59"/>
      <c r="C52" s="29">
        <v>1671</v>
      </c>
      <c r="D52" s="28"/>
      <c r="E52" s="27" t="s">
        <v>139</v>
      </c>
      <c r="F52" s="59"/>
      <c r="G52" s="29">
        <v>1671</v>
      </c>
      <c r="H52" s="30"/>
    </row>
    <row r="53" spans="1:9" x14ac:dyDescent="0.25">
      <c r="A53" s="27" t="s">
        <v>144</v>
      </c>
      <c r="B53" s="59"/>
      <c r="C53" s="29">
        <v>500</v>
      </c>
      <c r="D53" s="28"/>
      <c r="E53" s="27" t="s">
        <v>144</v>
      </c>
      <c r="F53" s="59"/>
      <c r="G53" s="29">
        <v>500</v>
      </c>
      <c r="H53" s="30"/>
    </row>
    <row r="54" spans="1:9" x14ac:dyDescent="0.25">
      <c r="A54" s="27" t="s">
        <v>145</v>
      </c>
      <c r="B54" s="59"/>
      <c r="C54" s="29">
        <f>1500+500+200</f>
        <v>2200</v>
      </c>
      <c r="D54" s="28"/>
      <c r="E54" s="27" t="s">
        <v>142</v>
      </c>
      <c r="F54" s="59"/>
      <c r="G54" s="29">
        <f>1500+500+200</f>
        <v>2200</v>
      </c>
      <c r="H54" s="30"/>
    </row>
    <row r="55" spans="1:9" x14ac:dyDescent="0.25">
      <c r="A55" s="11" t="s">
        <v>7</v>
      </c>
      <c r="B55" s="34">
        <f>B37+B39+B40+B41-C38-C39</f>
        <v>37137.100000000006</v>
      </c>
      <c r="C55" s="7">
        <f>SUM(C44:C54)</f>
        <v>31008</v>
      </c>
      <c r="D55" s="7">
        <f>B55-C55</f>
        <v>6129.1000000000058</v>
      </c>
      <c r="E55" s="11" t="s">
        <v>7</v>
      </c>
      <c r="F55" s="34">
        <f>F37+F39+F41-G38</f>
        <v>28837.1</v>
      </c>
      <c r="G55" s="7">
        <f>SUM(G44:G54)</f>
        <v>31008</v>
      </c>
      <c r="H55" s="7">
        <f>F55-G55</f>
        <v>-2170.9000000000015</v>
      </c>
    </row>
    <row r="56" spans="1:9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9" x14ac:dyDescent="0.25">
      <c r="A57" s="1" t="s">
        <v>35</v>
      </c>
      <c r="B57" s="1"/>
      <c r="D57" s="1" t="s">
        <v>36</v>
      </c>
      <c r="G57" s="1" t="s">
        <v>63</v>
      </c>
      <c r="I57" s="60"/>
    </row>
    <row r="58" spans="1:9" x14ac:dyDescent="0.25">
      <c r="I58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K50" sqref="K50"/>
    </sheetView>
  </sheetViews>
  <sheetFormatPr defaultRowHeight="15" x14ac:dyDescent="0.25"/>
  <cols>
    <col min="9" max="9" width="10" bestFit="1" customWidth="1"/>
  </cols>
  <sheetData>
    <row r="1" spans="1:11" ht="15.75" x14ac:dyDescent="0.25">
      <c r="B1" s="1"/>
      <c r="C1" s="2" t="s">
        <v>55</v>
      </c>
      <c r="D1" s="1"/>
      <c r="E1" s="1"/>
      <c r="F1" s="1"/>
    </row>
    <row r="2" spans="1:11" ht="15.75" x14ac:dyDescent="0.25">
      <c r="C2" s="3"/>
      <c r="D2" s="3" t="s">
        <v>0</v>
      </c>
      <c r="E2" s="1"/>
      <c r="F2" s="1"/>
    </row>
    <row r="3" spans="1:11" ht="21" x14ac:dyDescent="0.25">
      <c r="C3" s="4" t="s">
        <v>138</v>
      </c>
      <c r="D3" s="3"/>
      <c r="E3" s="5"/>
      <c r="F3" s="5"/>
    </row>
    <row r="4" spans="1:11" x14ac:dyDescent="0.25">
      <c r="D4" s="35" t="s">
        <v>48</v>
      </c>
    </row>
    <row r="5" spans="1:11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1" x14ac:dyDescent="0.25">
      <c r="A6" s="39" t="s">
        <v>23</v>
      </c>
      <c r="B6" s="40" t="s">
        <v>46</v>
      </c>
      <c r="C6" s="12"/>
      <c r="D6" s="13">
        <f>'JULY 20'!H6:H15</f>
        <v>0</v>
      </c>
      <c r="E6" s="41"/>
      <c r="F6" s="13">
        <f>E6+D6+C6</f>
        <v>0</v>
      </c>
      <c r="G6" s="42"/>
      <c r="H6" s="43">
        <f>F6-G6</f>
        <v>0</v>
      </c>
    </row>
    <row r="7" spans="1:11" x14ac:dyDescent="0.25">
      <c r="A7" s="39" t="s">
        <v>24</v>
      </c>
      <c r="B7" s="44"/>
      <c r="C7" s="12"/>
      <c r="D7" s="13">
        <f>'JULY 20'!H7:H16</f>
        <v>0</v>
      </c>
      <c r="E7" s="41"/>
      <c r="F7" s="13">
        <f t="shared" ref="F7:F15" si="0">E7+D7+C7</f>
        <v>0</v>
      </c>
      <c r="G7" s="13"/>
      <c r="H7" s="43">
        <f t="shared" ref="H7:H15" si="1">F7-G7</f>
        <v>0</v>
      </c>
    </row>
    <row r="8" spans="1:11" x14ac:dyDescent="0.25">
      <c r="A8" s="39" t="s">
        <v>26</v>
      </c>
      <c r="B8" s="14" t="s">
        <v>45</v>
      </c>
      <c r="C8" s="14"/>
      <c r="D8" s="13">
        <f>'JULY 20'!H8:H17</f>
        <v>0</v>
      </c>
      <c r="E8" s="14">
        <v>1500</v>
      </c>
      <c r="F8" s="13">
        <f t="shared" si="0"/>
        <v>1500</v>
      </c>
      <c r="G8" s="14">
        <v>1500</v>
      </c>
      <c r="H8" s="43">
        <f t="shared" si="1"/>
        <v>0</v>
      </c>
    </row>
    <row r="9" spans="1:11" x14ac:dyDescent="0.25">
      <c r="A9" s="45" t="s">
        <v>27</v>
      </c>
      <c r="B9" s="44" t="s">
        <v>85</v>
      </c>
      <c r="C9" s="14"/>
      <c r="D9" s="13">
        <f>'JULY 20'!H9:H18</f>
        <v>0</v>
      </c>
      <c r="E9" s="46">
        <v>1500</v>
      </c>
      <c r="F9" s="13">
        <f t="shared" si="0"/>
        <v>1500</v>
      </c>
      <c r="G9" s="43">
        <v>1400</v>
      </c>
      <c r="H9" s="43">
        <f t="shared" si="1"/>
        <v>100</v>
      </c>
      <c r="K9" s="60">
        <f>E8+E9+E10+F22+F23+F26+F27+F29+E30+E33</f>
        <v>13500</v>
      </c>
    </row>
    <row r="10" spans="1:11" ht="22.5" x14ac:dyDescent="0.25">
      <c r="A10" s="47" t="s">
        <v>28</v>
      </c>
      <c r="B10" s="44" t="s">
        <v>124</v>
      </c>
      <c r="C10" s="12"/>
      <c r="D10" s="13">
        <f>'JULY 20'!H10:H19</f>
        <v>0</v>
      </c>
      <c r="E10" s="41">
        <v>1500</v>
      </c>
      <c r="F10" s="13">
        <f t="shared" si="0"/>
        <v>1500</v>
      </c>
      <c r="G10" s="42">
        <f>1500</f>
        <v>1500</v>
      </c>
      <c r="H10" s="43">
        <f t="shared" si="1"/>
        <v>0</v>
      </c>
    </row>
    <row r="11" spans="1:11" x14ac:dyDescent="0.25">
      <c r="A11" s="48" t="s">
        <v>29</v>
      </c>
      <c r="B11" s="40"/>
      <c r="C11" s="14"/>
      <c r="D11" s="13">
        <f>'JULY 20'!H11:H20</f>
        <v>0</v>
      </c>
      <c r="E11" s="49"/>
      <c r="F11" s="13">
        <f t="shared" si="0"/>
        <v>0</v>
      </c>
      <c r="G11" s="50"/>
      <c r="H11" s="43">
        <f t="shared" si="1"/>
        <v>0</v>
      </c>
    </row>
    <row r="12" spans="1:11" x14ac:dyDescent="0.25">
      <c r="A12" s="39" t="s">
        <v>30</v>
      </c>
      <c r="B12" s="40"/>
      <c r="C12" s="12"/>
      <c r="D12" s="13">
        <f>'JULY 20'!H12:H21</f>
        <v>0</v>
      </c>
      <c r="E12" s="41"/>
      <c r="F12" s="13">
        <f>E12+D12+C12</f>
        <v>0</v>
      </c>
      <c r="G12" s="42"/>
      <c r="H12" s="43">
        <f t="shared" si="1"/>
        <v>0</v>
      </c>
    </row>
    <row r="13" spans="1:11" x14ac:dyDescent="0.25">
      <c r="A13" s="39" t="s">
        <v>31</v>
      </c>
      <c r="B13" s="40" t="s">
        <v>51</v>
      </c>
      <c r="C13" s="12"/>
      <c r="D13" s="13">
        <f>'JULY 20'!H13:H22</f>
        <v>0</v>
      </c>
      <c r="E13" s="41"/>
      <c r="F13" s="13">
        <f t="shared" si="0"/>
        <v>0</v>
      </c>
      <c r="G13" s="42"/>
      <c r="H13" s="43">
        <f t="shared" si="1"/>
        <v>0</v>
      </c>
    </row>
    <row r="14" spans="1:11" x14ac:dyDescent="0.25">
      <c r="A14" s="39" t="s">
        <v>32</v>
      </c>
      <c r="B14" s="44" t="s">
        <v>46</v>
      </c>
      <c r="C14" s="12"/>
      <c r="D14" s="13">
        <f>'JULY 20'!H14:H23</f>
        <v>0</v>
      </c>
      <c r="E14" s="41"/>
      <c r="F14" s="13">
        <f t="shared" si="0"/>
        <v>0</v>
      </c>
      <c r="G14" s="42"/>
      <c r="H14" s="43">
        <f t="shared" si="1"/>
        <v>0</v>
      </c>
    </row>
    <row r="15" spans="1:11" x14ac:dyDescent="0.25">
      <c r="A15" s="39" t="s">
        <v>33</v>
      </c>
      <c r="B15" s="44" t="s">
        <v>25</v>
      </c>
      <c r="C15" s="12"/>
      <c r="D15" s="13">
        <f>'JULY 20'!H15:H24</f>
        <v>0</v>
      </c>
      <c r="E15" s="15"/>
      <c r="F15" s="13">
        <f t="shared" si="0"/>
        <v>0</v>
      </c>
      <c r="G15" s="42"/>
      <c r="H15" s="43">
        <f t="shared" si="1"/>
        <v>0</v>
      </c>
      <c r="I15">
        <v>756204680</v>
      </c>
    </row>
    <row r="16" spans="1:11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0</v>
      </c>
      <c r="E16" s="53">
        <f t="shared" si="2"/>
        <v>4500</v>
      </c>
      <c r="F16" s="13">
        <f t="shared" si="2"/>
        <v>4500</v>
      </c>
      <c r="G16" s="10">
        <f t="shared" si="2"/>
        <v>4400</v>
      </c>
      <c r="H16" s="54">
        <f t="shared" si="2"/>
        <v>100</v>
      </c>
    </row>
    <row r="17" spans="1:16" x14ac:dyDescent="0.25">
      <c r="C17" s="35"/>
      <c r="D17" s="35" t="s">
        <v>37</v>
      </c>
      <c r="E17" s="35"/>
      <c r="M17" t="s">
        <v>151</v>
      </c>
    </row>
    <row r="18" spans="1:16" x14ac:dyDescent="0.25">
      <c r="A18" s="39">
        <v>1</v>
      </c>
      <c r="B18" s="44" t="s">
        <v>111</v>
      </c>
      <c r="C18" s="12"/>
      <c r="D18" s="13">
        <f>'JULY 20'!H18:H33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I18" t="s">
        <v>128</v>
      </c>
    </row>
    <row r="19" spans="1:16" x14ac:dyDescent="0.25">
      <c r="A19" s="39">
        <v>2</v>
      </c>
      <c r="B19" s="44" t="s">
        <v>152</v>
      </c>
      <c r="C19" s="12"/>
      <c r="D19" s="13"/>
      <c r="E19" s="41">
        <v>1000</v>
      </c>
      <c r="F19" s="13">
        <f>E19+D19+C19</f>
        <v>1000</v>
      </c>
      <c r="G19" s="13">
        <f>1000</f>
        <v>1000</v>
      </c>
      <c r="H19" s="43">
        <f>F19-G19</f>
        <v>0</v>
      </c>
    </row>
    <row r="20" spans="1:16" x14ac:dyDescent="0.25">
      <c r="A20" s="39">
        <v>3</v>
      </c>
      <c r="B20" s="14" t="s">
        <v>39</v>
      </c>
      <c r="C20" s="14"/>
      <c r="D20" s="13">
        <f>'JULY 20'!H20:H35</f>
        <v>0</v>
      </c>
      <c r="E20" s="14">
        <v>2000</v>
      </c>
      <c r="F20" s="13">
        <f t="shared" ref="F20:F32" si="4">E20+D20+C20</f>
        <v>2000</v>
      </c>
      <c r="G20" s="14">
        <v>2000</v>
      </c>
      <c r="H20" s="43">
        <f>F20-G20</f>
        <v>0</v>
      </c>
    </row>
    <row r="21" spans="1:16" ht="22.5" x14ac:dyDescent="0.25">
      <c r="A21" s="39">
        <v>4</v>
      </c>
      <c r="B21" s="44" t="s">
        <v>140</v>
      </c>
      <c r="C21" s="14"/>
      <c r="D21" s="13">
        <f>'JULY 20'!H21:H36</f>
        <v>0</v>
      </c>
      <c r="E21" s="46">
        <v>2000</v>
      </c>
      <c r="F21" s="13">
        <f t="shared" si="4"/>
        <v>2000</v>
      </c>
      <c r="G21" s="43">
        <f>2000</f>
        <v>2000</v>
      </c>
      <c r="H21" s="43">
        <f t="shared" si="3"/>
        <v>0</v>
      </c>
      <c r="J21">
        <f>28000-2000</f>
        <v>26000</v>
      </c>
    </row>
    <row r="22" spans="1:16" ht="22.5" x14ac:dyDescent="0.25">
      <c r="A22" s="39">
        <v>5</v>
      </c>
      <c r="B22" s="40" t="s">
        <v>59</v>
      </c>
      <c r="C22" s="12"/>
      <c r="D22" s="13">
        <f>'JULY 20'!H22:H37</f>
        <v>0</v>
      </c>
      <c r="E22" s="41">
        <v>2000</v>
      </c>
      <c r="F22" s="13">
        <f t="shared" si="4"/>
        <v>2000</v>
      </c>
      <c r="G22" s="42">
        <f>2000</f>
        <v>2000</v>
      </c>
      <c r="H22" s="43">
        <f t="shared" si="3"/>
        <v>0</v>
      </c>
      <c r="J22">
        <f>J21-1000</f>
        <v>25000</v>
      </c>
    </row>
    <row r="23" spans="1:16" x14ac:dyDescent="0.25">
      <c r="A23" s="39">
        <v>6</v>
      </c>
      <c r="B23" s="40"/>
      <c r="C23" s="14"/>
      <c r="D23" s="13">
        <f>'JULY 20'!H23:H38</f>
        <v>0</v>
      </c>
      <c r="E23" s="49"/>
      <c r="F23" s="13">
        <f t="shared" si="4"/>
        <v>0</v>
      </c>
      <c r="G23" s="50"/>
      <c r="H23" s="43">
        <f t="shared" si="3"/>
        <v>0</v>
      </c>
      <c r="J23">
        <f>J22-500</f>
        <v>24500</v>
      </c>
      <c r="K23">
        <v>4500</v>
      </c>
      <c r="L23">
        <f>J23+K23</f>
        <v>29000</v>
      </c>
      <c r="M23">
        <v>2900</v>
      </c>
      <c r="N23">
        <f>L23-M23</f>
        <v>26100</v>
      </c>
    </row>
    <row r="24" spans="1:16" ht="22.5" x14ac:dyDescent="0.25">
      <c r="A24" s="39">
        <v>7</v>
      </c>
      <c r="B24" s="40" t="s">
        <v>127</v>
      </c>
      <c r="C24" s="12"/>
      <c r="D24" s="13">
        <f>'JULY 20'!H24:H39</f>
        <v>0</v>
      </c>
      <c r="E24" s="41">
        <v>2000</v>
      </c>
      <c r="F24" s="13">
        <f t="shared" si="4"/>
        <v>2000</v>
      </c>
      <c r="G24" s="42">
        <v>2000</v>
      </c>
      <c r="H24" s="43">
        <f t="shared" si="3"/>
        <v>0</v>
      </c>
      <c r="M24" t="s">
        <v>146</v>
      </c>
      <c r="N24">
        <v>13500</v>
      </c>
    </row>
    <row r="25" spans="1:16" ht="22.5" x14ac:dyDescent="0.25">
      <c r="A25" s="39">
        <v>8</v>
      </c>
      <c r="B25" s="40" t="s">
        <v>41</v>
      </c>
      <c r="C25" s="12"/>
      <c r="D25" s="13">
        <f>'JULY 20'!H25:H40</f>
        <v>1000</v>
      </c>
      <c r="E25" s="41">
        <v>2000</v>
      </c>
      <c r="F25" s="13">
        <f t="shared" si="4"/>
        <v>3000</v>
      </c>
      <c r="G25" s="42">
        <f>2000</f>
        <v>2000</v>
      </c>
      <c r="H25" s="43">
        <f t="shared" si="3"/>
        <v>1000</v>
      </c>
      <c r="J25">
        <v>13500</v>
      </c>
      <c r="N25">
        <f>N23-N24</f>
        <v>12600</v>
      </c>
      <c r="P25">
        <f>N23-N26</f>
        <v>21100</v>
      </c>
    </row>
    <row r="26" spans="1:16" ht="22.5" x14ac:dyDescent="0.25">
      <c r="A26" s="39">
        <v>9</v>
      </c>
      <c r="B26" s="44" t="s">
        <v>42</v>
      </c>
      <c r="C26" s="12"/>
      <c r="D26" s="13">
        <f>'JULY 20'!H26:H41</f>
        <v>0</v>
      </c>
      <c r="E26" s="41">
        <v>1500</v>
      </c>
      <c r="F26" s="13">
        <f t="shared" si="4"/>
        <v>1500</v>
      </c>
      <c r="G26" s="42">
        <f>1500</f>
        <v>1500</v>
      </c>
      <c r="H26" s="43">
        <f t="shared" si="3"/>
        <v>0</v>
      </c>
      <c r="J26" s="60"/>
      <c r="M26" t="s">
        <v>148</v>
      </c>
      <c r="N26">
        <v>5000</v>
      </c>
    </row>
    <row r="27" spans="1:16" x14ac:dyDescent="0.25">
      <c r="A27" s="39">
        <v>10</v>
      </c>
      <c r="B27" s="44" t="s">
        <v>70</v>
      </c>
      <c r="C27" s="12"/>
      <c r="D27" s="13"/>
      <c r="E27" s="41">
        <v>1500</v>
      </c>
      <c r="F27" s="13">
        <f t="shared" si="4"/>
        <v>1500</v>
      </c>
      <c r="G27" s="42"/>
      <c r="H27" s="43">
        <f t="shared" si="3"/>
        <v>1500</v>
      </c>
      <c r="J27" s="60"/>
      <c r="N27">
        <f>N25-N26</f>
        <v>7600</v>
      </c>
    </row>
    <row r="28" spans="1:16" ht="22.5" x14ac:dyDescent="0.25">
      <c r="A28" s="39">
        <v>11</v>
      </c>
      <c r="B28" s="40" t="s">
        <v>53</v>
      </c>
      <c r="C28" s="12"/>
      <c r="D28" s="13">
        <f>'JULY 20'!H28:H43</f>
        <v>0</v>
      </c>
      <c r="E28" s="41">
        <v>1500</v>
      </c>
      <c r="F28" s="13">
        <f t="shared" si="4"/>
        <v>1500</v>
      </c>
      <c r="G28" s="42">
        <v>1500</v>
      </c>
      <c r="H28" s="43">
        <f>F28-G28</f>
        <v>0</v>
      </c>
      <c r="J28" s="60"/>
      <c r="M28" t="s">
        <v>149</v>
      </c>
      <c r="N28">
        <v>1671</v>
      </c>
    </row>
    <row r="29" spans="1:16" x14ac:dyDescent="0.25">
      <c r="A29" s="39">
        <v>12</v>
      </c>
      <c r="B29" s="44" t="s">
        <v>111</v>
      </c>
      <c r="C29" s="12"/>
      <c r="D29" s="13">
        <f>'JULY 20'!H29:H44</f>
        <v>0</v>
      </c>
      <c r="E29" s="41">
        <v>1500</v>
      </c>
      <c r="F29" s="13">
        <f t="shared" si="4"/>
        <v>1500</v>
      </c>
      <c r="G29" s="42">
        <v>1500</v>
      </c>
      <c r="H29" s="43">
        <f t="shared" si="3"/>
        <v>0</v>
      </c>
      <c r="I29" t="s">
        <v>128</v>
      </c>
      <c r="K29" s="60">
        <f>E16+E34</f>
        <v>29000</v>
      </c>
      <c r="N29">
        <f>N27-N28</f>
        <v>5929</v>
      </c>
    </row>
    <row r="30" spans="1:16" ht="22.5" x14ac:dyDescent="0.25">
      <c r="A30" s="39">
        <v>13</v>
      </c>
      <c r="B30" s="44" t="s">
        <v>60</v>
      </c>
      <c r="C30" s="12"/>
      <c r="D30" s="13">
        <f>'JULY 20'!H30:H45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  <c r="I30" t="s">
        <v>128</v>
      </c>
      <c r="J30" s="60"/>
      <c r="K30" s="60"/>
      <c r="M30" t="s">
        <v>150</v>
      </c>
      <c r="N30">
        <v>3500</v>
      </c>
    </row>
    <row r="31" spans="1:16" x14ac:dyDescent="0.25">
      <c r="A31" s="39">
        <v>14</v>
      </c>
      <c r="B31" s="44" t="s">
        <v>111</v>
      </c>
      <c r="C31" s="12"/>
      <c r="D31" s="13">
        <f>'JULY 20'!H31:H46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N31">
        <f>N29-N30</f>
        <v>2429</v>
      </c>
    </row>
    <row r="32" spans="1:16" ht="22.5" x14ac:dyDescent="0.25">
      <c r="A32" s="39">
        <v>15</v>
      </c>
      <c r="B32" s="44" t="s">
        <v>136</v>
      </c>
      <c r="C32" s="12"/>
      <c r="D32" s="13">
        <f>'JULY 20'!H32:H47</f>
        <v>0</v>
      </c>
      <c r="E32" s="41">
        <v>1500</v>
      </c>
      <c r="F32" s="13">
        <f t="shared" si="4"/>
        <v>1500</v>
      </c>
      <c r="G32" s="42">
        <f>1200+300</f>
        <v>1500</v>
      </c>
      <c r="H32" s="43">
        <f>F32-G32</f>
        <v>0</v>
      </c>
      <c r="M32" t="s">
        <v>171</v>
      </c>
      <c r="N32">
        <v>1500</v>
      </c>
    </row>
    <row r="33" spans="1:14" ht="22.5" x14ac:dyDescent="0.25">
      <c r="A33" s="39">
        <v>16</v>
      </c>
      <c r="B33" s="44" t="s">
        <v>44</v>
      </c>
      <c r="C33" s="12"/>
      <c r="D33" s="13">
        <f>'JULY 20'!H33:H48</f>
        <v>1200</v>
      </c>
      <c r="E33" s="41">
        <v>1000</v>
      </c>
      <c r="F33" s="13">
        <f>E33+D33+C33</f>
        <v>2200</v>
      </c>
      <c r="G33" s="42">
        <f>1000+1000</f>
        <v>2000</v>
      </c>
      <c r="H33" s="43">
        <f t="shared" si="3"/>
        <v>200</v>
      </c>
      <c r="N33">
        <f>N31-N32</f>
        <v>929</v>
      </c>
    </row>
    <row r="34" spans="1:14" x14ac:dyDescent="0.25">
      <c r="A34" s="39"/>
      <c r="B34" s="51" t="s">
        <v>7</v>
      </c>
      <c r="C34" s="52">
        <f>SUM(C18:C33)</f>
        <v>0</v>
      </c>
      <c r="D34" s="13">
        <f>SUM(D18:D33)</f>
        <v>2300</v>
      </c>
      <c r="E34" s="53">
        <f>SUM(E18:E33)</f>
        <v>24500</v>
      </c>
      <c r="F34" s="13">
        <f>C34+D34+E34</f>
        <v>26800</v>
      </c>
      <c r="G34" s="10">
        <f>SUM(G18:G33)</f>
        <v>24000</v>
      </c>
      <c r="H34" s="43">
        <f>F34-G34</f>
        <v>2800</v>
      </c>
      <c r="M34">
        <f>1500+1500</f>
        <v>3000</v>
      </c>
    </row>
    <row r="35" spans="1:14" x14ac:dyDescent="0.25">
      <c r="A35" s="56" t="s">
        <v>34</v>
      </c>
      <c r="B35" s="17"/>
      <c r="C35" s="18"/>
      <c r="D35" s="17"/>
      <c r="E35" s="19"/>
      <c r="F35" s="17"/>
      <c r="G35" s="1"/>
      <c r="H35" s="6"/>
      <c r="J35" s="60"/>
      <c r="M35">
        <f>M34-N31</f>
        <v>571</v>
      </c>
    </row>
    <row r="36" spans="1:14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  <c r="J36" s="60"/>
    </row>
    <row r="37" spans="1:14" x14ac:dyDescent="0.25">
      <c r="A37" s="22" t="s">
        <v>137</v>
      </c>
      <c r="B37" s="8">
        <f>E34+E16</f>
        <v>29000</v>
      </c>
      <c r="C37" s="23"/>
      <c r="D37" s="23"/>
      <c r="E37" s="22" t="s">
        <v>137</v>
      </c>
      <c r="F37" s="8">
        <f>G34+G16</f>
        <v>28400</v>
      </c>
      <c r="G37" s="23"/>
      <c r="H37" s="8"/>
      <c r="J37" s="60"/>
    </row>
    <row r="38" spans="1:14" x14ac:dyDescent="0.25">
      <c r="A38" s="22" t="s">
        <v>12</v>
      </c>
      <c r="B38" s="24">
        <v>0.1</v>
      </c>
      <c r="C38" s="25">
        <f>B37*B38</f>
        <v>2900</v>
      </c>
      <c r="D38" s="22"/>
      <c r="E38" s="22" t="s">
        <v>12</v>
      </c>
      <c r="F38" s="24">
        <v>0.1</v>
      </c>
      <c r="G38" s="25">
        <f>C38</f>
        <v>2900</v>
      </c>
      <c r="H38" s="8"/>
      <c r="J38" s="60"/>
    </row>
    <row r="39" spans="1:14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  <c r="J39" s="60">
        <f>1500+1500</f>
        <v>3000</v>
      </c>
    </row>
    <row r="40" spans="1:14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  <c r="J40" s="60">
        <f>J39-N31</f>
        <v>571</v>
      </c>
    </row>
    <row r="41" spans="1:14" x14ac:dyDescent="0.25">
      <c r="A41" s="26" t="s">
        <v>2</v>
      </c>
      <c r="B41" s="25">
        <v>-1671</v>
      </c>
      <c r="C41" s="22"/>
      <c r="D41" s="22"/>
      <c r="E41" s="26" t="s">
        <v>2</v>
      </c>
      <c r="F41" s="25">
        <f>'JULY 20'!H55</f>
        <v>-2170.9000000000015</v>
      </c>
      <c r="G41" s="22"/>
      <c r="H41" s="8"/>
    </row>
    <row r="42" spans="1:14" x14ac:dyDescent="0.25">
      <c r="A42" s="26" t="s">
        <v>7</v>
      </c>
      <c r="B42" s="25">
        <f>B37+B41+B40</f>
        <v>27329</v>
      </c>
      <c r="C42" s="22"/>
      <c r="D42" s="22"/>
      <c r="E42" s="26" t="s">
        <v>7</v>
      </c>
      <c r="F42" s="25">
        <f>F37+F41+F39</f>
        <v>26229.399999999998</v>
      </c>
      <c r="G42" s="22"/>
      <c r="H42" s="8"/>
      <c r="J42" s="60"/>
    </row>
    <row r="43" spans="1:14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  <c r="J43" s="60"/>
    </row>
    <row r="44" spans="1:14" x14ac:dyDescent="0.25">
      <c r="A44" s="27"/>
      <c r="B44" s="59"/>
      <c r="C44" s="29"/>
      <c r="D44" s="28"/>
      <c r="E44" s="27"/>
      <c r="F44" s="59"/>
      <c r="G44" s="29"/>
      <c r="H44" s="30"/>
      <c r="J44" s="60"/>
    </row>
    <row r="45" spans="1:14" x14ac:dyDescent="0.25">
      <c r="A45" s="27" t="s">
        <v>147</v>
      </c>
      <c r="B45" s="59"/>
      <c r="C45" s="29">
        <v>13500</v>
      </c>
      <c r="D45" s="28"/>
      <c r="E45" s="27" t="s">
        <v>147</v>
      </c>
      <c r="F45" s="59"/>
      <c r="G45" s="29">
        <v>13500</v>
      </c>
      <c r="H45" s="30"/>
    </row>
    <row r="46" spans="1:14" x14ac:dyDescent="0.25">
      <c r="A46" s="27" t="s">
        <v>131</v>
      </c>
      <c r="B46" s="59"/>
      <c r="C46" s="29">
        <v>5000</v>
      </c>
      <c r="D46" s="28"/>
      <c r="E46" s="27" t="s">
        <v>131</v>
      </c>
      <c r="F46" s="59"/>
      <c r="G46" s="29">
        <v>5000</v>
      </c>
      <c r="H46" s="30"/>
    </row>
    <row r="47" spans="1:14" x14ac:dyDescent="0.25">
      <c r="A47" s="27" t="s">
        <v>154</v>
      </c>
      <c r="B47" s="59"/>
      <c r="C47" s="29">
        <f>E18+E29</f>
        <v>3500</v>
      </c>
      <c r="D47" s="28"/>
      <c r="E47" s="27" t="s">
        <v>154</v>
      </c>
      <c r="F47" s="59"/>
      <c r="G47" s="29">
        <f>E18+E29</f>
        <v>3500</v>
      </c>
      <c r="H47" s="30"/>
    </row>
    <row r="48" spans="1:14" x14ac:dyDescent="0.25">
      <c r="A48" s="27"/>
      <c r="B48" s="59"/>
      <c r="C48" s="29"/>
      <c r="D48" s="28"/>
      <c r="E48" s="27"/>
      <c r="F48" s="59"/>
      <c r="G48" s="29"/>
      <c r="H48" s="30"/>
      <c r="I48" s="60"/>
    </row>
    <row r="49" spans="1:10" x14ac:dyDescent="0.25">
      <c r="A49" s="27" t="s">
        <v>157</v>
      </c>
      <c r="B49" s="59"/>
      <c r="C49" s="29">
        <f>1500</f>
        <v>1500</v>
      </c>
      <c r="D49" s="28"/>
      <c r="E49" s="27" t="s">
        <v>157</v>
      </c>
      <c r="F49" s="59"/>
      <c r="G49" s="29">
        <v>1500</v>
      </c>
      <c r="H49" s="30"/>
    </row>
    <row r="50" spans="1:10" x14ac:dyDescent="0.25">
      <c r="A50" s="27"/>
      <c r="B50" s="59"/>
      <c r="C50" s="29"/>
      <c r="D50" s="28"/>
      <c r="E50" s="27"/>
      <c r="F50" s="59"/>
      <c r="G50" s="29"/>
      <c r="H50" s="30"/>
    </row>
    <row r="51" spans="1:10" x14ac:dyDescent="0.25">
      <c r="A51" s="27"/>
      <c r="B51" s="59"/>
      <c r="C51" s="29"/>
      <c r="D51" s="28"/>
      <c r="E51" s="27"/>
      <c r="F51" s="59"/>
      <c r="G51" s="29"/>
      <c r="H51" s="30"/>
    </row>
    <row r="52" spans="1:10" x14ac:dyDescent="0.25">
      <c r="A52" s="11" t="s">
        <v>7</v>
      </c>
      <c r="B52" s="34">
        <f>B37+B39+B40+B41-C38-C39</f>
        <v>24429.3</v>
      </c>
      <c r="C52" s="7">
        <f>SUM(C44:C51)</f>
        <v>23500</v>
      </c>
      <c r="D52" s="7">
        <f>B52-C52</f>
        <v>929.29999999999927</v>
      </c>
      <c r="E52" s="11" t="s">
        <v>7</v>
      </c>
      <c r="F52" s="34">
        <f>F37+F39+F41-G38</f>
        <v>23329.399999999998</v>
      </c>
      <c r="G52" s="7">
        <f>SUM(G44:G51)</f>
        <v>23500</v>
      </c>
      <c r="H52" s="7">
        <f>F52-G52</f>
        <v>-170.60000000000218</v>
      </c>
      <c r="I52" s="60"/>
      <c r="J52" s="60"/>
    </row>
    <row r="53" spans="1:10" x14ac:dyDescent="0.25">
      <c r="A53" s="1" t="s">
        <v>16</v>
      </c>
      <c r="B53" s="16"/>
      <c r="D53" s="1" t="s">
        <v>17</v>
      </c>
      <c r="G53" s="1" t="s">
        <v>18</v>
      </c>
      <c r="H53" s="6"/>
    </row>
    <row r="54" spans="1:10" x14ac:dyDescent="0.25">
      <c r="A54" s="1" t="s">
        <v>35</v>
      </c>
      <c r="B54" s="1"/>
      <c r="D54" s="1" t="s">
        <v>36</v>
      </c>
      <c r="G54" s="1" t="s">
        <v>63</v>
      </c>
      <c r="I54" s="60"/>
    </row>
    <row r="55" spans="1:10" x14ac:dyDescent="0.25">
      <c r="I55" s="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J28" sqref="J28"/>
    </sheetView>
  </sheetViews>
  <sheetFormatPr defaultRowHeight="15" x14ac:dyDescent="0.25"/>
  <cols>
    <col min="9" max="9" width="10" bestFit="1" customWidth="1"/>
  </cols>
  <sheetData>
    <row r="1" spans="1:16" ht="15.75" x14ac:dyDescent="0.25">
      <c r="B1" s="1"/>
      <c r="C1" s="2" t="s">
        <v>55</v>
      </c>
      <c r="D1" s="1"/>
      <c r="E1" s="1"/>
      <c r="F1" s="1"/>
    </row>
    <row r="2" spans="1:16" ht="15.75" x14ac:dyDescent="0.25">
      <c r="C2" s="3"/>
      <c r="D2" s="3" t="s">
        <v>0</v>
      </c>
      <c r="E2" s="1"/>
      <c r="F2" s="1"/>
    </row>
    <row r="3" spans="1:16" ht="21" x14ac:dyDescent="0.25">
      <c r="C3" s="4" t="s">
        <v>155</v>
      </c>
      <c r="D3" s="3"/>
      <c r="E3" s="5"/>
      <c r="F3" s="5"/>
    </row>
    <row r="4" spans="1:16" x14ac:dyDescent="0.25">
      <c r="D4" s="35" t="s">
        <v>48</v>
      </c>
    </row>
    <row r="5" spans="1:16" x14ac:dyDescent="0.25">
      <c r="A5" s="36" t="s">
        <v>19</v>
      </c>
      <c r="B5" s="36" t="s">
        <v>1</v>
      </c>
      <c r="C5" s="36" t="s">
        <v>20</v>
      </c>
      <c r="D5" s="36" t="s">
        <v>21</v>
      </c>
      <c r="E5" s="36" t="s">
        <v>3</v>
      </c>
      <c r="F5" s="37" t="s">
        <v>4</v>
      </c>
      <c r="G5" s="36" t="s">
        <v>5</v>
      </c>
      <c r="H5" s="38" t="s">
        <v>22</v>
      </c>
    </row>
    <row r="6" spans="1:16" ht="22.5" x14ac:dyDescent="0.25">
      <c r="A6" s="39" t="s">
        <v>23</v>
      </c>
      <c r="B6" s="40" t="s">
        <v>45</v>
      </c>
      <c r="C6" s="12"/>
      <c r="D6" s="13"/>
      <c r="E6" s="41">
        <v>1500</v>
      </c>
      <c r="F6" s="13">
        <f>E6+D6+C6</f>
        <v>1500</v>
      </c>
      <c r="G6" s="42">
        <v>1500</v>
      </c>
      <c r="H6" s="43">
        <f>F6-G6</f>
        <v>0</v>
      </c>
      <c r="I6" t="s">
        <v>126</v>
      </c>
    </row>
    <row r="7" spans="1:16" ht="22.5" x14ac:dyDescent="0.25">
      <c r="A7" s="39" t="s">
        <v>24</v>
      </c>
      <c r="B7" s="44" t="s">
        <v>162</v>
      </c>
      <c r="C7" s="12"/>
      <c r="D7" s="13">
        <v>100</v>
      </c>
      <c r="E7" s="41">
        <v>1500</v>
      </c>
      <c r="F7" s="13">
        <f t="shared" ref="F7:F15" si="0">E7+D7+C7</f>
        <v>1600</v>
      </c>
      <c r="G7" s="13">
        <f>1000+600</f>
        <v>1600</v>
      </c>
      <c r="H7" s="43">
        <f t="shared" ref="H7:H15" si="1">F7-G7</f>
        <v>0</v>
      </c>
      <c r="P7">
        <f>1500+500+500+800+1000+200</f>
        <v>4500</v>
      </c>
    </row>
    <row r="8" spans="1:16" x14ac:dyDescent="0.25">
      <c r="A8" s="39" t="s">
        <v>26</v>
      </c>
      <c r="B8" s="14" t="s">
        <v>161</v>
      </c>
      <c r="C8" s="14"/>
      <c r="D8" s="13">
        <f>'AUGUST 20'!H8:H17</f>
        <v>0</v>
      </c>
      <c r="E8" s="14">
        <v>1500</v>
      </c>
      <c r="F8" s="13">
        <f t="shared" si="0"/>
        <v>1500</v>
      </c>
      <c r="G8" s="14">
        <f>1000+500</f>
        <v>1500</v>
      </c>
      <c r="H8" s="43">
        <f t="shared" si="1"/>
        <v>0</v>
      </c>
      <c r="I8" t="s">
        <v>128</v>
      </c>
    </row>
    <row r="9" spans="1:16" x14ac:dyDescent="0.25">
      <c r="A9" s="45" t="s">
        <v>27</v>
      </c>
      <c r="B9" s="44" t="s">
        <v>78</v>
      </c>
      <c r="C9" s="14"/>
      <c r="D9" s="13"/>
      <c r="E9" s="46">
        <v>1500</v>
      </c>
      <c r="F9" s="13">
        <f t="shared" si="0"/>
        <v>1500</v>
      </c>
      <c r="G9" s="43"/>
      <c r="H9" s="43">
        <f t="shared" si="1"/>
        <v>1500</v>
      </c>
    </row>
    <row r="10" spans="1:16" ht="22.5" x14ac:dyDescent="0.25">
      <c r="A10" s="47" t="s">
        <v>28</v>
      </c>
      <c r="B10" s="44" t="s">
        <v>170</v>
      </c>
      <c r="C10" s="12"/>
      <c r="D10" s="13">
        <f>'AUGUST 20'!H10:H19</f>
        <v>0</v>
      </c>
      <c r="E10" s="41">
        <v>1500</v>
      </c>
      <c r="F10" s="13">
        <f t="shared" si="0"/>
        <v>1500</v>
      </c>
      <c r="G10" s="42">
        <v>1000</v>
      </c>
      <c r="H10" s="43">
        <f t="shared" si="1"/>
        <v>500</v>
      </c>
      <c r="I10">
        <v>794407501</v>
      </c>
      <c r="L10">
        <f>500+2000+1000</f>
        <v>3500</v>
      </c>
    </row>
    <row r="11" spans="1:16" ht="22.5" x14ac:dyDescent="0.25">
      <c r="A11" s="48" t="s">
        <v>29</v>
      </c>
      <c r="B11" s="40" t="s">
        <v>124</v>
      </c>
      <c r="C11" s="14"/>
      <c r="D11" s="13">
        <f>'AUGUST 20'!H11:H20</f>
        <v>0</v>
      </c>
      <c r="E11" s="49">
        <v>1500</v>
      </c>
      <c r="F11" s="13">
        <f t="shared" si="0"/>
        <v>1500</v>
      </c>
      <c r="G11" s="50">
        <v>1000</v>
      </c>
      <c r="H11" s="43">
        <f t="shared" si="1"/>
        <v>500</v>
      </c>
    </row>
    <row r="12" spans="1:16" ht="22.5" x14ac:dyDescent="0.25">
      <c r="A12" s="39" t="s">
        <v>30</v>
      </c>
      <c r="B12" s="40" t="s">
        <v>158</v>
      </c>
      <c r="C12" s="12"/>
      <c r="D12" s="13">
        <f>'AUGUST 20'!H12:H21</f>
        <v>0</v>
      </c>
      <c r="E12" s="41">
        <v>1500</v>
      </c>
      <c r="F12" s="13">
        <f>E12+D12+C12</f>
        <v>1500</v>
      </c>
      <c r="G12" s="42">
        <v>1500</v>
      </c>
      <c r="H12" s="43">
        <f t="shared" si="1"/>
        <v>0</v>
      </c>
      <c r="I12" t="s">
        <v>126</v>
      </c>
    </row>
    <row r="13" spans="1:16" ht="22.5" x14ac:dyDescent="0.25">
      <c r="A13" s="39" t="s">
        <v>31</v>
      </c>
      <c r="B13" s="40" t="s">
        <v>160</v>
      </c>
      <c r="C13" s="12"/>
      <c r="D13" s="13">
        <f>'AUGUST 20'!H13:H22</f>
        <v>0</v>
      </c>
      <c r="E13" s="41">
        <v>1500</v>
      </c>
      <c r="F13" s="13">
        <f t="shared" si="0"/>
        <v>1500</v>
      </c>
      <c r="G13" s="42">
        <v>700</v>
      </c>
      <c r="H13" s="43">
        <f t="shared" si="1"/>
        <v>800</v>
      </c>
      <c r="I13" t="s">
        <v>128</v>
      </c>
      <c r="L13">
        <v>13500</v>
      </c>
      <c r="M13">
        <v>26000</v>
      </c>
      <c r="N13">
        <f>L13+M13</f>
        <v>39500</v>
      </c>
      <c r="P13" s="60">
        <f>G16+G34</f>
        <v>35100</v>
      </c>
    </row>
    <row r="14" spans="1:16" ht="22.5" x14ac:dyDescent="0.25">
      <c r="A14" s="39" t="s">
        <v>32</v>
      </c>
      <c r="B14" s="44" t="s">
        <v>173</v>
      </c>
      <c r="C14" s="12"/>
      <c r="D14" s="13">
        <f>'AUGUST 20'!H14:H23</f>
        <v>0</v>
      </c>
      <c r="E14" s="41">
        <v>1500</v>
      </c>
      <c r="F14" s="13">
        <f t="shared" si="0"/>
        <v>1500</v>
      </c>
      <c r="G14" s="42">
        <v>1500</v>
      </c>
      <c r="H14" s="43">
        <f t="shared" si="1"/>
        <v>0</v>
      </c>
      <c r="I14" t="s">
        <v>128</v>
      </c>
      <c r="M14" t="s">
        <v>177</v>
      </c>
      <c r="N14" s="60">
        <f>G38</f>
        <v>3950</v>
      </c>
      <c r="P14">
        <v>9000</v>
      </c>
    </row>
    <row r="15" spans="1:16" x14ac:dyDescent="0.25">
      <c r="A15" s="39" t="s">
        <v>33</v>
      </c>
      <c r="B15" s="44" t="s">
        <v>25</v>
      </c>
      <c r="C15" s="12"/>
      <c r="D15" s="13">
        <f>'AUGUST 20'!H15:H24</f>
        <v>0</v>
      </c>
      <c r="E15" s="15"/>
      <c r="F15" s="13">
        <f t="shared" si="0"/>
        <v>0</v>
      </c>
      <c r="G15" s="42"/>
      <c r="H15" s="43">
        <f t="shared" si="1"/>
        <v>0</v>
      </c>
      <c r="I15">
        <v>756204680</v>
      </c>
      <c r="N15" s="60">
        <f>N13-N14</f>
        <v>35550</v>
      </c>
      <c r="P15" s="60">
        <f>P13-P14</f>
        <v>26100</v>
      </c>
    </row>
    <row r="16" spans="1:16" x14ac:dyDescent="0.25">
      <c r="A16" s="39"/>
      <c r="B16" s="51" t="s">
        <v>7</v>
      </c>
      <c r="C16" s="52">
        <f t="shared" ref="C16:H16" si="2">SUM(C6:C15)</f>
        <v>0</v>
      </c>
      <c r="D16" s="13">
        <f>SUM(D6:D15)</f>
        <v>100</v>
      </c>
      <c r="E16" s="53">
        <f t="shared" si="2"/>
        <v>13500</v>
      </c>
      <c r="F16" s="13">
        <f t="shared" si="2"/>
        <v>13600</v>
      </c>
      <c r="G16" s="10">
        <f>SUM(G6:G15)</f>
        <v>10300</v>
      </c>
      <c r="H16" s="54">
        <f t="shared" si="2"/>
        <v>3300</v>
      </c>
      <c r="O16" t="s">
        <v>177</v>
      </c>
    </row>
    <row r="17" spans="1:17" x14ac:dyDescent="0.25">
      <c r="C17" s="35"/>
      <c r="D17" s="35" t="s">
        <v>37</v>
      </c>
      <c r="E17" s="35"/>
      <c r="L17" t="s">
        <v>178</v>
      </c>
      <c r="M17" t="s">
        <v>179</v>
      </c>
      <c r="N17">
        <v>1500</v>
      </c>
    </row>
    <row r="18" spans="1:17" ht="22.5" x14ac:dyDescent="0.25">
      <c r="A18" s="39">
        <v>1</v>
      </c>
      <c r="B18" s="44" t="s">
        <v>164</v>
      </c>
      <c r="C18" s="12"/>
      <c r="D18" s="13">
        <f>'AUGUST 20'!H18:H33</f>
        <v>0</v>
      </c>
      <c r="E18" s="41">
        <v>2000</v>
      </c>
      <c r="F18" s="13">
        <f>C18+D18+E18</f>
        <v>2000</v>
      </c>
      <c r="G18" s="13">
        <v>2000</v>
      </c>
      <c r="H18" s="43">
        <f t="shared" ref="H18:H33" si="3">F18-G18</f>
        <v>0</v>
      </c>
      <c r="M18" t="s">
        <v>180</v>
      </c>
      <c r="N18">
        <v>1500</v>
      </c>
      <c r="Q18" s="60">
        <f>P15-4000</f>
        <v>22100</v>
      </c>
    </row>
    <row r="19" spans="1:17" x14ac:dyDescent="0.25">
      <c r="A19" s="39">
        <v>2</v>
      </c>
      <c r="B19" s="44" t="s">
        <v>152</v>
      </c>
      <c r="C19" s="12"/>
      <c r="D19" s="13">
        <f>'AUGUST 20'!H19:H34</f>
        <v>0</v>
      </c>
      <c r="E19" s="41">
        <v>2000</v>
      </c>
      <c r="F19" s="13">
        <f>E19+D19+C19</f>
        <v>2000</v>
      </c>
      <c r="G19" s="13">
        <v>2000</v>
      </c>
      <c r="H19" s="43">
        <f>F19-G19</f>
        <v>0</v>
      </c>
      <c r="M19" t="s">
        <v>181</v>
      </c>
      <c r="N19">
        <v>1500</v>
      </c>
      <c r="Q19" s="60">
        <f>Q18+7000</f>
        <v>29100</v>
      </c>
    </row>
    <row r="20" spans="1:17" x14ac:dyDescent="0.25">
      <c r="A20" s="39">
        <v>3</v>
      </c>
      <c r="B20" s="14" t="s">
        <v>39</v>
      </c>
      <c r="C20" s="14"/>
      <c r="D20" s="13">
        <f>'AUGUST 20'!H20:H35</f>
        <v>0</v>
      </c>
      <c r="E20" s="14">
        <v>2000</v>
      </c>
      <c r="F20" s="13">
        <f t="shared" ref="F20:F32" si="4">E20+D20+C20</f>
        <v>2000</v>
      </c>
      <c r="G20" s="14">
        <f>2000</f>
        <v>2000</v>
      </c>
      <c r="H20" s="43">
        <f>F20-G20</f>
        <v>0</v>
      </c>
      <c r="M20" t="s">
        <v>182</v>
      </c>
      <c r="N20">
        <v>2000</v>
      </c>
    </row>
    <row r="21" spans="1:17" ht="22.5" x14ac:dyDescent="0.25">
      <c r="A21" s="39">
        <v>4</v>
      </c>
      <c r="B21" s="44" t="s">
        <v>140</v>
      </c>
      <c r="C21" s="14"/>
      <c r="D21" s="13">
        <f>'AUGUST 20'!H21:H36</f>
        <v>0</v>
      </c>
      <c r="E21" s="46">
        <v>2000</v>
      </c>
      <c r="F21" s="13">
        <f t="shared" si="4"/>
        <v>2000</v>
      </c>
      <c r="G21" s="43">
        <v>2000</v>
      </c>
      <c r="H21" s="43">
        <f t="shared" si="3"/>
        <v>0</v>
      </c>
      <c r="M21" t="s">
        <v>183</v>
      </c>
      <c r="N21">
        <v>1500</v>
      </c>
    </row>
    <row r="22" spans="1:17" ht="22.5" x14ac:dyDescent="0.25">
      <c r="A22" s="39">
        <v>5</v>
      </c>
      <c r="B22" s="40" t="s">
        <v>59</v>
      </c>
      <c r="C22" s="12"/>
      <c r="D22" s="13">
        <f>'AUGUST 20'!H22:H37</f>
        <v>0</v>
      </c>
      <c r="E22" s="41">
        <v>2000</v>
      </c>
      <c r="F22" s="13">
        <f t="shared" si="4"/>
        <v>2000</v>
      </c>
      <c r="G22" s="42">
        <v>2000</v>
      </c>
      <c r="H22" s="43">
        <f t="shared" si="3"/>
        <v>0</v>
      </c>
      <c r="I22" t="s">
        <v>128</v>
      </c>
      <c r="M22" t="s">
        <v>184</v>
      </c>
      <c r="N22">
        <v>1000</v>
      </c>
      <c r="O22">
        <f>N17+N18+N19+N20+N21+N22</f>
        <v>9000</v>
      </c>
    </row>
    <row r="23" spans="1:17" ht="22.5" x14ac:dyDescent="0.25">
      <c r="A23" s="39">
        <v>6</v>
      </c>
      <c r="B23" s="40" t="s">
        <v>44</v>
      </c>
      <c r="C23" s="14"/>
      <c r="D23" s="13">
        <v>200</v>
      </c>
      <c r="E23" s="49">
        <v>2000</v>
      </c>
      <c r="F23" s="13">
        <f t="shared" si="4"/>
        <v>2200</v>
      </c>
      <c r="G23" s="50">
        <f>1000</f>
        <v>1000</v>
      </c>
      <c r="H23" s="43">
        <f t="shared" si="3"/>
        <v>1200</v>
      </c>
      <c r="N23" s="60">
        <f>N15-N17-N18-N19-N20-N21-N22</f>
        <v>26550</v>
      </c>
    </row>
    <row r="24" spans="1:17" x14ac:dyDescent="0.25">
      <c r="A24" s="39">
        <v>7</v>
      </c>
      <c r="B24" s="40" t="s">
        <v>46</v>
      </c>
      <c r="C24" s="12"/>
      <c r="D24" s="13">
        <f>'AUGUST 20'!H24:H39</f>
        <v>0</v>
      </c>
      <c r="E24" s="41"/>
      <c r="F24" s="13">
        <f t="shared" si="4"/>
        <v>0</v>
      </c>
      <c r="G24" s="42"/>
      <c r="H24" s="43">
        <f t="shared" si="3"/>
        <v>0</v>
      </c>
      <c r="Q24">
        <f>35550-9000</f>
        <v>26550</v>
      </c>
    </row>
    <row r="25" spans="1:17" ht="22.5" x14ac:dyDescent="0.25">
      <c r="A25" s="39">
        <v>8</v>
      </c>
      <c r="B25" s="40" t="s">
        <v>41</v>
      </c>
      <c r="C25" s="12"/>
      <c r="D25" s="13">
        <f>'AUGUST 20'!H25:H40</f>
        <v>1000</v>
      </c>
      <c r="E25" s="41">
        <v>2000</v>
      </c>
      <c r="F25" s="13">
        <f t="shared" si="4"/>
        <v>3000</v>
      </c>
      <c r="G25" s="42">
        <v>2000</v>
      </c>
      <c r="H25" s="43">
        <f t="shared" si="3"/>
        <v>1000</v>
      </c>
      <c r="I25" t="s">
        <v>128</v>
      </c>
      <c r="M25" t="s">
        <v>185</v>
      </c>
      <c r="N25" s="61">
        <f>C44</f>
        <v>2541</v>
      </c>
      <c r="Q25">
        <f>Q24-2541</f>
        <v>24009</v>
      </c>
    </row>
    <row r="26" spans="1:17" ht="22.5" x14ac:dyDescent="0.25">
      <c r="A26" s="39">
        <v>9</v>
      </c>
      <c r="B26" s="44" t="s">
        <v>42</v>
      </c>
      <c r="C26" s="12"/>
      <c r="D26" s="13">
        <f>'AUGUST 20'!H26:H41</f>
        <v>0</v>
      </c>
      <c r="E26" s="41">
        <v>1500</v>
      </c>
      <c r="F26" s="13">
        <f t="shared" si="4"/>
        <v>1500</v>
      </c>
      <c r="G26" s="42">
        <v>1500</v>
      </c>
      <c r="H26" s="43">
        <f t="shared" si="3"/>
        <v>0</v>
      </c>
      <c r="N26" s="60">
        <f>N23-N25</f>
        <v>24009</v>
      </c>
    </row>
    <row r="27" spans="1:17" x14ac:dyDescent="0.25">
      <c r="A27" s="39">
        <v>10</v>
      </c>
      <c r="B27" s="44" t="s">
        <v>70</v>
      </c>
      <c r="C27" s="12"/>
      <c r="D27" s="13">
        <f>'AUGUST 20'!H27:H42</f>
        <v>1500</v>
      </c>
      <c r="E27" s="41">
        <v>1500</v>
      </c>
      <c r="F27" s="13">
        <f t="shared" si="4"/>
        <v>3000</v>
      </c>
      <c r="G27" s="42">
        <v>1500</v>
      </c>
      <c r="H27" s="43">
        <f t="shared" si="3"/>
        <v>1500</v>
      </c>
      <c r="I27" t="s">
        <v>128</v>
      </c>
    </row>
    <row r="28" spans="1:17" ht="22.5" x14ac:dyDescent="0.25">
      <c r="A28" s="39">
        <v>11</v>
      </c>
      <c r="B28" s="40" t="s">
        <v>53</v>
      </c>
      <c r="C28" s="12"/>
      <c r="D28" s="13">
        <f>'AUGUST 20'!H28:H43</f>
        <v>0</v>
      </c>
      <c r="E28" s="41">
        <v>1500</v>
      </c>
      <c r="F28" s="13">
        <f t="shared" si="4"/>
        <v>1500</v>
      </c>
      <c r="G28" s="42">
        <f>1500</f>
        <v>1500</v>
      </c>
      <c r="H28" s="43">
        <f>F28-G28</f>
        <v>0</v>
      </c>
    </row>
    <row r="29" spans="1:17" ht="22.5" x14ac:dyDescent="0.25">
      <c r="A29" s="39">
        <v>12</v>
      </c>
      <c r="B29" s="44" t="s">
        <v>167</v>
      </c>
      <c r="C29" s="12"/>
      <c r="D29" s="13">
        <f>'AUGUST 20'!H29:H44</f>
        <v>0</v>
      </c>
      <c r="E29" s="41">
        <v>1500</v>
      </c>
      <c r="F29" s="13">
        <f t="shared" si="4"/>
        <v>1500</v>
      </c>
      <c r="G29" s="42">
        <v>1500</v>
      </c>
      <c r="H29" s="43">
        <f>F29-G29</f>
        <v>0</v>
      </c>
    </row>
    <row r="30" spans="1:17" ht="22.5" x14ac:dyDescent="0.25">
      <c r="A30" s="39">
        <v>13</v>
      </c>
      <c r="B30" s="44" t="s">
        <v>60</v>
      </c>
      <c r="C30" s="12"/>
      <c r="D30" s="13">
        <f>'AUGUST 20'!H30:H45</f>
        <v>100</v>
      </c>
      <c r="E30" s="41">
        <v>1500</v>
      </c>
      <c r="F30" s="13">
        <f t="shared" si="4"/>
        <v>1600</v>
      </c>
      <c r="G30" s="42">
        <v>1500</v>
      </c>
      <c r="H30" s="43">
        <f>F30-G30</f>
        <v>100</v>
      </c>
    </row>
    <row r="31" spans="1:17" ht="27" customHeight="1" x14ac:dyDescent="0.25">
      <c r="A31" s="39">
        <v>14</v>
      </c>
      <c r="B31" s="44" t="s">
        <v>165</v>
      </c>
      <c r="C31" s="12"/>
      <c r="D31" s="13">
        <f>'AUGUST 20'!H31:H46</f>
        <v>0</v>
      </c>
      <c r="E31" s="41">
        <v>1500</v>
      </c>
      <c r="F31" s="13">
        <f>E31+D31+C31</f>
        <v>1500</v>
      </c>
      <c r="G31" s="42">
        <v>1500</v>
      </c>
      <c r="H31" s="43">
        <f t="shared" si="3"/>
        <v>0</v>
      </c>
      <c r="J31" s="60">
        <f>H27+1000+H32+H9+H10+H11+H13</f>
        <v>6000</v>
      </c>
    </row>
    <row r="32" spans="1:17" ht="22.5" x14ac:dyDescent="0.25">
      <c r="A32" s="39">
        <v>15</v>
      </c>
      <c r="B32" s="44" t="s">
        <v>136</v>
      </c>
      <c r="C32" s="12"/>
      <c r="D32" s="13">
        <f>'AUGUST 20'!H32:H47</f>
        <v>0</v>
      </c>
      <c r="E32" s="41">
        <v>1500</v>
      </c>
      <c r="F32" s="13">
        <f t="shared" si="4"/>
        <v>1500</v>
      </c>
      <c r="G32" s="42">
        <f>1300</f>
        <v>1300</v>
      </c>
      <c r="H32" s="43">
        <f>F32-G32</f>
        <v>200</v>
      </c>
    </row>
    <row r="33" spans="1:10" ht="22.5" x14ac:dyDescent="0.25">
      <c r="A33" s="39">
        <v>16</v>
      </c>
      <c r="B33" s="44" t="s">
        <v>166</v>
      </c>
      <c r="C33" s="12"/>
      <c r="D33" s="13"/>
      <c r="E33" s="41">
        <v>1500</v>
      </c>
      <c r="F33" s="13">
        <f>E33+D33+C33</f>
        <v>1500</v>
      </c>
      <c r="G33" s="42">
        <v>1500</v>
      </c>
      <c r="H33" s="43">
        <f t="shared" si="3"/>
        <v>0</v>
      </c>
      <c r="I33" t="s">
        <v>126</v>
      </c>
    </row>
    <row r="34" spans="1:10" x14ac:dyDescent="0.25">
      <c r="A34" s="39"/>
      <c r="B34" s="51" t="s">
        <v>7</v>
      </c>
      <c r="C34" s="52">
        <f>SUM(C18:C33)</f>
        <v>0</v>
      </c>
      <c r="D34" s="13">
        <f>SUM(D18:D33)</f>
        <v>2800</v>
      </c>
      <c r="E34" s="53">
        <f>SUM(E18:E33)</f>
        <v>26000</v>
      </c>
      <c r="F34" s="13">
        <f>C34+D34+E34</f>
        <v>28800</v>
      </c>
      <c r="G34" s="10">
        <f>SUM(G18:G33)</f>
        <v>24800</v>
      </c>
      <c r="H34" s="43">
        <f>F34-G34</f>
        <v>4000</v>
      </c>
    </row>
    <row r="35" spans="1:10" x14ac:dyDescent="0.25">
      <c r="A35" s="56" t="s">
        <v>34</v>
      </c>
      <c r="B35" s="17"/>
      <c r="C35" s="18"/>
      <c r="D35" s="17"/>
      <c r="E35" s="19"/>
      <c r="F35" s="17"/>
      <c r="G35" s="1"/>
      <c r="H35" s="6"/>
    </row>
    <row r="36" spans="1:10" x14ac:dyDescent="0.25">
      <c r="A36" s="20" t="s">
        <v>8</v>
      </c>
      <c r="B36" s="20" t="s">
        <v>9</v>
      </c>
      <c r="C36" s="20" t="s">
        <v>10</v>
      </c>
      <c r="D36" s="20" t="s">
        <v>11</v>
      </c>
      <c r="E36" s="20" t="s">
        <v>8</v>
      </c>
      <c r="F36" s="20" t="s">
        <v>9</v>
      </c>
      <c r="G36" s="20" t="s">
        <v>10</v>
      </c>
      <c r="H36" s="21" t="s">
        <v>6</v>
      </c>
    </row>
    <row r="37" spans="1:10" x14ac:dyDescent="0.25">
      <c r="A37" s="22" t="s">
        <v>156</v>
      </c>
      <c r="B37" s="8">
        <f>E34+E16</f>
        <v>39500</v>
      </c>
      <c r="C37" s="23"/>
      <c r="D37" s="23"/>
      <c r="E37" s="22" t="s">
        <v>156</v>
      </c>
      <c r="F37" s="8">
        <f>G34+G16</f>
        <v>35100</v>
      </c>
      <c r="G37" s="23"/>
      <c r="H37" s="8"/>
    </row>
    <row r="38" spans="1:10" x14ac:dyDescent="0.25">
      <c r="A38" s="22" t="s">
        <v>12</v>
      </c>
      <c r="B38" s="24">
        <v>0.1</v>
      </c>
      <c r="C38" s="25">
        <f>B37*B38</f>
        <v>3950</v>
      </c>
      <c r="D38" s="22"/>
      <c r="E38" s="22" t="s">
        <v>12</v>
      </c>
      <c r="F38" s="24">
        <v>0.1</v>
      </c>
      <c r="G38" s="25">
        <f>C38</f>
        <v>3950</v>
      </c>
      <c r="H38" s="8"/>
    </row>
    <row r="39" spans="1:10" x14ac:dyDescent="0.25">
      <c r="A39" s="22" t="s">
        <v>15</v>
      </c>
      <c r="B39" s="24">
        <v>0.3</v>
      </c>
      <c r="C39" s="25"/>
      <c r="D39" s="22"/>
      <c r="E39" s="22" t="s">
        <v>15</v>
      </c>
      <c r="F39" s="24">
        <v>0.3</v>
      </c>
      <c r="G39" s="25"/>
      <c r="H39" s="8"/>
    </row>
    <row r="40" spans="1:10" x14ac:dyDescent="0.25">
      <c r="A40" s="26" t="s">
        <v>13</v>
      </c>
      <c r="B40" s="25">
        <f>C34</f>
        <v>0</v>
      </c>
      <c r="C40" s="22"/>
      <c r="D40" s="22"/>
      <c r="E40" s="26"/>
      <c r="F40" s="25"/>
      <c r="G40" s="22"/>
      <c r="H40" s="8"/>
    </row>
    <row r="41" spans="1:10" x14ac:dyDescent="0.25">
      <c r="A41" s="26" t="s">
        <v>2</v>
      </c>
      <c r="B41" s="25">
        <f>'AUGUST 20'!D52</f>
        <v>929.29999999999927</v>
      </c>
      <c r="C41" s="22"/>
      <c r="D41" s="22"/>
      <c r="E41" s="26" t="s">
        <v>2</v>
      </c>
      <c r="F41" s="25">
        <f>'AUGUST 20'!H52</f>
        <v>-170.60000000000218</v>
      </c>
      <c r="G41" s="22"/>
      <c r="H41" s="8"/>
    </row>
    <row r="42" spans="1:10" x14ac:dyDescent="0.25">
      <c r="A42" s="26" t="s">
        <v>7</v>
      </c>
      <c r="B42" s="25">
        <f>B37+B41+B40</f>
        <v>40429.300000000003</v>
      </c>
      <c r="C42" s="22"/>
      <c r="D42" s="22"/>
      <c r="E42" s="26" t="s">
        <v>7</v>
      </c>
      <c r="F42" s="25">
        <f>F37+F41+F39</f>
        <v>34929.699999999997</v>
      </c>
      <c r="G42" s="22"/>
      <c r="H42" s="8"/>
      <c r="J42" s="60"/>
    </row>
    <row r="43" spans="1:10" x14ac:dyDescent="0.25">
      <c r="A43" s="57" t="s">
        <v>14</v>
      </c>
      <c r="B43" s="24"/>
      <c r="C43" s="58"/>
      <c r="D43" s="22"/>
      <c r="E43" s="57" t="s">
        <v>14</v>
      </c>
      <c r="F43" s="24"/>
      <c r="G43" s="58"/>
      <c r="H43" s="8"/>
    </row>
    <row r="44" spans="1:10" x14ac:dyDescent="0.25">
      <c r="A44" s="27" t="s">
        <v>159</v>
      </c>
      <c r="B44" s="59"/>
      <c r="C44" s="29">
        <v>2541</v>
      </c>
      <c r="D44" s="28"/>
      <c r="E44" s="27" t="s">
        <v>159</v>
      </c>
      <c r="F44" s="59"/>
      <c r="G44" s="29">
        <v>2541</v>
      </c>
      <c r="H44" s="30"/>
    </row>
    <row r="45" spans="1:10" x14ac:dyDescent="0.25">
      <c r="A45" s="27" t="s">
        <v>163</v>
      </c>
      <c r="B45" s="59"/>
      <c r="C45" s="29">
        <f>E6+E12</f>
        <v>3000</v>
      </c>
      <c r="D45" s="28"/>
      <c r="E45" s="27" t="s">
        <v>163</v>
      </c>
      <c r="F45" s="59"/>
      <c r="G45" s="29">
        <f>C45</f>
        <v>3000</v>
      </c>
      <c r="H45" s="30"/>
    </row>
    <row r="46" spans="1:10" x14ac:dyDescent="0.25">
      <c r="A46" s="27" t="s">
        <v>168</v>
      </c>
      <c r="B46" s="59"/>
      <c r="C46" s="29">
        <v>1500</v>
      </c>
      <c r="D46" s="28"/>
      <c r="E46" s="27" t="s">
        <v>168</v>
      </c>
      <c r="F46" s="59"/>
      <c r="G46" s="29">
        <v>1500</v>
      </c>
      <c r="H46" s="30"/>
    </row>
    <row r="47" spans="1:10" x14ac:dyDescent="0.25">
      <c r="A47" s="27" t="s">
        <v>169</v>
      </c>
      <c r="B47" s="59"/>
      <c r="C47" s="29">
        <v>2000</v>
      </c>
      <c r="D47" s="28"/>
      <c r="E47" s="27" t="s">
        <v>169</v>
      </c>
      <c r="F47" s="59"/>
      <c r="G47" s="29">
        <v>2000</v>
      </c>
      <c r="H47" s="30"/>
    </row>
    <row r="48" spans="1:10" x14ac:dyDescent="0.25">
      <c r="A48" s="27" t="s">
        <v>174</v>
      </c>
      <c r="B48" s="59"/>
      <c r="C48" s="29">
        <v>1500</v>
      </c>
      <c r="D48" s="28"/>
      <c r="E48" s="27" t="s">
        <v>172</v>
      </c>
      <c r="F48" s="59"/>
      <c r="G48" s="29">
        <v>1500</v>
      </c>
      <c r="H48" s="30"/>
    </row>
    <row r="49" spans="1:9" x14ac:dyDescent="0.25">
      <c r="A49" s="27" t="s">
        <v>176</v>
      </c>
      <c r="B49" s="59"/>
      <c r="C49" s="29">
        <v>1000</v>
      </c>
      <c r="D49" s="28"/>
      <c r="E49" s="27" t="s">
        <v>175</v>
      </c>
      <c r="F49" s="59"/>
      <c r="G49" s="29">
        <v>1000</v>
      </c>
      <c r="H49" s="30"/>
    </row>
    <row r="50" spans="1:9" x14ac:dyDescent="0.25">
      <c r="A50" s="27" t="s">
        <v>186</v>
      </c>
      <c r="B50" s="59"/>
      <c r="C50" s="29">
        <v>17800</v>
      </c>
      <c r="D50" s="28"/>
      <c r="E50" s="27" t="s">
        <v>186</v>
      </c>
      <c r="F50" s="59"/>
      <c r="G50" s="29">
        <v>17800</v>
      </c>
      <c r="H50" s="30"/>
    </row>
    <row r="51" spans="1:9" x14ac:dyDescent="0.25">
      <c r="A51" s="27" t="s">
        <v>176</v>
      </c>
      <c r="B51" s="59"/>
      <c r="C51" s="29">
        <v>500</v>
      </c>
      <c r="D51" s="28"/>
      <c r="E51" s="27" t="s">
        <v>176</v>
      </c>
      <c r="F51" s="59"/>
      <c r="G51" s="29">
        <v>500</v>
      </c>
      <c r="H51" s="30"/>
    </row>
    <row r="52" spans="1:9" x14ac:dyDescent="0.25">
      <c r="A52" s="27" t="s">
        <v>190</v>
      </c>
      <c r="B52" s="59"/>
      <c r="C52" s="29">
        <f>2000+1500</f>
        <v>3500</v>
      </c>
      <c r="D52" s="28"/>
      <c r="E52" s="27" t="s">
        <v>190</v>
      </c>
      <c r="F52" s="59"/>
      <c r="G52" s="29">
        <f>2000+1500</f>
        <v>3500</v>
      </c>
      <c r="H52" s="30"/>
    </row>
    <row r="53" spans="1:9" x14ac:dyDescent="0.25">
      <c r="A53" s="27" t="s">
        <v>193</v>
      </c>
      <c r="B53" s="59"/>
      <c r="C53" s="29">
        <v>1500</v>
      </c>
      <c r="D53" s="28"/>
      <c r="E53" s="27" t="s">
        <v>193</v>
      </c>
      <c r="F53" s="59"/>
      <c r="G53" s="29">
        <v>1500</v>
      </c>
      <c r="H53" s="30"/>
    </row>
    <row r="54" spans="1:9" x14ac:dyDescent="0.25">
      <c r="A54" s="27" t="s">
        <v>189</v>
      </c>
      <c r="B54" s="59"/>
      <c r="C54" s="29">
        <v>700</v>
      </c>
      <c r="D54" s="28"/>
      <c r="E54" s="27" t="s">
        <v>189</v>
      </c>
      <c r="F54" s="59"/>
      <c r="G54" s="29">
        <v>700</v>
      </c>
      <c r="H54" s="30"/>
    </row>
    <row r="55" spans="1:9" x14ac:dyDescent="0.25">
      <c r="A55" s="11" t="s">
        <v>7</v>
      </c>
      <c r="B55" s="34">
        <f>B37+B39+B40+B41-C38-C39</f>
        <v>36479.600000000006</v>
      </c>
      <c r="C55" s="7">
        <f>SUM(C44:C54)</f>
        <v>35541</v>
      </c>
      <c r="D55" s="7">
        <f>B55-C55</f>
        <v>938.60000000000582</v>
      </c>
      <c r="E55" s="11" t="s">
        <v>7</v>
      </c>
      <c r="F55" s="34">
        <f>F37+F39+F41-G38</f>
        <v>30979.699999999997</v>
      </c>
      <c r="G55" s="7">
        <f>SUM(G44:G54)</f>
        <v>35541</v>
      </c>
      <c r="H55" s="7">
        <f>F55-G55</f>
        <v>-4561.3000000000029</v>
      </c>
      <c r="I55" s="60"/>
    </row>
    <row r="56" spans="1:9" x14ac:dyDescent="0.25">
      <c r="A56" s="1" t="s">
        <v>16</v>
      </c>
      <c r="B56" s="16"/>
      <c r="D56" s="1" t="s">
        <v>17</v>
      </c>
      <c r="G56" s="1" t="s">
        <v>18</v>
      </c>
      <c r="H56" s="6"/>
    </row>
    <row r="57" spans="1:9" x14ac:dyDescent="0.25">
      <c r="A57" s="1" t="s">
        <v>35</v>
      </c>
      <c r="B57" s="1"/>
      <c r="D57" s="1" t="s">
        <v>36</v>
      </c>
      <c r="G57" s="1" t="s">
        <v>63</v>
      </c>
      <c r="I57" s="60"/>
    </row>
    <row r="58" spans="1:9" x14ac:dyDescent="0.25">
      <c r="I58" s="60"/>
    </row>
    <row r="63" spans="1:9" x14ac:dyDescent="0.25">
      <c r="H63">
        <f>473+650</f>
        <v>1123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 20</vt:lpstr>
      <vt:lpstr>FEBRUARY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2020-06-17T14:10:42Z</cp:lastPrinted>
  <dcterms:created xsi:type="dcterms:W3CDTF">2020-01-03T13:05:39Z</dcterms:created>
  <dcterms:modified xsi:type="dcterms:W3CDTF">2021-12-03T14:45:47Z</dcterms:modified>
</cp:coreProperties>
</file>