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4895" windowHeight="5505" firstSheet="97" activeTab="99"/>
  </bookViews>
  <sheets>
    <sheet name="OCTOBER" sheetId="5" r:id="rId1"/>
    <sheet name="NOVEMBER" sheetId="6" r:id="rId2"/>
    <sheet name="DECEMBER" sheetId="7" r:id="rId3"/>
    <sheet name="JANUARY" sheetId="8" r:id="rId4"/>
    <sheet name="FEBRUARY" sheetId="9" r:id="rId5"/>
    <sheet name="march" sheetId="10" r:id="rId6"/>
    <sheet name="APRIL" sheetId="11" r:id="rId7"/>
    <sheet name="MAY" sheetId="12" r:id="rId8"/>
    <sheet name="JUNE" sheetId="13" r:id="rId9"/>
    <sheet name="july" sheetId="14" r:id="rId10"/>
    <sheet name="AUG" sheetId="15" r:id="rId11"/>
    <sheet name="payments" sheetId="16" r:id="rId12"/>
    <sheet name="SEP" sheetId="17" r:id="rId13"/>
    <sheet name="oct" sheetId="18" r:id="rId14"/>
    <sheet name="NOV" sheetId="19" r:id="rId15"/>
    <sheet name="DEC" sheetId="20" r:id="rId16"/>
    <sheet name="JAN15" sheetId="22" r:id="rId17"/>
    <sheet name="FEB 15" sheetId="23" r:id="rId18"/>
    <sheet name="MARCH " sheetId="24" r:id="rId19"/>
    <sheet name="APRIL2015" sheetId="25" r:id="rId20"/>
    <sheet name="MAY 2015" sheetId="26" r:id="rId21"/>
    <sheet name="JUNE 2015 " sheetId="27" r:id="rId22"/>
    <sheet name="JULY 2015" sheetId="28" r:id="rId23"/>
    <sheet name="AUGUST" sheetId="29" r:id="rId24"/>
    <sheet name="SEPTEMBER" sheetId="30" r:id="rId25"/>
    <sheet name="OCT 2015" sheetId="31" r:id="rId26"/>
    <sheet name="NOV 2015" sheetId="32" r:id="rId27"/>
    <sheet name="DEC 2015" sheetId="33" r:id="rId28"/>
    <sheet name="dec 2 instal" sheetId="34" r:id="rId29"/>
    <sheet name="JAN 2016" sheetId="35" r:id="rId30"/>
    <sheet name="FEB 2016" sheetId="36" r:id="rId31"/>
    <sheet name="MARCH 2016" sheetId="37" r:id="rId32"/>
    <sheet name="APRIL 2016" sheetId="38" r:id="rId33"/>
    <sheet name="MAY " sheetId="39" r:id="rId34"/>
    <sheet name="Sheet1" sheetId="40" r:id="rId35"/>
    <sheet name="JULY STATMENT" sheetId="41" r:id="rId36"/>
    <sheet name="AUGUST 201" sheetId="42" r:id="rId37"/>
    <sheet name="SEPT 2016" sheetId="43" r:id="rId38"/>
    <sheet name="OCTO 2016" sheetId="44" r:id="rId39"/>
    <sheet name="NOVEMBER 2016" sheetId="45" r:id="rId40"/>
    <sheet name="DEC 2016" sheetId="46" r:id="rId41"/>
    <sheet name="JAN 2017" sheetId="48" r:id="rId42"/>
    <sheet name="FEB 2017" sheetId="49" r:id="rId43"/>
    <sheet name="MARCH 2017" sheetId="50" r:id="rId44"/>
    <sheet name="APRIL 2017" sheetId="51" r:id="rId45"/>
    <sheet name="MAY 2017" sheetId="52" r:id="rId46"/>
    <sheet name="JUNE 2017" sheetId="53" r:id="rId47"/>
    <sheet name="JULY 2017" sheetId="54" r:id="rId48"/>
    <sheet name="AUGUST 2017" sheetId="55" r:id="rId49"/>
    <sheet name="SEPT" sheetId="57" r:id="rId50"/>
    <sheet name="OCTOMBER" sheetId="56" r:id="rId51"/>
    <sheet name="NOV 17" sheetId="58" r:id="rId52"/>
    <sheet name="DEC STATMENT" sheetId="59" r:id="rId53"/>
    <sheet name="JAN" sheetId="60" r:id="rId54"/>
    <sheet name="FEB18" sheetId="61" r:id="rId55"/>
    <sheet name="MAR 18" sheetId="62" r:id="rId56"/>
    <sheet name="APRL" sheetId="63" r:id="rId57"/>
    <sheet name="MAY18" sheetId="64" r:id="rId58"/>
    <sheet name="JUNE18" sheetId="65" r:id="rId59"/>
    <sheet name="JULY7" sheetId="66" r:id="rId60"/>
    <sheet name="AUGUST " sheetId="67" r:id="rId61"/>
    <sheet name="SEPT " sheetId="68" r:id="rId62"/>
    <sheet name="OCTOBER " sheetId="69" r:id="rId63"/>
    <sheet name="NOVEMBER " sheetId="70" r:id="rId64"/>
    <sheet name="DECEMBER " sheetId="71" r:id="rId65"/>
    <sheet name="JANUARY " sheetId="72" r:id="rId66"/>
    <sheet name="FEBRUARY " sheetId="73" r:id="rId67"/>
    <sheet name="MARCH 19" sheetId="74" r:id="rId68"/>
    <sheet name="APRIL " sheetId="75" r:id="rId69"/>
    <sheet name="MAY1 " sheetId="76" r:id="rId70"/>
    <sheet name="JUNEE" sheetId="77" r:id="rId71"/>
    <sheet name="JULY  " sheetId="78" r:id="rId72"/>
    <sheet name="AUGUST 19" sheetId="79" r:id="rId73"/>
    <sheet name="SEPT 19" sheetId="80" r:id="rId74"/>
    <sheet name="OCTOBER 19" sheetId="81" r:id="rId75"/>
    <sheet name="NOVEMBER19" sheetId="82" r:id="rId76"/>
    <sheet name="DECEMBER 19" sheetId="83" r:id="rId77"/>
    <sheet name="JANUARY 20" sheetId="84" r:id="rId78"/>
    <sheet name="FEBRUARY 20" sheetId="85" r:id="rId79"/>
    <sheet name="MARCH 20" sheetId="86" r:id="rId80"/>
    <sheet name="APRIL 20" sheetId="87" r:id="rId81"/>
    <sheet name="MAY 20" sheetId="88" r:id="rId82"/>
    <sheet name="JUNE 20" sheetId="89" r:id="rId83"/>
    <sheet name="JULY 20" sheetId="90" r:id="rId84"/>
    <sheet name="AUGUST 20" sheetId="91" r:id="rId85"/>
    <sheet name="SEPTEMBER 20" sheetId="92" r:id="rId86"/>
    <sheet name="OCTOBER 20" sheetId="93" r:id="rId87"/>
    <sheet name="NOVEMBER20" sheetId="94" r:id="rId88"/>
    <sheet name="DECEMBER 20" sheetId="95" r:id="rId89"/>
    <sheet name="JANUARY 21" sheetId="96" r:id="rId90"/>
    <sheet name="FEBRUARY 21" sheetId="97" r:id="rId91"/>
    <sheet name="MARCH 21" sheetId="98" r:id="rId92"/>
    <sheet name="APRIL 21" sheetId="99" r:id="rId93"/>
    <sheet name="MAY 21" sheetId="100" r:id="rId94"/>
    <sheet name="JUNE 21" sheetId="101" r:id="rId95"/>
    <sheet name="JULY 21" sheetId="102" r:id="rId96"/>
    <sheet name="AUGUST 21" sheetId="103" r:id="rId97"/>
    <sheet name="SEPTEMBER 21" sheetId="104" r:id="rId98"/>
    <sheet name="OCTOBER 21" sheetId="105" r:id="rId99"/>
    <sheet name="NOVEMBER 21" sheetId="106" r:id="rId100"/>
    <sheet name="DECEMBER 21" sheetId="107" r:id="rId101"/>
  </sheets>
  <calcPr calcId="144525"/>
  <fileRecoveryPr autoRecover="0"/>
</workbook>
</file>

<file path=xl/calcChain.xml><?xml version="1.0" encoding="utf-8"?>
<calcChain xmlns="http://schemas.openxmlformats.org/spreadsheetml/2006/main">
  <c r="H10" i="106" l="1"/>
  <c r="D76" i="107"/>
  <c r="G57" i="106"/>
  <c r="F104" i="107" l="1"/>
  <c r="G95" i="107"/>
  <c r="C95" i="107"/>
  <c r="J77" i="107"/>
  <c r="I77" i="107"/>
  <c r="G77" i="107"/>
  <c r="F82" i="107" s="1"/>
  <c r="E77" i="107"/>
  <c r="B82" i="107" s="1"/>
  <c r="C77" i="107"/>
  <c r="C30" i="107"/>
  <c r="G30" i="107" s="1"/>
  <c r="G36" i="107" s="1"/>
  <c r="F19" i="107"/>
  <c r="B24" i="107" s="1"/>
  <c r="E19" i="107"/>
  <c r="C19" i="107"/>
  <c r="H19" i="107"/>
  <c r="F24" i="107" s="1"/>
  <c r="C36" i="107" l="1"/>
  <c r="C86" i="107"/>
  <c r="G86" i="107" s="1"/>
  <c r="C27" i="107"/>
  <c r="G27" i="107" s="1"/>
  <c r="G64" i="106" l="1"/>
  <c r="G67" i="106" l="1"/>
  <c r="F104" i="106" l="1"/>
  <c r="D76" i="106" l="1"/>
  <c r="G95" i="106" l="1"/>
  <c r="C95" i="106"/>
  <c r="J77" i="106"/>
  <c r="I77" i="106"/>
  <c r="E77" i="106"/>
  <c r="B82" i="106" s="1"/>
  <c r="C77" i="106"/>
  <c r="G77" i="106"/>
  <c r="F82" i="106" s="1"/>
  <c r="C30" i="106"/>
  <c r="C36" i="106" s="1"/>
  <c r="H19" i="106"/>
  <c r="F24" i="106" s="1"/>
  <c r="F19" i="106"/>
  <c r="B24" i="106" s="1"/>
  <c r="E19" i="106"/>
  <c r="C19" i="106"/>
  <c r="G30" i="106" l="1"/>
  <c r="G36" i="106" s="1"/>
  <c r="C27" i="106"/>
  <c r="G27" i="106" s="1"/>
  <c r="C86" i="106"/>
  <c r="G86" i="106" s="1"/>
  <c r="G68" i="105"/>
  <c r="G73" i="105" l="1"/>
  <c r="C30" i="105" l="1"/>
  <c r="G30" i="105" s="1"/>
  <c r="G57" i="105"/>
  <c r="G64" i="104"/>
  <c r="G55" i="104"/>
  <c r="D76" i="105" l="1"/>
  <c r="G95" i="105"/>
  <c r="C95" i="105"/>
  <c r="J77" i="105"/>
  <c r="I77" i="105"/>
  <c r="E77" i="105"/>
  <c r="B82" i="105" s="1"/>
  <c r="C77" i="105"/>
  <c r="G77" i="105"/>
  <c r="F82" i="105" s="1"/>
  <c r="C36" i="105"/>
  <c r="G36" i="105"/>
  <c r="F19" i="105"/>
  <c r="B24" i="105" s="1"/>
  <c r="E19" i="105"/>
  <c r="C19" i="105"/>
  <c r="H19" i="105"/>
  <c r="F24" i="105" s="1"/>
  <c r="C27" i="105" l="1"/>
  <c r="G27" i="105" s="1"/>
  <c r="C86" i="105"/>
  <c r="G86" i="105" s="1"/>
  <c r="C34" i="104"/>
  <c r="C33" i="104"/>
  <c r="G58" i="104" l="1"/>
  <c r="G74" i="104"/>
  <c r="G48" i="104" l="1"/>
  <c r="G65" i="104" l="1"/>
  <c r="G69" i="104" l="1"/>
  <c r="G63" i="104" l="1"/>
  <c r="G60" i="104" l="1"/>
  <c r="G56" i="104" l="1"/>
  <c r="H11" i="104" l="1"/>
  <c r="G71" i="104" l="1"/>
  <c r="G54" i="104" l="1"/>
  <c r="H9" i="104" l="1"/>
  <c r="G68" i="104" l="1"/>
  <c r="G49" i="104" l="1"/>
  <c r="G67" i="104" l="1"/>
  <c r="G53" i="104" l="1"/>
  <c r="H10" i="104" l="1"/>
  <c r="H8" i="104" l="1"/>
  <c r="G62" i="104" l="1"/>
  <c r="G66" i="104"/>
  <c r="G70" i="104" l="1"/>
  <c r="H15" i="104" l="1"/>
  <c r="G75" i="104" l="1"/>
  <c r="M94" i="104" l="1"/>
  <c r="D76" i="104" l="1"/>
  <c r="G95" i="104"/>
  <c r="C95" i="104"/>
  <c r="J77" i="104"/>
  <c r="I77" i="104"/>
  <c r="E77" i="104"/>
  <c r="B82" i="104" s="1"/>
  <c r="C77" i="104"/>
  <c r="G77" i="104"/>
  <c r="F82" i="104" s="1"/>
  <c r="C31" i="104"/>
  <c r="C36" i="104" s="1"/>
  <c r="F19" i="104"/>
  <c r="B24" i="104" s="1"/>
  <c r="E19" i="104"/>
  <c r="C19" i="104"/>
  <c r="H19" i="104"/>
  <c r="F24" i="104" s="1"/>
  <c r="G31" i="104" l="1"/>
  <c r="G36" i="104" s="1"/>
  <c r="C27" i="104"/>
  <c r="G27" i="104" s="1"/>
  <c r="C86" i="104"/>
  <c r="G86" i="104" s="1"/>
  <c r="G61" i="103" l="1"/>
  <c r="G64" i="103" l="1"/>
  <c r="H15" i="103" l="1"/>
  <c r="G67" i="103" l="1"/>
  <c r="G70" i="103"/>
  <c r="G54" i="103" l="1"/>
  <c r="H10" i="103" l="1"/>
  <c r="H8" i="103" l="1"/>
  <c r="G65" i="103" l="1"/>
  <c r="H11" i="103" l="1"/>
  <c r="G72" i="103" l="1"/>
  <c r="G53" i="103" l="1"/>
  <c r="G62" i="103" l="1"/>
  <c r="G66" i="103" l="1"/>
  <c r="G49" i="103" l="1"/>
  <c r="H7" i="103" l="1"/>
  <c r="G55" i="103" l="1"/>
  <c r="G75" i="103" l="1"/>
  <c r="G48" i="103" l="1"/>
  <c r="G63" i="103" l="1"/>
  <c r="G68" i="103" l="1"/>
  <c r="G60" i="103" l="1"/>
  <c r="G71" i="103" l="1"/>
  <c r="G61" i="102" l="1"/>
  <c r="D76" i="103" l="1"/>
  <c r="G95" i="103"/>
  <c r="C95" i="103"/>
  <c r="J77" i="103"/>
  <c r="I77" i="103"/>
  <c r="E77" i="103"/>
  <c r="B82" i="103" s="1"/>
  <c r="C77" i="103"/>
  <c r="G77" i="103"/>
  <c r="F82" i="103" s="1"/>
  <c r="C31" i="103"/>
  <c r="G31" i="103" s="1"/>
  <c r="C30" i="103"/>
  <c r="G30" i="103" s="1"/>
  <c r="F19" i="103"/>
  <c r="B24" i="103" s="1"/>
  <c r="E19" i="103"/>
  <c r="C19" i="103"/>
  <c r="H19" i="103"/>
  <c r="F24" i="103" s="1"/>
  <c r="G36" i="103" l="1"/>
  <c r="C36" i="103"/>
  <c r="C27" i="103"/>
  <c r="G27" i="103" s="1"/>
  <c r="C86" i="103"/>
  <c r="G86" i="103" s="1"/>
  <c r="G57" i="102"/>
  <c r="G53" i="102" l="1"/>
  <c r="G65" i="102" l="1"/>
  <c r="G62" i="102" l="1"/>
  <c r="G69" i="102" l="1"/>
  <c r="G66" i="102" l="1"/>
  <c r="G50" i="102" l="1"/>
  <c r="G67" i="102" l="1"/>
  <c r="G71" i="102" l="1"/>
  <c r="G52" i="102" l="1"/>
  <c r="H8" i="102" l="1"/>
  <c r="G49" i="102" l="1"/>
  <c r="G54" i="102" l="1"/>
  <c r="G70" i="102" l="1"/>
  <c r="G63" i="102" l="1"/>
  <c r="G48" i="102" l="1"/>
  <c r="G60" i="102" l="1"/>
  <c r="G68" i="102" l="1"/>
  <c r="M76" i="102" l="1"/>
  <c r="M75" i="102"/>
  <c r="G67" i="101" l="1"/>
  <c r="G67" i="100"/>
  <c r="D76" i="102" l="1"/>
  <c r="G95" i="102"/>
  <c r="C95" i="102"/>
  <c r="J77" i="102"/>
  <c r="I77" i="102"/>
  <c r="E77" i="102"/>
  <c r="B82" i="102" s="1"/>
  <c r="C77" i="102"/>
  <c r="F75" i="102"/>
  <c r="H75" i="102" s="1"/>
  <c r="D75" i="103" s="1"/>
  <c r="F75" i="103" s="1"/>
  <c r="H75" i="103" s="1"/>
  <c r="D75" i="104" s="1"/>
  <c r="F75" i="104" s="1"/>
  <c r="H75" i="104" s="1"/>
  <c r="G77" i="102"/>
  <c r="F82" i="102" s="1"/>
  <c r="C31" i="102"/>
  <c r="G31" i="102" s="1"/>
  <c r="C30" i="102"/>
  <c r="F19" i="102"/>
  <c r="B24" i="102" s="1"/>
  <c r="E19" i="102"/>
  <c r="C19" i="102"/>
  <c r="G9" i="102"/>
  <c r="I9" i="102" s="1"/>
  <c r="D9" i="103" s="1"/>
  <c r="G9" i="103" s="1"/>
  <c r="I9" i="103" s="1"/>
  <c r="D9" i="104" s="1"/>
  <c r="G9" i="104" s="1"/>
  <c r="I9" i="104" s="1"/>
  <c r="D9" i="105" s="1"/>
  <c r="G9" i="105" s="1"/>
  <c r="I9" i="105" s="1"/>
  <c r="D9" i="106" s="1"/>
  <c r="G9" i="106" s="1"/>
  <c r="I9" i="106" s="1"/>
  <c r="D9" i="107" s="1"/>
  <c r="G9" i="107" s="1"/>
  <c r="I9" i="107" s="1"/>
  <c r="H19" i="102"/>
  <c r="F24" i="102" s="1"/>
  <c r="D75" i="105" l="1"/>
  <c r="F75" i="105" s="1"/>
  <c r="H75" i="105" s="1"/>
  <c r="D75" i="106" s="1"/>
  <c r="F75" i="106" s="1"/>
  <c r="H75" i="106" s="1"/>
  <c r="D75" i="107" s="1"/>
  <c r="F75" i="107" s="1"/>
  <c r="H75" i="107" s="1"/>
  <c r="C36" i="102"/>
  <c r="G30" i="102"/>
  <c r="G36" i="102" s="1"/>
  <c r="C27" i="102"/>
  <c r="G27" i="102" s="1"/>
  <c r="C86" i="102"/>
  <c r="G86" i="102" s="1"/>
  <c r="G57" i="101"/>
  <c r="G52" i="101" l="1"/>
  <c r="G50" i="101" l="1"/>
  <c r="G53" i="101" l="1"/>
  <c r="G62" i="101" l="1"/>
  <c r="G66" i="101" l="1"/>
  <c r="G68" i="101" l="1"/>
  <c r="H10" i="101" l="1"/>
  <c r="H11" i="101" l="1"/>
  <c r="G69" i="101" l="1"/>
  <c r="G58" i="101" l="1"/>
  <c r="G70" i="101" l="1"/>
  <c r="G63" i="101" l="1"/>
  <c r="G65" i="101" l="1"/>
  <c r="G73" i="101" l="1"/>
  <c r="G71" i="101" l="1"/>
  <c r="G54" i="101" l="1"/>
  <c r="H7" i="101" l="1"/>
  <c r="G55" i="101" l="1"/>
  <c r="H9" i="100" l="1"/>
  <c r="F19" i="100"/>
  <c r="H10" i="100" l="1"/>
  <c r="G57" i="100" l="1"/>
  <c r="C31" i="101"/>
  <c r="G31" i="101" s="1"/>
  <c r="D76" i="101" l="1"/>
  <c r="G95" i="101"/>
  <c r="C95" i="101"/>
  <c r="J77" i="101"/>
  <c r="I77" i="101"/>
  <c r="E77" i="101"/>
  <c r="B82" i="101" s="1"/>
  <c r="C77" i="101"/>
  <c r="F72" i="101"/>
  <c r="H72" i="101" s="1"/>
  <c r="D72" i="102" s="1"/>
  <c r="F72" i="102" s="1"/>
  <c r="H72" i="102" s="1"/>
  <c r="D72" i="103" s="1"/>
  <c r="F72" i="103" s="1"/>
  <c r="H72" i="103" s="1"/>
  <c r="D72" i="104" s="1"/>
  <c r="F72" i="104" s="1"/>
  <c r="H72" i="104" s="1"/>
  <c r="F60" i="101"/>
  <c r="H60" i="101" s="1"/>
  <c r="D60" i="102" s="1"/>
  <c r="F60" i="102" s="1"/>
  <c r="H60" i="102" s="1"/>
  <c r="D60" i="103" s="1"/>
  <c r="F60" i="103" s="1"/>
  <c r="H60" i="103" s="1"/>
  <c r="D60" i="104" s="1"/>
  <c r="F60" i="104" s="1"/>
  <c r="H60" i="104" s="1"/>
  <c r="G77" i="101"/>
  <c r="F82" i="101" s="1"/>
  <c r="C30" i="101"/>
  <c r="G30" i="101" s="1"/>
  <c r="G36" i="101" s="1"/>
  <c r="F19" i="101"/>
  <c r="B24" i="101" s="1"/>
  <c r="E19" i="101"/>
  <c r="C19" i="101"/>
  <c r="G11" i="101"/>
  <c r="I11" i="101" s="1"/>
  <c r="D11" i="102" s="1"/>
  <c r="G11" i="102" s="1"/>
  <c r="I11" i="102" s="1"/>
  <c r="D11" i="103" s="1"/>
  <c r="G11" i="103" s="1"/>
  <c r="I11" i="103" s="1"/>
  <c r="D11" i="104" s="1"/>
  <c r="G11" i="104" s="1"/>
  <c r="I11" i="104" s="1"/>
  <c r="D11" i="105" s="1"/>
  <c r="G11" i="105" s="1"/>
  <c r="I11" i="105" s="1"/>
  <c r="D11" i="106" s="1"/>
  <c r="G11" i="106" s="1"/>
  <c r="I11" i="106" s="1"/>
  <c r="D11" i="107" s="1"/>
  <c r="G11" i="107" s="1"/>
  <c r="I11" i="107" s="1"/>
  <c r="H19" i="101"/>
  <c r="F24" i="101" s="1"/>
  <c r="D72" i="105" l="1"/>
  <c r="F72" i="105" s="1"/>
  <c r="H72" i="105" s="1"/>
  <c r="D72" i="106" s="1"/>
  <c r="F72" i="106" s="1"/>
  <c r="H72" i="106" s="1"/>
  <c r="D72" i="107" s="1"/>
  <c r="F72" i="107" s="1"/>
  <c r="H72" i="107" s="1"/>
  <c r="D60" i="105"/>
  <c r="F60" i="105" s="1"/>
  <c r="H60" i="105" s="1"/>
  <c r="D60" i="106" s="1"/>
  <c r="F60" i="106" s="1"/>
  <c r="H60" i="106" s="1"/>
  <c r="D60" i="107" s="1"/>
  <c r="F60" i="107" s="1"/>
  <c r="H60" i="107" s="1"/>
  <c r="C36" i="101"/>
  <c r="C27" i="101"/>
  <c r="G27" i="101" s="1"/>
  <c r="C86" i="101"/>
  <c r="G86" i="101" s="1"/>
  <c r="G6" i="101"/>
  <c r="I6" i="101" l="1"/>
  <c r="D6" i="102" s="1"/>
  <c r="G64" i="100"/>
  <c r="G52" i="100"/>
  <c r="H6" i="100"/>
  <c r="G6" i="102" l="1"/>
  <c r="G68" i="100"/>
  <c r="I6" i="102" l="1"/>
  <c r="G75" i="100"/>
  <c r="G50" i="100"/>
  <c r="D6" i="103" l="1"/>
  <c r="H8" i="100"/>
  <c r="G6" i="103" l="1"/>
  <c r="G49" i="100"/>
  <c r="I6" i="103" l="1"/>
  <c r="G66" i="100"/>
  <c r="D6" i="104" l="1"/>
  <c r="G55" i="100"/>
  <c r="G6" i="104" l="1"/>
  <c r="G62" i="100"/>
  <c r="I6" i="104" l="1"/>
  <c r="H7" i="100"/>
  <c r="D6" i="105" l="1"/>
  <c r="G6" i="105" s="1"/>
  <c r="G61" i="100"/>
  <c r="I6" i="105" l="1"/>
  <c r="D6" i="106" s="1"/>
  <c r="G70" i="100"/>
  <c r="G6" i="106" l="1"/>
  <c r="I6" i="106" s="1"/>
  <c r="D6" i="107" s="1"/>
  <c r="G54" i="100"/>
  <c r="G6" i="107" l="1"/>
  <c r="I6" i="107" s="1"/>
  <c r="G53" i="100"/>
  <c r="H15" i="100" l="1"/>
  <c r="G69" i="100" l="1"/>
  <c r="G63" i="100" l="1"/>
  <c r="G65" i="100" l="1"/>
  <c r="G58" i="100" l="1"/>
  <c r="N90" i="100" l="1"/>
  <c r="G67" i="99" l="1"/>
  <c r="G68" i="99"/>
  <c r="D76" i="100" l="1"/>
  <c r="C91" i="99"/>
  <c r="G91" i="99" s="1"/>
  <c r="G95" i="100" l="1"/>
  <c r="C95" i="100"/>
  <c r="L92" i="100"/>
  <c r="K92" i="100"/>
  <c r="J77" i="100"/>
  <c r="I77" i="100"/>
  <c r="G77" i="100"/>
  <c r="F82" i="100" s="1"/>
  <c r="E77" i="100"/>
  <c r="B82" i="100" s="1"/>
  <c r="C77" i="100"/>
  <c r="F73" i="100"/>
  <c r="H73" i="100" s="1"/>
  <c r="D73" i="101" s="1"/>
  <c r="F73" i="101" s="1"/>
  <c r="H73" i="101" s="1"/>
  <c r="D73" i="102" s="1"/>
  <c r="F73" i="102" s="1"/>
  <c r="H73" i="102" s="1"/>
  <c r="D73" i="103" s="1"/>
  <c r="F73" i="103" s="1"/>
  <c r="H73" i="103" s="1"/>
  <c r="D73" i="104" s="1"/>
  <c r="F73" i="104" s="1"/>
  <c r="H73" i="104" s="1"/>
  <c r="C30" i="100"/>
  <c r="C36" i="100" s="1"/>
  <c r="H19" i="100"/>
  <c r="F24" i="100" s="1"/>
  <c r="B24" i="100"/>
  <c r="C27" i="100" s="1"/>
  <c r="G27" i="100" s="1"/>
  <c r="E19" i="100"/>
  <c r="C19" i="100"/>
  <c r="G11" i="100"/>
  <c r="I11" i="100" s="1"/>
  <c r="G57" i="99"/>
  <c r="D73" i="105" l="1"/>
  <c r="F73" i="105" s="1"/>
  <c r="H73" i="105" s="1"/>
  <c r="D73" i="106" s="1"/>
  <c r="F73" i="106" s="1"/>
  <c r="H73" i="106" s="1"/>
  <c r="D73" i="107" s="1"/>
  <c r="F73" i="107" s="1"/>
  <c r="H73" i="107" s="1"/>
  <c r="G30" i="100"/>
  <c r="G36" i="100" s="1"/>
  <c r="C86" i="100"/>
  <c r="G86" i="100" s="1"/>
  <c r="G72" i="99" l="1"/>
  <c r="G75" i="99"/>
  <c r="C33" i="99"/>
  <c r="H10" i="99"/>
  <c r="G58" i="99" l="1"/>
  <c r="G66" i="99" l="1"/>
  <c r="O34" i="99" l="1"/>
  <c r="O35" i="99" s="1"/>
  <c r="Q34" i="99" s="1"/>
  <c r="M34" i="99"/>
  <c r="M35" i="99" s="1"/>
  <c r="H9" i="99" l="1"/>
  <c r="G61" i="99" l="1"/>
  <c r="H7" i="99" l="1"/>
  <c r="H6" i="99" l="1"/>
  <c r="G63" i="99" l="1"/>
  <c r="G62" i="99" l="1"/>
  <c r="G89" i="99" l="1"/>
  <c r="C89" i="99"/>
  <c r="G67" i="98"/>
  <c r="G50" i="99" l="1"/>
  <c r="G65" i="99" l="1"/>
  <c r="H11" i="98" l="1"/>
  <c r="D76" i="99" l="1"/>
  <c r="K102" i="99"/>
  <c r="G95" i="99"/>
  <c r="C95" i="99"/>
  <c r="L92" i="99"/>
  <c r="K92" i="99"/>
  <c r="J77" i="99"/>
  <c r="I77" i="99"/>
  <c r="G77" i="99"/>
  <c r="F82" i="99" s="1"/>
  <c r="E77" i="99"/>
  <c r="B82" i="99" s="1"/>
  <c r="C77" i="99"/>
  <c r="C30" i="99"/>
  <c r="G30" i="99" s="1"/>
  <c r="G36" i="99" s="1"/>
  <c r="H19" i="99"/>
  <c r="F19" i="99"/>
  <c r="B24" i="99" s="1"/>
  <c r="E19" i="99"/>
  <c r="C19" i="99"/>
  <c r="C36" i="99" l="1"/>
  <c r="F24" i="99"/>
  <c r="C27" i="99"/>
  <c r="G27" i="99" s="1"/>
  <c r="C86" i="99"/>
  <c r="G86" i="99" s="1"/>
  <c r="G52" i="98"/>
  <c r="G73" i="98" l="1"/>
  <c r="G75" i="98" l="1"/>
  <c r="G74" i="98" l="1"/>
  <c r="G66" i="98"/>
  <c r="G57" i="98" l="1"/>
  <c r="H10" i="98" l="1"/>
  <c r="G70" i="98" l="1"/>
  <c r="H8" i="98" l="1"/>
  <c r="G53" i="98" l="1"/>
  <c r="G61" i="98" l="1"/>
  <c r="G71" i="98" l="1"/>
  <c r="H9" i="98" l="1"/>
  <c r="G72" i="98" l="1"/>
  <c r="G56" i="98" l="1"/>
  <c r="G48" i="98" l="1"/>
  <c r="G69" i="98" l="1"/>
  <c r="H7" i="98" l="1"/>
  <c r="G49" i="98" l="1"/>
  <c r="G68" i="98" l="1"/>
  <c r="G77" i="98" s="1"/>
  <c r="F82" i="98" s="1"/>
  <c r="E77" i="98" l="1"/>
  <c r="G66" i="96" l="1"/>
  <c r="G67" i="97"/>
  <c r="H8" i="97" l="1"/>
  <c r="G48" i="97"/>
  <c r="G49" i="97"/>
  <c r="G53" i="97"/>
  <c r="G54" i="97"/>
  <c r="G55" i="97"/>
  <c r="G56" i="97"/>
  <c r="G57" i="97"/>
  <c r="G62" i="97"/>
  <c r="G63" i="97"/>
  <c r="G65" i="97"/>
  <c r="G68" i="97"/>
  <c r="G69" i="97"/>
  <c r="G72" i="97"/>
  <c r="G73" i="97"/>
  <c r="G74" i="97"/>
  <c r="G95" i="98"/>
  <c r="C95" i="98"/>
  <c r="L92" i="98"/>
  <c r="K92" i="98"/>
  <c r="J77" i="98"/>
  <c r="I77" i="98"/>
  <c r="B85" i="98" s="1"/>
  <c r="B82" i="98"/>
  <c r="C77" i="98"/>
  <c r="F65" i="98"/>
  <c r="H65" i="98" s="1"/>
  <c r="D65" i="99" s="1"/>
  <c r="F65" i="99" s="1"/>
  <c r="H65" i="99" s="1"/>
  <c r="D65" i="100" s="1"/>
  <c r="F65" i="100" s="1"/>
  <c r="H65" i="100" s="1"/>
  <c r="D65" i="101" s="1"/>
  <c r="F65" i="101" s="1"/>
  <c r="H65" i="101" s="1"/>
  <c r="D65" i="102" s="1"/>
  <c r="F65" i="102" s="1"/>
  <c r="H65" i="102" s="1"/>
  <c r="D65" i="103" s="1"/>
  <c r="F65" i="103" s="1"/>
  <c r="H65" i="103" s="1"/>
  <c r="D65" i="104" s="1"/>
  <c r="F65" i="104" s="1"/>
  <c r="H65" i="104" s="1"/>
  <c r="C30" i="98"/>
  <c r="C36" i="98" s="1"/>
  <c r="H19" i="98"/>
  <c r="F24" i="98" s="1"/>
  <c r="F19" i="98"/>
  <c r="E19" i="98"/>
  <c r="C19" i="98"/>
  <c r="G18" i="98"/>
  <c r="I18" i="98" s="1"/>
  <c r="D18" i="99" s="1"/>
  <c r="G18" i="99" s="1"/>
  <c r="I18" i="99" s="1"/>
  <c r="D18" i="100" s="1"/>
  <c r="G18" i="100" s="1"/>
  <c r="I18" i="100" s="1"/>
  <c r="D18" i="101" s="1"/>
  <c r="G18" i="101" s="1"/>
  <c r="I18" i="101" s="1"/>
  <c r="D18" i="102" s="1"/>
  <c r="G18" i="102" s="1"/>
  <c r="I18" i="102" s="1"/>
  <c r="D18" i="103" s="1"/>
  <c r="G18" i="103" s="1"/>
  <c r="I18" i="103" s="1"/>
  <c r="D18" i="104" s="1"/>
  <c r="G18" i="104" s="1"/>
  <c r="I18" i="104" s="1"/>
  <c r="D18" i="105" s="1"/>
  <c r="G18" i="105" s="1"/>
  <c r="I18" i="105" s="1"/>
  <c r="D18" i="106" s="1"/>
  <c r="G18" i="106" s="1"/>
  <c r="I18" i="106" s="1"/>
  <c r="D18" i="107" s="1"/>
  <c r="G18" i="107" s="1"/>
  <c r="I18" i="107" s="1"/>
  <c r="G6" i="98"/>
  <c r="I6" i="98" s="1"/>
  <c r="D6" i="99" s="1"/>
  <c r="G6" i="99" s="1"/>
  <c r="I6" i="99" s="1"/>
  <c r="D6" i="100" s="1"/>
  <c r="M92" i="98" l="1"/>
  <c r="D65" i="105"/>
  <c r="F65" i="105" s="1"/>
  <c r="H65" i="105" s="1"/>
  <c r="D65" i="106" s="1"/>
  <c r="F65" i="106" s="1"/>
  <c r="H65" i="106" s="1"/>
  <c r="D65" i="107" s="1"/>
  <c r="F65" i="107" s="1"/>
  <c r="H65" i="107" s="1"/>
  <c r="G6" i="100"/>
  <c r="B24" i="98"/>
  <c r="C27" i="98" s="1"/>
  <c r="G27" i="98" s="1"/>
  <c r="G30" i="98"/>
  <c r="G36" i="98" s="1"/>
  <c r="C86" i="98"/>
  <c r="G86" i="98" s="1"/>
  <c r="H10" i="97"/>
  <c r="I6" i="100" l="1"/>
  <c r="H15" i="97" l="1"/>
  <c r="H7" i="97" l="1"/>
  <c r="H9" i="97" l="1"/>
  <c r="H16" i="97" l="1"/>
  <c r="P97" i="97" l="1"/>
  <c r="G67" i="96" l="1"/>
  <c r="D10" i="97"/>
  <c r="K102" i="97"/>
  <c r="G95" i="97"/>
  <c r="C95" i="97"/>
  <c r="L92" i="97"/>
  <c r="K92" i="97"/>
  <c r="J77" i="97"/>
  <c r="I77" i="97"/>
  <c r="B85" i="97" s="1"/>
  <c r="E77" i="97"/>
  <c r="B82" i="97" s="1"/>
  <c r="C77" i="97"/>
  <c r="F75" i="97"/>
  <c r="H75" i="97" s="1"/>
  <c r="D75" i="98" s="1"/>
  <c r="F75" i="98" s="1"/>
  <c r="H75" i="98" s="1"/>
  <c r="D75" i="99" s="1"/>
  <c r="F75" i="99" s="1"/>
  <c r="H75" i="99" s="1"/>
  <c r="D75" i="100" s="1"/>
  <c r="F75" i="100" s="1"/>
  <c r="H75" i="100" s="1"/>
  <c r="D75" i="101" s="1"/>
  <c r="F75" i="101" s="1"/>
  <c r="H75" i="101" s="1"/>
  <c r="F73" i="97"/>
  <c r="H73" i="97" s="1"/>
  <c r="D73" i="98" s="1"/>
  <c r="F73" i="98" s="1"/>
  <c r="H73" i="98" s="1"/>
  <c r="D73" i="99" s="1"/>
  <c r="F73" i="99" s="1"/>
  <c r="H73" i="99" s="1"/>
  <c r="F72" i="97"/>
  <c r="H72" i="97" s="1"/>
  <c r="D72" i="98" s="1"/>
  <c r="F72" i="98" s="1"/>
  <c r="H72" i="98" s="1"/>
  <c r="D72" i="99" s="1"/>
  <c r="F72" i="99" s="1"/>
  <c r="H72" i="99" s="1"/>
  <c r="D72" i="100" s="1"/>
  <c r="F72" i="100" s="1"/>
  <c r="H72" i="100" s="1"/>
  <c r="F71" i="97"/>
  <c r="H71" i="97" s="1"/>
  <c r="D71" i="98" s="1"/>
  <c r="F71" i="98" s="1"/>
  <c r="H71" i="98" s="1"/>
  <c r="D71" i="99" s="1"/>
  <c r="F71" i="99" s="1"/>
  <c r="H71" i="99" s="1"/>
  <c r="D71" i="100" s="1"/>
  <c r="F71" i="100" s="1"/>
  <c r="H71" i="100" s="1"/>
  <c r="D71" i="101" s="1"/>
  <c r="F71" i="101" s="1"/>
  <c r="H71" i="101" s="1"/>
  <c r="D71" i="102" s="1"/>
  <c r="F71" i="102" s="1"/>
  <c r="H71" i="102" s="1"/>
  <c r="D71" i="103" s="1"/>
  <c r="F71" i="103" s="1"/>
  <c r="H71" i="103" s="1"/>
  <c r="D71" i="104" s="1"/>
  <c r="F71" i="104" s="1"/>
  <c r="H71" i="104" s="1"/>
  <c r="F70" i="97"/>
  <c r="H70" i="97" s="1"/>
  <c r="D70" i="98" s="1"/>
  <c r="F70" i="98" s="1"/>
  <c r="H70" i="98" s="1"/>
  <c r="D70" i="99" s="1"/>
  <c r="F70" i="99" s="1"/>
  <c r="H70" i="99" s="1"/>
  <c r="D70" i="100" s="1"/>
  <c r="F70" i="100" s="1"/>
  <c r="H70" i="100" s="1"/>
  <c r="D70" i="101" s="1"/>
  <c r="F70" i="101" s="1"/>
  <c r="H70" i="101" s="1"/>
  <c r="D70" i="102" s="1"/>
  <c r="F70" i="102" s="1"/>
  <c r="H70" i="102" s="1"/>
  <c r="D70" i="103" s="1"/>
  <c r="F70" i="103" s="1"/>
  <c r="H70" i="103" s="1"/>
  <c r="D70" i="104" s="1"/>
  <c r="F70" i="104" s="1"/>
  <c r="H70" i="104" s="1"/>
  <c r="F69" i="97"/>
  <c r="H69" i="97" s="1"/>
  <c r="D69" i="98" s="1"/>
  <c r="F69" i="98" s="1"/>
  <c r="H69" i="98" s="1"/>
  <c r="D69" i="99" s="1"/>
  <c r="F69" i="99" s="1"/>
  <c r="H69" i="99" s="1"/>
  <c r="D69" i="100" s="1"/>
  <c r="F69" i="100" s="1"/>
  <c r="H69" i="100" s="1"/>
  <c r="D69" i="101" s="1"/>
  <c r="F69" i="101" s="1"/>
  <c r="H69" i="101" s="1"/>
  <c r="D69" i="102" s="1"/>
  <c r="F69" i="102" s="1"/>
  <c r="H69" i="102" s="1"/>
  <c r="D69" i="103" s="1"/>
  <c r="F69" i="103" s="1"/>
  <c r="H69" i="103" s="1"/>
  <c r="D69" i="104" s="1"/>
  <c r="F69" i="104" s="1"/>
  <c r="H69" i="104" s="1"/>
  <c r="F66" i="97"/>
  <c r="H66" i="97" s="1"/>
  <c r="D66" i="98" s="1"/>
  <c r="F66" i="98" s="1"/>
  <c r="H66" i="98" s="1"/>
  <c r="D66" i="99" s="1"/>
  <c r="F66" i="99" s="1"/>
  <c r="H66" i="99" s="1"/>
  <c r="D66" i="100" s="1"/>
  <c r="F66" i="100" s="1"/>
  <c r="H66" i="100" s="1"/>
  <c r="D66" i="101" s="1"/>
  <c r="F66" i="101" s="1"/>
  <c r="H66" i="101" s="1"/>
  <c r="D66" i="102" s="1"/>
  <c r="F66" i="102" s="1"/>
  <c r="H66" i="102" s="1"/>
  <c r="D66" i="103" s="1"/>
  <c r="F66" i="103" s="1"/>
  <c r="H66" i="103" s="1"/>
  <c r="D66" i="104" s="1"/>
  <c r="F66" i="104" s="1"/>
  <c r="H66" i="104" s="1"/>
  <c r="F65" i="97"/>
  <c r="H65" i="97" s="1"/>
  <c r="F64" i="97"/>
  <c r="H64" i="97" s="1"/>
  <c r="D64" i="98" s="1"/>
  <c r="F64" i="98" s="1"/>
  <c r="H64" i="98" s="1"/>
  <c r="D64" i="99" s="1"/>
  <c r="F64" i="99" s="1"/>
  <c r="H64" i="99" s="1"/>
  <c r="D64" i="100" s="1"/>
  <c r="F64" i="100" s="1"/>
  <c r="H64" i="100" s="1"/>
  <c r="D64" i="101" s="1"/>
  <c r="F64" i="101" s="1"/>
  <c r="H64" i="101" s="1"/>
  <c r="D64" i="102" s="1"/>
  <c r="F64" i="102" s="1"/>
  <c r="H64" i="102" s="1"/>
  <c r="D64" i="103" s="1"/>
  <c r="F64" i="103" s="1"/>
  <c r="H64" i="103" s="1"/>
  <c r="D64" i="104" s="1"/>
  <c r="F64" i="104" s="1"/>
  <c r="H64" i="104" s="1"/>
  <c r="F62" i="97"/>
  <c r="H62" i="97" s="1"/>
  <c r="D62" i="98" s="1"/>
  <c r="F62" i="98" s="1"/>
  <c r="H62" i="98" s="1"/>
  <c r="D62" i="99" s="1"/>
  <c r="F62" i="99" s="1"/>
  <c r="H62" i="99" s="1"/>
  <c r="D62" i="100" s="1"/>
  <c r="F62" i="100" s="1"/>
  <c r="H62" i="100" s="1"/>
  <c r="D62" i="101" s="1"/>
  <c r="F62" i="101" s="1"/>
  <c r="H62" i="101" s="1"/>
  <c r="D62" i="102" s="1"/>
  <c r="F62" i="102" s="1"/>
  <c r="H62" i="102" s="1"/>
  <c r="D62" i="103" s="1"/>
  <c r="F62" i="103" s="1"/>
  <c r="H62" i="103" s="1"/>
  <c r="D62" i="104" s="1"/>
  <c r="F62" i="104" s="1"/>
  <c r="H62" i="104" s="1"/>
  <c r="F61" i="97"/>
  <c r="H61" i="97" s="1"/>
  <c r="D61" i="98" s="1"/>
  <c r="F61" i="98" s="1"/>
  <c r="H61" i="98" s="1"/>
  <c r="D61" i="99" s="1"/>
  <c r="F61" i="99" s="1"/>
  <c r="H61" i="99" s="1"/>
  <c r="D61" i="100" s="1"/>
  <c r="F61" i="100" s="1"/>
  <c r="H61" i="100" s="1"/>
  <c r="D61" i="101" s="1"/>
  <c r="F61" i="101" s="1"/>
  <c r="H61" i="101" s="1"/>
  <c r="D61" i="102" s="1"/>
  <c r="F61" i="102" s="1"/>
  <c r="H61" i="102" s="1"/>
  <c r="D61" i="103" s="1"/>
  <c r="F61" i="103" s="1"/>
  <c r="H61" i="103" s="1"/>
  <c r="F60" i="97"/>
  <c r="H60" i="97" s="1"/>
  <c r="D60" i="98" s="1"/>
  <c r="F60" i="98" s="1"/>
  <c r="H60" i="98" s="1"/>
  <c r="D60" i="99" s="1"/>
  <c r="F60" i="99" s="1"/>
  <c r="H60" i="99" s="1"/>
  <c r="D60" i="100" s="1"/>
  <c r="F60" i="100" s="1"/>
  <c r="H60" i="100" s="1"/>
  <c r="F59" i="97"/>
  <c r="H59" i="97" s="1"/>
  <c r="D59" i="98" s="1"/>
  <c r="F59" i="98" s="1"/>
  <c r="H59" i="98" s="1"/>
  <c r="D59" i="99" s="1"/>
  <c r="F59" i="99" s="1"/>
  <c r="H59" i="99" s="1"/>
  <c r="D59" i="100" s="1"/>
  <c r="F59" i="100" s="1"/>
  <c r="H59" i="100" s="1"/>
  <c r="D59" i="101" s="1"/>
  <c r="F59" i="101" s="1"/>
  <c r="H59" i="101" s="1"/>
  <c r="D59" i="102" s="1"/>
  <c r="F59" i="102" s="1"/>
  <c r="H59" i="102" s="1"/>
  <c r="D59" i="103" s="1"/>
  <c r="F59" i="103" s="1"/>
  <c r="H59" i="103" s="1"/>
  <c r="D59" i="104" s="1"/>
  <c r="F59" i="104" s="1"/>
  <c r="H59" i="104" s="1"/>
  <c r="F51" i="97"/>
  <c r="H51" i="97" s="1"/>
  <c r="D51" i="98" s="1"/>
  <c r="F51" i="98" s="1"/>
  <c r="H51" i="98" s="1"/>
  <c r="D51" i="99" s="1"/>
  <c r="F51" i="99" s="1"/>
  <c r="H51" i="99" s="1"/>
  <c r="D51" i="100" s="1"/>
  <c r="F51" i="100" s="1"/>
  <c r="H51" i="100" s="1"/>
  <c r="D51" i="101" s="1"/>
  <c r="F51" i="101" s="1"/>
  <c r="H51" i="101" s="1"/>
  <c r="D51" i="102" s="1"/>
  <c r="F51" i="102" s="1"/>
  <c r="H51" i="102" s="1"/>
  <c r="D51" i="103" s="1"/>
  <c r="F51" i="103" s="1"/>
  <c r="H51" i="103" s="1"/>
  <c r="D51" i="104" s="1"/>
  <c r="F51" i="104" s="1"/>
  <c r="H51" i="104" s="1"/>
  <c r="G77" i="97"/>
  <c r="F49" i="97"/>
  <c r="H49" i="97" s="1"/>
  <c r="D49" i="98" s="1"/>
  <c r="F49" i="98" s="1"/>
  <c r="H49" i="98" s="1"/>
  <c r="D49" i="99" s="1"/>
  <c r="F49" i="99" s="1"/>
  <c r="H49" i="99" s="1"/>
  <c r="D49" i="100" s="1"/>
  <c r="F49" i="100" s="1"/>
  <c r="H49" i="100" s="1"/>
  <c r="D49" i="101" s="1"/>
  <c r="F49" i="101" s="1"/>
  <c r="H49" i="101" s="1"/>
  <c r="D49" i="102" s="1"/>
  <c r="F49" i="102" s="1"/>
  <c r="H49" i="102" s="1"/>
  <c r="D49" i="103" s="1"/>
  <c r="F49" i="103" s="1"/>
  <c r="H49" i="103" s="1"/>
  <c r="D49" i="104" s="1"/>
  <c r="F49" i="104" s="1"/>
  <c r="H49" i="104" s="1"/>
  <c r="C30" i="97"/>
  <c r="C36" i="97" s="1"/>
  <c r="F19" i="97"/>
  <c r="B24" i="97" s="1"/>
  <c r="E19" i="97"/>
  <c r="C19" i="97"/>
  <c r="G18" i="97"/>
  <c r="I18" i="97" s="1"/>
  <c r="G11" i="97"/>
  <c r="I11" i="97" s="1"/>
  <c r="D11" i="98" s="1"/>
  <c r="G11" i="98" s="1"/>
  <c r="I11" i="98" s="1"/>
  <c r="D11" i="99" s="1"/>
  <c r="G11" i="99" s="1"/>
  <c r="I11" i="99" s="1"/>
  <c r="G10" i="97"/>
  <c r="I10" i="97" s="1"/>
  <c r="H19" i="97"/>
  <c r="F24" i="97" s="1"/>
  <c r="G7" i="97"/>
  <c r="I7" i="97" s="1"/>
  <c r="D7" i="98" s="1"/>
  <c r="G7" i="98" s="1"/>
  <c r="I7" i="98" s="1"/>
  <c r="D7" i="99" s="1"/>
  <c r="G7" i="99" s="1"/>
  <c r="I7" i="99" s="1"/>
  <c r="D7" i="100" s="1"/>
  <c r="M92" i="97" l="1"/>
  <c r="D59" i="105"/>
  <c r="F59" i="105" s="1"/>
  <c r="H59" i="105" s="1"/>
  <c r="D59" i="106" s="1"/>
  <c r="F59" i="106" s="1"/>
  <c r="H59" i="106" s="1"/>
  <c r="D59" i="107" s="1"/>
  <c r="F59" i="107" s="1"/>
  <c r="H59" i="107" s="1"/>
  <c r="D64" i="105"/>
  <c r="F64" i="105" s="1"/>
  <c r="H64" i="105" s="1"/>
  <c r="D64" i="106" s="1"/>
  <c r="F64" i="106" s="1"/>
  <c r="H64" i="106" s="1"/>
  <c r="D64" i="107" s="1"/>
  <c r="F64" i="107" s="1"/>
  <c r="H64" i="107" s="1"/>
  <c r="D66" i="105"/>
  <c r="F66" i="105" s="1"/>
  <c r="H66" i="105" s="1"/>
  <c r="D66" i="106" s="1"/>
  <c r="F66" i="106" s="1"/>
  <c r="H66" i="106" s="1"/>
  <c r="D66" i="107" s="1"/>
  <c r="F66" i="107" s="1"/>
  <c r="H66" i="107" s="1"/>
  <c r="D70" i="105"/>
  <c r="F70" i="105" s="1"/>
  <c r="H70" i="105" s="1"/>
  <c r="D70" i="106" s="1"/>
  <c r="F70" i="106" s="1"/>
  <c r="H70" i="106" s="1"/>
  <c r="D70" i="107" s="1"/>
  <c r="F70" i="107" s="1"/>
  <c r="H70" i="107" s="1"/>
  <c r="D49" i="105"/>
  <c r="F49" i="105" s="1"/>
  <c r="H49" i="105" s="1"/>
  <c r="D49" i="106" s="1"/>
  <c r="F49" i="106" s="1"/>
  <c r="H49" i="106" s="1"/>
  <c r="D49" i="107" s="1"/>
  <c r="F49" i="107" s="1"/>
  <c r="H49" i="107" s="1"/>
  <c r="D51" i="105"/>
  <c r="F51" i="105" s="1"/>
  <c r="H51" i="105" s="1"/>
  <c r="D51" i="106" s="1"/>
  <c r="F51" i="106" s="1"/>
  <c r="H51" i="106" s="1"/>
  <c r="D51" i="107" s="1"/>
  <c r="F51" i="107" s="1"/>
  <c r="H51" i="107" s="1"/>
  <c r="D62" i="105"/>
  <c r="F62" i="105" s="1"/>
  <c r="H62" i="105" s="1"/>
  <c r="D62" i="106" s="1"/>
  <c r="F62" i="106" s="1"/>
  <c r="H62" i="106" s="1"/>
  <c r="D62" i="107" s="1"/>
  <c r="F62" i="107" s="1"/>
  <c r="H62" i="107" s="1"/>
  <c r="D69" i="105"/>
  <c r="F69" i="105" s="1"/>
  <c r="H69" i="105" s="1"/>
  <c r="D69" i="106" s="1"/>
  <c r="F69" i="106" s="1"/>
  <c r="H69" i="106" s="1"/>
  <c r="D69" i="107" s="1"/>
  <c r="F69" i="107" s="1"/>
  <c r="H69" i="107" s="1"/>
  <c r="D71" i="105"/>
  <c r="F71" i="105" s="1"/>
  <c r="H71" i="105" s="1"/>
  <c r="D71" i="106" s="1"/>
  <c r="F71" i="106" s="1"/>
  <c r="H71" i="106" s="1"/>
  <c r="D71" i="107" s="1"/>
  <c r="F71" i="107" s="1"/>
  <c r="H71" i="107" s="1"/>
  <c r="G7" i="100"/>
  <c r="D61" i="104"/>
  <c r="F61" i="104" s="1"/>
  <c r="H61" i="104" s="1"/>
  <c r="F82" i="97"/>
  <c r="G8" i="98"/>
  <c r="C86" i="97"/>
  <c r="G86" i="97" s="1"/>
  <c r="C27" i="97"/>
  <c r="G27" i="97" s="1"/>
  <c r="G30" i="97"/>
  <c r="G36" i="97" s="1"/>
  <c r="D61" i="105" l="1"/>
  <c r="F61" i="105" s="1"/>
  <c r="H61" i="105" s="1"/>
  <c r="D61" i="106" s="1"/>
  <c r="F61" i="106" s="1"/>
  <c r="H61" i="106" s="1"/>
  <c r="D61" i="107" s="1"/>
  <c r="F61" i="107" s="1"/>
  <c r="H61" i="107" s="1"/>
  <c r="I7" i="100"/>
  <c r="D7" i="101" s="1"/>
  <c r="I8" i="98"/>
  <c r="D8" i="99" s="1"/>
  <c r="G8" i="99" s="1"/>
  <c r="I8" i="99" s="1"/>
  <c r="D8" i="100" s="1"/>
  <c r="G59" i="96"/>
  <c r="G8" i="100" l="1"/>
  <c r="G7" i="101"/>
  <c r="G60" i="96"/>
  <c r="I7" i="101" l="1"/>
  <c r="D7" i="102" s="1"/>
  <c r="I8" i="100"/>
  <c r="D8" i="101" s="1"/>
  <c r="H9" i="96"/>
  <c r="G8" i="101" l="1"/>
  <c r="G7" i="102"/>
  <c r="G71" i="96"/>
  <c r="I7" i="102" l="1"/>
  <c r="I8" i="101"/>
  <c r="D8" i="102" s="1"/>
  <c r="G74" i="96"/>
  <c r="G8" i="102" l="1"/>
  <c r="D7" i="103"/>
  <c r="H15" i="96"/>
  <c r="G7" i="103" l="1"/>
  <c r="I8" i="102"/>
  <c r="G72" i="96"/>
  <c r="D8" i="103" l="1"/>
  <c r="I7" i="103"/>
  <c r="G52" i="96"/>
  <c r="D7" i="104" l="1"/>
  <c r="G8" i="103"/>
  <c r="H6" i="96"/>
  <c r="I8" i="103" l="1"/>
  <c r="G7" i="104"/>
  <c r="G48" i="96"/>
  <c r="I7" i="104" l="1"/>
  <c r="D8" i="104"/>
  <c r="G54" i="96"/>
  <c r="G8" i="104" l="1"/>
  <c r="D7" i="105"/>
  <c r="G7" i="105" s="1"/>
  <c r="G56" i="96"/>
  <c r="I7" i="105" l="1"/>
  <c r="D7" i="106" s="1"/>
  <c r="I8" i="104"/>
  <c r="H12" i="96"/>
  <c r="G7" i="106" l="1"/>
  <c r="I7" i="106" s="1"/>
  <c r="D7" i="107" s="1"/>
  <c r="D8" i="105"/>
  <c r="G8" i="105" s="1"/>
  <c r="H8" i="96"/>
  <c r="G7" i="107" l="1"/>
  <c r="I7" i="107" s="1"/>
  <c r="I8" i="105"/>
  <c r="D8" i="106" s="1"/>
  <c r="G68" i="96"/>
  <c r="G8" i="106" l="1"/>
  <c r="I8" i="106" s="1"/>
  <c r="D8" i="107" s="1"/>
  <c r="G65" i="96"/>
  <c r="G8" i="107" l="1"/>
  <c r="I8" i="107" s="1"/>
  <c r="G62" i="96"/>
  <c r="G59" i="95" l="1"/>
  <c r="G94" i="96"/>
  <c r="C94" i="96"/>
  <c r="L91" i="96"/>
  <c r="K91" i="96"/>
  <c r="J76" i="96"/>
  <c r="I76" i="96"/>
  <c r="B84" i="96" s="1"/>
  <c r="E76" i="96"/>
  <c r="B81" i="96" s="1"/>
  <c r="C76" i="96"/>
  <c r="D75" i="96"/>
  <c r="G76" i="96"/>
  <c r="F81" i="96" s="1"/>
  <c r="G40" i="96"/>
  <c r="C28" i="96"/>
  <c r="C35" i="96" s="1"/>
  <c r="F18" i="96"/>
  <c r="B23" i="96" s="1"/>
  <c r="E18" i="96"/>
  <c r="C18" i="96"/>
  <c r="H11" i="96"/>
  <c r="H18" i="96" s="1"/>
  <c r="F23" i="96" s="1"/>
  <c r="M91" i="96" l="1"/>
  <c r="C25" i="96"/>
  <c r="G25" i="96" s="1"/>
  <c r="C85" i="96"/>
  <c r="G85" i="96" s="1"/>
  <c r="G28" i="96"/>
  <c r="G35" i="96" s="1"/>
  <c r="G66" i="95"/>
  <c r="G69" i="95" l="1"/>
  <c r="K101" i="95" l="1"/>
  <c r="G50" i="95" l="1"/>
  <c r="H14" i="95" l="1"/>
  <c r="G70" i="95" l="1"/>
  <c r="G67" i="95" l="1"/>
  <c r="G48" i="95" l="1"/>
  <c r="G60" i="95" l="1"/>
  <c r="G54" i="95" l="1"/>
  <c r="H9" i="95" l="1"/>
  <c r="H11" i="95" l="1"/>
  <c r="G63" i="95" l="1"/>
  <c r="G64" i="95" l="1"/>
  <c r="D12" i="95" l="1"/>
  <c r="G12" i="95" l="1"/>
  <c r="E76" i="95"/>
  <c r="D51" i="95"/>
  <c r="D75" i="95"/>
  <c r="G94" i="95" l="1"/>
  <c r="C94" i="95"/>
  <c r="L91" i="95"/>
  <c r="K91" i="95"/>
  <c r="J76" i="95"/>
  <c r="I76" i="95"/>
  <c r="B84" i="95" s="1"/>
  <c r="B81" i="95"/>
  <c r="C76" i="95"/>
  <c r="H55" i="95"/>
  <c r="D55" i="96" s="1"/>
  <c r="F55" i="96" s="1"/>
  <c r="H55" i="96" s="1"/>
  <c r="D55" i="97" s="1"/>
  <c r="F55" i="97" s="1"/>
  <c r="H55" i="97" s="1"/>
  <c r="D55" i="98" s="1"/>
  <c r="F55" i="98" s="1"/>
  <c r="H55" i="98" s="1"/>
  <c r="D55" i="99" s="1"/>
  <c r="F55" i="99" s="1"/>
  <c r="H55" i="99" s="1"/>
  <c r="D55" i="100" s="1"/>
  <c r="F55" i="100" s="1"/>
  <c r="H55" i="100" s="1"/>
  <c r="D55" i="101" s="1"/>
  <c r="F55" i="101" s="1"/>
  <c r="H55" i="101" s="1"/>
  <c r="D55" i="102" s="1"/>
  <c r="F55" i="102" s="1"/>
  <c r="H55" i="102" s="1"/>
  <c r="D55" i="103" s="1"/>
  <c r="F55" i="103" s="1"/>
  <c r="H55" i="103" s="1"/>
  <c r="D55" i="104" s="1"/>
  <c r="F55" i="104" s="1"/>
  <c r="H55" i="104" s="1"/>
  <c r="F51" i="95"/>
  <c r="H51" i="95" s="1"/>
  <c r="D51" i="96" s="1"/>
  <c r="F51" i="96" s="1"/>
  <c r="H51" i="96" s="1"/>
  <c r="G76" i="95"/>
  <c r="F81" i="95" s="1"/>
  <c r="G40" i="95"/>
  <c r="C28" i="95"/>
  <c r="C35" i="95" s="1"/>
  <c r="F18" i="95"/>
  <c r="B23" i="95" s="1"/>
  <c r="E18" i="95"/>
  <c r="C18" i="95"/>
  <c r="I12" i="95"/>
  <c r="D12" i="96" s="1"/>
  <c r="G12" i="96" s="1"/>
  <c r="I12" i="96" s="1"/>
  <c r="D12" i="97" s="1"/>
  <c r="G12" i="97" s="1"/>
  <c r="I12" i="97" s="1"/>
  <c r="D12" i="98" s="1"/>
  <c r="G12" i="98" s="1"/>
  <c r="I12" i="98" s="1"/>
  <c r="D12" i="99" s="1"/>
  <c r="G12" i="99" s="1"/>
  <c r="I12" i="99" s="1"/>
  <c r="D12" i="100" s="1"/>
  <c r="G12" i="100" s="1"/>
  <c r="I12" i="100" s="1"/>
  <c r="D12" i="101" s="1"/>
  <c r="G12" i="101" s="1"/>
  <c r="I12" i="101" s="1"/>
  <c r="D12" i="102" s="1"/>
  <c r="G12" i="102" s="1"/>
  <c r="I12" i="102" s="1"/>
  <c r="D12" i="103" s="1"/>
  <c r="G12" i="103" s="1"/>
  <c r="I12" i="103" s="1"/>
  <c r="D12" i="104" s="1"/>
  <c r="G12" i="104" s="1"/>
  <c r="I12" i="104" s="1"/>
  <c r="D12" i="105" s="1"/>
  <c r="G12" i="105" s="1"/>
  <c r="I12" i="105" s="1"/>
  <c r="D12" i="106" s="1"/>
  <c r="G12" i="106" s="1"/>
  <c r="I12" i="106" s="1"/>
  <c r="D12" i="107" s="1"/>
  <c r="G12" i="107" s="1"/>
  <c r="I12" i="107" s="1"/>
  <c r="H18" i="95"/>
  <c r="F23" i="95" s="1"/>
  <c r="G59" i="94"/>
  <c r="D55" i="105" l="1"/>
  <c r="F55" i="105" s="1"/>
  <c r="H55" i="105" s="1"/>
  <c r="D55" i="106" s="1"/>
  <c r="F55" i="106" s="1"/>
  <c r="H55" i="106" s="1"/>
  <c r="D55" i="107" s="1"/>
  <c r="F55" i="107" s="1"/>
  <c r="H55" i="107" s="1"/>
  <c r="M91" i="95"/>
  <c r="C25" i="95"/>
  <c r="G25" i="95" s="1"/>
  <c r="C85" i="95"/>
  <c r="G85" i="95" s="1"/>
  <c r="G28" i="95"/>
  <c r="G35" i="95" s="1"/>
  <c r="G74" i="94"/>
  <c r="H8" i="94" l="1"/>
  <c r="G72" i="94" l="1"/>
  <c r="G66" i="94"/>
  <c r="G60" i="94" l="1"/>
  <c r="G67" i="94"/>
  <c r="G47" i="94" l="1"/>
  <c r="G71" i="94" l="1"/>
  <c r="G48" i="94" l="1"/>
  <c r="E76" i="94" l="1"/>
  <c r="B81" i="94" s="1"/>
  <c r="H55" i="94" l="1"/>
  <c r="D55" i="95" s="1"/>
  <c r="M99" i="93" l="1"/>
  <c r="K98" i="93"/>
  <c r="H15" i="94" l="1"/>
  <c r="C28" i="94" l="1"/>
  <c r="G28" i="94" s="1"/>
  <c r="G60" i="93"/>
  <c r="G67" i="93"/>
  <c r="G74" i="93"/>
  <c r="G66" i="93"/>
  <c r="H13" i="93" l="1"/>
  <c r="G53" i="93" l="1"/>
  <c r="D75" i="94" l="1"/>
  <c r="C94" i="94"/>
  <c r="L91" i="94"/>
  <c r="G94" i="94"/>
  <c r="K91" i="94"/>
  <c r="J76" i="94"/>
  <c r="I76" i="94"/>
  <c r="B84" i="94" s="1"/>
  <c r="C76" i="94"/>
  <c r="G76" i="94"/>
  <c r="F81" i="94" s="1"/>
  <c r="G40" i="94"/>
  <c r="C35" i="94"/>
  <c r="F18" i="94"/>
  <c r="B23" i="94" s="1"/>
  <c r="C18" i="94"/>
  <c r="E18" i="94"/>
  <c r="H18" i="94"/>
  <c r="F23" i="94" s="1"/>
  <c r="M91" i="94" l="1"/>
  <c r="C25" i="94"/>
  <c r="G25" i="94" s="1"/>
  <c r="G35" i="94"/>
  <c r="C85" i="94"/>
  <c r="G85" i="94" s="1"/>
  <c r="G87" i="93"/>
  <c r="C28" i="93"/>
  <c r="G28" i="93" s="1"/>
  <c r="G29" i="93"/>
  <c r="G95" i="93" l="1"/>
  <c r="C95" i="93"/>
  <c r="K84" i="93"/>
  <c r="K83" i="93"/>
  <c r="K82" i="93"/>
  <c r="H9" i="93" l="1"/>
  <c r="G65" i="93" l="1"/>
  <c r="G59" i="93" l="1"/>
  <c r="G70" i="93" l="1"/>
  <c r="H8" i="93" l="1"/>
  <c r="G71" i="93" l="1"/>
  <c r="H14" i="93" l="1"/>
  <c r="G54" i="93" l="1"/>
  <c r="G62" i="93" l="1"/>
  <c r="G63" i="93" l="1"/>
  <c r="G68" i="93" l="1"/>
  <c r="G72" i="93" l="1"/>
  <c r="G52" i="93" l="1"/>
  <c r="G64" i="93" l="1"/>
  <c r="H6" i="93" l="1"/>
  <c r="H18" i="93" l="1"/>
  <c r="D75" i="93" l="1"/>
  <c r="L91" i="93"/>
  <c r="K91" i="93"/>
  <c r="J76" i="93"/>
  <c r="I76" i="93"/>
  <c r="B84" i="93" s="1"/>
  <c r="E76" i="93"/>
  <c r="B81" i="93" s="1"/>
  <c r="C76" i="93"/>
  <c r="L67" i="93"/>
  <c r="G76" i="93"/>
  <c r="F81" i="93" s="1"/>
  <c r="G40" i="93"/>
  <c r="C35" i="93"/>
  <c r="F18" i="93"/>
  <c r="C18" i="93"/>
  <c r="E11" i="93"/>
  <c r="E18" i="93" s="1"/>
  <c r="F23" i="93"/>
  <c r="M91" i="93" l="1"/>
  <c r="C85" i="93"/>
  <c r="G85" i="93" s="1"/>
  <c r="B23" i="93"/>
  <c r="G35" i="93"/>
  <c r="C25" i="93"/>
  <c r="G25" i="93" s="1"/>
  <c r="G66" i="92"/>
  <c r="H10" i="92" l="1"/>
  <c r="K85" i="92" l="1"/>
  <c r="K84" i="92"/>
  <c r="K83" i="92"/>
  <c r="K82" i="92"/>
  <c r="K91" i="92" l="1"/>
  <c r="G65" i="92"/>
  <c r="H8" i="92" l="1"/>
  <c r="G52" i="92" l="1"/>
  <c r="G54" i="92"/>
  <c r="E11" i="92" l="1"/>
  <c r="G48" i="92" l="1"/>
  <c r="G68" i="92" l="1"/>
  <c r="H6" i="92" l="1"/>
  <c r="H5" i="92" l="1"/>
  <c r="G62" i="92" l="1"/>
  <c r="G60" i="92" l="1"/>
  <c r="G72" i="92" l="1"/>
  <c r="G47" i="92"/>
  <c r="G71" i="92" l="1"/>
  <c r="G59" i="92"/>
  <c r="G57" i="92" l="1"/>
  <c r="G64" i="92" l="1"/>
  <c r="H13" i="91" l="1"/>
  <c r="G70" i="92" l="1"/>
  <c r="G55" i="91" l="1"/>
  <c r="G66" i="91" l="1"/>
  <c r="G97" i="92"/>
  <c r="C97" i="92"/>
  <c r="L91" i="92"/>
  <c r="M91" i="92" s="1"/>
  <c r="J76" i="92"/>
  <c r="I76" i="92"/>
  <c r="B84" i="92" s="1"/>
  <c r="E76" i="92"/>
  <c r="C76" i="92"/>
  <c r="L67" i="92"/>
  <c r="F67" i="92"/>
  <c r="H67" i="92" s="1"/>
  <c r="D67" i="93" s="1"/>
  <c r="F67" i="93" s="1"/>
  <c r="H67" i="93" s="1"/>
  <c r="D67" i="94" s="1"/>
  <c r="F67" i="94" s="1"/>
  <c r="H67" i="94" s="1"/>
  <c r="D67" i="95" s="1"/>
  <c r="F67" i="95" s="1"/>
  <c r="H67" i="95" s="1"/>
  <c r="D67" i="96" s="1"/>
  <c r="F67" i="96" s="1"/>
  <c r="H67" i="96" s="1"/>
  <c r="G76" i="92"/>
  <c r="F81" i="92" s="1"/>
  <c r="G40" i="92"/>
  <c r="C28" i="92"/>
  <c r="G28" i="92" s="1"/>
  <c r="C27" i="92"/>
  <c r="G27" i="92" s="1"/>
  <c r="F18" i="92"/>
  <c r="B23" i="92" s="1"/>
  <c r="E18" i="92"/>
  <c r="C18" i="92"/>
  <c r="N16" i="92"/>
  <c r="N15" i="92"/>
  <c r="H18" i="92"/>
  <c r="F23" i="92" s="1"/>
  <c r="F68" i="97" l="1"/>
  <c r="G35" i="92"/>
  <c r="B81" i="92"/>
  <c r="C85" i="92" s="1"/>
  <c r="G85" i="92" s="1"/>
  <c r="C25" i="92"/>
  <c r="G25" i="92" s="1"/>
  <c r="C35" i="92"/>
  <c r="G69" i="91"/>
  <c r="H68" i="97" l="1"/>
  <c r="D68" i="98" s="1"/>
  <c r="F68" i="98" s="1"/>
  <c r="H68" i="98" s="1"/>
  <c r="D68" i="99" s="1"/>
  <c r="F68" i="99" s="1"/>
  <c r="H68" i="99" s="1"/>
  <c r="D68" i="100" s="1"/>
  <c r="F68" i="100" s="1"/>
  <c r="H68" i="100" s="1"/>
  <c r="D68" i="101" s="1"/>
  <c r="F68" i="101" s="1"/>
  <c r="H68" i="101" s="1"/>
  <c r="D68" i="102" s="1"/>
  <c r="F68" i="102" s="1"/>
  <c r="H68" i="102" s="1"/>
  <c r="D68" i="103" s="1"/>
  <c r="F68" i="103" s="1"/>
  <c r="H68" i="103" s="1"/>
  <c r="D68" i="104" s="1"/>
  <c r="F68" i="104" s="1"/>
  <c r="H68" i="104" s="1"/>
  <c r="G61" i="91"/>
  <c r="D68" i="105" l="1"/>
  <c r="F68" i="105" s="1"/>
  <c r="H68" i="105" s="1"/>
  <c r="D68" i="106" s="1"/>
  <c r="F68" i="106" s="1"/>
  <c r="H68" i="106" s="1"/>
  <c r="D68" i="107" s="1"/>
  <c r="F68" i="107" s="1"/>
  <c r="H68" i="107" s="1"/>
  <c r="C89" i="87"/>
  <c r="L91" i="91" l="1"/>
  <c r="H9" i="91"/>
  <c r="H14" i="91"/>
  <c r="C29" i="91"/>
  <c r="G29" i="91"/>
  <c r="G63" i="91" l="1"/>
  <c r="G72" i="91" l="1"/>
  <c r="G54" i="91" l="1"/>
  <c r="H8" i="91" l="1"/>
  <c r="H7" i="91" l="1"/>
  <c r="G71" i="91" l="1"/>
  <c r="H10" i="91" l="1"/>
  <c r="N16" i="91" l="1"/>
  <c r="K91" i="91"/>
  <c r="M91" i="91" s="1"/>
  <c r="L67" i="91" l="1"/>
  <c r="J76" i="91" l="1"/>
  <c r="F83" i="91"/>
  <c r="G29" i="90" l="1"/>
  <c r="L44" i="89" l="1"/>
  <c r="G74" i="90" l="1"/>
  <c r="G97" i="91"/>
  <c r="C97" i="91"/>
  <c r="E76" i="91"/>
  <c r="C76" i="91"/>
  <c r="I76" i="91"/>
  <c r="B84" i="91" s="1"/>
  <c r="F59" i="91"/>
  <c r="H59" i="91" s="1"/>
  <c r="D59" i="92" s="1"/>
  <c r="F59" i="92" s="1"/>
  <c r="H59" i="92" s="1"/>
  <c r="D59" i="93" s="1"/>
  <c r="F59" i="93" s="1"/>
  <c r="H59" i="93" s="1"/>
  <c r="D59" i="94" s="1"/>
  <c r="F59" i="94" s="1"/>
  <c r="H59" i="94" s="1"/>
  <c r="D59" i="95" s="1"/>
  <c r="F59" i="95" s="1"/>
  <c r="H59" i="95" s="1"/>
  <c r="D59" i="96" s="1"/>
  <c r="F59" i="96" s="1"/>
  <c r="H59" i="96" s="1"/>
  <c r="G76" i="91"/>
  <c r="F81" i="91" s="1"/>
  <c r="G40" i="91"/>
  <c r="C28" i="91"/>
  <c r="G28" i="91" s="1"/>
  <c r="C27" i="91"/>
  <c r="F18" i="91"/>
  <c r="B23" i="91" s="1"/>
  <c r="E18" i="91"/>
  <c r="C18" i="91"/>
  <c r="N15" i="91"/>
  <c r="H18" i="91"/>
  <c r="F23" i="91" s="1"/>
  <c r="C35" i="91" l="1"/>
  <c r="B81" i="91"/>
  <c r="C25" i="91"/>
  <c r="G25" i="91" s="1"/>
  <c r="C85" i="91"/>
  <c r="G85" i="91" s="1"/>
  <c r="G27" i="91"/>
  <c r="G35" i="91" s="1"/>
  <c r="G60" i="90"/>
  <c r="G55" i="90"/>
  <c r="G53" i="90"/>
  <c r="H8" i="90"/>
  <c r="H10" i="90" l="1"/>
  <c r="G5" i="92" l="1"/>
  <c r="K84" i="90"/>
  <c r="I5" i="92" l="1"/>
  <c r="P93" i="90"/>
  <c r="G66" i="90"/>
  <c r="D5" i="93" l="1"/>
  <c r="K67" i="90"/>
  <c r="G67" i="90"/>
  <c r="G72" i="90"/>
  <c r="G5" i="93" l="1"/>
  <c r="H9" i="90"/>
  <c r="I5" i="93" l="1"/>
  <c r="H15" i="90"/>
  <c r="D5" i="94" l="1"/>
  <c r="G5" i="94" s="1"/>
  <c r="I71" i="90"/>
  <c r="I5" i="94" l="1"/>
  <c r="D5" i="95" s="1"/>
  <c r="K89" i="90"/>
  <c r="G5" i="95" l="1"/>
  <c r="G71" i="90"/>
  <c r="I5" i="95" l="1"/>
  <c r="G5" i="96" s="1"/>
  <c r="I5" i="96" s="1"/>
  <c r="G6" i="97" s="1"/>
  <c r="C27" i="90"/>
  <c r="I76" i="90" l="1"/>
  <c r="I6" i="97" l="1"/>
  <c r="G64" i="90"/>
  <c r="C28" i="90" l="1"/>
  <c r="G28" i="90" s="1"/>
  <c r="C87" i="90" l="1"/>
  <c r="G87" i="90" l="1"/>
  <c r="D52" i="90" l="1"/>
  <c r="F52" i="90" s="1"/>
  <c r="H52" i="90" s="1"/>
  <c r="D52" i="91" s="1"/>
  <c r="F52" i="91" s="1"/>
  <c r="H52" i="91" s="1"/>
  <c r="D52" i="92" s="1"/>
  <c r="F52" i="92" s="1"/>
  <c r="H52" i="92" s="1"/>
  <c r="D52" i="93" s="1"/>
  <c r="F52" i="93" s="1"/>
  <c r="H52" i="93" s="1"/>
  <c r="D52" i="94" s="1"/>
  <c r="F52" i="94" s="1"/>
  <c r="H52" i="94" s="1"/>
  <c r="D52" i="95" s="1"/>
  <c r="F52" i="95" s="1"/>
  <c r="H52" i="95" s="1"/>
  <c r="D52" i="96" s="1"/>
  <c r="F52" i="96" s="1"/>
  <c r="H52" i="96" s="1"/>
  <c r="D52" i="97" s="1"/>
  <c r="F52" i="97" s="1"/>
  <c r="H52" i="97" s="1"/>
  <c r="D52" i="98" s="1"/>
  <c r="F52" i="98" s="1"/>
  <c r="H52" i="98" s="1"/>
  <c r="D52" i="99" s="1"/>
  <c r="F52" i="99" s="1"/>
  <c r="H52" i="99" s="1"/>
  <c r="D52" i="100" s="1"/>
  <c r="F52" i="100" s="1"/>
  <c r="H52" i="100" s="1"/>
  <c r="D52" i="101" s="1"/>
  <c r="F52" i="101" s="1"/>
  <c r="H52" i="101" s="1"/>
  <c r="D52" i="102" s="1"/>
  <c r="F52" i="102" s="1"/>
  <c r="H52" i="102" s="1"/>
  <c r="D52" i="103" s="1"/>
  <c r="F52" i="103" s="1"/>
  <c r="H52" i="103" s="1"/>
  <c r="D52" i="104" s="1"/>
  <c r="F52" i="104" s="1"/>
  <c r="H52" i="104" s="1"/>
  <c r="D53" i="90"/>
  <c r="F53" i="90" s="1"/>
  <c r="H53" i="90" s="1"/>
  <c r="D53" i="91" s="1"/>
  <c r="F53" i="91" s="1"/>
  <c r="H53" i="91" s="1"/>
  <c r="D53" i="92" s="1"/>
  <c r="F53" i="92" s="1"/>
  <c r="H53" i="92" s="1"/>
  <c r="D53" i="93" s="1"/>
  <c r="F53" i="93" s="1"/>
  <c r="H53" i="93" s="1"/>
  <c r="D53" i="94" s="1"/>
  <c r="F53" i="94" s="1"/>
  <c r="H53" i="94" s="1"/>
  <c r="D53" i="95" s="1"/>
  <c r="F53" i="95" s="1"/>
  <c r="H53" i="95" s="1"/>
  <c r="D53" i="96" s="1"/>
  <c r="F53" i="96" s="1"/>
  <c r="H53" i="96" s="1"/>
  <c r="D53" i="97" s="1"/>
  <c r="F53" i="97" s="1"/>
  <c r="H53" i="97" s="1"/>
  <c r="D53" i="98" s="1"/>
  <c r="F53" i="98" s="1"/>
  <c r="H53" i="98" s="1"/>
  <c r="D53" i="99" s="1"/>
  <c r="F53" i="99" s="1"/>
  <c r="H53" i="99" s="1"/>
  <c r="D53" i="100" s="1"/>
  <c r="F53" i="100" s="1"/>
  <c r="H53" i="100" s="1"/>
  <c r="D53" i="101" s="1"/>
  <c r="F53" i="101" s="1"/>
  <c r="H53" i="101" s="1"/>
  <c r="D53" i="102" s="1"/>
  <c r="F53" i="102" s="1"/>
  <c r="H53" i="102" s="1"/>
  <c r="D53" i="103" s="1"/>
  <c r="F53" i="103" s="1"/>
  <c r="H53" i="103" s="1"/>
  <c r="D53" i="104" s="1"/>
  <c r="F53" i="104" s="1"/>
  <c r="H53" i="104" s="1"/>
  <c r="F71" i="90"/>
  <c r="F72" i="90"/>
  <c r="D53" i="105" l="1"/>
  <c r="F53" i="105" s="1"/>
  <c r="H53" i="105" s="1"/>
  <c r="D53" i="106" s="1"/>
  <c r="F53" i="106" s="1"/>
  <c r="H53" i="106" s="1"/>
  <c r="D53" i="107" s="1"/>
  <c r="F53" i="107" s="1"/>
  <c r="H53" i="107" s="1"/>
  <c r="D52" i="105"/>
  <c r="F52" i="105" s="1"/>
  <c r="H52" i="105" s="1"/>
  <c r="F52" i="106"/>
  <c r="H52" i="106" s="1"/>
  <c r="D52" i="107" s="1"/>
  <c r="F52" i="107" s="1"/>
  <c r="H52" i="107" s="1"/>
  <c r="E76" i="90"/>
  <c r="C76" i="90"/>
  <c r="H72" i="90"/>
  <c r="D72" i="91" s="1"/>
  <c r="F72" i="91" s="1"/>
  <c r="H72" i="91" s="1"/>
  <c r="D72" i="92" s="1"/>
  <c r="F72" i="92" s="1"/>
  <c r="H72" i="92" s="1"/>
  <c r="D72" i="93" s="1"/>
  <c r="F72" i="93" s="1"/>
  <c r="H72" i="93" s="1"/>
  <c r="D72" i="94" s="1"/>
  <c r="F72" i="94" s="1"/>
  <c r="H72" i="94" s="1"/>
  <c r="D72" i="95" s="1"/>
  <c r="F72" i="95" s="1"/>
  <c r="H72" i="95" s="1"/>
  <c r="D72" i="96" s="1"/>
  <c r="F72" i="96" s="1"/>
  <c r="H72" i="96" s="1"/>
  <c r="H71" i="90"/>
  <c r="D71" i="91" s="1"/>
  <c r="F71" i="91" s="1"/>
  <c r="H71" i="91" s="1"/>
  <c r="D71" i="92" s="1"/>
  <c r="F71" i="92" s="1"/>
  <c r="H71" i="92" s="1"/>
  <c r="D71" i="93" s="1"/>
  <c r="F71" i="93" s="1"/>
  <c r="H71" i="93" s="1"/>
  <c r="D71" i="94" s="1"/>
  <c r="F71" i="94" s="1"/>
  <c r="H71" i="94" s="1"/>
  <c r="D71" i="95" s="1"/>
  <c r="F71" i="95" s="1"/>
  <c r="H71" i="95" s="1"/>
  <c r="D71" i="96" s="1"/>
  <c r="F71" i="96" s="1"/>
  <c r="H71" i="96" s="1"/>
  <c r="G76" i="90"/>
  <c r="F81" i="90" s="1"/>
  <c r="F51" i="89"/>
  <c r="G66" i="89" l="1"/>
  <c r="G67" i="89" l="1"/>
  <c r="G40" i="90" l="1"/>
  <c r="C35" i="90"/>
  <c r="F18" i="90"/>
  <c r="E18" i="90"/>
  <c r="C18" i="90"/>
  <c r="H18" i="90"/>
  <c r="B23" i="90" l="1"/>
  <c r="C25" i="90" s="1"/>
  <c r="G25" i="90" s="1"/>
  <c r="F23" i="90"/>
  <c r="B81" i="90"/>
  <c r="C85" i="90" s="1"/>
  <c r="G85" i="90" s="1"/>
  <c r="G27" i="90"/>
  <c r="G35" i="90" s="1"/>
  <c r="H8" i="89"/>
  <c r="H9" i="89"/>
  <c r="C27" i="89" l="1"/>
  <c r="G27" i="89" s="1"/>
  <c r="K74" i="89"/>
  <c r="G71" i="88"/>
  <c r="G66" i="88"/>
  <c r="C89" i="88"/>
  <c r="G86" i="89" l="1"/>
  <c r="C88" i="88" l="1"/>
  <c r="C86" i="89" l="1"/>
  <c r="I76" i="89"/>
  <c r="E76" i="89"/>
  <c r="C76" i="89"/>
  <c r="F74" i="89"/>
  <c r="H74" i="89" s="1"/>
  <c r="D74" i="90" s="1"/>
  <c r="F74" i="90" s="1"/>
  <c r="H74" i="90" s="1"/>
  <c r="F73" i="89"/>
  <c r="H73" i="89" s="1"/>
  <c r="D73" i="90" s="1"/>
  <c r="F73" i="90" s="1"/>
  <c r="H73" i="90" s="1"/>
  <c r="D73" i="91" s="1"/>
  <c r="F73" i="91" s="1"/>
  <c r="H73" i="91" s="1"/>
  <c r="D73" i="92" s="1"/>
  <c r="F73" i="92" s="1"/>
  <c r="H73" i="92" s="1"/>
  <c r="D73" i="93" s="1"/>
  <c r="F73" i="93" s="1"/>
  <c r="H73" i="93" s="1"/>
  <c r="D73" i="94" s="1"/>
  <c r="F73" i="94" s="1"/>
  <c r="H73" i="94" s="1"/>
  <c r="D73" i="95" s="1"/>
  <c r="F73" i="95" s="1"/>
  <c r="H73" i="95" s="1"/>
  <c r="D73" i="96" s="1"/>
  <c r="F71" i="89"/>
  <c r="H71" i="89" s="1"/>
  <c r="F67" i="89"/>
  <c r="H67" i="89" s="1"/>
  <c r="D67" i="90" s="1"/>
  <c r="F67" i="90" s="1"/>
  <c r="H67" i="90" s="1"/>
  <c r="D67" i="91" s="1"/>
  <c r="F67" i="91" s="1"/>
  <c r="H67" i="91" s="1"/>
  <c r="F66" i="89"/>
  <c r="H66" i="89" s="1"/>
  <c r="D66" i="90" s="1"/>
  <c r="F66" i="90" s="1"/>
  <c r="H66" i="90" s="1"/>
  <c r="D66" i="91" s="1"/>
  <c r="F66" i="91" s="1"/>
  <c r="H66" i="91" s="1"/>
  <c r="D66" i="92" s="1"/>
  <c r="F66" i="92" s="1"/>
  <c r="H66" i="92" s="1"/>
  <c r="D66" i="93" s="1"/>
  <c r="F66" i="93" s="1"/>
  <c r="H66" i="93" s="1"/>
  <c r="D66" i="94" s="1"/>
  <c r="F66" i="94" s="1"/>
  <c r="H66" i="94" s="1"/>
  <c r="D66" i="95" s="1"/>
  <c r="F66" i="95" s="1"/>
  <c r="H66" i="95" s="1"/>
  <c r="D66" i="96" s="1"/>
  <c r="F66" i="96" s="1"/>
  <c r="H66" i="96" s="1"/>
  <c r="D67" i="97" s="1"/>
  <c r="F64" i="89"/>
  <c r="H64" i="89" s="1"/>
  <c r="D64" i="90" s="1"/>
  <c r="F64" i="90" s="1"/>
  <c r="H64" i="90" s="1"/>
  <c r="D64" i="91" s="1"/>
  <c r="F64" i="91" s="1"/>
  <c r="H64" i="91" s="1"/>
  <c r="D64" i="92" s="1"/>
  <c r="F64" i="92" s="1"/>
  <c r="H64" i="92" s="1"/>
  <c r="D64" i="93" s="1"/>
  <c r="F64" i="93" s="1"/>
  <c r="H64" i="93" s="1"/>
  <c r="D64" i="94" s="1"/>
  <c r="F64" i="94" s="1"/>
  <c r="H64" i="94" s="1"/>
  <c r="D64" i="95" s="1"/>
  <c r="F64" i="95" s="1"/>
  <c r="H64" i="95" s="1"/>
  <c r="D64" i="96" s="1"/>
  <c r="F64" i="96" s="1"/>
  <c r="H64" i="96" s="1"/>
  <c r="F63" i="89"/>
  <c r="H63" i="89" s="1"/>
  <c r="D63" i="90" s="1"/>
  <c r="F63" i="90" s="1"/>
  <c r="H63" i="90" s="1"/>
  <c r="D63" i="91" s="1"/>
  <c r="F63" i="91" s="1"/>
  <c r="H63" i="91" s="1"/>
  <c r="D63" i="92" s="1"/>
  <c r="F63" i="92" s="1"/>
  <c r="H63" i="92" s="1"/>
  <c r="D63" i="93" s="1"/>
  <c r="F63" i="93" s="1"/>
  <c r="H63" i="93" s="1"/>
  <c r="D63" i="94" s="1"/>
  <c r="F63" i="94" s="1"/>
  <c r="H63" i="94" s="1"/>
  <c r="D63" i="95" s="1"/>
  <c r="F63" i="95" s="1"/>
  <c r="H63" i="95" s="1"/>
  <c r="D63" i="96" s="1"/>
  <c r="F63" i="96" s="1"/>
  <c r="H63" i="96" s="1"/>
  <c r="D63" i="97" s="1"/>
  <c r="F63" i="97" s="1"/>
  <c r="H63" i="97" s="1"/>
  <c r="D63" i="98" s="1"/>
  <c r="F63" i="98" s="1"/>
  <c r="H63" i="98" s="1"/>
  <c r="D63" i="99" s="1"/>
  <c r="F63" i="99" s="1"/>
  <c r="H63" i="99" s="1"/>
  <c r="D63" i="100" s="1"/>
  <c r="F63" i="100" s="1"/>
  <c r="H63" i="100" s="1"/>
  <c r="D63" i="101" s="1"/>
  <c r="F63" i="101" s="1"/>
  <c r="H63" i="101" s="1"/>
  <c r="D63" i="102" s="1"/>
  <c r="F63" i="102" s="1"/>
  <c r="H63" i="102" s="1"/>
  <c r="D63" i="103" s="1"/>
  <c r="F63" i="103" s="1"/>
  <c r="H63" i="103" s="1"/>
  <c r="D63" i="104" s="1"/>
  <c r="F63" i="104" s="1"/>
  <c r="H63" i="104" s="1"/>
  <c r="F62" i="89"/>
  <c r="H62" i="89" s="1"/>
  <c r="D62" i="90" s="1"/>
  <c r="F62" i="90" s="1"/>
  <c r="H62" i="90" s="1"/>
  <c r="D62" i="91" s="1"/>
  <c r="F62" i="91" s="1"/>
  <c r="H62" i="91" s="1"/>
  <c r="D62" i="92" s="1"/>
  <c r="F62" i="92" s="1"/>
  <c r="H62" i="92" s="1"/>
  <c r="D62" i="93" s="1"/>
  <c r="F62" i="93" s="1"/>
  <c r="H62" i="93" s="1"/>
  <c r="D62" i="94" s="1"/>
  <c r="F62" i="94" s="1"/>
  <c r="H62" i="94" s="1"/>
  <c r="D62" i="95" s="1"/>
  <c r="F62" i="95" s="1"/>
  <c r="H62" i="95" s="1"/>
  <c r="D62" i="96" s="1"/>
  <c r="F62" i="96" s="1"/>
  <c r="H62" i="96" s="1"/>
  <c r="F61" i="89"/>
  <c r="H61" i="89" s="1"/>
  <c r="D61" i="90" s="1"/>
  <c r="H60" i="89"/>
  <c r="D60" i="90" s="1"/>
  <c r="F60" i="90" s="1"/>
  <c r="H60" i="90" s="1"/>
  <c r="D60" i="91" s="1"/>
  <c r="F60" i="91" s="1"/>
  <c r="H60" i="91" s="1"/>
  <c r="D60" i="92" s="1"/>
  <c r="F60" i="92" s="1"/>
  <c r="H60" i="92" s="1"/>
  <c r="D60" i="93" s="1"/>
  <c r="F60" i="93" s="1"/>
  <c r="H60" i="93" s="1"/>
  <c r="D60" i="94" s="1"/>
  <c r="F60" i="94" s="1"/>
  <c r="H60" i="94" s="1"/>
  <c r="D60" i="95" s="1"/>
  <c r="F60" i="95" s="1"/>
  <c r="H60" i="95" s="1"/>
  <c r="D60" i="96" s="1"/>
  <c r="F60" i="96" s="1"/>
  <c r="H60" i="96" s="1"/>
  <c r="F59" i="89"/>
  <c r="H59" i="89" s="1"/>
  <c r="D59" i="90" s="1"/>
  <c r="F59" i="90" s="1"/>
  <c r="H59" i="90" s="1"/>
  <c r="H51" i="89"/>
  <c r="D51" i="90" s="1"/>
  <c r="F51" i="90" s="1"/>
  <c r="H51" i="90" s="1"/>
  <c r="D51" i="91" s="1"/>
  <c r="F51" i="91" s="1"/>
  <c r="H51" i="91" s="1"/>
  <c r="D51" i="92" s="1"/>
  <c r="F51" i="92" s="1"/>
  <c r="H51" i="92" s="1"/>
  <c r="D51" i="93" s="1"/>
  <c r="F51" i="93" s="1"/>
  <c r="H51" i="93" s="1"/>
  <c r="D51" i="94" s="1"/>
  <c r="F51" i="94" s="1"/>
  <c r="G76" i="89"/>
  <c r="G40" i="89"/>
  <c r="C35" i="89"/>
  <c r="F18" i="89"/>
  <c r="B23" i="89" s="1"/>
  <c r="E18" i="89"/>
  <c r="C18" i="89"/>
  <c r="H18" i="89"/>
  <c r="D63" i="105" l="1"/>
  <c r="F63" i="105" s="1"/>
  <c r="H63" i="105" s="1"/>
  <c r="D63" i="106" s="1"/>
  <c r="F63" i="106" s="1"/>
  <c r="H63" i="106" s="1"/>
  <c r="D63" i="107" s="1"/>
  <c r="F63" i="107" s="1"/>
  <c r="H63" i="107" s="1"/>
  <c r="F67" i="97"/>
  <c r="H67" i="97" s="1"/>
  <c r="F73" i="96"/>
  <c r="H78" i="90"/>
  <c r="D74" i="91"/>
  <c r="F74" i="91" s="1"/>
  <c r="H74" i="91" s="1"/>
  <c r="D74" i="92" s="1"/>
  <c r="F74" i="92" s="1"/>
  <c r="H74" i="92" s="1"/>
  <c r="D74" i="93" s="1"/>
  <c r="F74" i="93" s="1"/>
  <c r="H74" i="93" s="1"/>
  <c r="D74" i="94" s="1"/>
  <c r="F74" i="94" s="1"/>
  <c r="H74" i="94" s="1"/>
  <c r="D74" i="95" s="1"/>
  <c r="F74" i="95" s="1"/>
  <c r="H74" i="95" s="1"/>
  <c r="D74" i="96" s="1"/>
  <c r="F74" i="96" s="1"/>
  <c r="H74" i="96" s="1"/>
  <c r="F61" i="90"/>
  <c r="H61" i="90" s="1"/>
  <c r="H77" i="89"/>
  <c r="B81" i="89"/>
  <c r="C25" i="89"/>
  <c r="G25" i="89" s="1"/>
  <c r="C84" i="89"/>
  <c r="G84" i="89" s="1"/>
  <c r="F23" i="89"/>
  <c r="G35" i="89"/>
  <c r="F81" i="89"/>
  <c r="D67" i="98" l="1"/>
  <c r="H73" i="96"/>
  <c r="D72" i="88"/>
  <c r="D74" i="88"/>
  <c r="G40" i="88"/>
  <c r="F67" i="98" l="1"/>
  <c r="D61" i="91"/>
  <c r="C97" i="90"/>
  <c r="G65" i="88"/>
  <c r="G49" i="88"/>
  <c r="H67" i="98" l="1"/>
  <c r="F74" i="97"/>
  <c r="F61" i="91"/>
  <c r="G97" i="90"/>
  <c r="D67" i="99" l="1"/>
  <c r="H74" i="97"/>
  <c r="H61" i="91"/>
  <c r="H6" i="88"/>
  <c r="G64" i="87"/>
  <c r="D74" i="98" l="1"/>
  <c r="F74" i="98" s="1"/>
  <c r="H74" i="98" s="1"/>
  <c r="D74" i="99" s="1"/>
  <c r="F74" i="99" s="1"/>
  <c r="H74" i="99" s="1"/>
  <c r="D74" i="100" s="1"/>
  <c r="F74" i="100" s="1"/>
  <c r="H74" i="100" s="1"/>
  <c r="D74" i="101" s="1"/>
  <c r="F74" i="101" s="1"/>
  <c r="H74" i="101" s="1"/>
  <c r="F67" i="99"/>
  <c r="D61" i="92"/>
  <c r="F61" i="92" s="1"/>
  <c r="H61" i="92" s="1"/>
  <c r="D61" i="93" s="1"/>
  <c r="F61" i="93" s="1"/>
  <c r="H61" i="93" s="1"/>
  <c r="D61" i="94" s="1"/>
  <c r="F61" i="94" s="1"/>
  <c r="H61" i="94" s="1"/>
  <c r="D61" i="95" s="1"/>
  <c r="F61" i="95" s="1"/>
  <c r="H61" i="95" s="1"/>
  <c r="D61" i="96" s="1"/>
  <c r="F61" i="96" s="1"/>
  <c r="H61" i="96" s="1"/>
  <c r="G85" i="88"/>
  <c r="C85" i="88"/>
  <c r="D74" i="102" l="1"/>
  <c r="F74" i="102" s="1"/>
  <c r="H74" i="102" s="1"/>
  <c r="D74" i="103" s="1"/>
  <c r="F74" i="103" s="1"/>
  <c r="H74" i="103" s="1"/>
  <c r="D74" i="104" s="1"/>
  <c r="F74" i="104" s="1"/>
  <c r="H74" i="104" s="1"/>
  <c r="H67" i="99"/>
  <c r="G63" i="87"/>
  <c r="G89" i="87"/>
  <c r="D74" i="105" l="1"/>
  <c r="F74" i="105" s="1"/>
  <c r="H74" i="105" s="1"/>
  <c r="D74" i="106" s="1"/>
  <c r="F74" i="106" s="1"/>
  <c r="H74" i="106" s="1"/>
  <c r="D74" i="107" s="1"/>
  <c r="F74" i="107" s="1"/>
  <c r="H74" i="107" s="1"/>
  <c r="D67" i="100"/>
  <c r="F67" i="100" s="1"/>
  <c r="H67" i="100" s="1"/>
  <c r="D67" i="101" s="1"/>
  <c r="F67" i="101" s="1"/>
  <c r="H67" i="101" s="1"/>
  <c r="D67" i="102" s="1"/>
  <c r="F67" i="102" s="1"/>
  <c r="H67" i="102" s="1"/>
  <c r="I75" i="88"/>
  <c r="G75" i="88"/>
  <c r="E75" i="88"/>
  <c r="C75" i="88"/>
  <c r="C28" i="88"/>
  <c r="C35" i="88" s="1"/>
  <c r="H18" i="88"/>
  <c r="F23" i="88" s="1"/>
  <c r="F18" i="88"/>
  <c r="B23" i="88" s="1"/>
  <c r="E18" i="88"/>
  <c r="C18" i="88"/>
  <c r="D67" i="103" l="1"/>
  <c r="F67" i="103" s="1"/>
  <c r="H67" i="103" s="1"/>
  <c r="D67" i="104" s="1"/>
  <c r="F67" i="104" s="1"/>
  <c r="H67" i="104" s="1"/>
  <c r="G28" i="88"/>
  <c r="G35" i="88" s="1"/>
  <c r="F80" i="88"/>
  <c r="I22" i="88"/>
  <c r="C25" i="88"/>
  <c r="G25" i="88" s="1"/>
  <c r="B80" i="88"/>
  <c r="G62" i="85"/>
  <c r="D67" i="105" l="1"/>
  <c r="F67" i="105" s="1"/>
  <c r="H67" i="105" s="1"/>
  <c r="D67" i="106" s="1"/>
  <c r="F67" i="106" s="1"/>
  <c r="H67" i="106" s="1"/>
  <c r="D67" i="107" s="1"/>
  <c r="F67" i="107" s="1"/>
  <c r="H67" i="107" s="1"/>
  <c r="C83" i="88"/>
  <c r="G83" i="88" s="1"/>
  <c r="C28" i="86"/>
  <c r="G61" i="85" l="1"/>
  <c r="D72" i="87"/>
  <c r="G83" i="87"/>
  <c r="C83" i="87"/>
  <c r="I73" i="87"/>
  <c r="G73" i="87"/>
  <c r="E73" i="87"/>
  <c r="C73" i="87"/>
  <c r="F51" i="87"/>
  <c r="H51" i="87" s="1"/>
  <c r="C88" i="86"/>
  <c r="G88" i="86" s="1"/>
  <c r="C28" i="87"/>
  <c r="C33" i="87" s="1"/>
  <c r="H18" i="87"/>
  <c r="F23" i="87" s="1"/>
  <c r="F18" i="87"/>
  <c r="B23" i="87" s="1"/>
  <c r="E18" i="87"/>
  <c r="C18" i="87"/>
  <c r="D51" i="88" l="1"/>
  <c r="F72" i="89"/>
  <c r="F73" i="88"/>
  <c r="F78" i="87"/>
  <c r="B78" i="87"/>
  <c r="C25" i="87"/>
  <c r="G25" i="87" s="1"/>
  <c r="G28" i="87"/>
  <c r="G33" i="87" s="1"/>
  <c r="H72" i="89" l="1"/>
  <c r="H73" i="88"/>
  <c r="C81" i="87"/>
  <c r="G81" i="87" s="1"/>
  <c r="G83" i="86"/>
  <c r="C83" i="86"/>
  <c r="D72" i="86"/>
  <c r="I73" i="86"/>
  <c r="E73" i="86"/>
  <c r="C73" i="86"/>
  <c r="G73" i="86"/>
  <c r="F78" i="86" s="1"/>
  <c r="C33" i="86"/>
  <c r="H18" i="86"/>
  <c r="F23" i="86" s="1"/>
  <c r="F18" i="86"/>
  <c r="B23" i="86" s="1"/>
  <c r="E18" i="86"/>
  <c r="C18" i="86"/>
  <c r="C25" i="86" l="1"/>
  <c r="G25" i="86" s="1"/>
  <c r="G28" i="86"/>
  <c r="G33" i="86" s="1"/>
  <c r="B78" i="86"/>
  <c r="C81" i="86" l="1"/>
  <c r="G81" i="86" s="1"/>
  <c r="G71" i="85" l="1"/>
  <c r="F71" i="85" l="1"/>
  <c r="G66" i="84" l="1"/>
  <c r="H12" i="84" l="1"/>
  <c r="G88" i="84" l="1"/>
  <c r="C88" i="84"/>
  <c r="D72" i="85"/>
  <c r="I73" i="85"/>
  <c r="G73" i="85"/>
  <c r="E73" i="85"/>
  <c r="C73" i="85"/>
  <c r="H71" i="85"/>
  <c r="D71" i="86" s="1"/>
  <c r="F71" i="86" s="1"/>
  <c r="H71" i="86" s="1"/>
  <c r="D71" i="87" s="1"/>
  <c r="F71" i="87" s="1"/>
  <c r="H71" i="87" s="1"/>
  <c r="F51" i="85"/>
  <c r="H51" i="85" s="1"/>
  <c r="D51" i="86" s="1"/>
  <c r="F51" i="86" s="1"/>
  <c r="H51" i="86" s="1"/>
  <c r="C28" i="85"/>
  <c r="C33" i="85" s="1"/>
  <c r="H18" i="85"/>
  <c r="F23" i="85" s="1"/>
  <c r="F18" i="85"/>
  <c r="B23" i="85" s="1"/>
  <c r="E18" i="85"/>
  <c r="C18" i="85"/>
  <c r="B78" i="85" l="1"/>
  <c r="G28" i="85"/>
  <c r="G33" i="85" s="1"/>
  <c r="F78" i="85"/>
  <c r="C81" i="85"/>
  <c r="G81" i="85" s="1"/>
  <c r="C25" i="85"/>
  <c r="G25" i="85" s="1"/>
  <c r="D72" i="84" l="1"/>
  <c r="I73" i="84"/>
  <c r="G73" i="84"/>
  <c r="E73" i="84"/>
  <c r="C73" i="84"/>
  <c r="C28" i="84"/>
  <c r="G28" i="84" s="1"/>
  <c r="G33" i="84" s="1"/>
  <c r="H18" i="84"/>
  <c r="F23" i="84" s="1"/>
  <c r="F18" i="84"/>
  <c r="B23" i="84" s="1"/>
  <c r="E18" i="84"/>
  <c r="C18" i="84"/>
  <c r="B78" i="84" l="1"/>
  <c r="C81" i="84" s="1"/>
  <c r="G81" i="84" s="1"/>
  <c r="C33" i="84"/>
  <c r="F78" i="84"/>
  <c r="C25" i="84"/>
  <c r="G25" i="84" s="1"/>
  <c r="G54" i="83"/>
  <c r="G66" i="83" l="1"/>
  <c r="D72" i="83" l="1"/>
  <c r="I73" i="83" l="1"/>
  <c r="G73" i="83"/>
  <c r="E73" i="83"/>
  <c r="C73" i="83"/>
  <c r="C28" i="83"/>
  <c r="C33" i="83" s="1"/>
  <c r="H18" i="83"/>
  <c r="F23" i="83" s="1"/>
  <c r="F18" i="83"/>
  <c r="B23" i="83" s="1"/>
  <c r="E18" i="83"/>
  <c r="C18" i="83"/>
  <c r="F78" i="83" l="1"/>
  <c r="C25" i="83"/>
  <c r="G25" i="83" s="1"/>
  <c r="G28" i="83"/>
  <c r="G33" i="83" s="1"/>
  <c r="B78" i="83"/>
  <c r="C81" i="83" l="1"/>
  <c r="G81" i="83" s="1"/>
  <c r="G48" i="80"/>
  <c r="G53" i="79"/>
  <c r="H12" i="81" l="1"/>
  <c r="G70" i="81" l="1"/>
  <c r="C18" i="81" l="1"/>
  <c r="C18" i="80"/>
  <c r="F62" i="86" l="1"/>
  <c r="D72" i="82"/>
  <c r="I73" i="82"/>
  <c r="G73" i="82"/>
  <c r="E73" i="82"/>
  <c r="C73" i="82"/>
  <c r="C28" i="82"/>
  <c r="G28" i="82" s="1"/>
  <c r="G33" i="82" s="1"/>
  <c r="H18" i="82"/>
  <c r="F23" i="82" s="1"/>
  <c r="F18" i="82"/>
  <c r="B23" i="82" s="1"/>
  <c r="E18" i="82"/>
  <c r="M24" i="82" s="1"/>
  <c r="C18" i="82"/>
  <c r="C33" i="82" l="1"/>
  <c r="B78" i="82"/>
  <c r="C81" i="82" s="1"/>
  <c r="G81" i="82" s="1"/>
  <c r="F78" i="82"/>
  <c r="H62" i="86"/>
  <c r="C25" i="82"/>
  <c r="G25" i="82" s="1"/>
  <c r="C84" i="80"/>
  <c r="D62" i="87" l="1"/>
  <c r="F62" i="87" s="1"/>
  <c r="H62" i="87" s="1"/>
  <c r="G86" i="81"/>
  <c r="F64" i="88" l="1"/>
  <c r="H64" i="88" s="1"/>
  <c r="D62" i="88"/>
  <c r="H12" i="80"/>
  <c r="G84" i="80" l="1"/>
  <c r="D72" i="81"/>
  <c r="I73" i="81"/>
  <c r="G73" i="81"/>
  <c r="E73" i="81"/>
  <c r="C73" i="81"/>
  <c r="C28" i="81"/>
  <c r="C33" i="81" s="1"/>
  <c r="H18" i="81"/>
  <c r="F18" i="81"/>
  <c r="B23" i="81" s="1"/>
  <c r="E18" i="81"/>
  <c r="B78" i="81" l="1"/>
  <c r="C81" i="81" s="1"/>
  <c r="G81" i="81" s="1"/>
  <c r="F23" i="81"/>
  <c r="C25" i="81"/>
  <c r="G25" i="81" s="1"/>
  <c r="F78" i="81"/>
  <c r="G28" i="81"/>
  <c r="G33" i="81" s="1"/>
  <c r="C32" i="80" l="1"/>
  <c r="G32" i="80" l="1"/>
  <c r="C28" i="80" l="1"/>
  <c r="C33" i="80" s="1"/>
  <c r="G88" i="79" l="1"/>
  <c r="D72" i="80" l="1"/>
  <c r="C28" i="79"/>
  <c r="I73" i="80"/>
  <c r="G73" i="80"/>
  <c r="E73" i="80"/>
  <c r="C73" i="80"/>
  <c r="H18" i="80"/>
  <c r="F23" i="80" s="1"/>
  <c r="F18" i="80"/>
  <c r="B23" i="80" s="1"/>
  <c r="C25" i="80" s="1"/>
  <c r="E18" i="80"/>
  <c r="B78" i="80" l="1"/>
  <c r="G25" i="80"/>
  <c r="K21" i="80"/>
  <c r="F78" i="80"/>
  <c r="G28" i="80"/>
  <c r="G33" i="80" s="1"/>
  <c r="C81" i="80" l="1"/>
  <c r="G81" i="80" s="1"/>
  <c r="G28" i="79" l="1"/>
  <c r="C33" i="79" l="1"/>
  <c r="H18" i="79" l="1"/>
  <c r="C89" i="79" l="1"/>
  <c r="G11" i="79" l="1"/>
  <c r="I11" i="79" s="1"/>
  <c r="D11" i="80" s="1"/>
  <c r="G11" i="80" s="1"/>
  <c r="I11" i="80" s="1"/>
  <c r="D11" i="81" s="1"/>
  <c r="G11" i="81" s="1"/>
  <c r="I11" i="81" s="1"/>
  <c r="D11" i="82" s="1"/>
  <c r="G11" i="82" s="1"/>
  <c r="I11" i="82" s="1"/>
  <c r="D11" i="83" s="1"/>
  <c r="G11" i="83" s="1"/>
  <c r="I11" i="83" s="1"/>
  <c r="D11" i="84" s="1"/>
  <c r="G11" i="84" s="1"/>
  <c r="I11" i="84" s="1"/>
  <c r="G6" i="78"/>
  <c r="D11" i="86" l="1"/>
  <c r="G11" i="86" s="1"/>
  <c r="I11" i="86" s="1"/>
  <c r="D11" i="87" s="1"/>
  <c r="G11" i="87" s="1"/>
  <c r="I11" i="87" s="1"/>
  <c r="D11" i="88" s="1"/>
  <c r="G11" i="88" s="1"/>
  <c r="I11" i="88" s="1"/>
  <c r="D11" i="89" s="1"/>
  <c r="G11" i="89" s="1"/>
  <c r="I11" i="89" s="1"/>
  <c r="D11" i="90" s="1"/>
  <c r="G11" i="90" s="1"/>
  <c r="I11" i="90" s="1"/>
  <c r="D11" i="91" s="1"/>
  <c r="G11" i="91" s="1"/>
  <c r="I11" i="91" s="1"/>
  <c r="D11" i="92" s="1"/>
  <c r="G11" i="92" s="1"/>
  <c r="I11" i="92" s="1"/>
  <c r="D11" i="93" s="1"/>
  <c r="G11" i="93" s="1"/>
  <c r="I11" i="93" s="1"/>
  <c r="D11" i="94" s="1"/>
  <c r="G11" i="94" s="1"/>
  <c r="I11" i="94" s="1"/>
  <c r="D11" i="95" s="1"/>
  <c r="G11" i="95" s="1"/>
  <c r="I11" i="95" s="1"/>
  <c r="D11" i="96" s="1"/>
  <c r="G11" i="96" s="1"/>
  <c r="I11" i="96" s="1"/>
  <c r="D11" i="85"/>
  <c r="G11" i="85" s="1"/>
  <c r="I11" i="85" s="1"/>
  <c r="G5" i="78"/>
  <c r="G11" i="78"/>
  <c r="G10" i="78"/>
  <c r="E18" i="79"/>
  <c r="K21" i="79" s="1"/>
  <c r="D72" i="79"/>
  <c r="G24" i="79"/>
  <c r="G89" i="79"/>
  <c r="I73" i="79"/>
  <c r="G73" i="79"/>
  <c r="E73" i="79"/>
  <c r="C73" i="79"/>
  <c r="F23" i="79"/>
  <c r="F18" i="79"/>
  <c r="B23" i="79" s="1"/>
  <c r="G17" i="79"/>
  <c r="I17" i="79" s="1"/>
  <c r="D17" i="80" s="1"/>
  <c r="G17" i="80" s="1"/>
  <c r="I17" i="80" s="1"/>
  <c r="D17" i="81" s="1"/>
  <c r="G17" i="81" s="1"/>
  <c r="I17" i="81" s="1"/>
  <c r="D17" i="82" s="1"/>
  <c r="G17" i="82" s="1"/>
  <c r="I17" i="82" s="1"/>
  <c r="D17" i="83" s="1"/>
  <c r="G17" i="83" s="1"/>
  <c r="I17" i="83" s="1"/>
  <c r="D17" i="84" s="1"/>
  <c r="G17" i="84" s="1"/>
  <c r="I17" i="84" s="1"/>
  <c r="G16" i="79"/>
  <c r="I16" i="79" s="1"/>
  <c r="D16" i="80" s="1"/>
  <c r="G16" i="80" s="1"/>
  <c r="I16" i="80" s="1"/>
  <c r="D16" i="81" s="1"/>
  <c r="G16" i="81" s="1"/>
  <c r="I16" i="81" s="1"/>
  <c r="D16" i="82" s="1"/>
  <c r="G16" i="82" s="1"/>
  <c r="I16" i="82" s="1"/>
  <c r="D16" i="83" s="1"/>
  <c r="G16" i="83" s="1"/>
  <c r="I16" i="83" s="1"/>
  <c r="D16" i="84" s="1"/>
  <c r="G16" i="84" s="1"/>
  <c r="I16" i="84" s="1"/>
  <c r="G15" i="79"/>
  <c r="I15" i="79" s="1"/>
  <c r="D15" i="80" s="1"/>
  <c r="G15" i="80" s="1"/>
  <c r="I15" i="80" s="1"/>
  <c r="D15" i="81" s="1"/>
  <c r="G15" i="81" s="1"/>
  <c r="I15" i="81" s="1"/>
  <c r="D15" i="82" s="1"/>
  <c r="G15" i="82" s="1"/>
  <c r="I15" i="82" s="1"/>
  <c r="D15" i="83" s="1"/>
  <c r="G15" i="83" s="1"/>
  <c r="I15" i="83" s="1"/>
  <c r="D15" i="84" s="1"/>
  <c r="G15" i="84" s="1"/>
  <c r="I15" i="84" s="1"/>
  <c r="G14" i="79"/>
  <c r="I14" i="79" s="1"/>
  <c r="D14" i="80" s="1"/>
  <c r="G14" i="80" s="1"/>
  <c r="I14" i="80" s="1"/>
  <c r="D14" i="81" s="1"/>
  <c r="G14" i="81" s="1"/>
  <c r="I14" i="81" s="1"/>
  <c r="D14" i="82" s="1"/>
  <c r="G14" i="82" s="1"/>
  <c r="I14" i="82" s="1"/>
  <c r="D14" i="83" s="1"/>
  <c r="G14" i="83" s="1"/>
  <c r="I14" i="83" s="1"/>
  <c r="D14" i="84" s="1"/>
  <c r="G14" i="84" s="1"/>
  <c r="I14" i="84" s="1"/>
  <c r="G13" i="79"/>
  <c r="I13" i="79" s="1"/>
  <c r="D13" i="80" s="1"/>
  <c r="G13" i="80" s="1"/>
  <c r="I13" i="80" s="1"/>
  <c r="D13" i="81" s="1"/>
  <c r="G13" i="81" s="1"/>
  <c r="I13" i="81" s="1"/>
  <c r="D13" i="82" s="1"/>
  <c r="G13" i="82" s="1"/>
  <c r="I13" i="82" s="1"/>
  <c r="D13" i="83" s="1"/>
  <c r="G13" i="83" s="1"/>
  <c r="I13" i="83" s="1"/>
  <c r="D13" i="84" s="1"/>
  <c r="G13" i="84" s="1"/>
  <c r="I13" i="84" s="1"/>
  <c r="G10" i="79"/>
  <c r="I10" i="79" s="1"/>
  <c r="D10" i="80" s="1"/>
  <c r="G10" i="80" s="1"/>
  <c r="I10" i="80" s="1"/>
  <c r="D10" i="81" s="1"/>
  <c r="G10" i="81" s="1"/>
  <c r="I10" i="81" s="1"/>
  <c r="D10" i="82" s="1"/>
  <c r="G10" i="82" s="1"/>
  <c r="I10" i="82" s="1"/>
  <c r="D10" i="83" s="1"/>
  <c r="G10" i="83" s="1"/>
  <c r="I10" i="83" s="1"/>
  <c r="D10" i="84" s="1"/>
  <c r="G10" i="84" s="1"/>
  <c r="I10" i="84" s="1"/>
  <c r="G9" i="79"/>
  <c r="I9" i="79" s="1"/>
  <c r="D9" i="80" s="1"/>
  <c r="G9" i="80" s="1"/>
  <c r="I9" i="80" s="1"/>
  <c r="D9" i="81" s="1"/>
  <c r="G9" i="81" s="1"/>
  <c r="I9" i="81" s="1"/>
  <c r="D9" i="82" s="1"/>
  <c r="G9" i="82" s="1"/>
  <c r="I9" i="82" s="1"/>
  <c r="D9" i="83" s="1"/>
  <c r="G9" i="83" s="1"/>
  <c r="I9" i="83" s="1"/>
  <c r="D9" i="84" s="1"/>
  <c r="G9" i="84" s="1"/>
  <c r="I9" i="84" s="1"/>
  <c r="G8" i="79"/>
  <c r="I8" i="79" s="1"/>
  <c r="D8" i="80" s="1"/>
  <c r="G8" i="80" s="1"/>
  <c r="I8" i="80" s="1"/>
  <c r="D8" i="81" s="1"/>
  <c r="G8" i="81" s="1"/>
  <c r="I8" i="81" s="1"/>
  <c r="D8" i="82" s="1"/>
  <c r="G8" i="82" s="1"/>
  <c r="I8" i="82" s="1"/>
  <c r="D8" i="83" s="1"/>
  <c r="G8" i="83" s="1"/>
  <c r="I8" i="83" s="1"/>
  <c r="D8" i="84" s="1"/>
  <c r="G8" i="84" s="1"/>
  <c r="I8" i="84" s="1"/>
  <c r="G7" i="79"/>
  <c r="I7" i="79" s="1"/>
  <c r="D7" i="80" s="1"/>
  <c r="G7" i="80" s="1"/>
  <c r="I7" i="80" s="1"/>
  <c r="D7" i="81" s="1"/>
  <c r="G7" i="81" s="1"/>
  <c r="I7" i="81" s="1"/>
  <c r="D7" i="82" s="1"/>
  <c r="G7" i="82" s="1"/>
  <c r="I7" i="82" s="1"/>
  <c r="D7" i="83" s="1"/>
  <c r="G7" i="83" s="1"/>
  <c r="I7" i="83" s="1"/>
  <c r="D7" i="84" s="1"/>
  <c r="G7" i="84" s="1"/>
  <c r="I7" i="84" s="1"/>
  <c r="G6" i="79"/>
  <c r="I6" i="79" s="1"/>
  <c r="D6" i="80" s="1"/>
  <c r="G6" i="80" s="1"/>
  <c r="I6" i="80" s="1"/>
  <c r="D6" i="81" s="1"/>
  <c r="G6" i="81" s="1"/>
  <c r="I6" i="81" s="1"/>
  <c r="D6" i="82" s="1"/>
  <c r="G6" i="82" s="1"/>
  <c r="I6" i="82" s="1"/>
  <c r="D6" i="83" s="1"/>
  <c r="G6" i="83" s="1"/>
  <c r="I6" i="83" s="1"/>
  <c r="D6" i="84" s="1"/>
  <c r="G6" i="84" s="1"/>
  <c r="I6" i="84" s="1"/>
  <c r="G5" i="79"/>
  <c r="D7" i="86" l="1"/>
  <c r="G7" i="86" s="1"/>
  <c r="I7" i="86" s="1"/>
  <c r="D7" i="87" s="1"/>
  <c r="G7" i="87" s="1"/>
  <c r="I7" i="87" s="1"/>
  <c r="D7" i="88" s="1"/>
  <c r="G7" i="88" s="1"/>
  <c r="I7" i="88" s="1"/>
  <c r="D7" i="89" s="1"/>
  <c r="G7" i="89" s="1"/>
  <c r="I7" i="89" s="1"/>
  <c r="D7" i="90" s="1"/>
  <c r="G7" i="90" s="1"/>
  <c r="I7" i="90" s="1"/>
  <c r="D7" i="91" s="1"/>
  <c r="G7" i="91" s="1"/>
  <c r="I7" i="91" s="1"/>
  <c r="D7" i="92" s="1"/>
  <c r="G7" i="92" s="1"/>
  <c r="I7" i="92" s="1"/>
  <c r="D7" i="93" s="1"/>
  <c r="G7" i="93" s="1"/>
  <c r="I7" i="93" s="1"/>
  <c r="D7" i="94" s="1"/>
  <c r="G7" i="94" s="1"/>
  <c r="I7" i="94" s="1"/>
  <c r="D7" i="95" s="1"/>
  <c r="G7" i="95" s="1"/>
  <c r="I7" i="95" s="1"/>
  <c r="D7" i="96" s="1"/>
  <c r="G7" i="96" s="1"/>
  <c r="I7" i="96" s="1"/>
  <c r="D7" i="85"/>
  <c r="G7" i="85" s="1"/>
  <c r="I7" i="85" s="1"/>
  <c r="D9" i="86"/>
  <c r="G9" i="86" s="1"/>
  <c r="I9" i="86" s="1"/>
  <c r="D9" i="87" s="1"/>
  <c r="G9" i="87" s="1"/>
  <c r="I9" i="87" s="1"/>
  <c r="D9" i="88" s="1"/>
  <c r="G9" i="88" s="1"/>
  <c r="I9" i="88" s="1"/>
  <c r="D9" i="89" s="1"/>
  <c r="G9" i="89" s="1"/>
  <c r="I9" i="89" s="1"/>
  <c r="D9" i="90" s="1"/>
  <c r="G9" i="90" s="1"/>
  <c r="I9" i="90" s="1"/>
  <c r="D9" i="91" s="1"/>
  <c r="G9" i="91" s="1"/>
  <c r="I9" i="91" s="1"/>
  <c r="D9" i="92" s="1"/>
  <c r="G9" i="92" s="1"/>
  <c r="I9" i="92" s="1"/>
  <c r="D9" i="93" s="1"/>
  <c r="G9" i="93" s="1"/>
  <c r="I9" i="93" s="1"/>
  <c r="D9" i="94" s="1"/>
  <c r="G9" i="94" s="1"/>
  <c r="I9" i="94" s="1"/>
  <c r="D9" i="95" s="1"/>
  <c r="G9" i="95" s="1"/>
  <c r="I9" i="95" s="1"/>
  <c r="D9" i="96" s="1"/>
  <c r="G9" i="96" s="1"/>
  <c r="I9" i="96" s="1"/>
  <c r="D9" i="97" s="1"/>
  <c r="G9" i="97" s="1"/>
  <c r="I9" i="97" s="1"/>
  <c r="D10" i="98" s="1"/>
  <c r="G10" i="98" s="1"/>
  <c r="I10" i="98" s="1"/>
  <c r="D10" i="99" s="1"/>
  <c r="G10" i="99" s="1"/>
  <c r="I10" i="99" s="1"/>
  <c r="D10" i="100" s="1"/>
  <c r="G10" i="100" s="1"/>
  <c r="I10" i="100" s="1"/>
  <c r="D10" i="101" s="1"/>
  <c r="G10" i="101" s="1"/>
  <c r="I10" i="101" s="1"/>
  <c r="D10" i="102" s="1"/>
  <c r="D9" i="85"/>
  <c r="G9" i="85" s="1"/>
  <c r="I9" i="85" s="1"/>
  <c r="D13" i="86"/>
  <c r="G13" i="86" s="1"/>
  <c r="I13" i="86" s="1"/>
  <c r="D13" i="87" s="1"/>
  <c r="G13" i="87" s="1"/>
  <c r="I13" i="87" s="1"/>
  <c r="D13" i="88" s="1"/>
  <c r="G13" i="88" s="1"/>
  <c r="I13" i="88" s="1"/>
  <c r="D13" i="89" s="1"/>
  <c r="G13" i="89" s="1"/>
  <c r="I13" i="89" s="1"/>
  <c r="D13" i="90" s="1"/>
  <c r="G13" i="90" s="1"/>
  <c r="I13" i="90" s="1"/>
  <c r="D13" i="91" s="1"/>
  <c r="G13" i="91" s="1"/>
  <c r="I13" i="91" s="1"/>
  <c r="D13" i="92" s="1"/>
  <c r="G13" i="92" s="1"/>
  <c r="I13" i="92" s="1"/>
  <c r="D13" i="93" s="1"/>
  <c r="G13" i="93" s="1"/>
  <c r="I13" i="93" s="1"/>
  <c r="D13" i="94" s="1"/>
  <c r="G13" i="94" s="1"/>
  <c r="I13" i="94" s="1"/>
  <c r="D13" i="95" s="1"/>
  <c r="G13" i="95" s="1"/>
  <c r="I13" i="95" s="1"/>
  <c r="D13" i="96" s="1"/>
  <c r="G13" i="96" s="1"/>
  <c r="I13" i="96" s="1"/>
  <c r="D13" i="85"/>
  <c r="G13" i="85" s="1"/>
  <c r="I13" i="85" s="1"/>
  <c r="D15" i="86"/>
  <c r="G15" i="86" s="1"/>
  <c r="I15" i="86" s="1"/>
  <c r="D15" i="87" s="1"/>
  <c r="G15" i="87" s="1"/>
  <c r="I15" i="87" s="1"/>
  <c r="D15" i="88" s="1"/>
  <c r="D15" i="85"/>
  <c r="G15" i="85" s="1"/>
  <c r="I15" i="85" s="1"/>
  <c r="D17" i="86"/>
  <c r="G17" i="86" s="1"/>
  <c r="I17" i="86" s="1"/>
  <c r="D17" i="87" s="1"/>
  <c r="G17" i="87" s="1"/>
  <c r="I17" i="87" s="1"/>
  <c r="D17" i="88" s="1"/>
  <c r="G17" i="88" s="1"/>
  <c r="I17" i="88" s="1"/>
  <c r="D17" i="89" s="1"/>
  <c r="G17" i="89" s="1"/>
  <c r="I17" i="89" s="1"/>
  <c r="D17" i="90" s="1"/>
  <c r="G17" i="90" s="1"/>
  <c r="I17" i="90" s="1"/>
  <c r="D17" i="91" s="1"/>
  <c r="G17" i="91" s="1"/>
  <c r="I17" i="91" s="1"/>
  <c r="D17" i="92" s="1"/>
  <c r="G17" i="92" s="1"/>
  <c r="I17" i="92" s="1"/>
  <c r="D17" i="93" s="1"/>
  <c r="G17" i="93" s="1"/>
  <c r="I17" i="93" s="1"/>
  <c r="D17" i="94" s="1"/>
  <c r="G17" i="94" s="1"/>
  <c r="I17" i="94" s="1"/>
  <c r="D17" i="95" s="1"/>
  <c r="G17" i="95" s="1"/>
  <c r="I17" i="95" s="1"/>
  <c r="D17" i="96" s="1"/>
  <c r="G17" i="96" s="1"/>
  <c r="I17" i="96" s="1"/>
  <c r="D17" i="97" s="1"/>
  <c r="G17" i="97" s="1"/>
  <c r="I17" i="97" s="1"/>
  <c r="D17" i="98" s="1"/>
  <c r="G17" i="98" s="1"/>
  <c r="I17" i="98" s="1"/>
  <c r="D17" i="99" s="1"/>
  <c r="G17" i="99" s="1"/>
  <c r="I17" i="99" s="1"/>
  <c r="D17" i="100" s="1"/>
  <c r="G17" i="100" s="1"/>
  <c r="I17" i="100" s="1"/>
  <c r="D17" i="101" s="1"/>
  <c r="G17" i="101" s="1"/>
  <c r="I17" i="101" s="1"/>
  <c r="D17" i="102" s="1"/>
  <c r="G17" i="102" s="1"/>
  <c r="I17" i="102" s="1"/>
  <c r="D17" i="103" s="1"/>
  <c r="G17" i="103" s="1"/>
  <c r="I17" i="103" s="1"/>
  <c r="D17" i="104" s="1"/>
  <c r="G17" i="104" s="1"/>
  <c r="I17" i="104" s="1"/>
  <c r="D17" i="105" s="1"/>
  <c r="G17" i="105" s="1"/>
  <c r="I17" i="105" s="1"/>
  <c r="D17" i="106" s="1"/>
  <c r="G17" i="106" s="1"/>
  <c r="I17" i="106" s="1"/>
  <c r="D17" i="107" s="1"/>
  <c r="G17" i="107" s="1"/>
  <c r="I17" i="107" s="1"/>
  <c r="D17" i="85"/>
  <c r="G17" i="85" s="1"/>
  <c r="I17" i="85" s="1"/>
  <c r="D6" i="86"/>
  <c r="G6" i="86" s="1"/>
  <c r="I6" i="86" s="1"/>
  <c r="D6" i="87" s="1"/>
  <c r="G6" i="87" s="1"/>
  <c r="I6" i="87" s="1"/>
  <c r="D6" i="88" s="1"/>
  <c r="G6" i="88" s="1"/>
  <c r="I6" i="88" s="1"/>
  <c r="D6" i="89" s="1"/>
  <c r="G6" i="89" s="1"/>
  <c r="I6" i="89" s="1"/>
  <c r="D6" i="90" s="1"/>
  <c r="G6" i="90" s="1"/>
  <c r="I6" i="90" s="1"/>
  <c r="D6" i="91" s="1"/>
  <c r="G6" i="91" s="1"/>
  <c r="I6" i="91" s="1"/>
  <c r="D6" i="92" s="1"/>
  <c r="D6" i="85"/>
  <c r="G6" i="85" s="1"/>
  <c r="I6" i="85" s="1"/>
  <c r="D8" i="86"/>
  <c r="G8" i="86" s="1"/>
  <c r="I8" i="86" s="1"/>
  <c r="D8" i="87" s="1"/>
  <c r="G8" i="87" s="1"/>
  <c r="I8" i="87" s="1"/>
  <c r="D8" i="88" s="1"/>
  <c r="G8" i="88" s="1"/>
  <c r="I8" i="88" s="1"/>
  <c r="D8" i="89" s="1"/>
  <c r="G8" i="89" s="1"/>
  <c r="I8" i="89" s="1"/>
  <c r="D8" i="90" s="1"/>
  <c r="G8" i="90" s="1"/>
  <c r="I8" i="90" s="1"/>
  <c r="D8" i="91" s="1"/>
  <c r="G8" i="91" s="1"/>
  <c r="I8" i="91" s="1"/>
  <c r="D8" i="92" s="1"/>
  <c r="G8" i="92" s="1"/>
  <c r="I8" i="92" s="1"/>
  <c r="D8" i="93" s="1"/>
  <c r="G8" i="93" s="1"/>
  <c r="I8" i="93" s="1"/>
  <c r="D8" i="94" s="1"/>
  <c r="G8" i="94" s="1"/>
  <c r="I8" i="94" s="1"/>
  <c r="D8" i="95" s="1"/>
  <c r="G8" i="95" s="1"/>
  <c r="I8" i="95" s="1"/>
  <c r="D8" i="96" s="1"/>
  <c r="G8" i="96" s="1"/>
  <c r="I8" i="96" s="1"/>
  <c r="D8" i="97" s="1"/>
  <c r="G8" i="97" s="1"/>
  <c r="I8" i="97" s="1"/>
  <c r="D9" i="98" s="1"/>
  <c r="G9" i="98" s="1"/>
  <c r="I9" i="98" s="1"/>
  <c r="D9" i="99" s="1"/>
  <c r="G9" i="99" s="1"/>
  <c r="I9" i="99" s="1"/>
  <c r="D9" i="100" s="1"/>
  <c r="D8" i="85"/>
  <c r="G8" i="85" s="1"/>
  <c r="I8" i="85" s="1"/>
  <c r="D10" i="86"/>
  <c r="G10" i="86" s="1"/>
  <c r="I10" i="86" s="1"/>
  <c r="D10" i="87" s="1"/>
  <c r="G10" i="87" s="1"/>
  <c r="I10" i="87" s="1"/>
  <c r="D10" i="88" s="1"/>
  <c r="G10" i="88" s="1"/>
  <c r="I10" i="88" s="1"/>
  <c r="D10" i="89" s="1"/>
  <c r="G10" i="89" s="1"/>
  <c r="I10" i="89" s="1"/>
  <c r="D10" i="90" s="1"/>
  <c r="G10" i="90" s="1"/>
  <c r="I10" i="90" s="1"/>
  <c r="D10" i="91" s="1"/>
  <c r="G10" i="91" s="1"/>
  <c r="I10" i="91" s="1"/>
  <c r="D10" i="92" s="1"/>
  <c r="G10" i="92" s="1"/>
  <c r="I10" i="92" s="1"/>
  <c r="D10" i="93" s="1"/>
  <c r="G10" i="93" s="1"/>
  <c r="I10" i="93" s="1"/>
  <c r="D10" i="94" s="1"/>
  <c r="G10" i="94" s="1"/>
  <c r="I10" i="94" s="1"/>
  <c r="D10" i="95" s="1"/>
  <c r="G10" i="95" s="1"/>
  <c r="I10" i="95" s="1"/>
  <c r="D10" i="96" s="1"/>
  <c r="G10" i="96" s="1"/>
  <c r="D10" i="85"/>
  <c r="G10" i="85" s="1"/>
  <c r="I10" i="85" s="1"/>
  <c r="D14" i="86"/>
  <c r="G14" i="86" s="1"/>
  <c r="I14" i="86" s="1"/>
  <c r="D14" i="87" s="1"/>
  <c r="G14" i="87" s="1"/>
  <c r="I14" i="87" s="1"/>
  <c r="D14" i="88" s="1"/>
  <c r="G14" i="88" s="1"/>
  <c r="I14" i="88" s="1"/>
  <c r="D14" i="89" s="1"/>
  <c r="G14" i="89" s="1"/>
  <c r="I14" i="89" s="1"/>
  <c r="D14" i="90" s="1"/>
  <c r="G14" i="90" s="1"/>
  <c r="I14" i="90" s="1"/>
  <c r="D14" i="91" s="1"/>
  <c r="G14" i="91" s="1"/>
  <c r="I14" i="91" s="1"/>
  <c r="D14" i="92" s="1"/>
  <c r="G14" i="92" s="1"/>
  <c r="I14" i="92" s="1"/>
  <c r="D14" i="93" s="1"/>
  <c r="G14" i="93" s="1"/>
  <c r="I14" i="93" s="1"/>
  <c r="D14" i="94" s="1"/>
  <c r="G14" i="94" s="1"/>
  <c r="I14" i="94" s="1"/>
  <c r="D14" i="95" s="1"/>
  <c r="G14" i="95" s="1"/>
  <c r="I14" i="95" s="1"/>
  <c r="D14" i="96" s="1"/>
  <c r="G14" i="96" s="1"/>
  <c r="I14" i="96" s="1"/>
  <c r="D14" i="85"/>
  <c r="G14" i="85" s="1"/>
  <c r="I14" i="85" s="1"/>
  <c r="D16" i="86"/>
  <c r="G16" i="86" s="1"/>
  <c r="I16" i="86" s="1"/>
  <c r="D16" i="87" s="1"/>
  <c r="G16" i="87" s="1"/>
  <c r="I16" i="87" s="1"/>
  <c r="D16" i="88" s="1"/>
  <c r="G16" i="88" s="1"/>
  <c r="I16" i="88" s="1"/>
  <c r="D16" i="89" s="1"/>
  <c r="G16" i="89" s="1"/>
  <c r="I16" i="89" s="1"/>
  <c r="D16" i="90" s="1"/>
  <c r="G16" i="90" s="1"/>
  <c r="I16" i="90" s="1"/>
  <c r="D16" i="91" s="1"/>
  <c r="G16" i="91" s="1"/>
  <c r="I16" i="91" s="1"/>
  <c r="D16" i="92" s="1"/>
  <c r="G16" i="92" s="1"/>
  <c r="I16" i="92" s="1"/>
  <c r="D16" i="93" s="1"/>
  <c r="G16" i="93" s="1"/>
  <c r="I16" i="93" s="1"/>
  <c r="D16" i="94" s="1"/>
  <c r="G16" i="94" s="1"/>
  <c r="I16" i="94" s="1"/>
  <c r="D16" i="95" s="1"/>
  <c r="G16" i="95" s="1"/>
  <c r="I16" i="95" s="1"/>
  <c r="D16" i="96" s="1"/>
  <c r="G16" i="96" s="1"/>
  <c r="I16" i="96" s="1"/>
  <c r="D16" i="97" s="1"/>
  <c r="G16" i="97" s="1"/>
  <c r="I16" i="97" s="1"/>
  <c r="D16" i="98" s="1"/>
  <c r="G16" i="98" s="1"/>
  <c r="I16" i="98" s="1"/>
  <c r="D16" i="99" s="1"/>
  <c r="G16" i="99" s="1"/>
  <c r="I16" i="99" s="1"/>
  <c r="D16" i="100" s="1"/>
  <c r="G16" i="100" s="1"/>
  <c r="I16" i="100" s="1"/>
  <c r="D16" i="101" s="1"/>
  <c r="G16" i="101" s="1"/>
  <c r="I16" i="101" s="1"/>
  <c r="D16" i="102" s="1"/>
  <c r="G16" i="102" s="1"/>
  <c r="I16" i="102" s="1"/>
  <c r="D16" i="103" s="1"/>
  <c r="G16" i="103" s="1"/>
  <c r="I16" i="103" s="1"/>
  <c r="D16" i="104" s="1"/>
  <c r="G16" i="104" s="1"/>
  <c r="I16" i="104" s="1"/>
  <c r="D16" i="105" s="1"/>
  <c r="G16" i="105" s="1"/>
  <c r="I16" i="105" s="1"/>
  <c r="D16" i="106" s="1"/>
  <c r="G16" i="106" s="1"/>
  <c r="I16" i="106" s="1"/>
  <c r="D16" i="107" s="1"/>
  <c r="G16" i="107" s="1"/>
  <c r="I16" i="107" s="1"/>
  <c r="D16" i="85"/>
  <c r="G16" i="85" s="1"/>
  <c r="I16" i="85" s="1"/>
  <c r="F78" i="79"/>
  <c r="C25" i="79"/>
  <c r="G25" i="79" s="1"/>
  <c r="I5" i="79"/>
  <c r="D5" i="80" s="1"/>
  <c r="G5" i="80" s="1"/>
  <c r="I5" i="80" s="1"/>
  <c r="D5" i="81" s="1"/>
  <c r="G5" i="81" s="1"/>
  <c r="I5" i="81" s="1"/>
  <c r="D5" i="82" s="1"/>
  <c r="G5" i="82" s="1"/>
  <c r="I5" i="82" s="1"/>
  <c r="D5" i="83" s="1"/>
  <c r="G5" i="83" s="1"/>
  <c r="I5" i="83" s="1"/>
  <c r="D5" i="84" s="1"/>
  <c r="G5" i="84" s="1"/>
  <c r="G33" i="79"/>
  <c r="B78" i="79"/>
  <c r="I5" i="78"/>
  <c r="G7" i="78"/>
  <c r="G8" i="78"/>
  <c r="G9" i="78"/>
  <c r="G12" i="78"/>
  <c r="I12" i="78" s="1"/>
  <c r="G13" i="78"/>
  <c r="I13" i="78" s="1"/>
  <c r="G14" i="78"/>
  <c r="G15" i="78"/>
  <c r="I15" i="78" s="1"/>
  <c r="G16" i="78"/>
  <c r="I16" i="78" s="1"/>
  <c r="G17" i="78"/>
  <c r="I17" i="78" s="1"/>
  <c r="I6" i="78"/>
  <c r="I7" i="78"/>
  <c r="I8" i="78"/>
  <c r="I9" i="78"/>
  <c r="I10" i="78"/>
  <c r="I11" i="78"/>
  <c r="I14" i="78"/>
  <c r="D14" i="97" l="1"/>
  <c r="D13" i="97"/>
  <c r="G13" i="97" s="1"/>
  <c r="I13" i="97" s="1"/>
  <c r="D13" i="98" s="1"/>
  <c r="G13" i="98" s="1"/>
  <c r="I13" i="98" s="1"/>
  <c r="D13" i="99" s="1"/>
  <c r="G13" i="99" s="1"/>
  <c r="I13" i="99" s="1"/>
  <c r="D13" i="100" s="1"/>
  <c r="G13" i="100" s="1"/>
  <c r="I13" i="100" s="1"/>
  <c r="D13" i="101" s="1"/>
  <c r="G13" i="101" s="1"/>
  <c r="I13" i="101" s="1"/>
  <c r="D13" i="102" s="1"/>
  <c r="G13" i="102" s="1"/>
  <c r="I13" i="102" s="1"/>
  <c r="D13" i="103" s="1"/>
  <c r="G13" i="103" s="1"/>
  <c r="I13" i="103" s="1"/>
  <c r="D13" i="104" s="1"/>
  <c r="G13" i="104" s="1"/>
  <c r="I13" i="104" s="1"/>
  <c r="D13" i="105" s="1"/>
  <c r="G13" i="105" s="1"/>
  <c r="I13" i="105" s="1"/>
  <c r="D13" i="106" s="1"/>
  <c r="G13" i="106" s="1"/>
  <c r="I13" i="106" s="1"/>
  <c r="D13" i="107" s="1"/>
  <c r="G13" i="107" s="1"/>
  <c r="I13" i="107" s="1"/>
  <c r="G9" i="100"/>
  <c r="G10" i="102"/>
  <c r="G14" i="97"/>
  <c r="G18" i="78"/>
  <c r="G15" i="88"/>
  <c r="I15" i="88" s="1"/>
  <c r="D15" i="89" s="1"/>
  <c r="G15" i="89" s="1"/>
  <c r="I15" i="89" s="1"/>
  <c r="D15" i="90" s="1"/>
  <c r="I5" i="84"/>
  <c r="G6" i="92"/>
  <c r="C81" i="79"/>
  <c r="I18" i="78"/>
  <c r="C89" i="78"/>
  <c r="I10" i="102" l="1"/>
  <c r="I9" i="100"/>
  <c r="I14" i="97"/>
  <c r="O21" i="90"/>
  <c r="N15" i="90" s="1"/>
  <c r="G15" i="90"/>
  <c r="I15" i="90" s="1"/>
  <c r="D15" i="91" s="1"/>
  <c r="G15" i="91" s="1"/>
  <c r="I15" i="91" s="1"/>
  <c r="D15" i="92" s="1"/>
  <c r="G15" i="92" s="1"/>
  <c r="I15" i="92" s="1"/>
  <c r="D15" i="93" s="1"/>
  <c r="G15" i="93" s="1"/>
  <c r="I15" i="93" s="1"/>
  <c r="D15" i="94" s="1"/>
  <c r="G15" i="94" s="1"/>
  <c r="I15" i="94" s="1"/>
  <c r="D15" i="95" s="1"/>
  <c r="G15" i="95" s="1"/>
  <c r="I15" i="95" s="1"/>
  <c r="D15" i="96" s="1"/>
  <c r="G15" i="96" s="1"/>
  <c r="I15" i="96" s="1"/>
  <c r="D15" i="97" s="1"/>
  <c r="I6" i="92"/>
  <c r="D5" i="86"/>
  <c r="D5" i="85"/>
  <c r="G81" i="79"/>
  <c r="G89" i="78"/>
  <c r="I73" i="78"/>
  <c r="G73" i="78"/>
  <c r="E73" i="78"/>
  <c r="D73" i="78"/>
  <c r="C73" i="78"/>
  <c r="F71" i="78"/>
  <c r="H71" i="78" s="1"/>
  <c r="D71" i="79" s="1"/>
  <c r="F71" i="79" s="1"/>
  <c r="H71" i="79" s="1"/>
  <c r="D71" i="80" s="1"/>
  <c r="F71" i="80" s="1"/>
  <c r="H71" i="80" s="1"/>
  <c r="D71" i="81" s="1"/>
  <c r="F71" i="81" s="1"/>
  <c r="H71" i="81" s="1"/>
  <c r="D71" i="82" s="1"/>
  <c r="F71" i="82" s="1"/>
  <c r="H71" i="82" s="1"/>
  <c r="D71" i="83" s="1"/>
  <c r="F71" i="83" s="1"/>
  <c r="H71" i="83" s="1"/>
  <c r="D71" i="84" s="1"/>
  <c r="F71" i="84" s="1"/>
  <c r="H71" i="84" s="1"/>
  <c r="F70" i="78"/>
  <c r="H70" i="78" s="1"/>
  <c r="D70" i="79" s="1"/>
  <c r="F70" i="79" s="1"/>
  <c r="H70" i="79" s="1"/>
  <c r="D70" i="80" s="1"/>
  <c r="F70" i="80" s="1"/>
  <c r="H70" i="80" s="1"/>
  <c r="D70" i="81" s="1"/>
  <c r="F70" i="81" s="1"/>
  <c r="H70" i="81" s="1"/>
  <c r="D70" i="82" s="1"/>
  <c r="F70" i="82" s="1"/>
  <c r="H70" i="82" s="1"/>
  <c r="D70" i="83" s="1"/>
  <c r="F70" i="83" s="1"/>
  <c r="H70" i="83" s="1"/>
  <c r="D70" i="84" s="1"/>
  <c r="F70" i="84" s="1"/>
  <c r="H70" i="84" s="1"/>
  <c r="D70" i="85" s="1"/>
  <c r="F70" i="85" s="1"/>
  <c r="H70" i="85" s="1"/>
  <c r="D70" i="86" s="1"/>
  <c r="F70" i="86" s="1"/>
  <c r="H70" i="86" s="1"/>
  <c r="D70" i="87" s="1"/>
  <c r="F70" i="87" s="1"/>
  <c r="H70" i="87" s="1"/>
  <c r="F69" i="78"/>
  <c r="H69" i="78" s="1"/>
  <c r="D69" i="79" s="1"/>
  <c r="F69" i="79" s="1"/>
  <c r="H69" i="79" s="1"/>
  <c r="D69" i="80" s="1"/>
  <c r="F69" i="80" s="1"/>
  <c r="H69" i="80" s="1"/>
  <c r="D69" i="81" s="1"/>
  <c r="F69" i="81" s="1"/>
  <c r="H69" i="81" s="1"/>
  <c r="D69" i="82" s="1"/>
  <c r="F69" i="82" s="1"/>
  <c r="H69" i="82" s="1"/>
  <c r="D69" i="83" s="1"/>
  <c r="F69" i="83" s="1"/>
  <c r="H69" i="83" s="1"/>
  <c r="D69" i="84" s="1"/>
  <c r="F69" i="84" s="1"/>
  <c r="H69" i="84" s="1"/>
  <c r="D69" i="85" s="1"/>
  <c r="F69" i="85" s="1"/>
  <c r="H69" i="85" s="1"/>
  <c r="D69" i="86" s="1"/>
  <c r="F69" i="86" s="1"/>
  <c r="H69" i="86" s="1"/>
  <c r="D69" i="87" s="1"/>
  <c r="F69" i="87" s="1"/>
  <c r="H69" i="87" s="1"/>
  <c r="F71" i="88" s="1"/>
  <c r="H71" i="88" s="1"/>
  <c r="F68" i="78"/>
  <c r="H68" i="78" s="1"/>
  <c r="D68" i="79" s="1"/>
  <c r="F68" i="79" s="1"/>
  <c r="H68" i="79" s="1"/>
  <c r="D68" i="80" s="1"/>
  <c r="F68" i="80" s="1"/>
  <c r="H68" i="80" s="1"/>
  <c r="D68" i="81" s="1"/>
  <c r="F68" i="81" s="1"/>
  <c r="H68" i="81" s="1"/>
  <c r="D68" i="82" s="1"/>
  <c r="F68" i="82" s="1"/>
  <c r="H68" i="82" s="1"/>
  <c r="D68" i="83" s="1"/>
  <c r="F68" i="83" s="1"/>
  <c r="H68" i="83" s="1"/>
  <c r="D68" i="84" s="1"/>
  <c r="F68" i="84" s="1"/>
  <c r="H68" i="84" s="1"/>
  <c r="D68" i="85" s="1"/>
  <c r="F68" i="85" s="1"/>
  <c r="H68" i="85" s="1"/>
  <c r="D68" i="86" s="1"/>
  <c r="F68" i="86" s="1"/>
  <c r="H68" i="86" s="1"/>
  <c r="D68" i="87" s="1"/>
  <c r="F68" i="87" s="1"/>
  <c r="H68" i="87" s="1"/>
  <c r="F67" i="78"/>
  <c r="H67" i="78" s="1"/>
  <c r="D67" i="79" s="1"/>
  <c r="F67" i="79" s="1"/>
  <c r="H67" i="79" s="1"/>
  <c r="D67" i="80" s="1"/>
  <c r="F67" i="80" s="1"/>
  <c r="H67" i="80" s="1"/>
  <c r="D67" i="81" s="1"/>
  <c r="F67" i="81" s="1"/>
  <c r="H67" i="81" s="1"/>
  <c r="D67" i="82" s="1"/>
  <c r="F67" i="82" s="1"/>
  <c r="H67" i="82" s="1"/>
  <c r="D67" i="83" s="1"/>
  <c r="F67" i="83" s="1"/>
  <c r="H67" i="83" s="1"/>
  <c r="D67" i="84" s="1"/>
  <c r="F67" i="84" s="1"/>
  <c r="H67" i="84" s="1"/>
  <c r="D67" i="85" s="1"/>
  <c r="F67" i="85" s="1"/>
  <c r="H67" i="85" s="1"/>
  <c r="D67" i="86" s="1"/>
  <c r="F67" i="86" s="1"/>
  <c r="H67" i="86" s="1"/>
  <c r="D67" i="87" s="1"/>
  <c r="F67" i="87" s="1"/>
  <c r="H67" i="87" s="1"/>
  <c r="F66" i="78"/>
  <c r="H66" i="78" s="1"/>
  <c r="D66" i="79" s="1"/>
  <c r="F66" i="79" s="1"/>
  <c r="H66" i="79" s="1"/>
  <c r="D66" i="80" s="1"/>
  <c r="F66" i="80" s="1"/>
  <c r="H66" i="80" s="1"/>
  <c r="D66" i="81" s="1"/>
  <c r="F66" i="81" s="1"/>
  <c r="H66" i="81" s="1"/>
  <c r="D66" i="82" s="1"/>
  <c r="F66" i="82" s="1"/>
  <c r="H66" i="82" s="1"/>
  <c r="D66" i="83" s="1"/>
  <c r="F66" i="83" s="1"/>
  <c r="H66" i="83" s="1"/>
  <c r="D66" i="84" s="1"/>
  <c r="F66" i="84" s="1"/>
  <c r="H66" i="84" s="1"/>
  <c r="D66" i="85" s="1"/>
  <c r="F66" i="85" s="1"/>
  <c r="H66" i="85" s="1"/>
  <c r="D66" i="86" s="1"/>
  <c r="F66" i="86" s="1"/>
  <c r="H66" i="86" s="1"/>
  <c r="D66" i="87" s="1"/>
  <c r="F66" i="87" s="1"/>
  <c r="H66" i="87" s="1"/>
  <c r="F65" i="78"/>
  <c r="H65" i="78" s="1"/>
  <c r="D65" i="79" s="1"/>
  <c r="F65" i="79" s="1"/>
  <c r="H65" i="79" s="1"/>
  <c r="D65" i="80" s="1"/>
  <c r="F65" i="80" s="1"/>
  <c r="H65" i="80" s="1"/>
  <c r="D65" i="81" s="1"/>
  <c r="F65" i="81" s="1"/>
  <c r="H65" i="81" s="1"/>
  <c r="D65" i="82" s="1"/>
  <c r="F65" i="82" s="1"/>
  <c r="H65" i="82" s="1"/>
  <c r="D65" i="83" s="1"/>
  <c r="F65" i="83" s="1"/>
  <c r="H65" i="83" s="1"/>
  <c r="D65" i="84" s="1"/>
  <c r="F65" i="84" s="1"/>
  <c r="H65" i="84" s="1"/>
  <c r="D65" i="85" s="1"/>
  <c r="F65" i="85" s="1"/>
  <c r="H65" i="85" s="1"/>
  <c r="D65" i="86" s="1"/>
  <c r="F65" i="86" s="1"/>
  <c r="H65" i="86" s="1"/>
  <c r="D65" i="87" s="1"/>
  <c r="F65" i="87" s="1"/>
  <c r="H65" i="87" s="1"/>
  <c r="F64" i="78"/>
  <c r="H64" i="78" s="1"/>
  <c r="D64" i="79" s="1"/>
  <c r="F64" i="79" s="1"/>
  <c r="H64" i="79" s="1"/>
  <c r="D64" i="80" s="1"/>
  <c r="F64" i="80" s="1"/>
  <c r="H64" i="80" s="1"/>
  <c r="D64" i="81" s="1"/>
  <c r="F64" i="81" s="1"/>
  <c r="H64" i="81" s="1"/>
  <c r="D64" i="82" s="1"/>
  <c r="F64" i="82" s="1"/>
  <c r="H64" i="82" s="1"/>
  <c r="D64" i="83" s="1"/>
  <c r="F64" i="83" s="1"/>
  <c r="H64" i="83" s="1"/>
  <c r="D64" i="84" s="1"/>
  <c r="F64" i="84" s="1"/>
  <c r="H64" i="84" s="1"/>
  <c r="D64" i="85" s="1"/>
  <c r="F64" i="85" s="1"/>
  <c r="H64" i="85" s="1"/>
  <c r="D64" i="86" s="1"/>
  <c r="F64" i="86" s="1"/>
  <c r="H64" i="86" s="1"/>
  <c r="D64" i="87" s="1"/>
  <c r="F64" i="87" s="1"/>
  <c r="H64" i="87" s="1"/>
  <c r="F66" i="88" s="1"/>
  <c r="H66" i="88" s="1"/>
  <c r="F63" i="78"/>
  <c r="H63" i="78" s="1"/>
  <c r="D63" i="79" s="1"/>
  <c r="F63" i="79" s="1"/>
  <c r="H63" i="79" s="1"/>
  <c r="D63" i="80" s="1"/>
  <c r="F63" i="80" s="1"/>
  <c r="H63" i="80" s="1"/>
  <c r="D63" i="81" s="1"/>
  <c r="F63" i="81" s="1"/>
  <c r="H63" i="81" s="1"/>
  <c r="D63" i="82" s="1"/>
  <c r="F63" i="82" s="1"/>
  <c r="H63" i="82" s="1"/>
  <c r="D63" i="83" s="1"/>
  <c r="F63" i="83" s="1"/>
  <c r="H63" i="83" s="1"/>
  <c r="D63" i="84" s="1"/>
  <c r="F63" i="84" s="1"/>
  <c r="H63" i="84" s="1"/>
  <c r="D63" i="85" s="1"/>
  <c r="F63" i="85" s="1"/>
  <c r="H63" i="85" s="1"/>
  <c r="D63" i="86" s="1"/>
  <c r="F63" i="86" s="1"/>
  <c r="H63" i="86" s="1"/>
  <c r="D63" i="87" s="1"/>
  <c r="F63" i="87" s="1"/>
  <c r="H63" i="87" s="1"/>
  <c r="F62" i="78"/>
  <c r="H62" i="78" s="1"/>
  <c r="D62" i="79" s="1"/>
  <c r="F62" i="79" s="1"/>
  <c r="H62" i="79" s="1"/>
  <c r="D62" i="80" s="1"/>
  <c r="F62" i="80" s="1"/>
  <c r="H62" i="80" s="1"/>
  <c r="D62" i="81" s="1"/>
  <c r="F62" i="81" s="1"/>
  <c r="H62" i="81" s="1"/>
  <c r="D62" i="82" s="1"/>
  <c r="F62" i="82" s="1"/>
  <c r="H62" i="82" s="1"/>
  <c r="D62" i="83" s="1"/>
  <c r="F62" i="83" s="1"/>
  <c r="H62" i="83" s="1"/>
  <c r="D62" i="84" s="1"/>
  <c r="F62" i="84" s="1"/>
  <c r="H62" i="84" s="1"/>
  <c r="D62" i="85" s="1"/>
  <c r="F62" i="85" s="1"/>
  <c r="H62" i="85" s="1"/>
  <c r="F61" i="78"/>
  <c r="H61" i="78" s="1"/>
  <c r="D61" i="79" s="1"/>
  <c r="F61" i="79" s="1"/>
  <c r="H61" i="79" s="1"/>
  <c r="D61" i="80" s="1"/>
  <c r="F61" i="80" s="1"/>
  <c r="H61" i="80" s="1"/>
  <c r="D61" i="81" s="1"/>
  <c r="F61" i="81" s="1"/>
  <c r="H61" i="81" s="1"/>
  <c r="D61" i="82" s="1"/>
  <c r="F61" i="82" s="1"/>
  <c r="H61" i="82" s="1"/>
  <c r="D61" i="83" s="1"/>
  <c r="F61" i="83" s="1"/>
  <c r="H61" i="83" s="1"/>
  <c r="D61" i="84" s="1"/>
  <c r="F61" i="84" s="1"/>
  <c r="H61" i="84" s="1"/>
  <c r="D61" i="85" s="1"/>
  <c r="F61" i="85" s="1"/>
  <c r="H61" i="85" s="1"/>
  <c r="F61" i="86" s="1"/>
  <c r="H61" i="86" s="1"/>
  <c r="D61" i="87" s="1"/>
  <c r="F61" i="87" s="1"/>
  <c r="H61" i="87" s="1"/>
  <c r="F60" i="78"/>
  <c r="H60" i="78" s="1"/>
  <c r="D60" i="79" s="1"/>
  <c r="F60" i="79" s="1"/>
  <c r="H60" i="79" s="1"/>
  <c r="D60" i="80" s="1"/>
  <c r="F60" i="80" s="1"/>
  <c r="H60" i="80" s="1"/>
  <c r="D60" i="81" s="1"/>
  <c r="F60" i="81" s="1"/>
  <c r="H60" i="81" s="1"/>
  <c r="D60" i="82" s="1"/>
  <c r="F60" i="82" s="1"/>
  <c r="H60" i="82" s="1"/>
  <c r="D60" i="83" s="1"/>
  <c r="F60" i="83" s="1"/>
  <c r="H60" i="83" s="1"/>
  <c r="D60" i="84" s="1"/>
  <c r="F60" i="84" s="1"/>
  <c r="H60" i="84" s="1"/>
  <c r="D60" i="85" s="1"/>
  <c r="F60" i="85" s="1"/>
  <c r="H60" i="85" s="1"/>
  <c r="D60" i="86" s="1"/>
  <c r="F60" i="86" s="1"/>
  <c r="H60" i="86" s="1"/>
  <c r="D60" i="87" s="1"/>
  <c r="F60" i="87" s="1"/>
  <c r="H60" i="87" s="1"/>
  <c r="F62" i="88" s="1"/>
  <c r="H62" i="88" s="1"/>
  <c r="F59" i="78"/>
  <c r="H59" i="78" s="1"/>
  <c r="D59" i="79" s="1"/>
  <c r="F59" i="79" s="1"/>
  <c r="H59" i="79" s="1"/>
  <c r="D59" i="80" s="1"/>
  <c r="F59" i="80" s="1"/>
  <c r="H59" i="80" s="1"/>
  <c r="D59" i="81" s="1"/>
  <c r="F59" i="81" s="1"/>
  <c r="H59" i="81" s="1"/>
  <c r="D59" i="82" s="1"/>
  <c r="F59" i="82" s="1"/>
  <c r="H59" i="82" s="1"/>
  <c r="D59" i="83" s="1"/>
  <c r="F59" i="83" s="1"/>
  <c r="H59" i="83" s="1"/>
  <c r="D59" i="84" s="1"/>
  <c r="F59" i="84" s="1"/>
  <c r="H59" i="84" s="1"/>
  <c r="D59" i="85" s="1"/>
  <c r="F59" i="85" s="1"/>
  <c r="H59" i="85" s="1"/>
  <c r="D59" i="86" s="1"/>
  <c r="F59" i="86" s="1"/>
  <c r="H59" i="86" s="1"/>
  <c r="D59" i="87" s="1"/>
  <c r="F59" i="87" s="1"/>
  <c r="H59" i="87" s="1"/>
  <c r="F61" i="88" s="1"/>
  <c r="H61" i="88" s="1"/>
  <c r="F58" i="78"/>
  <c r="H58" i="78" s="1"/>
  <c r="D58" i="79" s="1"/>
  <c r="F58" i="79" s="1"/>
  <c r="H58" i="79" s="1"/>
  <c r="D58" i="80" s="1"/>
  <c r="F58" i="80" s="1"/>
  <c r="H58" i="80" s="1"/>
  <c r="D58" i="81" s="1"/>
  <c r="F58" i="81" s="1"/>
  <c r="H58" i="81" s="1"/>
  <c r="D58" i="82" s="1"/>
  <c r="F58" i="82" s="1"/>
  <c r="H58" i="82" s="1"/>
  <c r="D58" i="83" s="1"/>
  <c r="F58" i="83" s="1"/>
  <c r="H58" i="83" s="1"/>
  <c r="D58" i="84" s="1"/>
  <c r="F58" i="84" s="1"/>
  <c r="H58" i="84" s="1"/>
  <c r="D58" i="85" s="1"/>
  <c r="F58" i="85" s="1"/>
  <c r="H58" i="85" s="1"/>
  <c r="D58" i="86" s="1"/>
  <c r="F58" i="86" s="1"/>
  <c r="H58" i="86" s="1"/>
  <c r="D58" i="87" s="1"/>
  <c r="F58" i="87" s="1"/>
  <c r="H58" i="87" s="1"/>
  <c r="F57" i="78"/>
  <c r="H57" i="78" s="1"/>
  <c r="D57" i="79" s="1"/>
  <c r="F57" i="79" s="1"/>
  <c r="H57" i="79" s="1"/>
  <c r="D57" i="80" s="1"/>
  <c r="F57" i="80" s="1"/>
  <c r="H57" i="80" s="1"/>
  <c r="D57" i="81" s="1"/>
  <c r="F57" i="81" s="1"/>
  <c r="H57" i="81" s="1"/>
  <c r="D57" i="82" s="1"/>
  <c r="F57" i="82" s="1"/>
  <c r="H57" i="82" s="1"/>
  <c r="D57" i="83" s="1"/>
  <c r="F57" i="83" s="1"/>
  <c r="H57" i="83" s="1"/>
  <c r="D57" i="84" s="1"/>
  <c r="F57" i="84" s="1"/>
  <c r="H57" i="84" s="1"/>
  <c r="D57" i="85" s="1"/>
  <c r="F57" i="85" s="1"/>
  <c r="H57" i="85" s="1"/>
  <c r="D57" i="86" s="1"/>
  <c r="F57" i="86" s="1"/>
  <c r="H57" i="86" s="1"/>
  <c r="D57" i="87" s="1"/>
  <c r="F57" i="87" s="1"/>
  <c r="H57" i="87" s="1"/>
  <c r="F56" i="78"/>
  <c r="H56" i="78" s="1"/>
  <c r="D56" i="79" s="1"/>
  <c r="F56" i="79" s="1"/>
  <c r="H56" i="79" s="1"/>
  <c r="D56" i="80" s="1"/>
  <c r="F56" i="80" s="1"/>
  <c r="F55" i="78"/>
  <c r="H55" i="78" s="1"/>
  <c r="D55" i="79" s="1"/>
  <c r="F55" i="79" s="1"/>
  <c r="H55" i="79" s="1"/>
  <c r="D55" i="80" s="1"/>
  <c r="F55" i="80" s="1"/>
  <c r="H55" i="80" s="1"/>
  <c r="D55" i="81" s="1"/>
  <c r="F55" i="81" s="1"/>
  <c r="F54" i="78"/>
  <c r="H54" i="78" s="1"/>
  <c r="D54" i="79" s="1"/>
  <c r="F54" i="79" s="1"/>
  <c r="H54" i="79" s="1"/>
  <c r="D54" i="80" s="1"/>
  <c r="F54" i="80" s="1"/>
  <c r="H54" i="80" s="1"/>
  <c r="D54" i="81" s="1"/>
  <c r="F54" i="81" s="1"/>
  <c r="H54" i="81" s="1"/>
  <c r="D54" i="82" s="1"/>
  <c r="F54" i="82" s="1"/>
  <c r="H54" i="82" s="1"/>
  <c r="D54" i="83" s="1"/>
  <c r="F54" i="83" s="1"/>
  <c r="H54" i="83" s="1"/>
  <c r="F53" i="78"/>
  <c r="H53" i="78" s="1"/>
  <c r="F52" i="78"/>
  <c r="H52" i="78" s="1"/>
  <c r="D52" i="79" s="1"/>
  <c r="F52" i="79" s="1"/>
  <c r="H52" i="79" s="1"/>
  <c r="D52" i="80" s="1"/>
  <c r="F52" i="80" s="1"/>
  <c r="H52" i="80" s="1"/>
  <c r="D52" i="81" s="1"/>
  <c r="F52" i="81" s="1"/>
  <c r="H52" i="81" s="1"/>
  <c r="D52" i="82" s="1"/>
  <c r="F52" i="82" s="1"/>
  <c r="H52" i="82" s="1"/>
  <c r="D52" i="83" s="1"/>
  <c r="F52" i="83" s="1"/>
  <c r="H52" i="83" s="1"/>
  <c r="D52" i="84" s="1"/>
  <c r="F52" i="84" s="1"/>
  <c r="H52" i="84" s="1"/>
  <c r="D52" i="85" s="1"/>
  <c r="F52" i="85" s="1"/>
  <c r="H52" i="85" s="1"/>
  <c r="D52" i="86" s="1"/>
  <c r="F52" i="86" s="1"/>
  <c r="H52" i="86" s="1"/>
  <c r="D52" i="87" s="1"/>
  <c r="F52" i="87" s="1"/>
  <c r="H52" i="87" s="1"/>
  <c r="F51" i="78"/>
  <c r="H51" i="78" s="1"/>
  <c r="D51" i="79" s="1"/>
  <c r="F51" i="79" s="1"/>
  <c r="H51" i="79" s="1"/>
  <c r="D51" i="80" s="1"/>
  <c r="F51" i="80" s="1"/>
  <c r="H51" i="80" s="1"/>
  <c r="D51" i="81" s="1"/>
  <c r="F51" i="81" s="1"/>
  <c r="H51" i="81" s="1"/>
  <c r="D51" i="82" s="1"/>
  <c r="F51" i="82" s="1"/>
  <c r="H51" i="82" s="1"/>
  <c r="D51" i="83" s="1"/>
  <c r="F51" i="83" s="1"/>
  <c r="H51" i="83" s="1"/>
  <c r="D51" i="84" s="1"/>
  <c r="F51" i="84" s="1"/>
  <c r="H51" i="84" s="1"/>
  <c r="F50" i="78"/>
  <c r="H50" i="78" s="1"/>
  <c r="D50" i="79" s="1"/>
  <c r="F50" i="79" s="1"/>
  <c r="H50" i="79" s="1"/>
  <c r="D50" i="80" s="1"/>
  <c r="F50" i="80" s="1"/>
  <c r="H50" i="80" s="1"/>
  <c r="D50" i="81" s="1"/>
  <c r="F50" i="81" s="1"/>
  <c r="H50" i="81" s="1"/>
  <c r="D50" i="82" s="1"/>
  <c r="F50" i="82" s="1"/>
  <c r="H50" i="82" s="1"/>
  <c r="D50" i="83" s="1"/>
  <c r="F50" i="83" s="1"/>
  <c r="H50" i="83" s="1"/>
  <c r="D50" i="84" s="1"/>
  <c r="F50" i="84" s="1"/>
  <c r="H50" i="84" s="1"/>
  <c r="D50" i="85" s="1"/>
  <c r="F50" i="85" s="1"/>
  <c r="H50" i="85" s="1"/>
  <c r="D50" i="86" s="1"/>
  <c r="F50" i="86" s="1"/>
  <c r="H50" i="86" s="1"/>
  <c r="D50" i="87" s="1"/>
  <c r="F50" i="87" s="1"/>
  <c r="H50" i="87" s="1"/>
  <c r="F49" i="78"/>
  <c r="H49" i="78" s="1"/>
  <c r="D49" i="79" s="1"/>
  <c r="F49" i="79" s="1"/>
  <c r="H49" i="79" s="1"/>
  <c r="D49" i="80" s="1"/>
  <c r="F49" i="80" s="1"/>
  <c r="H49" i="80" s="1"/>
  <c r="D49" i="81" s="1"/>
  <c r="F49" i="81" s="1"/>
  <c r="H49" i="81" s="1"/>
  <c r="D49" i="82" s="1"/>
  <c r="F49" i="82" s="1"/>
  <c r="H49" i="82" s="1"/>
  <c r="D49" i="83" s="1"/>
  <c r="F49" i="83" s="1"/>
  <c r="H49" i="83" s="1"/>
  <c r="D49" i="84" s="1"/>
  <c r="F49" i="84" s="1"/>
  <c r="H49" i="84" s="1"/>
  <c r="D49" i="85" s="1"/>
  <c r="F49" i="85" s="1"/>
  <c r="H49" i="85" s="1"/>
  <c r="D49" i="86" s="1"/>
  <c r="F49" i="86" s="1"/>
  <c r="H49" i="86" s="1"/>
  <c r="D49" i="87" s="1"/>
  <c r="F49" i="87" s="1"/>
  <c r="H49" i="87" s="1"/>
  <c r="F48" i="78"/>
  <c r="H48" i="78" s="1"/>
  <c r="D48" i="79" s="1"/>
  <c r="F48" i="79" s="1"/>
  <c r="H48" i="79" s="1"/>
  <c r="D48" i="80" s="1"/>
  <c r="F48" i="80" s="1"/>
  <c r="H48" i="80" s="1"/>
  <c r="D48" i="81" s="1"/>
  <c r="F48" i="81" s="1"/>
  <c r="H48" i="81" s="1"/>
  <c r="D48" i="82" s="1"/>
  <c r="F48" i="82" s="1"/>
  <c r="H48" i="82" s="1"/>
  <c r="D48" i="83" s="1"/>
  <c r="F48" i="83" s="1"/>
  <c r="H48" i="83" s="1"/>
  <c r="D48" i="84" s="1"/>
  <c r="F48" i="84" s="1"/>
  <c r="H48" i="84" s="1"/>
  <c r="D48" i="85" s="1"/>
  <c r="F48" i="85" s="1"/>
  <c r="H48" i="85" s="1"/>
  <c r="D48" i="86" s="1"/>
  <c r="F48" i="86" s="1"/>
  <c r="H48" i="86" s="1"/>
  <c r="D48" i="87" s="1"/>
  <c r="F48" i="87" s="1"/>
  <c r="H48" i="87" s="1"/>
  <c r="F47" i="78"/>
  <c r="H47" i="78" s="1"/>
  <c r="D47" i="79" s="1"/>
  <c r="F47" i="79" s="1"/>
  <c r="H47" i="79" s="1"/>
  <c r="D47" i="80" s="1"/>
  <c r="F47" i="80" s="1"/>
  <c r="H47" i="80" s="1"/>
  <c r="D47" i="81" s="1"/>
  <c r="F47" i="81" s="1"/>
  <c r="H47" i="81" s="1"/>
  <c r="D47" i="82" s="1"/>
  <c r="F47" i="82" s="1"/>
  <c r="H47" i="82" s="1"/>
  <c r="D47" i="83" s="1"/>
  <c r="F47" i="83" s="1"/>
  <c r="H47" i="83" s="1"/>
  <c r="D47" i="84" s="1"/>
  <c r="F47" i="84" s="1"/>
  <c r="H47" i="84" s="1"/>
  <c r="D47" i="85" s="1"/>
  <c r="F47" i="85" s="1"/>
  <c r="H47" i="85" s="1"/>
  <c r="D47" i="86" s="1"/>
  <c r="F47" i="86" s="1"/>
  <c r="H47" i="86" s="1"/>
  <c r="D47" i="87" s="1"/>
  <c r="F47" i="87" s="1"/>
  <c r="H47" i="87" s="1"/>
  <c r="F46" i="78"/>
  <c r="H46" i="78" s="1"/>
  <c r="D46" i="79" s="1"/>
  <c r="F46" i="79" s="1"/>
  <c r="H46" i="79" s="1"/>
  <c r="D46" i="80" s="1"/>
  <c r="F46" i="80" s="1"/>
  <c r="H46" i="80" s="1"/>
  <c r="D46" i="81" s="1"/>
  <c r="F46" i="81" s="1"/>
  <c r="H46" i="81" s="1"/>
  <c r="D46" i="82" s="1"/>
  <c r="F46" i="82" s="1"/>
  <c r="H46" i="82" s="1"/>
  <c r="D46" i="83" s="1"/>
  <c r="F46" i="83" s="1"/>
  <c r="H46" i="83" s="1"/>
  <c r="D46" i="84" s="1"/>
  <c r="F46" i="84" s="1"/>
  <c r="H46" i="84" s="1"/>
  <c r="D46" i="85" s="1"/>
  <c r="F46" i="85" s="1"/>
  <c r="H46" i="85" s="1"/>
  <c r="D46" i="86" s="1"/>
  <c r="F46" i="86" s="1"/>
  <c r="H46" i="86" s="1"/>
  <c r="D46" i="87" s="1"/>
  <c r="F46" i="87" s="1"/>
  <c r="H46" i="87" s="1"/>
  <c r="F45" i="78"/>
  <c r="C27" i="78"/>
  <c r="C33" i="78" s="1"/>
  <c r="H18" i="78"/>
  <c r="F23" i="78" s="1"/>
  <c r="F18" i="78"/>
  <c r="B23" i="78" s="1"/>
  <c r="E18" i="78"/>
  <c r="D18" i="78"/>
  <c r="G15" i="97" l="1"/>
  <c r="D19" i="97"/>
  <c r="D9" i="101"/>
  <c r="D10" i="103"/>
  <c r="D14" i="98"/>
  <c r="D47" i="88"/>
  <c r="D49" i="88"/>
  <c r="H55" i="81"/>
  <c r="D55" i="82" s="1"/>
  <c r="F55" i="82" s="1"/>
  <c r="H59" i="88"/>
  <c r="D59" i="89" s="1"/>
  <c r="F58" i="89" s="1"/>
  <c r="D57" i="88"/>
  <c r="D63" i="88"/>
  <c r="F63" i="88" s="1"/>
  <c r="H63" i="88" s="1"/>
  <c r="D65" i="88"/>
  <c r="F65" i="88" s="1"/>
  <c r="H65" i="88" s="1"/>
  <c r="D65" i="89" s="1"/>
  <c r="F65" i="89" s="1"/>
  <c r="H65" i="89" s="1"/>
  <c r="D65" i="90" s="1"/>
  <c r="F65" i="90" s="1"/>
  <c r="H65" i="90" s="1"/>
  <c r="D65" i="91" s="1"/>
  <c r="F65" i="91" s="1"/>
  <c r="H65" i="91" s="1"/>
  <c r="D65" i="92" s="1"/>
  <c r="F65" i="92" s="1"/>
  <c r="H65" i="92" s="1"/>
  <c r="D65" i="93" s="1"/>
  <c r="F65" i="93" s="1"/>
  <c r="H65" i="93" s="1"/>
  <c r="D65" i="94" s="1"/>
  <c r="F65" i="94" s="1"/>
  <c r="H65" i="94" s="1"/>
  <c r="D65" i="95" s="1"/>
  <c r="F65" i="95" s="1"/>
  <c r="H65" i="95" s="1"/>
  <c r="D65" i="96" s="1"/>
  <c r="F65" i="96" s="1"/>
  <c r="H65" i="96" s="1"/>
  <c r="F69" i="88"/>
  <c r="H69" i="88" s="1"/>
  <c r="D69" i="89" s="1"/>
  <c r="F69" i="89" s="1"/>
  <c r="H69" i="89" s="1"/>
  <c r="D69" i="90" s="1"/>
  <c r="F69" i="90" s="1"/>
  <c r="H69" i="90" s="1"/>
  <c r="D69" i="91" s="1"/>
  <c r="F69" i="91" s="1"/>
  <c r="H69" i="91" s="1"/>
  <c r="D69" i="92" s="1"/>
  <c r="F69" i="92" s="1"/>
  <c r="H69" i="92" s="1"/>
  <c r="D69" i="93" s="1"/>
  <c r="F69" i="93" s="1"/>
  <c r="H69" i="93" s="1"/>
  <c r="D69" i="94" s="1"/>
  <c r="F69" i="94" s="1"/>
  <c r="H69" i="94" s="1"/>
  <c r="D69" i="95" s="1"/>
  <c r="F69" i="95" s="1"/>
  <c r="H69" i="95" s="1"/>
  <c r="D69" i="96" s="1"/>
  <c r="F69" i="96" s="1"/>
  <c r="H69" i="96" s="1"/>
  <c r="D67" i="88"/>
  <c r="F67" i="88" s="1"/>
  <c r="H67" i="88" s="1"/>
  <c r="G5" i="85"/>
  <c r="F48" i="88"/>
  <c r="H48" i="88" s="1"/>
  <c r="D48" i="89" s="1"/>
  <c r="F47" i="89" s="1"/>
  <c r="F50" i="88"/>
  <c r="H50" i="88" s="1"/>
  <c r="D50" i="89" s="1"/>
  <c r="F49" i="89" s="1"/>
  <c r="H49" i="89" s="1"/>
  <c r="D49" i="90" s="1"/>
  <c r="F49" i="90" s="1"/>
  <c r="H49" i="90" s="1"/>
  <c r="D49" i="91" s="1"/>
  <c r="F49" i="91" s="1"/>
  <c r="H49" i="91" s="1"/>
  <c r="D49" i="92" s="1"/>
  <c r="F49" i="92" s="1"/>
  <c r="H49" i="92" s="1"/>
  <c r="D49" i="93" s="1"/>
  <c r="F49" i="93" s="1"/>
  <c r="H49" i="93" s="1"/>
  <c r="D49" i="94" s="1"/>
  <c r="F49" i="94" s="1"/>
  <c r="H49" i="94" s="1"/>
  <c r="D49" i="95" s="1"/>
  <c r="F49" i="95" s="1"/>
  <c r="H49" i="95" s="1"/>
  <c r="D49" i="96" s="1"/>
  <c r="F49" i="96" s="1"/>
  <c r="H49" i="96" s="1"/>
  <c r="D48" i="88"/>
  <c r="F47" i="88" s="1"/>
  <c r="D50" i="88"/>
  <c r="F49" i="88" s="1"/>
  <c r="H49" i="88" s="1"/>
  <c r="D49" i="89" s="1"/>
  <c r="F48" i="89" s="1"/>
  <c r="H48" i="89" s="1"/>
  <c r="D48" i="90" s="1"/>
  <c r="F48" i="90" s="1"/>
  <c r="H48" i="90" s="1"/>
  <c r="D48" i="91" s="1"/>
  <c r="F48" i="91" s="1"/>
  <c r="H48" i="91" s="1"/>
  <c r="D48" i="92" s="1"/>
  <c r="F48" i="92" s="1"/>
  <c r="H48" i="92" s="1"/>
  <c r="D48" i="93" s="1"/>
  <c r="F48" i="93" s="1"/>
  <c r="H48" i="93" s="1"/>
  <c r="D48" i="94" s="1"/>
  <c r="F48" i="94" s="1"/>
  <c r="H48" i="94" s="1"/>
  <c r="D48" i="95" s="1"/>
  <c r="F48" i="95" s="1"/>
  <c r="H48" i="95" s="1"/>
  <c r="D48" i="96" s="1"/>
  <c r="F48" i="96" s="1"/>
  <c r="H48" i="96" s="1"/>
  <c r="D48" i="97" s="1"/>
  <c r="D52" i="88"/>
  <c r="F51" i="88" s="1"/>
  <c r="H51" i="88" s="1"/>
  <c r="D51" i="89" s="1"/>
  <c r="F50" i="89" s="1"/>
  <c r="H50" i="89" s="1"/>
  <c r="D50" i="90" s="1"/>
  <c r="F50" i="90" s="1"/>
  <c r="H50" i="90" s="1"/>
  <c r="D50" i="91" s="1"/>
  <c r="F50" i="91" s="1"/>
  <c r="H50" i="91" s="1"/>
  <c r="D50" i="92" s="1"/>
  <c r="F50" i="92" s="1"/>
  <c r="H50" i="92" s="1"/>
  <c r="D50" i="93" s="1"/>
  <c r="F50" i="93" s="1"/>
  <c r="H50" i="93" s="1"/>
  <c r="D50" i="94" s="1"/>
  <c r="F50" i="94" s="1"/>
  <c r="H50" i="94" s="1"/>
  <c r="D50" i="95" s="1"/>
  <c r="F50" i="95" s="1"/>
  <c r="H50" i="95" s="1"/>
  <c r="D50" i="96" s="1"/>
  <c r="F50" i="96" s="1"/>
  <c r="H50" i="96" s="1"/>
  <c r="D50" i="97" s="1"/>
  <c r="F50" i="97" s="1"/>
  <c r="H50" i="97" s="1"/>
  <c r="D50" i="98" s="1"/>
  <c r="F50" i="98" s="1"/>
  <c r="H50" i="98" s="1"/>
  <c r="D54" i="84"/>
  <c r="F54" i="84" s="1"/>
  <c r="H54" i="84" s="1"/>
  <c r="D54" i="85" s="1"/>
  <c r="F54" i="85" s="1"/>
  <c r="H54" i="85" s="1"/>
  <c r="D54" i="86" s="1"/>
  <c r="F54" i="86" s="1"/>
  <c r="H54" i="86" s="1"/>
  <c r="D54" i="87" s="1"/>
  <c r="F54" i="87" s="1"/>
  <c r="H54" i="87" s="1"/>
  <c r="C87" i="80"/>
  <c r="C89" i="80" s="1"/>
  <c r="H56" i="80"/>
  <c r="D56" i="81" s="1"/>
  <c r="F56" i="81" s="1"/>
  <c r="H56" i="81" s="1"/>
  <c r="D56" i="82" s="1"/>
  <c r="F56" i="82" s="1"/>
  <c r="H56" i="82" s="1"/>
  <c r="D56" i="83" s="1"/>
  <c r="F56" i="83" s="1"/>
  <c r="H56" i="83" s="1"/>
  <c r="D56" i="84" s="1"/>
  <c r="F56" i="84" s="1"/>
  <c r="H56" i="84" s="1"/>
  <c r="D56" i="85" s="1"/>
  <c r="F56" i="85" s="1"/>
  <c r="H56" i="85" s="1"/>
  <c r="D56" i="86" s="1"/>
  <c r="F56" i="86" s="1"/>
  <c r="H56" i="86" s="1"/>
  <c r="D56" i="87" s="1"/>
  <c r="F56" i="87" s="1"/>
  <c r="H56" i="87" s="1"/>
  <c r="G87" i="80"/>
  <c r="G89" i="80" s="1"/>
  <c r="F60" i="88"/>
  <c r="H60" i="88" s="1"/>
  <c r="D58" i="88"/>
  <c r="D68" i="88"/>
  <c r="F68" i="88" s="1"/>
  <c r="H68" i="88" s="1"/>
  <c r="D68" i="89" s="1"/>
  <c r="F68" i="89" s="1"/>
  <c r="H68" i="89" s="1"/>
  <c r="D68" i="90" s="1"/>
  <c r="F68" i="90" s="1"/>
  <c r="H68" i="90" s="1"/>
  <c r="D68" i="91" s="1"/>
  <c r="F68" i="91" s="1"/>
  <c r="H68" i="91" s="1"/>
  <c r="D68" i="92" s="1"/>
  <c r="F68" i="92" s="1"/>
  <c r="H68" i="92" s="1"/>
  <c r="D68" i="93" s="1"/>
  <c r="F68" i="93" s="1"/>
  <c r="H68" i="93" s="1"/>
  <c r="D68" i="94" s="1"/>
  <c r="F68" i="94" s="1"/>
  <c r="H68" i="94" s="1"/>
  <c r="D68" i="95" s="1"/>
  <c r="F68" i="95" s="1"/>
  <c r="H68" i="95" s="1"/>
  <c r="D68" i="96" s="1"/>
  <c r="F68" i="96" s="1"/>
  <c r="H68" i="96" s="1"/>
  <c r="F72" i="88"/>
  <c r="H72" i="88" s="1"/>
  <c r="D70" i="88"/>
  <c r="F70" i="88" s="1"/>
  <c r="H70" i="88" s="1"/>
  <c r="D70" i="89" s="1"/>
  <c r="F70" i="89" s="1"/>
  <c r="H70" i="89" s="1"/>
  <c r="D70" i="90" s="1"/>
  <c r="F70" i="90" s="1"/>
  <c r="H70" i="90" s="1"/>
  <c r="D70" i="91" s="1"/>
  <c r="F70" i="91" s="1"/>
  <c r="H70" i="91" s="1"/>
  <c r="D70" i="92" s="1"/>
  <c r="F70" i="92" s="1"/>
  <c r="H70" i="92" s="1"/>
  <c r="D70" i="93" s="1"/>
  <c r="F70" i="93" s="1"/>
  <c r="H70" i="93" s="1"/>
  <c r="D70" i="94" s="1"/>
  <c r="F70" i="94" s="1"/>
  <c r="H70" i="94" s="1"/>
  <c r="D70" i="95" s="1"/>
  <c r="F70" i="95" s="1"/>
  <c r="H70" i="95" s="1"/>
  <c r="D70" i="96" s="1"/>
  <c r="F70" i="96" s="1"/>
  <c r="H70" i="96" s="1"/>
  <c r="G5" i="86"/>
  <c r="D6" i="93"/>
  <c r="D53" i="79"/>
  <c r="F53" i="79" s="1"/>
  <c r="F73" i="78"/>
  <c r="F78" i="78"/>
  <c r="C25" i="78"/>
  <c r="G25" i="78" s="1"/>
  <c r="G27" i="78"/>
  <c r="G33" i="78" s="1"/>
  <c r="H45" i="78"/>
  <c r="B78" i="78"/>
  <c r="G89" i="77"/>
  <c r="C89" i="77"/>
  <c r="F48" i="97" l="1"/>
  <c r="H77" i="96"/>
  <c r="G9" i="101"/>
  <c r="D50" i="99"/>
  <c r="F50" i="99" s="1"/>
  <c r="H50" i="99" s="1"/>
  <c r="D50" i="100" s="1"/>
  <c r="F50" i="100" s="1"/>
  <c r="H50" i="100" s="1"/>
  <c r="D50" i="101" s="1"/>
  <c r="F50" i="101" s="1"/>
  <c r="H50" i="101" s="1"/>
  <c r="D50" i="102" s="1"/>
  <c r="F50" i="102" s="1"/>
  <c r="H50" i="102" s="1"/>
  <c r="D50" i="103" s="1"/>
  <c r="F50" i="103" s="1"/>
  <c r="H50" i="103" s="1"/>
  <c r="D50" i="104" s="1"/>
  <c r="F50" i="104" s="1"/>
  <c r="H50" i="104" s="1"/>
  <c r="G10" i="103"/>
  <c r="I15" i="97"/>
  <c r="G19" i="97"/>
  <c r="G14" i="98"/>
  <c r="F58" i="88"/>
  <c r="H58" i="88" s="1"/>
  <c r="D58" i="89" s="1"/>
  <c r="F57" i="89" s="1"/>
  <c r="H57" i="89" s="1"/>
  <c r="D57" i="90" s="1"/>
  <c r="F57" i="90" s="1"/>
  <c r="H57" i="90" s="1"/>
  <c r="D57" i="91" s="1"/>
  <c r="F57" i="91" s="1"/>
  <c r="H57" i="91" s="1"/>
  <c r="D57" i="92" s="1"/>
  <c r="F57" i="92" s="1"/>
  <c r="H57" i="92" s="1"/>
  <c r="D56" i="88"/>
  <c r="F56" i="88"/>
  <c r="H56" i="88" s="1"/>
  <c r="D56" i="89" s="1"/>
  <c r="F55" i="89" s="1"/>
  <c r="H55" i="89" s="1"/>
  <c r="D55" i="90" s="1"/>
  <c r="F55" i="90" s="1"/>
  <c r="H55" i="90" s="1"/>
  <c r="D55" i="91" s="1"/>
  <c r="F55" i="91" s="1"/>
  <c r="H55" i="91" s="1"/>
  <c r="D55" i="92" s="1"/>
  <c r="F55" i="92" s="1"/>
  <c r="H55" i="92" s="1"/>
  <c r="D55" i="93" s="1"/>
  <c r="F55" i="93" s="1"/>
  <c r="H55" i="93" s="1"/>
  <c r="D54" i="88"/>
  <c r="F53" i="88" s="1"/>
  <c r="H53" i="88" s="1"/>
  <c r="H47" i="88"/>
  <c r="H47" i="89"/>
  <c r="C84" i="81"/>
  <c r="I5" i="86"/>
  <c r="H73" i="78"/>
  <c r="D45" i="79"/>
  <c r="F45" i="79" s="1"/>
  <c r="H45" i="79" s="1"/>
  <c r="D45" i="80" s="1"/>
  <c r="F45" i="80" s="1"/>
  <c r="H45" i="80" s="1"/>
  <c r="D45" i="81" s="1"/>
  <c r="F45" i="81" s="1"/>
  <c r="H45" i="81" s="1"/>
  <c r="D45" i="82" s="1"/>
  <c r="F45" i="82" s="1"/>
  <c r="H45" i="82" s="1"/>
  <c r="D45" i="83" s="1"/>
  <c r="G6" i="93"/>
  <c r="I5" i="85"/>
  <c r="H58" i="89"/>
  <c r="D58" i="90" s="1"/>
  <c r="F58" i="90" s="1"/>
  <c r="H58" i="90" s="1"/>
  <c r="D58" i="91" s="1"/>
  <c r="F58" i="91" s="1"/>
  <c r="H58" i="91" s="1"/>
  <c r="D58" i="92" s="1"/>
  <c r="F58" i="92" s="1"/>
  <c r="H58" i="92" s="1"/>
  <c r="D58" i="93" s="1"/>
  <c r="F58" i="93" s="1"/>
  <c r="H58" i="93" s="1"/>
  <c r="D58" i="94" s="1"/>
  <c r="F58" i="94" s="1"/>
  <c r="H58" i="94" s="1"/>
  <c r="D58" i="95" s="1"/>
  <c r="F58" i="95" s="1"/>
  <c r="H58" i="95" s="1"/>
  <c r="D58" i="96" s="1"/>
  <c r="F58" i="96" s="1"/>
  <c r="H58" i="96" s="1"/>
  <c r="D58" i="97" s="1"/>
  <c r="F58" i="97" s="1"/>
  <c r="H58" i="97" s="1"/>
  <c r="D58" i="98" s="1"/>
  <c r="F58" i="98" s="1"/>
  <c r="H58" i="98" s="1"/>
  <c r="D58" i="99" s="1"/>
  <c r="F58" i="99" s="1"/>
  <c r="H58" i="99" s="1"/>
  <c r="D58" i="100" s="1"/>
  <c r="F58" i="100" s="1"/>
  <c r="H58" i="100" s="1"/>
  <c r="D58" i="101" s="1"/>
  <c r="F58" i="101" s="1"/>
  <c r="H58" i="101" s="1"/>
  <c r="D58" i="102" s="1"/>
  <c r="F58" i="102" s="1"/>
  <c r="H58" i="102" s="1"/>
  <c r="D58" i="103" s="1"/>
  <c r="F58" i="103" s="1"/>
  <c r="H58" i="103" s="1"/>
  <c r="D58" i="104" s="1"/>
  <c r="F58" i="104" s="1"/>
  <c r="H58" i="104" s="1"/>
  <c r="C87" i="89"/>
  <c r="C84" i="82"/>
  <c r="H55" i="82"/>
  <c r="D55" i="83" s="1"/>
  <c r="F55" i="83" s="1"/>
  <c r="H53" i="79"/>
  <c r="F73" i="79"/>
  <c r="D73" i="79"/>
  <c r="C81" i="78"/>
  <c r="G81" i="78" s="1"/>
  <c r="D50" i="105" l="1"/>
  <c r="F50" i="105" s="1"/>
  <c r="H50" i="105" s="1"/>
  <c r="D50" i="106" s="1"/>
  <c r="F50" i="106" s="1"/>
  <c r="H50" i="106" s="1"/>
  <c r="D50" i="107" s="1"/>
  <c r="F50" i="107" s="1"/>
  <c r="H50" i="107" s="1"/>
  <c r="D58" i="105"/>
  <c r="F58" i="105" s="1"/>
  <c r="H58" i="105" s="1"/>
  <c r="D58" i="106" s="1"/>
  <c r="F58" i="106" s="1"/>
  <c r="H58" i="106" s="1"/>
  <c r="D58" i="107" s="1"/>
  <c r="F58" i="107" s="1"/>
  <c r="H58" i="107" s="1"/>
  <c r="D15" i="98"/>
  <c r="I19" i="97"/>
  <c r="I10" i="103"/>
  <c r="I9" i="101"/>
  <c r="H48" i="97"/>
  <c r="I14" i="98"/>
  <c r="F45" i="83"/>
  <c r="H55" i="83"/>
  <c r="D55" i="84" s="1"/>
  <c r="F55" i="84" s="1"/>
  <c r="C84" i="83"/>
  <c r="G84" i="82"/>
  <c r="G89" i="82" s="1"/>
  <c r="C89" i="82"/>
  <c r="I6" i="93"/>
  <c r="G84" i="81"/>
  <c r="G89" i="81" s="1"/>
  <c r="C89" i="81"/>
  <c r="D47" i="89"/>
  <c r="G87" i="89"/>
  <c r="C96" i="89"/>
  <c r="D5" i="87"/>
  <c r="D47" i="90"/>
  <c r="D57" i="93"/>
  <c r="F57" i="93" s="1"/>
  <c r="H57" i="93" s="1"/>
  <c r="D57" i="94" s="1"/>
  <c r="F57" i="94" s="1"/>
  <c r="H57" i="94" s="1"/>
  <c r="D57" i="95" s="1"/>
  <c r="F57" i="95" s="1"/>
  <c r="H57" i="95" s="1"/>
  <c r="D57" i="96" s="1"/>
  <c r="F57" i="96" s="1"/>
  <c r="H57" i="96" s="1"/>
  <c r="D57" i="97" s="1"/>
  <c r="F57" i="97" s="1"/>
  <c r="H57" i="97" s="1"/>
  <c r="D57" i="98" s="1"/>
  <c r="F57" i="98" s="1"/>
  <c r="H57" i="98" s="1"/>
  <c r="H73" i="79"/>
  <c r="D53" i="80"/>
  <c r="F53" i="80" s="1"/>
  <c r="C27" i="77"/>
  <c r="D57" i="99" l="1"/>
  <c r="F57" i="99" s="1"/>
  <c r="H57" i="99" s="1"/>
  <c r="D57" i="100" s="1"/>
  <c r="F57" i="100" s="1"/>
  <c r="H57" i="100" s="1"/>
  <c r="D57" i="101" s="1"/>
  <c r="F57" i="101" s="1"/>
  <c r="H57" i="101" s="1"/>
  <c r="D57" i="102" s="1"/>
  <c r="F57" i="102" s="1"/>
  <c r="H57" i="102" s="1"/>
  <c r="D57" i="103" s="1"/>
  <c r="F57" i="103" s="1"/>
  <c r="H57" i="103" s="1"/>
  <c r="D57" i="104" s="1"/>
  <c r="F57" i="104" s="1"/>
  <c r="H57" i="104" s="1"/>
  <c r="K58" i="98"/>
  <c r="D48" i="98"/>
  <c r="D10" i="104"/>
  <c r="G15" i="98"/>
  <c r="D19" i="98"/>
  <c r="D14" i="99"/>
  <c r="F47" i="90"/>
  <c r="J87" i="89"/>
  <c r="G96" i="89"/>
  <c r="D6" i="94"/>
  <c r="G6" i="94" s="1"/>
  <c r="C89" i="83"/>
  <c r="G84" i="83"/>
  <c r="G89" i="83" s="1"/>
  <c r="G5" i="87"/>
  <c r="H55" i="84"/>
  <c r="D55" i="85" s="1"/>
  <c r="F55" i="85" s="1"/>
  <c r="C84" i="84"/>
  <c r="H45" i="83"/>
  <c r="D73" i="80"/>
  <c r="F73" i="80"/>
  <c r="H53" i="80"/>
  <c r="G88" i="76"/>
  <c r="C88" i="76"/>
  <c r="G87" i="75"/>
  <c r="C87" i="75"/>
  <c r="E73" i="77"/>
  <c r="D57" i="105" l="1"/>
  <c r="F57" i="105" s="1"/>
  <c r="H57" i="105" s="1"/>
  <c r="D57" i="106" s="1"/>
  <c r="F57" i="106" s="1"/>
  <c r="H57" i="106" s="1"/>
  <c r="D57" i="107" s="1"/>
  <c r="F57" i="107" s="1"/>
  <c r="H57" i="107" s="1"/>
  <c r="I15" i="98"/>
  <c r="G19" i="98"/>
  <c r="G10" i="104"/>
  <c r="F48" i="98"/>
  <c r="G14" i="99"/>
  <c r="C89" i="84"/>
  <c r="G84" i="84"/>
  <c r="G89" i="84" s="1"/>
  <c r="I5" i="87"/>
  <c r="D45" i="84"/>
  <c r="H55" i="85"/>
  <c r="D55" i="86" s="1"/>
  <c r="F55" i="86" s="1"/>
  <c r="C84" i="85"/>
  <c r="I6" i="94"/>
  <c r="H47" i="90"/>
  <c r="H73" i="80"/>
  <c r="D73" i="81" s="1"/>
  <c r="D53" i="81"/>
  <c r="F53" i="81" s="1"/>
  <c r="C33" i="77"/>
  <c r="H48" i="98" l="1"/>
  <c r="I10" i="104"/>
  <c r="D15" i="99"/>
  <c r="I19" i="98"/>
  <c r="I14" i="99"/>
  <c r="C90" i="85"/>
  <c r="G84" i="85"/>
  <c r="G90" i="85" s="1"/>
  <c r="D5" i="89"/>
  <c r="D5" i="88"/>
  <c r="D47" i="91"/>
  <c r="I18" i="94"/>
  <c r="D6" i="95"/>
  <c r="C84" i="86"/>
  <c r="H55" i="86"/>
  <c r="D55" i="87" s="1"/>
  <c r="F55" i="87" s="1"/>
  <c r="F45" i="84"/>
  <c r="H53" i="81"/>
  <c r="F73" i="81"/>
  <c r="I73" i="77"/>
  <c r="G73" i="77"/>
  <c r="D73" i="77"/>
  <c r="C73" i="77"/>
  <c r="F71" i="77"/>
  <c r="H71" i="77" s="1"/>
  <c r="F70" i="77"/>
  <c r="H70" i="77" s="1"/>
  <c r="F69" i="77"/>
  <c r="H69" i="77" s="1"/>
  <c r="F68" i="77"/>
  <c r="H68" i="77" s="1"/>
  <c r="F67" i="77"/>
  <c r="H67" i="77" s="1"/>
  <c r="F66" i="77"/>
  <c r="H66" i="77" s="1"/>
  <c r="F65" i="77"/>
  <c r="H65" i="77" s="1"/>
  <c r="F64" i="77"/>
  <c r="H64" i="77" s="1"/>
  <c r="F63" i="77"/>
  <c r="H63" i="77" s="1"/>
  <c r="F62" i="77"/>
  <c r="H62" i="77" s="1"/>
  <c r="F61" i="77"/>
  <c r="H61" i="77" s="1"/>
  <c r="F60" i="77"/>
  <c r="H60" i="77" s="1"/>
  <c r="F59" i="77"/>
  <c r="H59" i="77" s="1"/>
  <c r="F58" i="77"/>
  <c r="H58" i="77" s="1"/>
  <c r="F57" i="77"/>
  <c r="H57" i="77" s="1"/>
  <c r="F56" i="77"/>
  <c r="H56" i="77" s="1"/>
  <c r="F55" i="77"/>
  <c r="H55" i="77" s="1"/>
  <c r="F54" i="77"/>
  <c r="H54" i="77" s="1"/>
  <c r="F53" i="77"/>
  <c r="H53" i="77" s="1"/>
  <c r="F52" i="77"/>
  <c r="H52" i="77" s="1"/>
  <c r="F51" i="77"/>
  <c r="H51" i="77" s="1"/>
  <c r="F50" i="77"/>
  <c r="H50" i="77" s="1"/>
  <c r="F49" i="77"/>
  <c r="H49" i="77" s="1"/>
  <c r="F48" i="77"/>
  <c r="H48" i="77" s="1"/>
  <c r="F47" i="77"/>
  <c r="H47" i="77" s="1"/>
  <c r="F46" i="77"/>
  <c r="H46" i="77" s="1"/>
  <c r="F45" i="77"/>
  <c r="H18" i="77"/>
  <c r="F23" i="77" s="1"/>
  <c r="F18" i="77"/>
  <c r="B23" i="77" s="1"/>
  <c r="E18" i="77"/>
  <c r="D18" i="77"/>
  <c r="G17" i="77"/>
  <c r="I17" i="77" s="1"/>
  <c r="G16" i="77"/>
  <c r="I16" i="77" s="1"/>
  <c r="G15" i="77"/>
  <c r="I15" i="77" s="1"/>
  <c r="G14" i="77"/>
  <c r="I14" i="77" s="1"/>
  <c r="G13" i="77"/>
  <c r="I13" i="77" s="1"/>
  <c r="G12" i="77"/>
  <c r="I12" i="77" s="1"/>
  <c r="G11" i="77"/>
  <c r="I11" i="77" s="1"/>
  <c r="G10" i="77"/>
  <c r="I10" i="77" s="1"/>
  <c r="G9" i="77"/>
  <c r="I9" i="77" s="1"/>
  <c r="G8" i="77"/>
  <c r="I8" i="77" s="1"/>
  <c r="G7" i="77"/>
  <c r="I7" i="77" s="1"/>
  <c r="G6" i="77"/>
  <c r="I6" i="77" s="1"/>
  <c r="G5" i="77"/>
  <c r="G18" i="77" l="1"/>
  <c r="D14" i="100"/>
  <c r="G15" i="99"/>
  <c r="D19" i="99"/>
  <c r="D10" i="105"/>
  <c r="G10" i="105" s="1"/>
  <c r="D48" i="99"/>
  <c r="H45" i="84"/>
  <c r="G84" i="86"/>
  <c r="G89" i="86" s="1"/>
  <c r="C89" i="86"/>
  <c r="F47" i="91"/>
  <c r="C84" i="87"/>
  <c r="H55" i="87"/>
  <c r="G6" i="95"/>
  <c r="D18" i="95"/>
  <c r="G5" i="88"/>
  <c r="G5" i="89"/>
  <c r="D53" i="82"/>
  <c r="H73" i="81"/>
  <c r="F73" i="77"/>
  <c r="F78" i="77"/>
  <c r="C25" i="77"/>
  <c r="G25" i="77" s="1"/>
  <c r="I5" i="77"/>
  <c r="I18" i="77" s="1"/>
  <c r="G27" i="77"/>
  <c r="G33" i="77" s="1"/>
  <c r="H45" i="77"/>
  <c r="H73" i="77" s="1"/>
  <c r="B78" i="77"/>
  <c r="G14" i="100" l="1"/>
  <c r="F48" i="99"/>
  <c r="I10" i="105"/>
  <c r="D10" i="106" s="1"/>
  <c r="I15" i="99"/>
  <c r="G19" i="99"/>
  <c r="I5" i="89"/>
  <c r="I5" i="88"/>
  <c r="F57" i="88"/>
  <c r="D55" i="88"/>
  <c r="F54" i="88" s="1"/>
  <c r="H54" i="88" s="1"/>
  <c r="D54" i="89" s="1"/>
  <c r="I6" i="95"/>
  <c r="G18" i="95"/>
  <c r="G84" i="87"/>
  <c r="G91" i="87" s="1"/>
  <c r="C91" i="87"/>
  <c r="H47" i="91"/>
  <c r="D45" i="85"/>
  <c r="F53" i="82"/>
  <c r="D73" i="82"/>
  <c r="C81" i="77"/>
  <c r="G81" i="77" s="1"/>
  <c r="G10" i="106" l="1"/>
  <c r="I10" i="106" s="1"/>
  <c r="D10" i="107" s="1"/>
  <c r="D15" i="100"/>
  <c r="I19" i="99"/>
  <c r="H48" i="99"/>
  <c r="I14" i="100"/>
  <c r="I18" i="95"/>
  <c r="D6" i="96"/>
  <c r="F45" i="85"/>
  <c r="D47" i="92"/>
  <c r="H57" i="88"/>
  <c r="D57" i="89" s="1"/>
  <c r="F56" i="89" s="1"/>
  <c r="H56" i="89" s="1"/>
  <c r="D56" i="90" s="1"/>
  <c r="F56" i="90" s="1"/>
  <c r="H56" i="90" s="1"/>
  <c r="D56" i="91" s="1"/>
  <c r="F56" i="91" s="1"/>
  <c r="H56" i="91" s="1"/>
  <c r="D56" i="92" s="1"/>
  <c r="F56" i="92" s="1"/>
  <c r="H56" i="92" s="1"/>
  <c r="D56" i="93" s="1"/>
  <c r="F56" i="93" s="1"/>
  <c r="H56" i="93" s="1"/>
  <c r="F56" i="94" s="1"/>
  <c r="H56" i="94" s="1"/>
  <c r="D56" i="95" s="1"/>
  <c r="F56" i="95" s="1"/>
  <c r="H56" i="95" s="1"/>
  <c r="D56" i="96" s="1"/>
  <c r="F56" i="96" s="1"/>
  <c r="H56" i="96" s="1"/>
  <c r="D56" i="97" s="1"/>
  <c r="F56" i="97" s="1"/>
  <c r="H56" i="97" s="1"/>
  <c r="D56" i="98" s="1"/>
  <c r="F56" i="98" s="1"/>
  <c r="H56" i="98" s="1"/>
  <c r="D56" i="99" s="1"/>
  <c r="F56" i="99" s="1"/>
  <c r="H56" i="99" s="1"/>
  <c r="D56" i="100" s="1"/>
  <c r="F56" i="100" s="1"/>
  <c r="H56" i="100" s="1"/>
  <c r="D56" i="101" s="1"/>
  <c r="F56" i="101" s="1"/>
  <c r="H56" i="101" s="1"/>
  <c r="D56" i="102" s="1"/>
  <c r="F56" i="102" s="1"/>
  <c r="H56" i="102" s="1"/>
  <c r="D56" i="103" s="1"/>
  <c r="F56" i="103" s="1"/>
  <c r="H56" i="103" s="1"/>
  <c r="D56" i="104" s="1"/>
  <c r="F56" i="104" s="1"/>
  <c r="H56" i="104" s="1"/>
  <c r="C86" i="88"/>
  <c r="D5" i="90"/>
  <c r="H53" i="82"/>
  <c r="F73" i="82"/>
  <c r="F54" i="76"/>
  <c r="F55" i="76"/>
  <c r="G10" i="107" l="1"/>
  <c r="I10" i="107" s="1"/>
  <c r="D56" i="105"/>
  <c r="F56" i="105" s="1"/>
  <c r="H56" i="105" s="1"/>
  <c r="D56" i="106" s="1"/>
  <c r="F56" i="106" s="1"/>
  <c r="H56" i="106" s="1"/>
  <c r="D56" i="107" s="1"/>
  <c r="F56" i="107" s="1"/>
  <c r="H56" i="107" s="1"/>
  <c r="D14" i="101"/>
  <c r="D48" i="100"/>
  <c r="G15" i="100"/>
  <c r="D19" i="100"/>
  <c r="D18" i="96"/>
  <c r="G6" i="96"/>
  <c r="H73" i="82"/>
  <c r="D53" i="83"/>
  <c r="G5" i="90"/>
  <c r="C92" i="88"/>
  <c r="G86" i="88"/>
  <c r="G92" i="88" s="1"/>
  <c r="F47" i="92"/>
  <c r="H45" i="85"/>
  <c r="E73" i="76"/>
  <c r="F18" i="76"/>
  <c r="I15" i="100" l="1"/>
  <c r="G19" i="100"/>
  <c r="F48" i="100"/>
  <c r="G14" i="101"/>
  <c r="I6" i="96"/>
  <c r="I18" i="96" s="1"/>
  <c r="G18" i="96"/>
  <c r="F53" i="83"/>
  <c r="D73" i="83"/>
  <c r="D45" i="86"/>
  <c r="H47" i="92"/>
  <c r="I5" i="90"/>
  <c r="C27" i="76"/>
  <c r="C33" i="76" s="1"/>
  <c r="F58" i="76"/>
  <c r="F57" i="76"/>
  <c r="H57" i="76" s="1"/>
  <c r="I73" i="76"/>
  <c r="G73" i="76"/>
  <c r="D73" i="76"/>
  <c r="C73" i="76"/>
  <c r="F71" i="76"/>
  <c r="H71" i="76" s="1"/>
  <c r="F70" i="76"/>
  <c r="H70" i="76" s="1"/>
  <c r="F69" i="76"/>
  <c r="H69" i="76" s="1"/>
  <c r="F68" i="76"/>
  <c r="H68" i="76" s="1"/>
  <c r="F67" i="76"/>
  <c r="H67" i="76" s="1"/>
  <c r="F66" i="76"/>
  <c r="H66" i="76" s="1"/>
  <c r="F65" i="76"/>
  <c r="H65" i="76" s="1"/>
  <c r="F64" i="76"/>
  <c r="H64" i="76" s="1"/>
  <c r="F63" i="76"/>
  <c r="H63" i="76" s="1"/>
  <c r="F62" i="76"/>
  <c r="H62" i="76" s="1"/>
  <c r="F61" i="76"/>
  <c r="H61" i="76" s="1"/>
  <c r="F60" i="76"/>
  <c r="H60" i="76" s="1"/>
  <c r="F59" i="76"/>
  <c r="H59" i="76" s="1"/>
  <c r="H58" i="76"/>
  <c r="F56" i="76"/>
  <c r="H56" i="76" s="1"/>
  <c r="H55" i="76"/>
  <c r="H54" i="76"/>
  <c r="F53" i="76"/>
  <c r="H53" i="76" s="1"/>
  <c r="F52" i="76"/>
  <c r="H52" i="76" s="1"/>
  <c r="F51" i="76"/>
  <c r="H51" i="76" s="1"/>
  <c r="F50" i="76"/>
  <c r="H50" i="76" s="1"/>
  <c r="F49" i="76"/>
  <c r="H49" i="76" s="1"/>
  <c r="F48" i="76"/>
  <c r="H48" i="76" s="1"/>
  <c r="F47" i="76"/>
  <c r="H47" i="76" s="1"/>
  <c r="F46" i="76"/>
  <c r="H46" i="76" s="1"/>
  <c r="F45" i="76"/>
  <c r="H45" i="76" s="1"/>
  <c r="H18" i="76"/>
  <c r="F23" i="76" s="1"/>
  <c r="B23" i="76"/>
  <c r="E18" i="76"/>
  <c r="D18" i="76"/>
  <c r="G17" i="76"/>
  <c r="I17" i="76" s="1"/>
  <c r="G16" i="76"/>
  <c r="I16" i="76" s="1"/>
  <c r="G15" i="76"/>
  <c r="I15" i="76" s="1"/>
  <c r="G14" i="76"/>
  <c r="I14" i="76" s="1"/>
  <c r="G13" i="76"/>
  <c r="I13" i="76" s="1"/>
  <c r="G12" i="76"/>
  <c r="I12" i="76" s="1"/>
  <c r="G11" i="76"/>
  <c r="I11" i="76" s="1"/>
  <c r="G10" i="76"/>
  <c r="I10" i="76" s="1"/>
  <c r="G9" i="76"/>
  <c r="I9" i="76" s="1"/>
  <c r="G8" i="76"/>
  <c r="I8" i="76" s="1"/>
  <c r="G7" i="76"/>
  <c r="I7" i="76" s="1"/>
  <c r="G6" i="76"/>
  <c r="I6" i="76" s="1"/>
  <c r="G5" i="76"/>
  <c r="H48" i="100" l="1"/>
  <c r="I14" i="101"/>
  <c r="D15" i="101"/>
  <c r="I19" i="100"/>
  <c r="D5" i="91"/>
  <c r="D47" i="93"/>
  <c r="F47" i="93" s="1"/>
  <c r="F45" i="86"/>
  <c r="H53" i="83"/>
  <c r="F73" i="83"/>
  <c r="G18" i="76"/>
  <c r="G27" i="76"/>
  <c r="G33" i="76" s="1"/>
  <c r="F73" i="76"/>
  <c r="H73" i="76"/>
  <c r="F77" i="76"/>
  <c r="C25" i="76"/>
  <c r="G25" i="76" s="1"/>
  <c r="B77" i="76"/>
  <c r="I5" i="76"/>
  <c r="I18" i="76" s="1"/>
  <c r="F18" i="75"/>
  <c r="H18" i="75"/>
  <c r="G73" i="75"/>
  <c r="E73" i="75"/>
  <c r="F48" i="75"/>
  <c r="H48" i="75" s="1"/>
  <c r="G10" i="75"/>
  <c r="G11" i="75"/>
  <c r="G15" i="101" l="1"/>
  <c r="D19" i="101"/>
  <c r="D14" i="102"/>
  <c r="D48" i="101"/>
  <c r="G5" i="91"/>
  <c r="D53" i="84"/>
  <c r="H73" i="83"/>
  <c r="H45" i="86"/>
  <c r="H47" i="93"/>
  <c r="C80" i="76"/>
  <c r="G80" i="76" s="1"/>
  <c r="F69" i="75"/>
  <c r="F48" i="101" l="1"/>
  <c r="G14" i="102"/>
  <c r="I15" i="101"/>
  <c r="G19" i="101"/>
  <c r="I5" i="91"/>
  <c r="D47" i="94"/>
  <c r="F47" i="94" s="1"/>
  <c r="D45" i="87"/>
  <c r="F53" i="84"/>
  <c r="D73" i="84"/>
  <c r="I73" i="75"/>
  <c r="D73" i="75"/>
  <c r="C73" i="75"/>
  <c r="B77" i="75" s="1"/>
  <c r="F71" i="75"/>
  <c r="H71" i="75" s="1"/>
  <c r="F70" i="75"/>
  <c r="H70" i="75" s="1"/>
  <c r="H69" i="75"/>
  <c r="F68" i="75"/>
  <c r="H68" i="75" s="1"/>
  <c r="F67" i="75"/>
  <c r="H67" i="75" s="1"/>
  <c r="F66" i="75"/>
  <c r="H66" i="75" s="1"/>
  <c r="F65" i="75"/>
  <c r="H65" i="75" s="1"/>
  <c r="F64" i="75"/>
  <c r="H64" i="75" s="1"/>
  <c r="F63" i="75"/>
  <c r="H63" i="75" s="1"/>
  <c r="F62" i="75"/>
  <c r="H62" i="75" s="1"/>
  <c r="F61" i="75"/>
  <c r="H61" i="75" s="1"/>
  <c r="F60" i="75"/>
  <c r="H60" i="75" s="1"/>
  <c r="F59" i="75"/>
  <c r="H59" i="75" s="1"/>
  <c r="F58" i="75"/>
  <c r="H58" i="75" s="1"/>
  <c r="F57" i="75"/>
  <c r="H57" i="75" s="1"/>
  <c r="F56" i="75"/>
  <c r="H56" i="75" s="1"/>
  <c r="H55" i="75"/>
  <c r="F54" i="75"/>
  <c r="H54" i="75" s="1"/>
  <c r="F53" i="75"/>
  <c r="H53" i="75" s="1"/>
  <c r="F52" i="75"/>
  <c r="H52" i="75" s="1"/>
  <c r="F51" i="75"/>
  <c r="H51" i="75" s="1"/>
  <c r="F50" i="75"/>
  <c r="H50" i="75" s="1"/>
  <c r="F49" i="75"/>
  <c r="F47" i="75"/>
  <c r="H47" i="75" s="1"/>
  <c r="F46" i="75"/>
  <c r="H46" i="75" s="1"/>
  <c r="F45" i="75"/>
  <c r="H45" i="75" s="1"/>
  <c r="C27" i="75"/>
  <c r="C33" i="75" s="1"/>
  <c r="F23" i="75"/>
  <c r="B23" i="75"/>
  <c r="E18" i="75"/>
  <c r="D18" i="75"/>
  <c r="G17" i="75"/>
  <c r="I17" i="75" s="1"/>
  <c r="G16" i="75"/>
  <c r="I16" i="75" s="1"/>
  <c r="G15" i="75"/>
  <c r="I15" i="75" s="1"/>
  <c r="G14" i="75"/>
  <c r="I14" i="75" s="1"/>
  <c r="G13" i="75"/>
  <c r="I13" i="75" s="1"/>
  <c r="G12" i="75"/>
  <c r="I12" i="75" s="1"/>
  <c r="I11" i="75"/>
  <c r="I10" i="75"/>
  <c r="G9" i="75"/>
  <c r="I9" i="75" s="1"/>
  <c r="G8" i="75"/>
  <c r="I8" i="75" s="1"/>
  <c r="G7" i="75"/>
  <c r="I7" i="75" s="1"/>
  <c r="G6" i="75"/>
  <c r="I6" i="75" s="1"/>
  <c r="G5" i="75"/>
  <c r="I5" i="75" s="1"/>
  <c r="D15" i="102" l="1"/>
  <c r="I19" i="101"/>
  <c r="I14" i="102"/>
  <c r="H48" i="101"/>
  <c r="H53" i="84"/>
  <c r="F73" i="84"/>
  <c r="F45" i="87"/>
  <c r="H47" i="94"/>
  <c r="G18" i="75"/>
  <c r="F73" i="75"/>
  <c r="H49" i="75"/>
  <c r="H73" i="75" s="1"/>
  <c r="I18" i="75"/>
  <c r="F77" i="75"/>
  <c r="C25" i="75"/>
  <c r="G25" i="75" s="1"/>
  <c r="C79" i="75"/>
  <c r="G79" i="75" s="1"/>
  <c r="G27" i="75"/>
  <c r="G33" i="75" s="1"/>
  <c r="E72" i="74"/>
  <c r="G72" i="74"/>
  <c r="E18" i="74"/>
  <c r="F18" i="74"/>
  <c r="D48" i="102" l="1"/>
  <c r="D14" i="103"/>
  <c r="G15" i="102"/>
  <c r="D19" i="102"/>
  <c r="D53" i="85"/>
  <c r="H73" i="84"/>
  <c r="D47" i="95"/>
  <c r="H45" i="87"/>
  <c r="C27" i="74"/>
  <c r="I15" i="102" l="1"/>
  <c r="G19" i="102"/>
  <c r="G14" i="103"/>
  <c r="F48" i="102"/>
  <c r="F47" i="95"/>
  <c r="F53" i="85"/>
  <c r="D73" i="85"/>
  <c r="G87" i="74"/>
  <c r="C87" i="74"/>
  <c r="I72" i="74"/>
  <c r="D72" i="74"/>
  <c r="C72" i="74"/>
  <c r="B77" i="74" s="1"/>
  <c r="F70" i="74"/>
  <c r="H70" i="74" s="1"/>
  <c r="F69" i="74"/>
  <c r="H69" i="74" s="1"/>
  <c r="F68" i="74"/>
  <c r="H68" i="74" s="1"/>
  <c r="F67" i="74"/>
  <c r="H67" i="74" s="1"/>
  <c r="F66" i="74"/>
  <c r="H66" i="74" s="1"/>
  <c r="F65" i="74"/>
  <c r="H65" i="74" s="1"/>
  <c r="F64" i="74"/>
  <c r="H64" i="74" s="1"/>
  <c r="F63" i="74"/>
  <c r="H63" i="74" s="1"/>
  <c r="F62" i="74"/>
  <c r="H62" i="74" s="1"/>
  <c r="F61" i="74"/>
  <c r="H61" i="74" s="1"/>
  <c r="F60" i="74"/>
  <c r="H60" i="74" s="1"/>
  <c r="F59" i="74"/>
  <c r="H59" i="74" s="1"/>
  <c r="F58" i="74"/>
  <c r="H58" i="74" s="1"/>
  <c r="F57" i="74"/>
  <c r="H57" i="74" s="1"/>
  <c r="F56" i="74"/>
  <c r="H56" i="74" s="1"/>
  <c r="F55" i="74"/>
  <c r="H55" i="74" s="1"/>
  <c r="H54" i="74"/>
  <c r="F53" i="74"/>
  <c r="H53" i="74" s="1"/>
  <c r="F52" i="74"/>
  <c r="H52" i="74" s="1"/>
  <c r="F51" i="74"/>
  <c r="H51" i="74" s="1"/>
  <c r="F50" i="74"/>
  <c r="H50" i="74" s="1"/>
  <c r="F49" i="74"/>
  <c r="H49" i="74" s="1"/>
  <c r="F48" i="74"/>
  <c r="H48" i="74" s="1"/>
  <c r="F47" i="74"/>
  <c r="H47" i="74" s="1"/>
  <c r="F46" i="74"/>
  <c r="H46" i="74" s="1"/>
  <c r="F45" i="74"/>
  <c r="H45" i="74" s="1"/>
  <c r="C33" i="74"/>
  <c r="G27" i="74"/>
  <c r="G33" i="74" s="1"/>
  <c r="H18" i="74"/>
  <c r="F23" i="74" s="1"/>
  <c r="B23" i="74"/>
  <c r="D18" i="74"/>
  <c r="G17" i="74"/>
  <c r="I17" i="74" s="1"/>
  <c r="G16" i="74"/>
  <c r="I16" i="74" s="1"/>
  <c r="G15" i="74"/>
  <c r="I15" i="74" s="1"/>
  <c r="G14" i="74"/>
  <c r="I14" i="74" s="1"/>
  <c r="G13" i="74"/>
  <c r="I13" i="74" s="1"/>
  <c r="G12" i="74"/>
  <c r="I12" i="74" s="1"/>
  <c r="I11" i="74"/>
  <c r="G10" i="74"/>
  <c r="I10" i="74" s="1"/>
  <c r="G9" i="74"/>
  <c r="I9" i="74" s="1"/>
  <c r="G8" i="74"/>
  <c r="I8" i="74" s="1"/>
  <c r="G7" i="74"/>
  <c r="I7" i="74" s="1"/>
  <c r="G6" i="74"/>
  <c r="I6" i="74" s="1"/>
  <c r="G5" i="74"/>
  <c r="H48" i="102" l="1"/>
  <c r="I14" i="103"/>
  <c r="D15" i="103"/>
  <c r="I19" i="102"/>
  <c r="H53" i="85"/>
  <c r="F73" i="85"/>
  <c r="H47" i="95"/>
  <c r="D47" i="96" s="1"/>
  <c r="I5" i="74"/>
  <c r="I18" i="74" s="1"/>
  <c r="G18" i="74"/>
  <c r="F72" i="74"/>
  <c r="H72" i="74"/>
  <c r="C25" i="74"/>
  <c r="G25" i="74" s="1"/>
  <c r="C79" i="74"/>
  <c r="G79" i="74" s="1"/>
  <c r="F77" i="74"/>
  <c r="G87" i="73"/>
  <c r="C87" i="73"/>
  <c r="I72" i="73"/>
  <c r="G72" i="73"/>
  <c r="E72" i="73"/>
  <c r="D72" i="73"/>
  <c r="C72" i="73"/>
  <c r="F70" i="73"/>
  <c r="H70" i="73" s="1"/>
  <c r="F69" i="73"/>
  <c r="H69" i="73" s="1"/>
  <c r="F68" i="73"/>
  <c r="H68" i="73" s="1"/>
  <c r="F67" i="73"/>
  <c r="H67" i="73" s="1"/>
  <c r="F66" i="73"/>
  <c r="H66" i="73" s="1"/>
  <c r="F65" i="73"/>
  <c r="H65" i="73" s="1"/>
  <c r="F64" i="73"/>
  <c r="H64" i="73" s="1"/>
  <c r="F63" i="73"/>
  <c r="H63" i="73" s="1"/>
  <c r="F62" i="73"/>
  <c r="H62" i="73" s="1"/>
  <c r="F61" i="73"/>
  <c r="H61" i="73" s="1"/>
  <c r="F60" i="73"/>
  <c r="H60" i="73" s="1"/>
  <c r="F59" i="73"/>
  <c r="H59" i="73" s="1"/>
  <c r="F58" i="73"/>
  <c r="H58" i="73" s="1"/>
  <c r="F57" i="73"/>
  <c r="H57" i="73" s="1"/>
  <c r="F56" i="73"/>
  <c r="H56" i="73" s="1"/>
  <c r="F55" i="73"/>
  <c r="H55" i="73" s="1"/>
  <c r="H54" i="73"/>
  <c r="F53" i="73"/>
  <c r="H53" i="73" s="1"/>
  <c r="F52" i="73"/>
  <c r="H52" i="73" s="1"/>
  <c r="F51" i="73"/>
  <c r="H51" i="73" s="1"/>
  <c r="F50" i="73"/>
  <c r="H50" i="73" s="1"/>
  <c r="F49" i="73"/>
  <c r="H49" i="73" s="1"/>
  <c r="F48" i="73"/>
  <c r="H48" i="73" s="1"/>
  <c r="F47" i="73"/>
  <c r="H47" i="73" s="1"/>
  <c r="F46" i="73"/>
  <c r="H46" i="73" s="1"/>
  <c r="F45" i="73"/>
  <c r="C27" i="73"/>
  <c r="C33" i="73" s="1"/>
  <c r="H18" i="73"/>
  <c r="F23" i="73" s="1"/>
  <c r="F18" i="73"/>
  <c r="B23" i="73" s="1"/>
  <c r="E18" i="73"/>
  <c r="D18" i="73"/>
  <c r="G17" i="73"/>
  <c r="I17" i="73" s="1"/>
  <c r="G16" i="73"/>
  <c r="I16" i="73" s="1"/>
  <c r="G15" i="73"/>
  <c r="I15" i="73" s="1"/>
  <c r="G14" i="73"/>
  <c r="I14" i="73" s="1"/>
  <c r="G13" i="73"/>
  <c r="I13" i="73" s="1"/>
  <c r="G12" i="73"/>
  <c r="I12" i="73" s="1"/>
  <c r="I11" i="73"/>
  <c r="G10" i="73"/>
  <c r="I10" i="73" s="1"/>
  <c r="G9" i="73"/>
  <c r="I9" i="73" s="1"/>
  <c r="G8" i="73"/>
  <c r="I8" i="73" s="1"/>
  <c r="G7" i="73"/>
  <c r="I7" i="73" s="1"/>
  <c r="G6" i="73"/>
  <c r="I6" i="73" s="1"/>
  <c r="G5" i="73"/>
  <c r="C27" i="72"/>
  <c r="G15" i="103" l="1"/>
  <c r="D19" i="103"/>
  <c r="D14" i="104"/>
  <c r="D48" i="103"/>
  <c r="F47" i="96"/>
  <c r="G18" i="73"/>
  <c r="F72" i="73"/>
  <c r="D53" i="86"/>
  <c r="H73" i="85"/>
  <c r="F77" i="73"/>
  <c r="C25" i="73"/>
  <c r="G25" i="73" s="1"/>
  <c r="I5" i="73"/>
  <c r="I18" i="73" s="1"/>
  <c r="G27" i="73"/>
  <c r="G33" i="73" s="1"/>
  <c r="H45" i="73"/>
  <c r="H72" i="73" s="1"/>
  <c r="B77" i="73"/>
  <c r="G82" i="71"/>
  <c r="G87" i="71" s="1"/>
  <c r="C87" i="71"/>
  <c r="F48" i="103" l="1"/>
  <c r="G14" i="104"/>
  <c r="I15" i="103"/>
  <c r="G19" i="103"/>
  <c r="H47" i="96"/>
  <c r="F53" i="86"/>
  <c r="D73" i="86"/>
  <c r="C79" i="73"/>
  <c r="G79" i="73" s="1"/>
  <c r="D15" i="104" l="1"/>
  <c r="I19" i="103"/>
  <c r="I14" i="104"/>
  <c r="H48" i="103"/>
  <c r="H53" i="86"/>
  <c r="F73" i="86"/>
  <c r="C87" i="72"/>
  <c r="E72" i="72"/>
  <c r="H18" i="72"/>
  <c r="D48" i="104" l="1"/>
  <c r="D14" i="105"/>
  <c r="G14" i="105" s="1"/>
  <c r="G15" i="104"/>
  <c r="D19" i="104"/>
  <c r="D53" i="87"/>
  <c r="H73" i="86"/>
  <c r="G87" i="72"/>
  <c r="I15" i="104" l="1"/>
  <c r="G19" i="104"/>
  <c r="I14" i="105"/>
  <c r="D14" i="106" s="1"/>
  <c r="F48" i="104"/>
  <c r="F53" i="87"/>
  <c r="D73" i="87"/>
  <c r="C33" i="72"/>
  <c r="I72" i="72"/>
  <c r="G72" i="72"/>
  <c r="D72" i="72"/>
  <c r="C72" i="72"/>
  <c r="F70" i="72"/>
  <c r="H70" i="72" s="1"/>
  <c r="F69" i="72"/>
  <c r="H69" i="72" s="1"/>
  <c r="F68" i="72"/>
  <c r="H68" i="72" s="1"/>
  <c r="F67" i="72"/>
  <c r="H67" i="72" s="1"/>
  <c r="F66" i="72"/>
  <c r="H66" i="72" s="1"/>
  <c r="F65" i="72"/>
  <c r="H65" i="72" s="1"/>
  <c r="F64" i="72"/>
  <c r="H64" i="72" s="1"/>
  <c r="F63" i="72"/>
  <c r="H63" i="72" s="1"/>
  <c r="F62" i="72"/>
  <c r="H62" i="72" s="1"/>
  <c r="F61" i="72"/>
  <c r="H61" i="72" s="1"/>
  <c r="F60" i="72"/>
  <c r="H60" i="72" s="1"/>
  <c r="F59" i="72"/>
  <c r="H59" i="72" s="1"/>
  <c r="F58" i="72"/>
  <c r="H58" i="72" s="1"/>
  <c r="F57" i="72"/>
  <c r="H57" i="72" s="1"/>
  <c r="F56" i="72"/>
  <c r="H56" i="72" s="1"/>
  <c r="F55" i="72"/>
  <c r="H55" i="72" s="1"/>
  <c r="F54" i="72"/>
  <c r="H54" i="72" s="1"/>
  <c r="F53" i="72"/>
  <c r="H53" i="72" s="1"/>
  <c r="F52" i="72"/>
  <c r="H52" i="72" s="1"/>
  <c r="F51" i="72"/>
  <c r="H51" i="72" s="1"/>
  <c r="F50" i="72"/>
  <c r="H50" i="72" s="1"/>
  <c r="F49" i="72"/>
  <c r="H49" i="72" s="1"/>
  <c r="F48" i="72"/>
  <c r="H48" i="72" s="1"/>
  <c r="F47" i="72"/>
  <c r="H47" i="72" s="1"/>
  <c r="F46" i="72"/>
  <c r="H46" i="72" s="1"/>
  <c r="F45" i="72"/>
  <c r="F23" i="72"/>
  <c r="F18" i="72"/>
  <c r="B23" i="72" s="1"/>
  <c r="E18" i="72"/>
  <c r="D18" i="72"/>
  <c r="G17" i="72"/>
  <c r="I17" i="72" s="1"/>
  <c r="G16" i="72"/>
  <c r="I16" i="72" s="1"/>
  <c r="G15" i="72"/>
  <c r="I15" i="72" s="1"/>
  <c r="G14" i="72"/>
  <c r="I14" i="72" s="1"/>
  <c r="G13" i="72"/>
  <c r="I13" i="72" s="1"/>
  <c r="G12" i="72"/>
  <c r="I12" i="72" s="1"/>
  <c r="G11" i="72"/>
  <c r="I11" i="72" s="1"/>
  <c r="G10" i="72"/>
  <c r="I10" i="72" s="1"/>
  <c r="G9" i="72"/>
  <c r="I9" i="72" s="1"/>
  <c r="G8" i="72"/>
  <c r="I8" i="72" s="1"/>
  <c r="G7" i="72"/>
  <c r="I7" i="72" s="1"/>
  <c r="G6" i="72"/>
  <c r="I6" i="72" s="1"/>
  <c r="G5" i="72"/>
  <c r="G14" i="106" l="1"/>
  <c r="G18" i="72"/>
  <c r="I14" i="106"/>
  <c r="D14" i="107" s="1"/>
  <c r="H48" i="104"/>
  <c r="D15" i="105"/>
  <c r="G15" i="105" s="1"/>
  <c r="I19" i="104"/>
  <c r="D19" i="105" s="1"/>
  <c r="H53" i="87"/>
  <c r="F73" i="87"/>
  <c r="F72" i="72"/>
  <c r="F77" i="72"/>
  <c r="C25" i="72"/>
  <c r="G25" i="72" s="1"/>
  <c r="I5" i="72"/>
  <c r="I18" i="72" s="1"/>
  <c r="G27" i="72"/>
  <c r="G33" i="72" s="1"/>
  <c r="H45" i="72"/>
  <c r="H72" i="72" s="1"/>
  <c r="B77" i="72"/>
  <c r="E18" i="71"/>
  <c r="G14" i="107" l="1"/>
  <c r="I15" i="105"/>
  <c r="G19" i="105"/>
  <c r="D48" i="105"/>
  <c r="F55" i="88"/>
  <c r="H55" i="88" s="1"/>
  <c r="D55" i="89" s="1"/>
  <c r="F54" i="89" s="1"/>
  <c r="D53" i="88"/>
  <c r="H73" i="87"/>
  <c r="C79" i="72"/>
  <c r="G79" i="72" s="1"/>
  <c r="G72" i="71"/>
  <c r="C27" i="71"/>
  <c r="C33" i="71" s="1"/>
  <c r="I14" i="107" l="1"/>
  <c r="I19" i="105"/>
  <c r="D15" i="106"/>
  <c r="F48" i="105"/>
  <c r="F52" i="88"/>
  <c r="D75" i="88"/>
  <c r="H54" i="89"/>
  <c r="F76" i="89"/>
  <c r="E72" i="71"/>
  <c r="G15" i="106" l="1"/>
  <c r="D19" i="106"/>
  <c r="I15" i="106"/>
  <c r="G19" i="106"/>
  <c r="H48" i="105"/>
  <c r="D48" i="106" s="1"/>
  <c r="F48" i="106" s="1"/>
  <c r="H48" i="106" s="1"/>
  <c r="D48" i="107" s="1"/>
  <c r="D54" i="90"/>
  <c r="H76" i="89"/>
  <c r="H52" i="88"/>
  <c r="H75" i="88" s="1"/>
  <c r="D76" i="89" s="1"/>
  <c r="F75" i="88"/>
  <c r="F48" i="107" l="1"/>
  <c r="I19" i="106"/>
  <c r="D15" i="107"/>
  <c r="F54" i="90"/>
  <c r="D76" i="90"/>
  <c r="F49" i="71"/>
  <c r="H49" i="71" s="1"/>
  <c r="G15" i="107" l="1"/>
  <c r="D19" i="107"/>
  <c r="H48" i="107"/>
  <c r="H54" i="90"/>
  <c r="F76" i="90"/>
  <c r="H18" i="71"/>
  <c r="I15" i="107" l="1"/>
  <c r="I19" i="107" s="1"/>
  <c r="G19" i="107"/>
  <c r="D54" i="91"/>
  <c r="H76" i="90"/>
  <c r="G27" i="71"/>
  <c r="G33" i="71" s="1"/>
  <c r="F54" i="91" l="1"/>
  <c r="D76" i="91"/>
  <c r="D72" i="71"/>
  <c r="C72" i="71"/>
  <c r="F77" i="71" s="1"/>
  <c r="I72" i="71"/>
  <c r="F46" i="71"/>
  <c r="H46" i="71" s="1"/>
  <c r="F47" i="71"/>
  <c r="H47" i="71" s="1"/>
  <c r="F48" i="71"/>
  <c r="H48" i="71" s="1"/>
  <c r="F51" i="71"/>
  <c r="H51" i="71" s="1"/>
  <c r="F50" i="71"/>
  <c r="F52" i="71"/>
  <c r="H52" i="71" s="1"/>
  <c r="F53" i="71"/>
  <c r="H53" i="71" s="1"/>
  <c r="F54" i="71"/>
  <c r="H54" i="71" s="1"/>
  <c r="F55" i="71"/>
  <c r="H55" i="71" s="1"/>
  <c r="F56" i="71"/>
  <c r="H56" i="71" s="1"/>
  <c r="F57" i="71"/>
  <c r="H57" i="71" s="1"/>
  <c r="F58" i="71"/>
  <c r="H58" i="71" s="1"/>
  <c r="F59" i="71"/>
  <c r="H59" i="71" s="1"/>
  <c r="F60" i="71"/>
  <c r="H60" i="71" s="1"/>
  <c r="F61" i="71"/>
  <c r="H61" i="71" s="1"/>
  <c r="F62" i="71"/>
  <c r="H62" i="71" s="1"/>
  <c r="F63" i="71"/>
  <c r="H63" i="71" s="1"/>
  <c r="F64" i="71"/>
  <c r="H64" i="71" s="1"/>
  <c r="F65" i="71"/>
  <c r="H65" i="71" s="1"/>
  <c r="F66" i="71"/>
  <c r="H66" i="71" s="1"/>
  <c r="F67" i="71"/>
  <c r="H67" i="71" s="1"/>
  <c r="F68" i="71"/>
  <c r="H68" i="71" s="1"/>
  <c r="F69" i="71"/>
  <c r="H69" i="71" s="1"/>
  <c r="F70" i="71"/>
  <c r="H70" i="71" s="1"/>
  <c r="F45" i="71"/>
  <c r="F23" i="71"/>
  <c r="F18" i="71"/>
  <c r="B23" i="71" s="1"/>
  <c r="D18" i="71"/>
  <c r="G17" i="71"/>
  <c r="I17" i="71" s="1"/>
  <c r="G16" i="71"/>
  <c r="I16" i="71" s="1"/>
  <c r="G15" i="71"/>
  <c r="I15" i="71" s="1"/>
  <c r="G14" i="71"/>
  <c r="I14" i="71" s="1"/>
  <c r="G13" i="71"/>
  <c r="I13" i="71" s="1"/>
  <c r="G12" i="71"/>
  <c r="I12" i="71" s="1"/>
  <c r="G11" i="71"/>
  <c r="I11" i="71" s="1"/>
  <c r="G10" i="71"/>
  <c r="I10" i="71" s="1"/>
  <c r="G9" i="71"/>
  <c r="I9" i="71" s="1"/>
  <c r="G8" i="71"/>
  <c r="I8" i="71" s="1"/>
  <c r="G7" i="71"/>
  <c r="I7" i="71" s="1"/>
  <c r="G6" i="71"/>
  <c r="I6" i="71" s="1"/>
  <c r="G5" i="71"/>
  <c r="I5" i="71" s="1"/>
  <c r="H45" i="71" l="1"/>
  <c r="F72" i="71"/>
  <c r="H54" i="91"/>
  <c r="F76" i="91"/>
  <c r="B77" i="71"/>
  <c r="G18" i="71"/>
  <c r="C25" i="71"/>
  <c r="H50" i="71"/>
  <c r="I18" i="71"/>
  <c r="G5" i="56"/>
  <c r="I5" i="56" s="1"/>
  <c r="H72" i="71" l="1"/>
  <c r="C79" i="71"/>
  <c r="D54" i="92"/>
  <c r="H76" i="91"/>
  <c r="H77" i="91" s="1"/>
  <c r="G79" i="71"/>
  <c r="G25" i="71"/>
  <c r="C28" i="70"/>
  <c r="H28" i="70" s="1"/>
  <c r="H18" i="70"/>
  <c r="H23" i="70" s="1"/>
  <c r="H25" i="70" s="1"/>
  <c r="F18" i="70"/>
  <c r="C27" i="70" s="1"/>
  <c r="C33" i="70" s="1"/>
  <c r="E18" i="70"/>
  <c r="D18" i="70"/>
  <c r="G17" i="70"/>
  <c r="I17" i="70" s="1"/>
  <c r="G16" i="70"/>
  <c r="I16" i="70" s="1"/>
  <c r="G15" i="70"/>
  <c r="I15" i="70" s="1"/>
  <c r="G14" i="70"/>
  <c r="I14" i="70" s="1"/>
  <c r="G13" i="70"/>
  <c r="I13" i="70" s="1"/>
  <c r="G12" i="70"/>
  <c r="I12" i="70" s="1"/>
  <c r="G11" i="70"/>
  <c r="I11" i="70" s="1"/>
  <c r="G10" i="70"/>
  <c r="I10" i="70" s="1"/>
  <c r="G9" i="70"/>
  <c r="I9" i="70" s="1"/>
  <c r="G8" i="70"/>
  <c r="I8" i="70" s="1"/>
  <c r="G7" i="70"/>
  <c r="I7" i="70" s="1"/>
  <c r="G6" i="70"/>
  <c r="I6" i="70" s="1"/>
  <c r="G5" i="70"/>
  <c r="G18" i="70" l="1"/>
  <c r="F54" i="92"/>
  <c r="D76" i="92"/>
  <c r="H27" i="70"/>
  <c r="H33" i="70" s="1"/>
  <c r="H34" i="70" s="1"/>
  <c r="C23" i="70"/>
  <c r="I5" i="70"/>
  <c r="I18" i="70" s="1"/>
  <c r="E18" i="69"/>
  <c r="F24" i="71" l="1"/>
  <c r="F33" i="71" s="1"/>
  <c r="H33" i="71" s="1"/>
  <c r="F24" i="72" s="1"/>
  <c r="F33" i="72" s="1"/>
  <c r="H33" i="72" s="1"/>
  <c r="F24" i="73" s="1"/>
  <c r="F33" i="73" s="1"/>
  <c r="H33" i="73" s="1"/>
  <c r="F24" i="74" s="1"/>
  <c r="F33" i="74" s="1"/>
  <c r="H33" i="74" s="1"/>
  <c r="F24" i="75" s="1"/>
  <c r="F33" i="75" s="1"/>
  <c r="H33" i="75" s="1"/>
  <c r="F24" i="76" s="1"/>
  <c r="F33" i="76" s="1"/>
  <c r="H33" i="76" s="1"/>
  <c r="F24" i="77" s="1"/>
  <c r="F33" i="77" s="1"/>
  <c r="H33" i="77" s="1"/>
  <c r="F24" i="78" s="1"/>
  <c r="F33" i="78" s="1"/>
  <c r="H33" i="78" s="1"/>
  <c r="F24" i="79" s="1"/>
  <c r="F33" i="79" s="1"/>
  <c r="H33" i="79" s="1"/>
  <c r="F24" i="80" s="1"/>
  <c r="F33" i="80" s="1"/>
  <c r="H33" i="80" s="1"/>
  <c r="F24" i="81" s="1"/>
  <c r="F33" i="81" s="1"/>
  <c r="H33" i="81" s="1"/>
  <c r="F24" i="82" s="1"/>
  <c r="F33" i="82" s="1"/>
  <c r="H33" i="82" s="1"/>
  <c r="F24" i="83" s="1"/>
  <c r="F33" i="83" s="1"/>
  <c r="H33" i="83" s="1"/>
  <c r="F24" i="84" s="1"/>
  <c r="F33" i="84" s="1"/>
  <c r="H33" i="84" s="1"/>
  <c r="F24" i="85" s="1"/>
  <c r="F33" i="85" s="1"/>
  <c r="H33" i="85" s="1"/>
  <c r="F24" i="86" s="1"/>
  <c r="F33" i="86" s="1"/>
  <c r="H33" i="86" s="1"/>
  <c r="F24" i="87" s="1"/>
  <c r="F33" i="87" s="1"/>
  <c r="H33" i="87" s="1"/>
  <c r="F78" i="71"/>
  <c r="F87" i="71" s="1"/>
  <c r="H87" i="71" s="1"/>
  <c r="F78" i="72" s="1"/>
  <c r="F87" i="72" s="1"/>
  <c r="H87" i="72" s="1"/>
  <c r="F78" i="73" s="1"/>
  <c r="F87" i="73" s="1"/>
  <c r="H87" i="73" s="1"/>
  <c r="F78" i="74" s="1"/>
  <c r="F87" i="74" s="1"/>
  <c r="H87" i="74" s="1"/>
  <c r="F78" i="75" s="1"/>
  <c r="F87" i="75" s="1"/>
  <c r="H87" i="75" s="1"/>
  <c r="F78" i="76" s="1"/>
  <c r="F88" i="76" s="1"/>
  <c r="H88" i="76" s="1"/>
  <c r="F79" i="77" s="1"/>
  <c r="F89" i="77" s="1"/>
  <c r="H89" i="77" s="1"/>
  <c r="F79" i="78" s="1"/>
  <c r="F89" i="78" s="1"/>
  <c r="H89" i="78" s="1"/>
  <c r="H54" i="92"/>
  <c r="F76" i="92"/>
  <c r="F79" i="79"/>
  <c r="F89" i="79" s="1"/>
  <c r="H89" i="79" s="1"/>
  <c r="C25" i="70"/>
  <c r="C34" i="70" s="1"/>
  <c r="H18" i="69"/>
  <c r="D54" i="93" l="1"/>
  <c r="F54" i="93" s="1"/>
  <c r="H76" i="92"/>
  <c r="B24" i="71"/>
  <c r="B33" i="71" s="1"/>
  <c r="D33" i="71" s="1"/>
  <c r="B24" i="72" s="1"/>
  <c r="B33" i="72" s="1"/>
  <c r="D33" i="72" s="1"/>
  <c r="B24" i="73" s="1"/>
  <c r="B33" i="73" s="1"/>
  <c r="D33" i="73" s="1"/>
  <c r="B24" i="74" s="1"/>
  <c r="B33" i="74" s="1"/>
  <c r="D33" i="74" s="1"/>
  <c r="B24" i="75" s="1"/>
  <c r="B33" i="75" s="1"/>
  <c r="D33" i="75" s="1"/>
  <c r="B24" i="76" s="1"/>
  <c r="B33" i="76" s="1"/>
  <c r="D33" i="76" s="1"/>
  <c r="B24" i="77" s="1"/>
  <c r="B33" i="77" s="1"/>
  <c r="D33" i="77" s="1"/>
  <c r="B24" i="78" s="1"/>
  <c r="B33" i="78" s="1"/>
  <c r="D33" i="78" s="1"/>
  <c r="B24" i="79" s="1"/>
  <c r="B33" i="79" s="1"/>
  <c r="D33" i="79" s="1"/>
  <c r="B24" i="80" s="1"/>
  <c r="B78" i="71"/>
  <c r="B87" i="71" s="1"/>
  <c r="D87" i="71" s="1"/>
  <c r="B78" i="72" s="1"/>
  <c r="B87" i="72" s="1"/>
  <c r="D87" i="72" s="1"/>
  <c r="B78" i="73" s="1"/>
  <c r="B87" i="73" s="1"/>
  <c r="D87" i="73" s="1"/>
  <c r="B78" i="74" s="1"/>
  <c r="B87" i="74" s="1"/>
  <c r="D87" i="74" s="1"/>
  <c r="B78" i="75" s="1"/>
  <c r="B87" i="75" s="1"/>
  <c r="D87" i="75" s="1"/>
  <c r="B78" i="76" s="1"/>
  <c r="B88" i="76" s="1"/>
  <c r="D88" i="76" s="1"/>
  <c r="B79" i="77" s="1"/>
  <c r="B89" i="77" s="1"/>
  <c r="D89" i="77" s="1"/>
  <c r="B79" i="78" s="1"/>
  <c r="F35" i="88"/>
  <c r="H35" i="88" s="1"/>
  <c r="F24" i="89" s="1"/>
  <c r="F35" i="89" s="1"/>
  <c r="H35" i="89" s="1"/>
  <c r="F24" i="90" s="1"/>
  <c r="F35" i="90" s="1"/>
  <c r="H35" i="90" s="1"/>
  <c r="F24" i="91" s="1"/>
  <c r="F35" i="91" s="1"/>
  <c r="H35" i="91" s="1"/>
  <c r="F24" i="92" s="1"/>
  <c r="F35" i="92" s="1"/>
  <c r="H35" i="92" s="1"/>
  <c r="F24" i="93" s="1"/>
  <c r="F35" i="93" s="1"/>
  <c r="H35" i="93" s="1"/>
  <c r="F24" i="94" s="1"/>
  <c r="F35" i="94" s="1"/>
  <c r="H35" i="94" s="1"/>
  <c r="F24" i="95" s="1"/>
  <c r="F35" i="95" s="1"/>
  <c r="H35" i="95" s="1"/>
  <c r="F24" i="96" s="1"/>
  <c r="F24" i="88"/>
  <c r="B33" i="80"/>
  <c r="D33" i="80" s="1"/>
  <c r="B24" i="81" s="1"/>
  <c r="B33" i="81" s="1"/>
  <c r="D33" i="81" s="1"/>
  <c r="B24" i="82" s="1"/>
  <c r="B33" i="82" s="1"/>
  <c r="D33" i="82" s="1"/>
  <c r="B24" i="83" s="1"/>
  <c r="B33" i="83" s="1"/>
  <c r="D33" i="83" s="1"/>
  <c r="B24" i="84" s="1"/>
  <c r="B33" i="84" s="1"/>
  <c r="D33" i="84" s="1"/>
  <c r="B24" i="85" s="1"/>
  <c r="B33" i="85" s="1"/>
  <c r="D33" i="85" s="1"/>
  <c r="B24" i="86" s="1"/>
  <c r="B33" i="86" s="1"/>
  <c r="D33" i="86" s="1"/>
  <c r="B24" i="87" s="1"/>
  <c r="B33" i="87" s="1"/>
  <c r="D33" i="87" s="1"/>
  <c r="B24" i="88" s="1"/>
  <c r="B35" i="88" s="1"/>
  <c r="D35" i="88" s="1"/>
  <c r="B24" i="89" s="1"/>
  <c r="B35" i="89" s="1"/>
  <c r="D35" i="89" s="1"/>
  <c r="B24" i="90" s="1"/>
  <c r="B35" i="90" s="1"/>
  <c r="D35" i="90" s="1"/>
  <c r="B24" i="91" s="1"/>
  <c r="B35" i="91" s="1"/>
  <c r="D35" i="91" s="1"/>
  <c r="F79" i="80"/>
  <c r="F89" i="80" s="1"/>
  <c r="H89" i="80" s="1"/>
  <c r="B89" i="78"/>
  <c r="D89" i="78" s="1"/>
  <c r="B79" i="79" s="1"/>
  <c r="B89" i="79" s="1"/>
  <c r="D89" i="79" s="1"/>
  <c r="H18" i="59"/>
  <c r="F18" i="59"/>
  <c r="I18" i="61"/>
  <c r="F35" i="96" l="1"/>
  <c r="H35" i="96" s="1"/>
  <c r="F25" i="97" s="1"/>
  <c r="F36" i="97" s="1"/>
  <c r="H36" i="97" s="1"/>
  <c r="K34" i="91"/>
  <c r="B24" i="92"/>
  <c r="B35" i="92" s="1"/>
  <c r="D35" i="92" s="1"/>
  <c r="H77" i="92"/>
  <c r="D76" i="93"/>
  <c r="H54" i="93"/>
  <c r="F76" i="93"/>
  <c r="F79" i="81"/>
  <c r="B79" i="80"/>
  <c r="C25" i="69"/>
  <c r="F25" i="98" l="1"/>
  <c r="B24" i="93"/>
  <c r="B35" i="93" s="1"/>
  <c r="D35" i="93" s="1"/>
  <c r="K34" i="92"/>
  <c r="D54" i="94"/>
  <c r="F54" i="94" s="1"/>
  <c r="H76" i="93"/>
  <c r="F89" i="81"/>
  <c r="H89" i="81" s="1"/>
  <c r="F79" i="82" s="1"/>
  <c r="F89" i="82" s="1"/>
  <c r="H89" i="82" s="1"/>
  <c r="F79" i="83" s="1"/>
  <c r="B89" i="80"/>
  <c r="G12" i="69"/>
  <c r="F36" i="98" l="1"/>
  <c r="H36" i="98" s="1"/>
  <c r="F25" i="99" s="1"/>
  <c r="F36" i="99" s="1"/>
  <c r="H36" i="99" s="1"/>
  <c r="F25" i="100" s="1"/>
  <c r="F36" i="100" s="1"/>
  <c r="H36" i="100" s="1"/>
  <c r="F25" i="101" s="1"/>
  <c r="F36" i="101" s="1"/>
  <c r="H36" i="101" s="1"/>
  <c r="F25" i="102" s="1"/>
  <c r="F36" i="102" s="1"/>
  <c r="H36" i="102" s="1"/>
  <c r="F25" i="103" s="1"/>
  <c r="F36" i="103" s="1"/>
  <c r="H36" i="103" s="1"/>
  <c r="F25" i="104" s="1"/>
  <c r="F36" i="104" s="1"/>
  <c r="H36" i="104" s="1"/>
  <c r="F25" i="105" s="1"/>
  <c r="F36" i="105" s="1"/>
  <c r="H36" i="105" s="1"/>
  <c r="F25" i="106" s="1"/>
  <c r="F36" i="106" s="1"/>
  <c r="H36" i="106" s="1"/>
  <c r="F25" i="107" s="1"/>
  <c r="F36" i="107" s="1"/>
  <c r="H36" i="107" s="1"/>
  <c r="F89" i="83"/>
  <c r="H89" i="83" s="1"/>
  <c r="F79" i="84" s="1"/>
  <c r="F89" i="84" s="1"/>
  <c r="H89" i="84" s="1"/>
  <c r="F79" i="85" s="1"/>
  <c r="F90" i="85" s="1"/>
  <c r="H90" i="85" s="1"/>
  <c r="F79" i="86" s="1"/>
  <c r="F89" i="86" s="1"/>
  <c r="H89" i="86" s="1"/>
  <c r="F79" i="87" s="1"/>
  <c r="F91" i="87" s="1"/>
  <c r="H91" i="87" s="1"/>
  <c r="F81" i="88" s="1"/>
  <c r="F92" i="88" s="1"/>
  <c r="H92" i="88" s="1"/>
  <c r="F82" i="89" s="1"/>
  <c r="F96" i="89" s="1"/>
  <c r="H96" i="89" s="1"/>
  <c r="H54" i="94"/>
  <c r="F76" i="94"/>
  <c r="D76" i="94"/>
  <c r="H77" i="93"/>
  <c r="L33" i="93"/>
  <c r="L34" i="93" s="1"/>
  <c r="B24" i="94"/>
  <c r="B35" i="94" s="1"/>
  <c r="D35" i="94" s="1"/>
  <c r="B24" i="95" s="1"/>
  <c r="B35" i="95" s="1"/>
  <c r="D35" i="95" s="1"/>
  <c r="K34" i="93"/>
  <c r="D89" i="80"/>
  <c r="B79" i="81" s="1"/>
  <c r="H25" i="69"/>
  <c r="H20" i="69"/>
  <c r="F18" i="69"/>
  <c r="C24" i="69" s="1"/>
  <c r="D18" i="69"/>
  <c r="G17" i="69"/>
  <c r="I17" i="69" s="1"/>
  <c r="G16" i="69"/>
  <c r="I16" i="69" s="1"/>
  <c r="G15" i="69"/>
  <c r="I15" i="69" s="1"/>
  <c r="G14" i="69"/>
  <c r="I14" i="69" s="1"/>
  <c r="G13" i="69"/>
  <c r="I13" i="69" s="1"/>
  <c r="I12" i="69"/>
  <c r="G11" i="69"/>
  <c r="I11" i="69" s="1"/>
  <c r="G10" i="69"/>
  <c r="I10" i="69" s="1"/>
  <c r="G9" i="69"/>
  <c r="I9" i="69" s="1"/>
  <c r="G8" i="69"/>
  <c r="I8" i="69" s="1"/>
  <c r="G7" i="69"/>
  <c r="I7" i="69" s="1"/>
  <c r="G6" i="69"/>
  <c r="I6" i="69" s="1"/>
  <c r="G5" i="69"/>
  <c r="B24" i="96" l="1"/>
  <c r="B35" i="96" s="1"/>
  <c r="D35" i="96" s="1"/>
  <c r="B25" i="97" s="1"/>
  <c r="B36" i="97" s="1"/>
  <c r="D36" i="97" s="1"/>
  <c r="G18" i="69"/>
  <c r="D54" i="95"/>
  <c r="H76" i="94"/>
  <c r="F82" i="90"/>
  <c r="F97" i="90" s="1"/>
  <c r="H97" i="90" s="1"/>
  <c r="F82" i="91" s="1"/>
  <c r="F97" i="91" s="1"/>
  <c r="H97" i="91" s="1"/>
  <c r="F82" i="92" s="1"/>
  <c r="F97" i="92" s="1"/>
  <c r="H97" i="92" s="1"/>
  <c r="F82" i="93" s="1"/>
  <c r="F95" i="93" s="1"/>
  <c r="H95" i="93" s="1"/>
  <c r="F82" i="94" s="1"/>
  <c r="F94" i="94" s="1"/>
  <c r="H94" i="94" s="1"/>
  <c r="F82" i="95" s="1"/>
  <c r="F94" i="95" s="1"/>
  <c r="H94" i="95" s="1"/>
  <c r="F82" i="96" s="1"/>
  <c r="B89" i="81"/>
  <c r="D89" i="81" s="1"/>
  <c r="B79" i="82" s="1"/>
  <c r="B89" i="82" s="1"/>
  <c r="D89" i="82" s="1"/>
  <c r="B79" i="83" s="1"/>
  <c r="B89" i="83" s="1"/>
  <c r="D89" i="83" s="1"/>
  <c r="B79" i="84" s="1"/>
  <c r="B89" i="84" s="1"/>
  <c r="D89" i="84" s="1"/>
  <c r="B79" i="85" s="1"/>
  <c r="B90" i="85" s="1"/>
  <c r="D90" i="85" s="1"/>
  <c r="B79" i="86" s="1"/>
  <c r="B89" i="86" s="1"/>
  <c r="D89" i="86" s="1"/>
  <c r="B79" i="87" s="1"/>
  <c r="B91" i="87" s="1"/>
  <c r="D91" i="87" s="1"/>
  <c r="B81" i="88" s="1"/>
  <c r="B92" i="88" s="1"/>
  <c r="D92" i="88" s="1"/>
  <c r="B82" i="89" s="1"/>
  <c r="B96" i="89" s="1"/>
  <c r="D96" i="89" s="1"/>
  <c r="B82" i="90" s="1"/>
  <c r="B97" i="90" s="1"/>
  <c r="D97" i="90" s="1"/>
  <c r="B82" i="91" s="1"/>
  <c r="B97" i="91" s="1"/>
  <c r="D97" i="91" s="1"/>
  <c r="B82" i="92" s="1"/>
  <c r="B97" i="92" s="1"/>
  <c r="D97" i="92" s="1"/>
  <c r="H24" i="69"/>
  <c r="H30" i="69" s="1"/>
  <c r="C30" i="69"/>
  <c r="C20" i="69"/>
  <c r="I5" i="69"/>
  <c r="I18" i="69" s="1"/>
  <c r="C36" i="68"/>
  <c r="H36" i="68" s="1"/>
  <c r="H29" i="68"/>
  <c r="H31" i="68" s="1"/>
  <c r="F29" i="68"/>
  <c r="C35" i="68" s="1"/>
  <c r="E29" i="68"/>
  <c r="D29" i="68"/>
  <c r="G28" i="68"/>
  <c r="I28" i="68" s="1"/>
  <c r="G27" i="68"/>
  <c r="I27" i="68" s="1"/>
  <c r="G26" i="68"/>
  <c r="I26" i="68" s="1"/>
  <c r="G25" i="68"/>
  <c r="I25" i="68" s="1"/>
  <c r="G24" i="68"/>
  <c r="I24" i="68" s="1"/>
  <c r="G23" i="68"/>
  <c r="I23" i="68" s="1"/>
  <c r="G22" i="68"/>
  <c r="I22" i="68" s="1"/>
  <c r="G21" i="68"/>
  <c r="I21" i="68" s="1"/>
  <c r="G20" i="68"/>
  <c r="I20" i="68" s="1"/>
  <c r="G19" i="68"/>
  <c r="I19" i="68" s="1"/>
  <c r="G18" i="68"/>
  <c r="I18" i="68" s="1"/>
  <c r="G17" i="68"/>
  <c r="I17" i="68" s="1"/>
  <c r="G16" i="68"/>
  <c r="B25" i="98" l="1"/>
  <c r="B36" i="98" s="1"/>
  <c r="D36" i="98" s="1"/>
  <c r="B25" i="99" s="1"/>
  <c r="B36" i="99" s="1"/>
  <c r="D36" i="99" s="1"/>
  <c r="B25" i="100" s="1"/>
  <c r="B36" i="100" s="1"/>
  <c r="D36" i="100" s="1"/>
  <c r="B25" i="101" s="1"/>
  <c r="B36" i="101" s="1"/>
  <c r="D36" i="101" s="1"/>
  <c r="B25" i="102" s="1"/>
  <c r="B36" i="102" s="1"/>
  <c r="D36" i="102" s="1"/>
  <c r="B25" i="103" s="1"/>
  <c r="B36" i="103" s="1"/>
  <c r="D36" i="103" s="1"/>
  <c r="B25" i="104" s="1"/>
  <c r="B36" i="104" s="1"/>
  <c r="D36" i="104" s="1"/>
  <c r="B25" i="105" s="1"/>
  <c r="B36" i="105" s="1"/>
  <c r="D36" i="105" s="1"/>
  <c r="B25" i="106" s="1"/>
  <c r="B36" i="106" s="1"/>
  <c r="D36" i="106" s="1"/>
  <c r="B25" i="107" s="1"/>
  <c r="B36" i="107" s="1"/>
  <c r="D36" i="107" s="1"/>
  <c r="F94" i="96"/>
  <c r="H94" i="96" s="1"/>
  <c r="G29" i="68"/>
  <c r="B82" i="93"/>
  <c r="B95" i="93" s="1"/>
  <c r="D95" i="93" s="1"/>
  <c r="K41" i="92"/>
  <c r="F54" i="95"/>
  <c r="D76" i="95"/>
  <c r="H35" i="68"/>
  <c r="H41" i="68" s="1"/>
  <c r="C41" i="68"/>
  <c r="C31" i="68"/>
  <c r="I16" i="68"/>
  <c r="I29" i="68" s="1"/>
  <c r="H18" i="67"/>
  <c r="E18" i="67"/>
  <c r="F83" i="97" l="1"/>
  <c r="H54" i="95"/>
  <c r="F76" i="95"/>
  <c r="B82" i="94"/>
  <c r="B94" i="94" s="1"/>
  <c r="D94" i="94" s="1"/>
  <c r="L59" i="93"/>
  <c r="C25" i="67"/>
  <c r="F18" i="67"/>
  <c r="C24" i="67" s="1"/>
  <c r="H24" i="67" s="1"/>
  <c r="F95" i="97" l="1"/>
  <c r="H95" i="97" s="1"/>
  <c r="H76" i="95"/>
  <c r="D54" i="96"/>
  <c r="B82" i="95"/>
  <c r="B94" i="95" s="1"/>
  <c r="D94" i="95" s="1"/>
  <c r="B82" i="96" s="1"/>
  <c r="M69" i="94"/>
  <c r="C30" i="67"/>
  <c r="H25" i="67"/>
  <c r="H30" i="67" s="1"/>
  <c r="H20" i="67"/>
  <c r="D18" i="67"/>
  <c r="G17" i="67"/>
  <c r="I17" i="67" s="1"/>
  <c r="G16" i="67"/>
  <c r="I16" i="67" s="1"/>
  <c r="G15" i="67"/>
  <c r="I15" i="67" s="1"/>
  <c r="G14" i="67"/>
  <c r="I14" i="67" s="1"/>
  <c r="G13" i="67"/>
  <c r="I13" i="67" s="1"/>
  <c r="G12" i="67"/>
  <c r="I12" i="67" s="1"/>
  <c r="G11" i="67"/>
  <c r="I11" i="67" s="1"/>
  <c r="G10" i="67"/>
  <c r="I10" i="67" s="1"/>
  <c r="G9" i="67"/>
  <c r="I9" i="67" s="1"/>
  <c r="G8" i="67"/>
  <c r="I8" i="67" s="1"/>
  <c r="G7" i="67"/>
  <c r="I7" i="67" s="1"/>
  <c r="G6" i="67"/>
  <c r="I6" i="67" s="1"/>
  <c r="G5" i="67"/>
  <c r="B94" i="96" l="1"/>
  <c r="D94" i="96" s="1"/>
  <c r="B83" i="97" s="1"/>
  <c r="B95" i="97" s="1"/>
  <c r="D95" i="97" s="1"/>
  <c r="H104" i="97" s="1"/>
  <c r="F83" i="98"/>
  <c r="F95" i="98" s="1"/>
  <c r="H95" i="98" s="1"/>
  <c r="F54" i="96"/>
  <c r="D76" i="96"/>
  <c r="G18" i="67"/>
  <c r="C20" i="67"/>
  <c r="I5" i="67"/>
  <c r="I18" i="67" s="1"/>
  <c r="G15" i="65"/>
  <c r="I15" i="65" s="1"/>
  <c r="G15" i="64"/>
  <c r="I15" i="64" s="1"/>
  <c r="E18" i="62"/>
  <c r="F18" i="62"/>
  <c r="H18" i="62"/>
  <c r="G8" i="62"/>
  <c r="G9" i="62"/>
  <c r="G10" i="62"/>
  <c r="G11" i="62"/>
  <c r="G12" i="62"/>
  <c r="G13" i="62"/>
  <c r="G14" i="62"/>
  <c r="G15" i="62"/>
  <c r="G16" i="62"/>
  <c r="G17" i="62"/>
  <c r="G7" i="62"/>
  <c r="G18" i="62" s="1"/>
  <c r="H8" i="61"/>
  <c r="H9" i="61"/>
  <c r="H10" i="61"/>
  <c r="H11" i="61"/>
  <c r="H12" i="61"/>
  <c r="J12" i="61" s="1"/>
  <c r="H13" i="61"/>
  <c r="J13" i="61" s="1"/>
  <c r="H14" i="61"/>
  <c r="H15" i="61"/>
  <c r="H16" i="61"/>
  <c r="H17" i="61"/>
  <c r="H7" i="61"/>
  <c r="J7" i="61" s="1"/>
  <c r="H6" i="60"/>
  <c r="H7" i="60"/>
  <c r="H8" i="60"/>
  <c r="H9" i="60"/>
  <c r="H10" i="60"/>
  <c r="H11" i="60"/>
  <c r="H12" i="60"/>
  <c r="H13" i="60"/>
  <c r="H14" i="60"/>
  <c r="H15" i="60"/>
  <c r="H16" i="60"/>
  <c r="H17" i="60"/>
  <c r="H5" i="60"/>
  <c r="J5" i="60" s="1"/>
  <c r="I18" i="60"/>
  <c r="G6" i="59"/>
  <c r="I6" i="59" s="1"/>
  <c r="G7" i="59"/>
  <c r="G8" i="59"/>
  <c r="G9" i="59"/>
  <c r="G10" i="59"/>
  <c r="G11" i="59"/>
  <c r="G12" i="59"/>
  <c r="G13" i="59"/>
  <c r="G14" i="59"/>
  <c r="G15" i="59"/>
  <c r="G16" i="59"/>
  <c r="G17" i="59"/>
  <c r="G5" i="59"/>
  <c r="I5" i="59" s="1"/>
  <c r="F83" i="99" l="1"/>
  <c r="F95" i="99" s="1"/>
  <c r="H95" i="99" s="1"/>
  <c r="F83" i="100" s="1"/>
  <c r="F95" i="100" s="1"/>
  <c r="H95" i="100" s="1"/>
  <c r="F83" i="101" s="1"/>
  <c r="F95" i="101" s="1"/>
  <c r="N72" i="97"/>
  <c r="B83" i="98"/>
  <c r="B95" i="98" s="1"/>
  <c r="D95" i="98" s="1"/>
  <c r="H54" i="96"/>
  <c r="F76" i="96"/>
  <c r="G15" i="66"/>
  <c r="I15" i="66" s="1"/>
  <c r="C25" i="66"/>
  <c r="H76" i="96" l="1"/>
  <c r="D54" i="97"/>
  <c r="H95" i="101"/>
  <c r="F83" i="102" s="1"/>
  <c r="F95" i="102" s="1"/>
  <c r="H95" i="102" s="1"/>
  <c r="F83" i="103" s="1"/>
  <c r="F95" i="103" s="1"/>
  <c r="H95" i="103" s="1"/>
  <c r="F83" i="104" s="1"/>
  <c r="F95" i="104" s="1"/>
  <c r="H95" i="104" s="1"/>
  <c r="B83" i="99"/>
  <c r="B95" i="99" s="1"/>
  <c r="D95" i="99" s="1"/>
  <c r="H25" i="66"/>
  <c r="H18" i="66"/>
  <c r="H20" i="66" s="1"/>
  <c r="F18" i="66"/>
  <c r="C24" i="66" s="1"/>
  <c r="C30" i="66" s="1"/>
  <c r="E18" i="66"/>
  <c r="D18" i="66"/>
  <c r="G17" i="66"/>
  <c r="I17" i="66" s="1"/>
  <c r="G16" i="66"/>
  <c r="I16" i="66" s="1"/>
  <c r="G14" i="66"/>
  <c r="I14" i="66" s="1"/>
  <c r="G13" i="66"/>
  <c r="I13" i="66" s="1"/>
  <c r="G12" i="66"/>
  <c r="I12" i="66" s="1"/>
  <c r="G11" i="66"/>
  <c r="I11" i="66" s="1"/>
  <c r="G10" i="66"/>
  <c r="I10" i="66" s="1"/>
  <c r="G9" i="66"/>
  <c r="I9" i="66" s="1"/>
  <c r="G8" i="66"/>
  <c r="I8" i="66" s="1"/>
  <c r="G7" i="66"/>
  <c r="I7" i="66" s="1"/>
  <c r="G6" i="66"/>
  <c r="I6" i="66" s="1"/>
  <c r="G5" i="66"/>
  <c r="G18" i="66" s="1"/>
  <c r="F83" i="105" l="1"/>
  <c r="F95" i="105" s="1"/>
  <c r="H95" i="105" s="1"/>
  <c r="F83" i="106" s="1"/>
  <c r="F95" i="106" s="1"/>
  <c r="H95" i="106" s="1"/>
  <c r="F83" i="107" s="1"/>
  <c r="F95" i="107" s="1"/>
  <c r="H95" i="107" s="1"/>
  <c r="F54" i="97"/>
  <c r="D77" i="97"/>
  <c r="G98" i="99"/>
  <c r="B83" i="100"/>
  <c r="B95" i="100" s="1"/>
  <c r="D95" i="100" s="1"/>
  <c r="G98" i="100" s="1"/>
  <c r="H24" i="66"/>
  <c r="H30" i="66" s="1"/>
  <c r="C20" i="66"/>
  <c r="I5" i="66"/>
  <c r="I18" i="66" s="1"/>
  <c r="C26" i="65"/>
  <c r="H54" i="97" l="1"/>
  <c r="F77" i="97"/>
  <c r="B83" i="101"/>
  <c r="B95" i="101" s="1"/>
  <c r="D95" i="101" s="1"/>
  <c r="B83" i="102" s="1"/>
  <c r="B95" i="102" s="1"/>
  <c r="D95" i="102" s="1"/>
  <c r="B83" i="103" s="1"/>
  <c r="B95" i="103" s="1"/>
  <c r="D95" i="103" s="1"/>
  <c r="B83" i="104" s="1"/>
  <c r="B95" i="104" s="1"/>
  <c r="D95" i="104" s="1"/>
  <c r="H26" i="65"/>
  <c r="B83" i="105" l="1"/>
  <c r="B95" i="105" s="1"/>
  <c r="D95" i="105" s="1"/>
  <c r="B83" i="106" s="1"/>
  <c r="B95" i="106" s="1"/>
  <c r="D95" i="106" s="1"/>
  <c r="B83" i="107" s="1"/>
  <c r="B95" i="107" s="1"/>
  <c r="D95" i="107" s="1"/>
  <c r="D54" i="98"/>
  <c r="H77" i="97"/>
  <c r="G5" i="64"/>
  <c r="F54" i="98" l="1"/>
  <c r="D77" i="98"/>
  <c r="H18" i="65"/>
  <c r="H20" i="65" s="1"/>
  <c r="F18" i="65"/>
  <c r="C25" i="65" s="1"/>
  <c r="E18" i="65"/>
  <c r="D18" i="65"/>
  <c r="G17" i="65"/>
  <c r="I17" i="65" s="1"/>
  <c r="G16" i="65"/>
  <c r="I16" i="65" s="1"/>
  <c r="G14" i="65"/>
  <c r="I14" i="65" s="1"/>
  <c r="G13" i="65"/>
  <c r="I13" i="65" s="1"/>
  <c r="G12" i="65"/>
  <c r="I12" i="65" s="1"/>
  <c r="G11" i="65"/>
  <c r="I11" i="65" s="1"/>
  <c r="G10" i="65"/>
  <c r="I10" i="65" s="1"/>
  <c r="G9" i="65"/>
  <c r="I9" i="65" s="1"/>
  <c r="G8" i="65"/>
  <c r="I8" i="65" s="1"/>
  <c r="G7" i="65"/>
  <c r="I7" i="65" s="1"/>
  <c r="G6" i="65"/>
  <c r="I6" i="65" s="1"/>
  <c r="G5" i="65"/>
  <c r="I5" i="65" s="1"/>
  <c r="H54" i="98" l="1"/>
  <c r="F77" i="98"/>
  <c r="C31" i="65"/>
  <c r="H25" i="65"/>
  <c r="H31" i="65" s="1"/>
  <c r="I18" i="65"/>
  <c r="G18" i="65"/>
  <c r="C20" i="65"/>
  <c r="G6" i="64"/>
  <c r="G7" i="64"/>
  <c r="G8" i="64"/>
  <c r="G9" i="64"/>
  <c r="G10" i="64"/>
  <c r="G11" i="64"/>
  <c r="G12" i="64"/>
  <c r="G13" i="64"/>
  <c r="G14" i="64"/>
  <c r="G16" i="64"/>
  <c r="G17" i="64"/>
  <c r="D54" i="99" l="1"/>
  <c r="H77" i="98"/>
  <c r="G7" i="63"/>
  <c r="G8" i="63"/>
  <c r="G9" i="63"/>
  <c r="G10" i="63"/>
  <c r="G11" i="63"/>
  <c r="G12" i="63"/>
  <c r="G13" i="63"/>
  <c r="G14" i="63"/>
  <c r="G15" i="63"/>
  <c r="G16" i="63"/>
  <c r="G17" i="63"/>
  <c r="G6" i="63"/>
  <c r="F54" i="99" l="1"/>
  <c r="D77" i="99"/>
  <c r="G18" i="64"/>
  <c r="F18" i="64"/>
  <c r="H54" i="99" l="1"/>
  <c r="F77" i="99"/>
  <c r="C24" i="64"/>
  <c r="C30" i="64" s="1"/>
  <c r="C20" i="64"/>
  <c r="H24" i="64"/>
  <c r="H30" i="64" s="1"/>
  <c r="C25" i="63"/>
  <c r="H18" i="64"/>
  <c r="H20" i="64" s="1"/>
  <c r="E18" i="64"/>
  <c r="D18" i="64"/>
  <c r="I17" i="64"/>
  <c r="I16" i="64"/>
  <c r="I14" i="64"/>
  <c r="I13" i="64"/>
  <c r="I12" i="64"/>
  <c r="I11" i="64"/>
  <c r="I10" i="64"/>
  <c r="I9" i="64"/>
  <c r="I8" i="64"/>
  <c r="I6" i="64"/>
  <c r="D54" i="100" l="1"/>
  <c r="H77" i="99"/>
  <c r="I7" i="64"/>
  <c r="I18" i="64" s="1"/>
  <c r="F18" i="63"/>
  <c r="F54" i="100" l="1"/>
  <c r="D77" i="100"/>
  <c r="H25" i="63"/>
  <c r="H18" i="63"/>
  <c r="H20" i="63" s="1"/>
  <c r="C20" i="63"/>
  <c r="E18" i="63"/>
  <c r="D18" i="63"/>
  <c r="I17" i="63"/>
  <c r="I16" i="63"/>
  <c r="I15" i="63"/>
  <c r="I14" i="63"/>
  <c r="I13" i="63"/>
  <c r="I12" i="63"/>
  <c r="I11" i="63"/>
  <c r="I10" i="63"/>
  <c r="I9" i="63"/>
  <c r="I8" i="63"/>
  <c r="I6" i="63"/>
  <c r="I5" i="63"/>
  <c r="H54" i="100" l="1"/>
  <c r="F77" i="100"/>
  <c r="G18" i="63"/>
  <c r="I7" i="63"/>
  <c r="I18" i="63" s="1"/>
  <c r="H24" i="63"/>
  <c r="H30" i="63" s="1"/>
  <c r="C24" i="63"/>
  <c r="C30" i="63" s="1"/>
  <c r="H28" i="62"/>
  <c r="C28" i="62"/>
  <c r="D54" i="101" l="1"/>
  <c r="H77" i="100"/>
  <c r="F18" i="61"/>
  <c r="F54" i="101" l="1"/>
  <c r="D77" i="101"/>
  <c r="H20" i="62"/>
  <c r="C20" i="62"/>
  <c r="C24" i="62" s="1"/>
  <c r="C30" i="62" s="1"/>
  <c r="D18" i="62"/>
  <c r="I17" i="62"/>
  <c r="I16" i="62"/>
  <c r="I15" i="62"/>
  <c r="I14" i="62"/>
  <c r="I13" i="62"/>
  <c r="I12" i="62"/>
  <c r="I11" i="62"/>
  <c r="I10" i="62"/>
  <c r="I9" i="62"/>
  <c r="I8" i="62"/>
  <c r="I6" i="62"/>
  <c r="I5" i="62"/>
  <c r="H54" i="101" l="1"/>
  <c r="F77" i="101"/>
  <c r="H24" i="62"/>
  <c r="H30" i="62" s="1"/>
  <c r="I7" i="62"/>
  <c r="I18" i="62" s="1"/>
  <c r="D54" i="102" l="1"/>
  <c r="H77" i="101"/>
  <c r="G18" i="61"/>
  <c r="J8" i="61"/>
  <c r="J9" i="61"/>
  <c r="J11" i="61"/>
  <c r="J15" i="61"/>
  <c r="J17" i="61"/>
  <c r="J10" i="61"/>
  <c r="J14" i="61"/>
  <c r="J16" i="61"/>
  <c r="F54" i="102" l="1"/>
  <c r="D77" i="102"/>
  <c r="I29" i="61"/>
  <c r="I20" i="61"/>
  <c r="C20" i="61"/>
  <c r="E18" i="61"/>
  <c r="D18" i="61"/>
  <c r="J6" i="61"/>
  <c r="H54" i="102" l="1"/>
  <c r="F77" i="102"/>
  <c r="I24" i="61"/>
  <c r="I31" i="61" s="1"/>
  <c r="C24" i="61"/>
  <c r="C31" i="61" s="1"/>
  <c r="H18" i="61"/>
  <c r="J5" i="61"/>
  <c r="J18" i="61" s="1"/>
  <c r="D54" i="103" l="1"/>
  <c r="H77" i="102"/>
  <c r="C28" i="60"/>
  <c r="F54" i="103" l="1"/>
  <c r="D77" i="103"/>
  <c r="I28" i="60"/>
  <c r="H54" i="103" l="1"/>
  <c r="F77" i="103"/>
  <c r="O3" i="60"/>
  <c r="I20" i="60"/>
  <c r="G18" i="60"/>
  <c r="C20" i="60" s="1"/>
  <c r="I24" i="60" s="1"/>
  <c r="I30" i="60" s="1"/>
  <c r="F18" i="60"/>
  <c r="E18" i="60"/>
  <c r="D18" i="60"/>
  <c r="J17" i="60"/>
  <c r="J16" i="60"/>
  <c r="J15" i="60"/>
  <c r="J14" i="60"/>
  <c r="J13" i="60"/>
  <c r="J12" i="60"/>
  <c r="J11" i="60"/>
  <c r="J10" i="60"/>
  <c r="J8" i="60"/>
  <c r="J7" i="60"/>
  <c r="J6" i="60"/>
  <c r="D54" i="104" l="1"/>
  <c r="H77" i="103"/>
  <c r="H18" i="60"/>
  <c r="C24" i="60"/>
  <c r="C30" i="60" s="1"/>
  <c r="J18" i="60"/>
  <c r="F54" i="104" l="1"/>
  <c r="D77" i="104"/>
  <c r="H20" i="59"/>
  <c r="H24" i="59" s="1"/>
  <c r="H29" i="59" s="1"/>
  <c r="C20" i="59"/>
  <c r="E18" i="59"/>
  <c r="D18" i="59"/>
  <c r="I17" i="59"/>
  <c r="I16" i="59"/>
  <c r="I15" i="59"/>
  <c r="I14" i="59"/>
  <c r="I13" i="59"/>
  <c r="I12" i="59"/>
  <c r="I11" i="59"/>
  <c r="I10" i="59"/>
  <c r="I8" i="59"/>
  <c r="I7" i="59"/>
  <c r="H54" i="104" l="1"/>
  <c r="F77" i="104"/>
  <c r="C24" i="59"/>
  <c r="C29" i="59" s="1"/>
  <c r="I18" i="59"/>
  <c r="G18" i="59"/>
  <c r="D54" i="105" l="1"/>
  <c r="H77" i="104"/>
  <c r="D18" i="58"/>
  <c r="E18" i="58"/>
  <c r="F18" i="58"/>
  <c r="H18" i="58"/>
  <c r="F54" i="105" l="1"/>
  <c r="D77" i="105"/>
  <c r="H20" i="58"/>
  <c r="C20" i="58"/>
  <c r="G17" i="58"/>
  <c r="I17" i="58" s="1"/>
  <c r="G16" i="58"/>
  <c r="I16" i="58" s="1"/>
  <c r="G15" i="58"/>
  <c r="I15" i="58" s="1"/>
  <c r="G14" i="58"/>
  <c r="I14" i="58" s="1"/>
  <c r="G13" i="58"/>
  <c r="I13" i="58" s="1"/>
  <c r="G12" i="58"/>
  <c r="I12" i="58" s="1"/>
  <c r="G11" i="58"/>
  <c r="I11" i="58" s="1"/>
  <c r="G10" i="58"/>
  <c r="I10" i="58" s="1"/>
  <c r="G8" i="58"/>
  <c r="I8" i="58" s="1"/>
  <c r="G7" i="58"/>
  <c r="G6" i="58"/>
  <c r="I6" i="58" s="1"/>
  <c r="G5" i="58"/>
  <c r="I5" i="58" s="1"/>
  <c r="H54" i="105" l="1"/>
  <c r="F77" i="105"/>
  <c r="C24" i="58"/>
  <c r="C28" i="58" s="1"/>
  <c r="H24" i="58"/>
  <c r="H29" i="58" s="1"/>
  <c r="G18" i="58"/>
  <c r="I7" i="58"/>
  <c r="I18" i="58" s="1"/>
  <c r="C27" i="56"/>
  <c r="F18" i="56"/>
  <c r="E18" i="56"/>
  <c r="H27" i="56"/>
  <c r="H77" i="105" l="1"/>
  <c r="D54" i="106"/>
  <c r="G7" i="56"/>
  <c r="G6" i="56"/>
  <c r="G8" i="56"/>
  <c r="G10" i="56"/>
  <c r="G11" i="56"/>
  <c r="G12" i="56"/>
  <c r="G13" i="56"/>
  <c r="G14" i="56"/>
  <c r="G15" i="56"/>
  <c r="G16" i="56"/>
  <c r="G17" i="56"/>
  <c r="F54" i="106" l="1"/>
  <c r="D77" i="106"/>
  <c r="C42" i="55"/>
  <c r="H54" i="106" l="1"/>
  <c r="F77" i="106"/>
  <c r="H29" i="57"/>
  <c r="H31" i="57" s="1"/>
  <c r="F29" i="57"/>
  <c r="C31" i="57" s="1"/>
  <c r="E29" i="57"/>
  <c r="D29" i="57"/>
  <c r="G28" i="57"/>
  <c r="I28" i="57" s="1"/>
  <c r="G27" i="57"/>
  <c r="I27" i="57" s="1"/>
  <c r="G26" i="57"/>
  <c r="I26" i="57" s="1"/>
  <c r="G25" i="57"/>
  <c r="I25" i="57" s="1"/>
  <c r="G24" i="57"/>
  <c r="I24" i="57" s="1"/>
  <c r="G23" i="57"/>
  <c r="I23" i="57" s="1"/>
  <c r="G22" i="57"/>
  <c r="I22" i="57" s="1"/>
  <c r="G21" i="57"/>
  <c r="I21" i="57" s="1"/>
  <c r="G20" i="57"/>
  <c r="I20" i="57" s="1"/>
  <c r="G19" i="57"/>
  <c r="I19" i="57" s="1"/>
  <c r="G18" i="57"/>
  <c r="I18" i="57" s="1"/>
  <c r="G17" i="57"/>
  <c r="I17" i="57" s="1"/>
  <c r="G16" i="57"/>
  <c r="I16" i="57" s="1"/>
  <c r="H77" i="106" l="1"/>
  <c r="D54" i="107"/>
  <c r="I29" i="57"/>
  <c r="C36" i="57"/>
  <c r="C41" i="57" s="1"/>
  <c r="C33" i="57"/>
  <c r="G29" i="57"/>
  <c r="H36" i="57"/>
  <c r="H18" i="56"/>
  <c r="H20" i="56" s="1"/>
  <c r="C20" i="56"/>
  <c r="D18" i="56"/>
  <c r="I17" i="56"/>
  <c r="I16" i="56"/>
  <c r="I15" i="56"/>
  <c r="I14" i="56"/>
  <c r="I13" i="56"/>
  <c r="I12" i="56"/>
  <c r="I11" i="56"/>
  <c r="I10" i="56"/>
  <c r="I8" i="56"/>
  <c r="I7" i="56"/>
  <c r="I6" i="56"/>
  <c r="F54" i="107" l="1"/>
  <c r="D77" i="107"/>
  <c r="C43" i="57"/>
  <c r="H42" i="57"/>
  <c r="H25" i="56"/>
  <c r="H29" i="56" s="1"/>
  <c r="C25" i="56"/>
  <c r="C28" i="56" s="1"/>
  <c r="C22" i="56"/>
  <c r="I18" i="56"/>
  <c r="G18" i="56"/>
  <c r="H30" i="55"/>
  <c r="H32" i="55" s="1"/>
  <c r="H37" i="55" s="1"/>
  <c r="H42" i="55" s="1"/>
  <c r="F30" i="55"/>
  <c r="C32" i="55" s="1"/>
  <c r="C37" i="55" s="1"/>
  <c r="E30" i="55"/>
  <c r="D30" i="55"/>
  <c r="G29" i="55"/>
  <c r="I29" i="55" s="1"/>
  <c r="G28" i="55"/>
  <c r="I28" i="55" s="1"/>
  <c r="G27" i="55"/>
  <c r="I27" i="55" s="1"/>
  <c r="G26" i="55"/>
  <c r="I26" i="55" s="1"/>
  <c r="G25" i="55"/>
  <c r="I25" i="55" s="1"/>
  <c r="G24" i="55"/>
  <c r="I24" i="55" s="1"/>
  <c r="G23" i="55"/>
  <c r="G22" i="55"/>
  <c r="I22" i="55" s="1"/>
  <c r="G21" i="55"/>
  <c r="I21" i="55" s="1"/>
  <c r="G20" i="55"/>
  <c r="I20" i="55" s="1"/>
  <c r="G19" i="55"/>
  <c r="G18" i="55"/>
  <c r="I18" i="55" s="1"/>
  <c r="G17" i="55"/>
  <c r="C29" i="54"/>
  <c r="F18" i="54"/>
  <c r="C20" i="54" s="1"/>
  <c r="C22" i="54" s="1"/>
  <c r="E18" i="54"/>
  <c r="D18" i="54"/>
  <c r="G17" i="54"/>
  <c r="I17" i="54" s="1"/>
  <c r="G16" i="54"/>
  <c r="I16" i="54" s="1"/>
  <c r="G15" i="54"/>
  <c r="I15" i="54" s="1"/>
  <c r="G14" i="54"/>
  <c r="I14" i="54" s="1"/>
  <c r="G13" i="54"/>
  <c r="I13" i="54" s="1"/>
  <c r="G12" i="54"/>
  <c r="I12" i="54" s="1"/>
  <c r="G11" i="54"/>
  <c r="I11" i="54" s="1"/>
  <c r="G10" i="54"/>
  <c r="I10" i="54" s="1"/>
  <c r="H9" i="54"/>
  <c r="H18" i="54" s="1"/>
  <c r="G9" i="54"/>
  <c r="I8" i="54"/>
  <c r="G7" i="54"/>
  <c r="I7" i="54" s="1"/>
  <c r="G6" i="54"/>
  <c r="I6" i="54" s="1"/>
  <c r="G5" i="54"/>
  <c r="I5" i="54" s="1"/>
  <c r="E22" i="53"/>
  <c r="E25" i="53" s="1"/>
  <c r="E29" i="53" s="1"/>
  <c r="E31" i="53" s="1"/>
  <c r="I18" i="53"/>
  <c r="C20" i="53" s="1"/>
  <c r="G18" i="53"/>
  <c r="F18" i="53"/>
  <c r="E18" i="53"/>
  <c r="D18" i="53"/>
  <c r="H17" i="53"/>
  <c r="J17" i="53" s="1"/>
  <c r="H16" i="53"/>
  <c r="H15" i="53"/>
  <c r="H14" i="53"/>
  <c r="J14" i="53" s="1"/>
  <c r="H13" i="53"/>
  <c r="J13" i="53" s="1"/>
  <c r="H12" i="53"/>
  <c r="J12" i="53" s="1"/>
  <c r="H11" i="53"/>
  <c r="J11" i="53" s="1"/>
  <c r="H10" i="53"/>
  <c r="J10" i="53" s="1"/>
  <c r="H9" i="53"/>
  <c r="J8" i="53"/>
  <c r="H7" i="53"/>
  <c r="J7" i="53" s="1"/>
  <c r="H5" i="53"/>
  <c r="J5" i="53" s="1"/>
  <c r="I18" i="52"/>
  <c r="G18" i="52"/>
  <c r="C20" i="52" s="1"/>
  <c r="F18" i="52"/>
  <c r="E18" i="52"/>
  <c r="D18" i="52"/>
  <c r="H17" i="52"/>
  <c r="J17" i="52" s="1"/>
  <c r="H16" i="52"/>
  <c r="H15" i="52"/>
  <c r="H14" i="52"/>
  <c r="J14" i="52" s="1"/>
  <c r="H13" i="52"/>
  <c r="J13" i="52" s="1"/>
  <c r="H12" i="52"/>
  <c r="J12" i="52" s="1"/>
  <c r="H11" i="52"/>
  <c r="J11" i="52" s="1"/>
  <c r="H10" i="52"/>
  <c r="J10" i="52" s="1"/>
  <c r="H9" i="52"/>
  <c r="J8" i="52"/>
  <c r="H7" i="52"/>
  <c r="J7" i="52" s="1"/>
  <c r="H5" i="52"/>
  <c r="J5" i="52" s="1"/>
  <c r="I18" i="51"/>
  <c r="G18" i="51"/>
  <c r="C20" i="51" s="1"/>
  <c r="F18" i="51"/>
  <c r="E18" i="51"/>
  <c r="D18" i="51"/>
  <c r="H17" i="51"/>
  <c r="J17" i="51" s="1"/>
  <c r="H16" i="51"/>
  <c r="H15" i="51"/>
  <c r="H14" i="51"/>
  <c r="J14" i="51" s="1"/>
  <c r="H13" i="51"/>
  <c r="J13" i="51" s="1"/>
  <c r="H12" i="51"/>
  <c r="J12" i="51" s="1"/>
  <c r="H11" i="51"/>
  <c r="J11" i="51" s="1"/>
  <c r="H10" i="51"/>
  <c r="J10" i="51" s="1"/>
  <c r="H9" i="51"/>
  <c r="J8" i="51"/>
  <c r="H7" i="51"/>
  <c r="J7" i="51" s="1"/>
  <c r="H5" i="51"/>
  <c r="J5" i="51" s="1"/>
  <c r="I18" i="50"/>
  <c r="G18" i="50"/>
  <c r="C20" i="50" s="1"/>
  <c r="F18" i="50"/>
  <c r="E18" i="50"/>
  <c r="D18" i="50"/>
  <c r="H17" i="50"/>
  <c r="J17" i="50" s="1"/>
  <c r="H16" i="50"/>
  <c r="H15" i="50"/>
  <c r="H14" i="50"/>
  <c r="J14" i="50" s="1"/>
  <c r="H13" i="50"/>
  <c r="J13" i="50" s="1"/>
  <c r="H12" i="50"/>
  <c r="J12" i="50" s="1"/>
  <c r="H11" i="50"/>
  <c r="J11" i="50" s="1"/>
  <c r="H10" i="50"/>
  <c r="J10" i="50" s="1"/>
  <c r="H9" i="50"/>
  <c r="J9" i="50" s="1"/>
  <c r="H7" i="50"/>
  <c r="J7" i="50" s="1"/>
  <c r="H5" i="50"/>
  <c r="J5" i="50" s="1"/>
  <c r="I18" i="49"/>
  <c r="G18" i="49"/>
  <c r="C20" i="49" s="1"/>
  <c r="F18" i="49"/>
  <c r="E18" i="49"/>
  <c r="D18" i="49"/>
  <c r="H17" i="49"/>
  <c r="J17" i="49" s="1"/>
  <c r="H16" i="49"/>
  <c r="H14" i="49"/>
  <c r="J14" i="49" s="1"/>
  <c r="H13" i="49"/>
  <c r="J13" i="49" s="1"/>
  <c r="H12" i="49"/>
  <c r="J12" i="49" s="1"/>
  <c r="H11" i="49"/>
  <c r="J11" i="49" s="1"/>
  <c r="H10" i="49"/>
  <c r="J10" i="49" s="1"/>
  <c r="H9" i="49"/>
  <c r="J9" i="49" s="1"/>
  <c r="H8" i="49"/>
  <c r="J8" i="49" s="1"/>
  <c r="H7" i="49"/>
  <c r="J7" i="49" s="1"/>
  <c r="H5" i="49"/>
  <c r="I23" i="48"/>
  <c r="G23" i="48"/>
  <c r="C25" i="48" s="1"/>
  <c r="C30" i="48" s="1"/>
  <c r="C34" i="48" s="1"/>
  <c r="F23" i="48"/>
  <c r="E23" i="48"/>
  <c r="D23" i="48"/>
  <c r="H22" i="48"/>
  <c r="J22" i="48" s="1"/>
  <c r="H21" i="48"/>
  <c r="H19" i="48"/>
  <c r="J19" i="48" s="1"/>
  <c r="H18" i="48"/>
  <c r="J18" i="48" s="1"/>
  <c r="H17" i="48"/>
  <c r="J17" i="48" s="1"/>
  <c r="H16" i="48"/>
  <c r="J16" i="48" s="1"/>
  <c r="H15" i="48"/>
  <c r="J15" i="48" s="1"/>
  <c r="H14" i="48"/>
  <c r="J14" i="48" s="1"/>
  <c r="H13" i="48"/>
  <c r="J13" i="48" s="1"/>
  <c r="H12" i="48"/>
  <c r="J12" i="48" s="1"/>
  <c r="H10" i="48"/>
  <c r="J10" i="48" s="1"/>
  <c r="I17" i="46"/>
  <c r="G17" i="46"/>
  <c r="C19" i="46" s="1"/>
  <c r="F17" i="46"/>
  <c r="E17" i="46"/>
  <c r="D17" i="46"/>
  <c r="H16" i="46"/>
  <c r="J16" i="46" s="1"/>
  <c r="H15" i="46"/>
  <c r="H14" i="46"/>
  <c r="J14" i="46" s="1"/>
  <c r="H13" i="46"/>
  <c r="J13" i="46" s="1"/>
  <c r="H12" i="46"/>
  <c r="J12" i="46" s="1"/>
  <c r="H11" i="46"/>
  <c r="J11" i="46" s="1"/>
  <c r="H10" i="46"/>
  <c r="J10" i="46" s="1"/>
  <c r="H9" i="46"/>
  <c r="J9" i="46" s="1"/>
  <c r="H8" i="46"/>
  <c r="J8" i="46" s="1"/>
  <c r="H7" i="46"/>
  <c r="J7" i="46" s="1"/>
  <c r="H6" i="46"/>
  <c r="J6" i="46" s="1"/>
  <c r="H4" i="46"/>
  <c r="I17" i="45"/>
  <c r="G17" i="45"/>
  <c r="C19" i="45" s="1"/>
  <c r="F17" i="45"/>
  <c r="E17" i="45"/>
  <c r="D17" i="45"/>
  <c r="H16" i="45"/>
  <c r="H15" i="45"/>
  <c r="H14" i="45"/>
  <c r="J14" i="45" s="1"/>
  <c r="H13" i="45"/>
  <c r="J13" i="45" s="1"/>
  <c r="H12" i="45"/>
  <c r="J12" i="45" s="1"/>
  <c r="H11" i="45"/>
  <c r="J11" i="45" s="1"/>
  <c r="H10" i="45"/>
  <c r="J10" i="45" s="1"/>
  <c r="H9" i="45"/>
  <c r="J9" i="45" s="1"/>
  <c r="H8" i="45"/>
  <c r="J8" i="45" s="1"/>
  <c r="H7" i="45"/>
  <c r="J7" i="45" s="1"/>
  <c r="H6" i="45"/>
  <c r="J6" i="45" s="1"/>
  <c r="H4" i="45"/>
  <c r="J4" i="45" s="1"/>
  <c r="I17" i="44"/>
  <c r="G17" i="44"/>
  <c r="C19" i="44" s="1"/>
  <c r="F17" i="44"/>
  <c r="E17" i="44"/>
  <c r="D17" i="44"/>
  <c r="H16" i="44"/>
  <c r="J16" i="44" s="1"/>
  <c r="H15" i="44"/>
  <c r="H14" i="44"/>
  <c r="J14" i="44" s="1"/>
  <c r="H13" i="44"/>
  <c r="J13" i="44" s="1"/>
  <c r="H12" i="44"/>
  <c r="J12" i="44" s="1"/>
  <c r="H11" i="44"/>
  <c r="J11" i="44" s="1"/>
  <c r="H10" i="44"/>
  <c r="J10" i="44" s="1"/>
  <c r="H9" i="44"/>
  <c r="J9" i="44" s="1"/>
  <c r="H8" i="44"/>
  <c r="J8" i="44" s="1"/>
  <c r="H7" i="44"/>
  <c r="J7" i="44" s="1"/>
  <c r="H6" i="44"/>
  <c r="J6" i="44" s="1"/>
  <c r="H4" i="44"/>
  <c r="I17" i="43"/>
  <c r="G17" i="43"/>
  <c r="C19" i="43" s="1"/>
  <c r="F17" i="43"/>
  <c r="E17" i="43"/>
  <c r="D17" i="43"/>
  <c r="H16" i="43"/>
  <c r="H15" i="43"/>
  <c r="H14" i="43"/>
  <c r="J14" i="43" s="1"/>
  <c r="H13" i="43"/>
  <c r="J13" i="43" s="1"/>
  <c r="H12" i="43"/>
  <c r="J12" i="43" s="1"/>
  <c r="H11" i="43"/>
  <c r="J11" i="43" s="1"/>
  <c r="H10" i="43"/>
  <c r="J10" i="43" s="1"/>
  <c r="H9" i="43"/>
  <c r="J9" i="43" s="1"/>
  <c r="H8" i="43"/>
  <c r="J8" i="43" s="1"/>
  <c r="H7" i="43"/>
  <c r="J7" i="43" s="1"/>
  <c r="H6" i="43"/>
  <c r="J6" i="43" s="1"/>
  <c r="H4" i="43"/>
  <c r="J4" i="43" s="1"/>
  <c r="I17" i="42"/>
  <c r="G17" i="42"/>
  <c r="C19" i="42" s="1"/>
  <c r="F17" i="42"/>
  <c r="E17" i="42"/>
  <c r="D17" i="42"/>
  <c r="H16" i="42"/>
  <c r="J16" i="42" s="1"/>
  <c r="H15" i="42"/>
  <c r="H14" i="42"/>
  <c r="J14" i="42" s="1"/>
  <c r="H13" i="42"/>
  <c r="J13" i="42" s="1"/>
  <c r="H12" i="42"/>
  <c r="J12" i="42" s="1"/>
  <c r="H11" i="42"/>
  <c r="J11" i="42" s="1"/>
  <c r="H10" i="42"/>
  <c r="J10" i="42" s="1"/>
  <c r="H9" i="42"/>
  <c r="J9" i="42" s="1"/>
  <c r="H8" i="42"/>
  <c r="J8" i="42" s="1"/>
  <c r="H7" i="42"/>
  <c r="J7" i="42" s="1"/>
  <c r="H6" i="42"/>
  <c r="J6" i="42" s="1"/>
  <c r="H4" i="42"/>
  <c r="M17" i="41"/>
  <c r="I17" i="41"/>
  <c r="G17" i="41"/>
  <c r="C19" i="41" s="1"/>
  <c r="F17" i="41"/>
  <c r="E17" i="41"/>
  <c r="D17" i="41"/>
  <c r="N16" i="41"/>
  <c r="H16" i="41"/>
  <c r="J16" i="41" s="1"/>
  <c r="N15" i="41"/>
  <c r="H15" i="41"/>
  <c r="N14" i="41"/>
  <c r="H14" i="41"/>
  <c r="J14" i="41" s="1"/>
  <c r="N13" i="41"/>
  <c r="H13" i="41"/>
  <c r="J13" i="41" s="1"/>
  <c r="N12" i="41"/>
  <c r="H12" i="41"/>
  <c r="J12" i="41" s="1"/>
  <c r="N11" i="41"/>
  <c r="H11" i="41"/>
  <c r="J11" i="41" s="1"/>
  <c r="N10" i="41"/>
  <c r="H10" i="41"/>
  <c r="J10" i="41" s="1"/>
  <c r="N9" i="41"/>
  <c r="H9" i="41"/>
  <c r="J9" i="41" s="1"/>
  <c r="N8" i="41"/>
  <c r="H8" i="41"/>
  <c r="J8" i="41" s="1"/>
  <c r="N7" i="41"/>
  <c r="H7" i="41"/>
  <c r="J7" i="41" s="1"/>
  <c r="N6" i="41"/>
  <c r="H6" i="41"/>
  <c r="J6" i="41" s="1"/>
  <c r="N5" i="41"/>
  <c r="H5" i="41"/>
  <c r="J5" i="41" s="1"/>
  <c r="N4" i="41"/>
  <c r="N17" i="41" s="1"/>
  <c r="H4" i="41"/>
  <c r="I17" i="40"/>
  <c r="G17" i="40"/>
  <c r="C19" i="40" s="1"/>
  <c r="C21" i="40" s="1"/>
  <c r="F17" i="40"/>
  <c r="E17" i="40"/>
  <c r="D17" i="40"/>
  <c r="H16" i="40"/>
  <c r="J16" i="40" s="1"/>
  <c r="H15" i="40"/>
  <c r="H14" i="40"/>
  <c r="J14" i="40" s="1"/>
  <c r="H13" i="40"/>
  <c r="J13" i="40" s="1"/>
  <c r="H12" i="40"/>
  <c r="J12" i="40" s="1"/>
  <c r="H11" i="40"/>
  <c r="J11" i="40" s="1"/>
  <c r="H10" i="40"/>
  <c r="J10" i="40" s="1"/>
  <c r="H9" i="40"/>
  <c r="J9" i="40" s="1"/>
  <c r="H8" i="40"/>
  <c r="J8" i="40" s="1"/>
  <c r="H7" i="40"/>
  <c r="J7" i="40" s="1"/>
  <c r="H6" i="40"/>
  <c r="J6" i="40" s="1"/>
  <c r="H5" i="40"/>
  <c r="J5" i="40" s="1"/>
  <c r="H4" i="40"/>
  <c r="J4" i="40" s="1"/>
  <c r="I17" i="39"/>
  <c r="G17" i="39"/>
  <c r="C19" i="39" s="1"/>
  <c r="C21" i="39" s="1"/>
  <c r="F17" i="39"/>
  <c r="E17" i="39"/>
  <c r="D17" i="39"/>
  <c r="H16" i="39"/>
  <c r="J16" i="39" s="1"/>
  <c r="H15" i="39"/>
  <c r="H14" i="39"/>
  <c r="J14" i="39" s="1"/>
  <c r="H13" i="39"/>
  <c r="J13" i="39" s="1"/>
  <c r="H12" i="39"/>
  <c r="J12" i="39" s="1"/>
  <c r="H11" i="39"/>
  <c r="J11" i="39" s="1"/>
  <c r="H10" i="39"/>
  <c r="J10" i="39" s="1"/>
  <c r="H9" i="39"/>
  <c r="J9" i="39" s="1"/>
  <c r="H8" i="39"/>
  <c r="J8" i="39" s="1"/>
  <c r="H7" i="39"/>
  <c r="J7" i="39" s="1"/>
  <c r="H6" i="39"/>
  <c r="J6" i="39" s="1"/>
  <c r="H5" i="39"/>
  <c r="J5" i="39" s="1"/>
  <c r="H4" i="39"/>
  <c r="J4" i="39" s="1"/>
  <c r="I17" i="38"/>
  <c r="C19" i="38" s="1"/>
  <c r="C21" i="38" s="1"/>
  <c r="C24" i="38" s="1"/>
  <c r="G17" i="38"/>
  <c r="F17" i="38"/>
  <c r="E17" i="38"/>
  <c r="D17" i="38"/>
  <c r="H16" i="38"/>
  <c r="J16" i="38" s="1"/>
  <c r="H15" i="38"/>
  <c r="J15" i="38" s="1"/>
  <c r="H14" i="38"/>
  <c r="J14" i="38" s="1"/>
  <c r="H13" i="38"/>
  <c r="J13" i="38" s="1"/>
  <c r="H12" i="38"/>
  <c r="J12" i="38" s="1"/>
  <c r="H11" i="38"/>
  <c r="J11" i="38" s="1"/>
  <c r="H10" i="38"/>
  <c r="J10" i="38" s="1"/>
  <c r="H9" i="38"/>
  <c r="J9" i="38" s="1"/>
  <c r="H8" i="38"/>
  <c r="J8" i="38" s="1"/>
  <c r="H7" i="38"/>
  <c r="J7" i="38" s="1"/>
  <c r="H6" i="38"/>
  <c r="J6" i="38" s="1"/>
  <c r="H5" i="38"/>
  <c r="J5" i="38" s="1"/>
  <c r="H4" i="38"/>
  <c r="J4" i="38" s="1"/>
  <c r="I17" i="37"/>
  <c r="C19" i="37" s="1"/>
  <c r="C21" i="37" s="1"/>
  <c r="G17" i="37"/>
  <c r="F17" i="37"/>
  <c r="E17" i="37"/>
  <c r="D17" i="37"/>
  <c r="H16" i="37"/>
  <c r="J16" i="37" s="1"/>
  <c r="H15" i="37"/>
  <c r="J15" i="37" s="1"/>
  <c r="H14" i="37"/>
  <c r="J14" i="37" s="1"/>
  <c r="H13" i="37"/>
  <c r="J13" i="37" s="1"/>
  <c r="H12" i="37"/>
  <c r="J12" i="37" s="1"/>
  <c r="H11" i="37"/>
  <c r="J11" i="37" s="1"/>
  <c r="H10" i="37"/>
  <c r="J10" i="37" s="1"/>
  <c r="H9" i="37"/>
  <c r="J9" i="37" s="1"/>
  <c r="H8" i="37"/>
  <c r="J8" i="37" s="1"/>
  <c r="H7" i="37"/>
  <c r="J7" i="37" s="1"/>
  <c r="H6" i="37"/>
  <c r="J6" i="37" s="1"/>
  <c r="H5" i="37"/>
  <c r="J5" i="37" s="1"/>
  <c r="H4" i="37"/>
  <c r="J4" i="37" s="1"/>
  <c r="I18" i="36"/>
  <c r="C20" i="36" s="1"/>
  <c r="C22" i="36" s="1"/>
  <c r="G18" i="36"/>
  <c r="F18" i="36"/>
  <c r="E18" i="36"/>
  <c r="D18" i="36"/>
  <c r="J17" i="36"/>
  <c r="H17" i="36"/>
  <c r="J16" i="36"/>
  <c r="H16" i="36"/>
  <c r="J15" i="36"/>
  <c r="H15" i="36"/>
  <c r="J14" i="36"/>
  <c r="H14" i="36"/>
  <c r="J13" i="36"/>
  <c r="H13" i="36"/>
  <c r="J12" i="36"/>
  <c r="H12" i="36"/>
  <c r="J11" i="36"/>
  <c r="H11" i="36"/>
  <c r="J10" i="36"/>
  <c r="H10" i="36"/>
  <c r="J9" i="36"/>
  <c r="H9" i="36"/>
  <c r="J8" i="36"/>
  <c r="H8" i="36"/>
  <c r="J7" i="36"/>
  <c r="H7" i="36"/>
  <c r="H6" i="36"/>
  <c r="J5" i="36"/>
  <c r="H5" i="36"/>
  <c r="I18" i="35"/>
  <c r="C20" i="35" s="1"/>
  <c r="G18" i="35"/>
  <c r="F18" i="35"/>
  <c r="E18" i="35"/>
  <c r="C21" i="35" s="1"/>
  <c r="D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H6" i="35"/>
  <c r="J5" i="35"/>
  <c r="H5" i="35"/>
  <c r="C23" i="34"/>
  <c r="J18" i="34"/>
  <c r="C20" i="34" s="1"/>
  <c r="H18" i="34"/>
  <c r="G18" i="34"/>
  <c r="E18" i="34"/>
  <c r="K17" i="34"/>
  <c r="I17" i="34"/>
  <c r="K16" i="34"/>
  <c r="I16" i="34"/>
  <c r="K15" i="34"/>
  <c r="I15" i="34"/>
  <c r="I14" i="34"/>
  <c r="K13" i="34"/>
  <c r="I13" i="34"/>
  <c r="K12" i="34"/>
  <c r="I12" i="34"/>
  <c r="K11" i="34"/>
  <c r="I11" i="34"/>
  <c r="K10" i="34"/>
  <c r="I10" i="34"/>
  <c r="K9" i="34"/>
  <c r="I9" i="34"/>
  <c r="K8" i="34"/>
  <c r="I8" i="34"/>
  <c r="K7" i="34"/>
  <c r="I7" i="34"/>
  <c r="I6" i="34"/>
  <c r="K5" i="34"/>
  <c r="I5" i="34"/>
  <c r="C25" i="33"/>
  <c r="C29" i="33" s="1"/>
  <c r="C23" i="33"/>
  <c r="C22" i="33"/>
  <c r="J18" i="33"/>
  <c r="H18" i="33"/>
  <c r="G18" i="33"/>
  <c r="E18" i="33"/>
  <c r="K17" i="33"/>
  <c r="I17" i="33"/>
  <c r="K16" i="33"/>
  <c r="I16" i="33"/>
  <c r="K15" i="33"/>
  <c r="I15" i="33"/>
  <c r="I14" i="33"/>
  <c r="K13" i="33"/>
  <c r="I13" i="33"/>
  <c r="K12" i="33"/>
  <c r="I12" i="33"/>
  <c r="K11" i="33"/>
  <c r="I11" i="33"/>
  <c r="K10" i="33"/>
  <c r="I10" i="33"/>
  <c r="K9" i="33"/>
  <c r="I9" i="33"/>
  <c r="K8" i="33"/>
  <c r="I8" i="33"/>
  <c r="K7" i="33"/>
  <c r="I7" i="33"/>
  <c r="K6" i="33"/>
  <c r="I6" i="33"/>
  <c r="K5" i="33"/>
  <c r="I5" i="33"/>
  <c r="G27" i="32"/>
  <c r="C23" i="32"/>
  <c r="H18" i="32"/>
  <c r="C20" i="32" s="1"/>
  <c r="G18" i="32"/>
  <c r="E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C23" i="31"/>
  <c r="H18" i="31"/>
  <c r="C20" i="31" s="1"/>
  <c r="C25" i="31" s="1"/>
  <c r="C28" i="31" s="1"/>
  <c r="G18" i="31"/>
  <c r="E18" i="31"/>
  <c r="K17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J19" i="30"/>
  <c r="H18" i="30"/>
  <c r="C20" i="30" s="1"/>
  <c r="C25" i="30" s="1"/>
  <c r="C28" i="30" s="1"/>
  <c r="G18" i="30"/>
  <c r="F18" i="30"/>
  <c r="C23" i="30" s="1"/>
  <c r="E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F22" i="29"/>
  <c r="J19" i="29"/>
  <c r="H18" i="29"/>
  <c r="C20" i="29" s="1"/>
  <c r="G18" i="29"/>
  <c r="F18" i="29"/>
  <c r="E18" i="29"/>
  <c r="L13" i="29"/>
  <c r="C30" i="28"/>
  <c r="F23" i="28"/>
  <c r="J20" i="28"/>
  <c r="H19" i="28"/>
  <c r="C21" i="28" s="1"/>
  <c r="G19" i="28"/>
  <c r="F19" i="28"/>
  <c r="E19" i="28"/>
  <c r="J18" i="28"/>
  <c r="J19" i="28" s="1"/>
  <c r="I18" i="28"/>
  <c r="I17" i="28"/>
  <c r="I16" i="28"/>
  <c r="I15" i="28"/>
  <c r="L14" i="28"/>
  <c r="I14" i="28"/>
  <c r="I13" i="28"/>
  <c r="I12" i="28"/>
  <c r="I11" i="28"/>
  <c r="I10" i="28"/>
  <c r="I9" i="28"/>
  <c r="I8" i="28"/>
  <c r="I7" i="28"/>
  <c r="I6" i="28"/>
  <c r="I19" i="27"/>
  <c r="G18" i="27"/>
  <c r="F18" i="27"/>
  <c r="E18" i="27"/>
  <c r="I17" i="27"/>
  <c r="H17" i="27"/>
  <c r="I16" i="27"/>
  <c r="H16" i="27"/>
  <c r="I15" i="27"/>
  <c r="H15" i="27"/>
  <c r="I14" i="27"/>
  <c r="H14" i="27"/>
  <c r="I13" i="27"/>
  <c r="I12" i="27"/>
  <c r="H12" i="27"/>
  <c r="I11" i="27"/>
  <c r="H11" i="27"/>
  <c r="I10" i="27"/>
  <c r="H10" i="27"/>
  <c r="I9" i="27"/>
  <c r="H9" i="27"/>
  <c r="I8" i="27"/>
  <c r="H8" i="27"/>
  <c r="I7" i="27"/>
  <c r="H6" i="27"/>
  <c r="I5" i="27"/>
  <c r="H5" i="27"/>
  <c r="J26" i="26"/>
  <c r="C25" i="26"/>
  <c r="C29" i="26" s="1"/>
  <c r="C22" i="26"/>
  <c r="H18" i="26"/>
  <c r="E20" i="26" s="1"/>
  <c r="E22" i="26" s="1"/>
  <c r="F18" i="26"/>
  <c r="E18" i="26"/>
  <c r="I17" i="26"/>
  <c r="G17" i="26"/>
  <c r="I16" i="26"/>
  <c r="G16" i="26"/>
  <c r="I15" i="26"/>
  <c r="G15" i="26"/>
  <c r="I14" i="26"/>
  <c r="G14" i="26"/>
  <c r="I13" i="26"/>
  <c r="G13" i="26"/>
  <c r="I12" i="26"/>
  <c r="G12" i="26"/>
  <c r="I11" i="26"/>
  <c r="G11" i="26"/>
  <c r="I10" i="26"/>
  <c r="G10" i="26"/>
  <c r="I9" i="26"/>
  <c r="G9" i="26"/>
  <c r="I8" i="26"/>
  <c r="G8" i="26"/>
  <c r="I7" i="26"/>
  <c r="G7" i="26"/>
  <c r="I6" i="26"/>
  <c r="G6" i="26"/>
  <c r="I5" i="26"/>
  <c r="G5" i="26"/>
  <c r="E26" i="25"/>
  <c r="E28" i="25" s="1"/>
  <c r="E30" i="25" s="1"/>
  <c r="E32" i="25" s="1"/>
  <c r="C26" i="25"/>
  <c r="E23" i="25"/>
  <c r="C23" i="25"/>
  <c r="I19" i="25"/>
  <c r="H19" i="25"/>
  <c r="F19" i="25"/>
  <c r="E19" i="25"/>
  <c r="D19" i="25"/>
  <c r="O18" i="25"/>
  <c r="J18" i="25"/>
  <c r="G18" i="25"/>
  <c r="O17" i="25"/>
  <c r="J17" i="25"/>
  <c r="G17" i="25"/>
  <c r="O16" i="25"/>
  <c r="J16" i="25"/>
  <c r="G16" i="25"/>
  <c r="O15" i="25"/>
  <c r="J15" i="25"/>
  <c r="G15" i="25"/>
  <c r="O14" i="25"/>
  <c r="J14" i="25"/>
  <c r="G14" i="25"/>
  <c r="O13" i="25"/>
  <c r="J13" i="25"/>
  <c r="G13" i="25"/>
  <c r="O12" i="25"/>
  <c r="J12" i="25"/>
  <c r="G12" i="25"/>
  <c r="O11" i="25"/>
  <c r="J11" i="25"/>
  <c r="G11" i="25"/>
  <c r="O10" i="25"/>
  <c r="J10" i="25"/>
  <c r="G10" i="25"/>
  <c r="O9" i="25"/>
  <c r="J9" i="25"/>
  <c r="G9" i="25"/>
  <c r="O8" i="25"/>
  <c r="J8" i="25"/>
  <c r="G8" i="25"/>
  <c r="S7" i="25"/>
  <c r="O7" i="25"/>
  <c r="J7" i="25"/>
  <c r="G7" i="25"/>
  <c r="O6" i="25"/>
  <c r="J6" i="25"/>
  <c r="G6" i="25"/>
  <c r="C25" i="24"/>
  <c r="C29" i="24" s="1"/>
  <c r="C22" i="24"/>
  <c r="I18" i="24"/>
  <c r="H18" i="24"/>
  <c r="F18" i="24"/>
  <c r="E18" i="24"/>
  <c r="D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J9" i="24"/>
  <c r="G9" i="24"/>
  <c r="J8" i="24"/>
  <c r="G8" i="24"/>
  <c r="J7" i="24"/>
  <c r="G7" i="24"/>
  <c r="J6" i="24"/>
  <c r="G6" i="24"/>
  <c r="J5" i="24"/>
  <c r="G5" i="24"/>
  <c r="J17" i="23"/>
  <c r="I17" i="23"/>
  <c r="C20" i="23" s="1"/>
  <c r="H17" i="23"/>
  <c r="C19" i="23" s="1"/>
  <c r="C24" i="23" s="1"/>
  <c r="C28" i="23" s="1"/>
  <c r="F17" i="23"/>
  <c r="E17" i="23"/>
  <c r="D17" i="23"/>
  <c r="G15" i="23"/>
  <c r="L15" i="23" s="1"/>
  <c r="L12" i="23"/>
  <c r="G11" i="23"/>
  <c r="G9" i="23"/>
  <c r="L9" i="23" s="1"/>
  <c r="G8" i="23"/>
  <c r="G6" i="23"/>
  <c r="L6" i="23" s="1"/>
  <c r="J17" i="22"/>
  <c r="I17" i="22"/>
  <c r="C20" i="22" s="1"/>
  <c r="H17" i="22"/>
  <c r="C19" i="22" s="1"/>
  <c r="F17" i="22"/>
  <c r="E17" i="22"/>
  <c r="D17" i="22"/>
  <c r="G15" i="22"/>
  <c r="L15" i="22" s="1"/>
  <c r="G12" i="22"/>
  <c r="L12" i="22" s="1"/>
  <c r="G11" i="22"/>
  <c r="G9" i="22"/>
  <c r="L9" i="22" s="1"/>
  <c r="G8" i="22"/>
  <c r="G6" i="22"/>
  <c r="J17" i="20"/>
  <c r="I17" i="20"/>
  <c r="C20" i="20" s="1"/>
  <c r="H17" i="20"/>
  <c r="C19" i="20" s="1"/>
  <c r="F17" i="20"/>
  <c r="E17" i="20"/>
  <c r="D17" i="20"/>
  <c r="G15" i="20"/>
  <c r="L15" i="20" s="1"/>
  <c r="G12" i="20"/>
  <c r="L12" i="20" s="1"/>
  <c r="G11" i="20"/>
  <c r="L11" i="20" s="1"/>
  <c r="G9" i="20"/>
  <c r="L9" i="20" s="1"/>
  <c r="G8" i="20"/>
  <c r="G6" i="20"/>
  <c r="J17" i="19"/>
  <c r="I17" i="19"/>
  <c r="C20" i="19" s="1"/>
  <c r="H17" i="19"/>
  <c r="C19" i="19" s="1"/>
  <c r="F17" i="19"/>
  <c r="E17" i="19"/>
  <c r="D17" i="19"/>
  <c r="G15" i="19"/>
  <c r="G12" i="19"/>
  <c r="L12" i="19" s="1"/>
  <c r="G11" i="19"/>
  <c r="G9" i="19"/>
  <c r="L9" i="19" s="1"/>
  <c r="G8" i="19"/>
  <c r="G7" i="19"/>
  <c r="G6" i="19"/>
  <c r="J17" i="18"/>
  <c r="I17" i="18"/>
  <c r="C20" i="18" s="1"/>
  <c r="H17" i="18"/>
  <c r="C19" i="18" s="1"/>
  <c r="F17" i="18"/>
  <c r="E17" i="18"/>
  <c r="D17" i="18"/>
  <c r="G15" i="18"/>
  <c r="G12" i="18"/>
  <c r="L12" i="18" s="1"/>
  <c r="G11" i="18"/>
  <c r="G9" i="18"/>
  <c r="L9" i="18" s="1"/>
  <c r="G8" i="18"/>
  <c r="G7" i="18"/>
  <c r="G6" i="18"/>
  <c r="J17" i="17"/>
  <c r="I17" i="17"/>
  <c r="C20" i="17" s="1"/>
  <c r="H17" i="17"/>
  <c r="C19" i="17" s="1"/>
  <c r="F17" i="17"/>
  <c r="E17" i="17"/>
  <c r="D17" i="17"/>
  <c r="G15" i="17"/>
  <c r="G12" i="17"/>
  <c r="L12" i="17" s="1"/>
  <c r="G11" i="17"/>
  <c r="L11" i="17" s="1"/>
  <c r="G9" i="17"/>
  <c r="L9" i="17" s="1"/>
  <c r="G8" i="17"/>
  <c r="L8" i="17" s="1"/>
  <c r="G7" i="17"/>
  <c r="G6" i="17"/>
  <c r="K17" i="15"/>
  <c r="J17" i="15"/>
  <c r="D20" i="15" s="1"/>
  <c r="I17" i="15"/>
  <c r="D19" i="15" s="1"/>
  <c r="G17" i="15"/>
  <c r="F17" i="15"/>
  <c r="E17" i="15"/>
  <c r="H12" i="15"/>
  <c r="M12" i="15" s="1"/>
  <c r="H11" i="15"/>
  <c r="M11" i="15" s="1"/>
  <c r="H9" i="15"/>
  <c r="M9" i="15" s="1"/>
  <c r="H7" i="15"/>
  <c r="H6" i="15"/>
  <c r="M6" i="15" s="1"/>
  <c r="K17" i="14"/>
  <c r="J17" i="14"/>
  <c r="D20" i="14" s="1"/>
  <c r="I17" i="14"/>
  <c r="D19" i="14" s="1"/>
  <c r="G17" i="14"/>
  <c r="F17" i="14"/>
  <c r="H12" i="14"/>
  <c r="M12" i="14" s="1"/>
  <c r="H11" i="14"/>
  <c r="M11" i="14" s="1"/>
  <c r="H9" i="14"/>
  <c r="H7" i="14"/>
  <c r="H6" i="14"/>
  <c r="M6" i="14" s="1"/>
  <c r="K17" i="13"/>
  <c r="J17" i="13"/>
  <c r="D20" i="13" s="1"/>
  <c r="I17" i="13"/>
  <c r="D19" i="13" s="1"/>
  <c r="G17" i="13"/>
  <c r="F17" i="13"/>
  <c r="H12" i="13"/>
  <c r="M12" i="13" s="1"/>
  <c r="H11" i="13"/>
  <c r="M11" i="13" s="1"/>
  <c r="H9" i="13"/>
  <c r="H7" i="13"/>
  <c r="H6" i="13"/>
  <c r="M6" i="13" s="1"/>
  <c r="K17" i="12"/>
  <c r="J17" i="12"/>
  <c r="D20" i="12" s="1"/>
  <c r="I17" i="12"/>
  <c r="D19" i="12" s="1"/>
  <c r="G17" i="12"/>
  <c r="F17" i="12"/>
  <c r="H12" i="12"/>
  <c r="M12" i="12" s="1"/>
  <c r="H11" i="12"/>
  <c r="M11" i="12" s="1"/>
  <c r="H7" i="12"/>
  <c r="M7" i="12" s="1"/>
  <c r="H6" i="12"/>
  <c r="K17" i="11"/>
  <c r="J17" i="11"/>
  <c r="D20" i="11" s="1"/>
  <c r="I17" i="11"/>
  <c r="D19" i="11" s="1"/>
  <c r="G17" i="11"/>
  <c r="F17" i="11"/>
  <c r="H12" i="11"/>
  <c r="M12" i="11" s="1"/>
  <c r="H11" i="11"/>
  <c r="M11" i="11" s="1"/>
  <c r="H7" i="11"/>
  <c r="H6" i="11"/>
  <c r="K20" i="10"/>
  <c r="J20" i="10"/>
  <c r="D23" i="10" s="1"/>
  <c r="I20" i="10"/>
  <c r="D22" i="10" s="1"/>
  <c r="G20" i="10"/>
  <c r="F20" i="10"/>
  <c r="H15" i="10"/>
  <c r="M15" i="10" s="1"/>
  <c r="H14" i="10"/>
  <c r="M14" i="10" s="1"/>
  <c r="H10" i="10"/>
  <c r="H9" i="10"/>
  <c r="D26" i="9"/>
  <c r="D29" i="9" s="1"/>
  <c r="D24" i="9"/>
  <c r="G21" i="9"/>
  <c r="K20" i="9"/>
  <c r="J20" i="9"/>
  <c r="I20" i="9"/>
  <c r="G20" i="9"/>
  <c r="F20" i="9"/>
  <c r="H15" i="9"/>
  <c r="M15" i="9" s="1"/>
  <c r="H14" i="9"/>
  <c r="M14" i="9" s="1"/>
  <c r="H10" i="9"/>
  <c r="H9" i="9"/>
  <c r="M9" i="9" s="1"/>
  <c r="D26" i="8"/>
  <c r="D29" i="8" s="1"/>
  <c r="D24" i="8"/>
  <c r="K20" i="8"/>
  <c r="J20" i="8"/>
  <c r="I20" i="8"/>
  <c r="G20" i="8"/>
  <c r="F20" i="8"/>
  <c r="H18" i="8"/>
  <c r="H15" i="8"/>
  <c r="M15" i="8" s="1"/>
  <c r="H14" i="8"/>
  <c r="M14" i="8" s="1"/>
  <c r="H10" i="8"/>
  <c r="H9" i="8"/>
  <c r="M9" i="8" s="1"/>
  <c r="D26" i="7"/>
  <c r="D29" i="7" s="1"/>
  <c r="D24" i="7"/>
  <c r="K20" i="7"/>
  <c r="J20" i="7"/>
  <c r="I20" i="7"/>
  <c r="G20" i="7"/>
  <c r="F20" i="7"/>
  <c r="H15" i="7"/>
  <c r="M15" i="7" s="1"/>
  <c r="H14" i="7"/>
  <c r="M14" i="7" s="1"/>
  <c r="H9" i="7"/>
  <c r="D27" i="6"/>
  <c r="D29" i="6" s="1"/>
  <c r="D25" i="6"/>
  <c r="H20" i="6"/>
  <c r="I15" i="6"/>
  <c r="N15" i="6" s="1"/>
  <c r="I14" i="6"/>
  <c r="N14" i="6" s="1"/>
  <c r="I9" i="6"/>
  <c r="N9" i="6" s="1"/>
  <c r="D28" i="5"/>
  <c r="I21" i="5"/>
  <c r="J20" i="5"/>
  <c r="I20" i="5"/>
  <c r="H20" i="5"/>
  <c r="D22" i="5" s="1"/>
  <c r="H54" i="107" l="1"/>
  <c r="H77" i="107" s="1"/>
  <c r="F77" i="107"/>
  <c r="I18" i="32"/>
  <c r="C30" i="56"/>
  <c r="C21" i="58" s="1"/>
  <c r="C22" i="58" s="1"/>
  <c r="C30" i="58" s="1"/>
  <c r="H17" i="40"/>
  <c r="J17" i="40" s="1"/>
  <c r="I19" i="28"/>
  <c r="I18" i="30"/>
  <c r="K18" i="33"/>
  <c r="J18" i="24"/>
  <c r="J18" i="36"/>
  <c r="H17" i="43"/>
  <c r="H20" i="10"/>
  <c r="G17" i="19"/>
  <c r="G18" i="26"/>
  <c r="I18" i="33"/>
  <c r="I18" i="34"/>
  <c r="C30" i="26"/>
  <c r="H17" i="38"/>
  <c r="J17" i="38" s="1"/>
  <c r="J23" i="48"/>
  <c r="J18" i="50"/>
  <c r="D30" i="7"/>
  <c r="D30" i="8"/>
  <c r="D31" i="9"/>
  <c r="H17" i="14"/>
  <c r="H17" i="15"/>
  <c r="G17" i="17"/>
  <c r="L6" i="24"/>
  <c r="L10" i="24"/>
  <c r="L14" i="24"/>
  <c r="J19" i="25"/>
  <c r="O19" i="25"/>
  <c r="H18" i="27"/>
  <c r="C30" i="33"/>
  <c r="H18" i="35"/>
  <c r="H17" i="42"/>
  <c r="H17" i="45"/>
  <c r="H23" i="48"/>
  <c r="G30" i="55"/>
  <c r="H20" i="7"/>
  <c r="H17" i="12"/>
  <c r="H17" i="13"/>
  <c r="M17" i="15"/>
  <c r="G17" i="18"/>
  <c r="G17" i="20"/>
  <c r="L17" i="23"/>
  <c r="I18" i="27"/>
  <c r="E20" i="27" s="1"/>
  <c r="E22" i="27" s="1"/>
  <c r="K18" i="34"/>
  <c r="H17" i="37"/>
  <c r="J17" i="37" s="1"/>
  <c r="H17" i="39"/>
  <c r="J17" i="39" s="1"/>
  <c r="H17" i="44"/>
  <c r="H18" i="52"/>
  <c r="H18" i="53"/>
  <c r="M20" i="8"/>
  <c r="M9" i="7"/>
  <c r="M20" i="7" s="1"/>
  <c r="H17" i="11"/>
  <c r="L6" i="20"/>
  <c r="G17" i="22"/>
  <c r="G18" i="24"/>
  <c r="L18" i="24" s="1"/>
  <c r="L7" i="24"/>
  <c r="L9" i="24"/>
  <c r="L11" i="24"/>
  <c r="L13" i="24"/>
  <c r="L15" i="24"/>
  <c r="L17" i="24"/>
  <c r="C31" i="24"/>
  <c r="G19" i="25"/>
  <c r="I18" i="26"/>
  <c r="I18" i="31"/>
  <c r="J18" i="35"/>
  <c r="C22" i="35"/>
  <c r="C25" i="35" s="1"/>
  <c r="C28" i="35" s="1"/>
  <c r="C30" i="35" s="1"/>
  <c r="C31" i="35" s="1"/>
  <c r="H18" i="36"/>
  <c r="H17" i="41"/>
  <c r="H17" i="46"/>
  <c r="H18" i="50"/>
  <c r="C31" i="54"/>
  <c r="C33" i="55" s="1"/>
  <c r="C34" i="55" s="1"/>
  <c r="C44" i="55" s="1"/>
  <c r="G18" i="54"/>
  <c r="D25" i="5"/>
  <c r="D27" i="5"/>
  <c r="D29" i="5" s="1"/>
  <c r="I23" i="5" s="1"/>
  <c r="N20" i="6"/>
  <c r="M20" i="9"/>
  <c r="D21" i="11"/>
  <c r="D23" i="11"/>
  <c r="D26" i="11" s="1"/>
  <c r="D23" i="13"/>
  <c r="D26" i="13" s="1"/>
  <c r="D21" i="13"/>
  <c r="C22" i="17"/>
  <c r="C24" i="17"/>
  <c r="C27" i="17" s="1"/>
  <c r="C22" i="18"/>
  <c r="C24" i="18"/>
  <c r="C28" i="18" s="1"/>
  <c r="C24" i="19"/>
  <c r="C29" i="19" s="1"/>
  <c r="C22" i="19"/>
  <c r="D22" i="19"/>
  <c r="L17" i="20"/>
  <c r="D24" i="10"/>
  <c r="D26" i="10"/>
  <c r="D29" i="10" s="1"/>
  <c r="D23" i="12"/>
  <c r="D26" i="12" s="1"/>
  <c r="D21" i="12"/>
  <c r="D23" i="14"/>
  <c r="D26" i="14" s="1"/>
  <c r="D21" i="14"/>
  <c r="D21" i="15"/>
  <c r="D23" i="15"/>
  <c r="D26" i="15" s="1"/>
  <c r="C22" i="20"/>
  <c r="C24" i="20"/>
  <c r="C28" i="20" s="1"/>
  <c r="H20" i="8"/>
  <c r="H20" i="9"/>
  <c r="M9" i="10"/>
  <c r="M20" i="10" s="1"/>
  <c r="M6" i="11"/>
  <c r="M17" i="11" s="1"/>
  <c r="M6" i="12"/>
  <c r="M17" i="12" s="1"/>
  <c r="M9" i="13"/>
  <c r="M17" i="13" s="1"/>
  <c r="M9" i="14"/>
  <c r="M17" i="14" s="1"/>
  <c r="L6" i="17"/>
  <c r="L17" i="17" s="1"/>
  <c r="L6" i="18"/>
  <c r="L17" i="18" s="1"/>
  <c r="L6" i="19"/>
  <c r="L17" i="19" s="1"/>
  <c r="L6" i="22"/>
  <c r="C22" i="22"/>
  <c r="C24" i="22"/>
  <c r="C28" i="22" s="1"/>
  <c r="G17" i="23"/>
  <c r="C22" i="23"/>
  <c r="C30" i="23" s="1"/>
  <c r="L5" i="24"/>
  <c r="L8" i="24"/>
  <c r="L12" i="24"/>
  <c r="L16" i="24"/>
  <c r="C25" i="32"/>
  <c r="C29" i="32" s="1"/>
  <c r="C22" i="32"/>
  <c r="C24" i="40"/>
  <c r="C27" i="40" s="1"/>
  <c r="C28" i="40" s="1"/>
  <c r="C24" i="42"/>
  <c r="C27" i="42" s="1"/>
  <c r="C21" i="42"/>
  <c r="C21" i="45"/>
  <c r="C24" i="45"/>
  <c r="C28" i="45" s="1"/>
  <c r="C21" i="46"/>
  <c r="C24" i="46"/>
  <c r="C28" i="46" s="1"/>
  <c r="C25" i="28"/>
  <c r="C28" i="28"/>
  <c r="C31" i="28" s="1"/>
  <c r="C27" i="29"/>
  <c r="C30" i="29" s="1"/>
  <c r="C24" i="29"/>
  <c r="C25" i="34"/>
  <c r="C29" i="34" s="1"/>
  <c r="C22" i="34"/>
  <c r="C25" i="36"/>
  <c r="C26" i="36" s="1"/>
  <c r="C28" i="36" s="1"/>
  <c r="C29" i="36" s="1"/>
  <c r="C24" i="37"/>
  <c r="C27" i="37" s="1"/>
  <c r="C28" i="37" s="1"/>
  <c r="C24" i="39"/>
  <c r="C27" i="39" s="1"/>
  <c r="C28" i="39" s="1"/>
  <c r="C21" i="41"/>
  <c r="C24" i="41"/>
  <c r="C28" i="41" s="1"/>
  <c r="C21" i="43"/>
  <c r="C24" i="43"/>
  <c r="C29" i="43" s="1"/>
  <c r="C24" i="44"/>
  <c r="C29" i="44" s="1"/>
  <c r="C21" i="44"/>
  <c r="C22" i="49"/>
  <c r="C25" i="49"/>
  <c r="C29" i="49" s="1"/>
  <c r="C25" i="50"/>
  <c r="C29" i="50" s="1"/>
  <c r="C22" i="50"/>
  <c r="J4" i="41"/>
  <c r="J17" i="41" s="1"/>
  <c r="J4" i="42"/>
  <c r="J17" i="42" s="1"/>
  <c r="J16" i="43"/>
  <c r="J17" i="43" s="1"/>
  <c r="J4" i="44"/>
  <c r="J17" i="44" s="1"/>
  <c r="J16" i="45"/>
  <c r="J17" i="45" s="1"/>
  <c r="J4" i="46"/>
  <c r="J17" i="46" s="1"/>
  <c r="C27" i="48"/>
  <c r="C36" i="48" s="1"/>
  <c r="H18" i="49"/>
  <c r="J5" i="49"/>
  <c r="J18" i="49" s="1"/>
  <c r="C25" i="53"/>
  <c r="C29" i="53" s="1"/>
  <c r="C22" i="53"/>
  <c r="H18" i="51"/>
  <c r="J9" i="51"/>
  <c r="J18" i="51" s="1"/>
  <c r="C22" i="51"/>
  <c r="C25" i="51"/>
  <c r="C29" i="51" s="1"/>
  <c r="C22" i="52"/>
  <c r="C25" i="52"/>
  <c r="C29" i="52" s="1"/>
  <c r="H20" i="54"/>
  <c r="K14" i="54"/>
  <c r="J9" i="52"/>
  <c r="J18" i="52" s="1"/>
  <c r="J9" i="53"/>
  <c r="J18" i="53" s="1"/>
  <c r="I17" i="55"/>
  <c r="I30" i="55" s="1"/>
  <c r="I9" i="54"/>
  <c r="I18" i="54" s="1"/>
  <c r="C31" i="50" l="1"/>
  <c r="C30" i="34"/>
  <c r="C32" i="34" s="1"/>
  <c r="D31" i="10"/>
  <c r="C29" i="17"/>
  <c r="D28" i="13"/>
  <c r="C30" i="43"/>
  <c r="C30" i="18"/>
  <c r="C31" i="52"/>
  <c r="C31" i="29"/>
  <c r="C20" i="27"/>
  <c r="C25" i="27" s="1"/>
  <c r="C27" i="27" s="1"/>
  <c r="C30" i="22"/>
  <c r="D28" i="14"/>
  <c r="C31" i="53"/>
  <c r="H22" i="54"/>
  <c r="H25" i="54"/>
  <c r="H29" i="54" s="1"/>
  <c r="C31" i="51"/>
  <c r="C30" i="44"/>
  <c r="C29" i="41"/>
  <c r="C32" i="28"/>
  <c r="C30" i="46"/>
  <c r="C29" i="45"/>
  <c r="C28" i="42"/>
  <c r="C30" i="32"/>
  <c r="C30" i="20"/>
  <c r="D28" i="15"/>
  <c r="D28" i="12"/>
  <c r="C31" i="19"/>
  <c r="D28" i="11"/>
  <c r="H31" i="54" l="1"/>
  <c r="H33" i="55" s="1"/>
  <c r="H34" i="55" s="1"/>
  <c r="C22" i="27"/>
  <c r="C28" i="27" s="1"/>
  <c r="H32" i="57" l="1"/>
  <c r="H33" i="57" s="1"/>
  <c r="H43" i="57" s="1"/>
  <c r="H21" i="56" l="1"/>
  <c r="H22" i="56" s="1"/>
  <c r="H30" i="56" s="1"/>
  <c r="H21" i="58" l="1"/>
  <c r="H22" i="58" l="1"/>
  <c r="H30" i="58" l="1"/>
  <c r="H21" i="59" s="1"/>
  <c r="C21" i="59" l="1"/>
  <c r="C22" i="59" s="1"/>
  <c r="H22" i="59"/>
  <c r="H30" i="59" s="1"/>
  <c r="I21" i="60" s="1"/>
  <c r="I22" i="60" s="1"/>
  <c r="I31" i="60" s="1"/>
  <c r="I21" i="61" s="1"/>
  <c r="I22" i="61" s="1"/>
  <c r="I32" i="61" s="1"/>
  <c r="H21" i="62" s="1"/>
  <c r="H22" i="62" s="1"/>
  <c r="H31" i="62" s="1"/>
  <c r="H21" i="63" s="1"/>
  <c r="H22" i="63" s="1"/>
  <c r="H31" i="63" s="1"/>
  <c r="H21" i="64" s="1"/>
  <c r="H22" i="64" s="1"/>
  <c r="H31" i="64" s="1"/>
  <c r="H21" i="65" s="1"/>
  <c r="H23" i="65" s="1"/>
  <c r="H32" i="65" s="1"/>
  <c r="C30" i="59"/>
  <c r="C21" i="60" s="1"/>
  <c r="C22" i="60" s="1"/>
  <c r="H21" i="66" l="1"/>
  <c r="H22" i="66" s="1"/>
  <c r="H31" i="66" s="1"/>
  <c r="H21" i="67" s="1"/>
  <c r="H22" i="67" s="1"/>
  <c r="H31" i="67" s="1"/>
  <c r="H32" i="68" s="1"/>
  <c r="H33" i="68" s="1"/>
  <c r="H42" i="68" s="1"/>
  <c r="H21" i="69" s="1"/>
  <c r="H22" i="69" s="1"/>
  <c r="H31" i="69" s="1"/>
  <c r="C31" i="60"/>
  <c r="C21" i="61" s="1"/>
  <c r="C22" i="61" s="1"/>
  <c r="C32" i="61" s="1"/>
  <c r="C21" i="62" s="1"/>
  <c r="C22" i="62" s="1"/>
  <c r="C31" i="62" s="1"/>
  <c r="C21" i="63" s="1"/>
  <c r="C22" i="63" s="1"/>
  <c r="C31" i="63" s="1"/>
  <c r="C21" i="64" s="1"/>
  <c r="C22" i="64" s="1"/>
  <c r="C31" i="64" s="1"/>
  <c r="C21" i="65" s="1"/>
  <c r="C23" i="65" s="1"/>
  <c r="C32" i="65" s="1"/>
  <c r="C21" i="66" s="1"/>
  <c r="C22" i="66" s="1"/>
  <c r="C31" i="66" s="1"/>
  <c r="C21" i="67" s="1"/>
  <c r="C22" i="67" s="1"/>
  <c r="C31" i="67" s="1"/>
  <c r="C32" i="68" s="1"/>
  <c r="C33" i="68" s="1"/>
  <c r="C42" i="68" s="1"/>
  <c r="C21" i="69" s="1"/>
  <c r="C22" i="69" s="1"/>
  <c r="C31" i="69" s="1"/>
  <c r="I32" i="65" l="1"/>
  <c r="G12" i="79" l="1"/>
  <c r="G18" i="79" s="1"/>
  <c r="D18" i="79"/>
  <c r="I12" i="79" l="1"/>
  <c r="I18" i="79" l="1"/>
  <c r="D18" i="80" s="1"/>
  <c r="D12" i="80"/>
  <c r="G12" i="80" l="1"/>
  <c r="G18" i="80" s="1"/>
  <c r="I12" i="80" l="1"/>
  <c r="I18" i="80" s="1"/>
  <c r="D18" i="81" s="1"/>
  <c r="D12" i="81"/>
  <c r="G12" i="81" s="1"/>
  <c r="I12" i="81" l="1"/>
  <c r="G18" i="81"/>
  <c r="I18" i="81" l="1"/>
  <c r="D12" i="82"/>
  <c r="D18" i="82" l="1"/>
  <c r="G12" i="82"/>
  <c r="I12" i="82" l="1"/>
  <c r="G18" i="82"/>
  <c r="I18" i="82" l="1"/>
  <c r="D12" i="83"/>
  <c r="D18" i="83" l="1"/>
  <c r="G12" i="83"/>
  <c r="I12" i="83" l="1"/>
  <c r="G18" i="83"/>
  <c r="I18" i="83" l="1"/>
  <c r="D18" i="84" s="1"/>
  <c r="D12" i="84"/>
  <c r="G12" i="84" s="1"/>
  <c r="I12" i="84" l="1"/>
  <c r="G18" i="84"/>
  <c r="D12" i="86" l="1"/>
  <c r="D12" i="85"/>
  <c r="I18" i="84"/>
  <c r="G12" i="86" l="1"/>
  <c r="D18" i="86"/>
  <c r="G12" i="85"/>
  <c r="D18" i="85"/>
  <c r="I12" i="85" l="1"/>
  <c r="I18" i="85" s="1"/>
  <c r="G18" i="85"/>
  <c r="I12" i="86"/>
  <c r="G18" i="86"/>
  <c r="D12" i="87" l="1"/>
  <c r="I18" i="86"/>
  <c r="G12" i="87" l="1"/>
  <c r="D18" i="87"/>
  <c r="I12" i="87" l="1"/>
  <c r="G18" i="87"/>
  <c r="D12" i="88" l="1"/>
  <c r="I18" i="87"/>
  <c r="G12" i="88" l="1"/>
  <c r="D18" i="88"/>
  <c r="I12" i="88" l="1"/>
  <c r="G18" i="88"/>
  <c r="I18" i="88" l="1"/>
  <c r="D12" i="89"/>
  <c r="G12" i="89" l="1"/>
  <c r="D18" i="89"/>
  <c r="I12" i="89" l="1"/>
  <c r="G18" i="89"/>
  <c r="D12" i="90" l="1"/>
  <c r="I18" i="89"/>
  <c r="G12" i="90" l="1"/>
  <c r="D18" i="90"/>
  <c r="I12" i="90" l="1"/>
  <c r="G18" i="90"/>
  <c r="D12" i="91" l="1"/>
  <c r="I18" i="90"/>
  <c r="G12" i="91" l="1"/>
  <c r="D18" i="91"/>
  <c r="I12" i="91" l="1"/>
  <c r="G18" i="91"/>
  <c r="D12" i="92" l="1"/>
  <c r="I18" i="91"/>
  <c r="G12" i="92" l="1"/>
  <c r="D18" i="92"/>
  <c r="I12" i="92" l="1"/>
  <c r="G18" i="92"/>
  <c r="D12" i="93" l="1"/>
  <c r="I18" i="92"/>
  <c r="G12" i="93" l="1"/>
  <c r="D18" i="93"/>
  <c r="I12" i="93" l="1"/>
  <c r="G18" i="93"/>
  <c r="D12" i="94" l="1"/>
  <c r="G12" i="94" s="1"/>
  <c r="G18" i="94" s="1"/>
  <c r="I18" i="93"/>
  <c r="D18" i="94" s="1"/>
  <c r="L17" i="22" l="1"/>
  <c r="L5" i="22"/>
  <c r="J20" i="6"/>
  <c r="C22" i="31"/>
  <c r="C26" i="38"/>
  <c r="C22" i="30"/>
  <c r="I20" i="6"/>
</calcChain>
</file>

<file path=xl/sharedStrings.xml><?xml version="1.0" encoding="utf-8"?>
<sst xmlns="http://schemas.openxmlformats.org/spreadsheetml/2006/main" count="9753" uniqueCount="771">
  <si>
    <t>NAME</t>
  </si>
  <si>
    <t>NO</t>
  </si>
  <si>
    <t>RENT</t>
  </si>
  <si>
    <t>PAID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</si>
  <si>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</si>
  <si>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</si>
  <si>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</si>
  <si>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</si>
  <si>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</si>
  <si>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</si>
  <si>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</si>
  <si>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</si>
  <si>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</si>
  <si>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</si>
  <si>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</si>
  <si>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</si>
  <si>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</si>
  <si>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</si>
  <si>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</si>
  <si>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</si>
  <si>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</si>
  <si>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</si>
  <si>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</si>
  <si>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</si>
  <si>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</si>
  <si>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</si>
  <si>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Agency fee 7%</t>
  </si>
  <si>
    <t>BALANCE</t>
  </si>
  <si>
    <t>PAID 2</t>
  </si>
  <si>
    <t>DEDUCTIONS</t>
  </si>
  <si>
    <t>REMITTANCE ADVICE</t>
  </si>
  <si>
    <t>CASH STATEMENT FOR THE MONTH OF NOVEMBER 2013</t>
  </si>
  <si>
    <t>SER</t>
  </si>
  <si>
    <t>James Musati</t>
  </si>
  <si>
    <t>4000</t>
  </si>
  <si>
    <t>Mary Kiragu</t>
  </si>
  <si>
    <t>Simon Mureithi</t>
  </si>
  <si>
    <t>Joyce Wangui</t>
  </si>
  <si>
    <t>Hiram Nyaga</t>
  </si>
  <si>
    <t>Daniel Ndanini</t>
  </si>
  <si>
    <t>Zadoc Oloo</t>
  </si>
  <si>
    <t>Janet Wanjiru</t>
  </si>
  <si>
    <t>2500</t>
  </si>
  <si>
    <t>Martha Nyaga</t>
  </si>
  <si>
    <t>5000</t>
  </si>
  <si>
    <t>John Kantai</t>
  </si>
  <si>
    <t>Erick Muthongo</t>
  </si>
  <si>
    <t>John Kagiri</t>
  </si>
  <si>
    <t>WILLIS O. OLWALO  - NKOROI</t>
  </si>
  <si>
    <t>Water</t>
  </si>
  <si>
    <t>Services</t>
  </si>
  <si>
    <t>Deposit No 5</t>
  </si>
  <si>
    <t>Total</t>
  </si>
  <si>
    <t>Willis Olwalo</t>
  </si>
  <si>
    <t>CO-OPERATIVE BANK A/C 01116002491500</t>
  </si>
  <si>
    <t>TOTAL RENT FOR 10 ROOMS</t>
  </si>
  <si>
    <t>TOTAL DEDUCTION</t>
  </si>
  <si>
    <t>Alex Nkoyo</t>
  </si>
  <si>
    <t>CASH STATEMENT FOR THE MONTH OF OCTOBER 2013</t>
  </si>
  <si>
    <t>AMOUNT WITH LANDLADY</t>
  </si>
  <si>
    <t>NET PAY</t>
  </si>
  <si>
    <t>Erick Mosongo</t>
  </si>
  <si>
    <t>TOTAL</t>
  </si>
  <si>
    <t>CASH STATEMENT FOR THE MONTH OF DECEMBER 2013</t>
  </si>
  <si>
    <t>PREPARED BY</t>
  </si>
  <si>
    <t xml:space="preserve">                    …………………………</t>
  </si>
  <si>
    <t xml:space="preserve">                   </t>
  </si>
  <si>
    <t>LANDLORD</t>
  </si>
  <si>
    <t>………………………..</t>
  </si>
  <si>
    <t>……………………..</t>
  </si>
  <si>
    <t>G. N. MUKIRI</t>
  </si>
  <si>
    <t>APPROVED BY</t>
  </si>
  <si>
    <t>L.N.MWANGI</t>
  </si>
  <si>
    <t>WILLIS OLWALO</t>
  </si>
  <si>
    <t>………………………………</t>
  </si>
  <si>
    <t>James Misati</t>
  </si>
  <si>
    <t>less payment</t>
  </si>
  <si>
    <t>ADD SERVICES</t>
  </si>
  <si>
    <t xml:space="preserve">    </t>
  </si>
  <si>
    <t xml:space="preserve">               </t>
  </si>
  <si>
    <t xml:space="preserve">       </t>
  </si>
  <si>
    <t xml:space="preserve">Water </t>
  </si>
  <si>
    <t>CASH STATEMENT FOR THE MONTH OF JANUARY 2014</t>
  </si>
  <si>
    <t>CASH STATEMENT FOR THE MONTH OF FEBRUARY 2014</t>
  </si>
  <si>
    <t xml:space="preserve">TOTAL RENT </t>
  </si>
  <si>
    <t>CASH STATEMENT FOR THE MONTH OF MARCH 2014</t>
  </si>
  <si>
    <t>amount disbursed for Ndanini in Jan</t>
  </si>
  <si>
    <t>CASH STATEMENT FOR THE MONTH OF APRIL 2014</t>
  </si>
  <si>
    <t>Eric Mosongo-Power</t>
  </si>
  <si>
    <t xml:space="preserve"> </t>
  </si>
  <si>
    <t>CASH STATEMENT FOR THE MONTH OF MAY 2014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</si>
  <si>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</si>
  <si>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</si>
  <si>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CASH STATEMENT FOR THE MONTH OF JUNE 2014</t>
  </si>
  <si>
    <t>PAYMENT</t>
  </si>
  <si>
    <t>PAYMENT TO EQUITY A/C</t>
  </si>
  <si>
    <t>CASH STATEMENT FOR THE MONTH OF JULY 2014</t>
  </si>
  <si>
    <t>3500</t>
  </si>
  <si>
    <t>CASH STATEMENT FOR THE MONTH OF AUGUST 2014</t>
  </si>
  <si>
    <t xml:space="preserve">TENANTS PAYMENT STATEMENT </t>
  </si>
  <si>
    <t>DURATION: FROM OCTOBER 2013 TO AUGUST 2013</t>
  </si>
  <si>
    <t>CASH STATEMENT FOR THE MONTH OF SEPTEMBER 2014</t>
  </si>
  <si>
    <t>ADD PREVIOUS BALANCES</t>
  </si>
  <si>
    <t xml:space="preserve">                                </t>
  </si>
  <si>
    <t>ADD SERVICES PAID</t>
  </si>
  <si>
    <t>WILLIS 0. OLWALO</t>
  </si>
  <si>
    <t xml:space="preserve">                                                                                                                </t>
  </si>
  <si>
    <t xml:space="preserve">                                                                                             </t>
  </si>
  <si>
    <t xml:space="preserve">                                                                                                </t>
  </si>
  <si>
    <t>CASH STATEMENT FOR THE MONTH OF OCTOBER 2014</t>
  </si>
  <si>
    <t xml:space="preserve">DIRECT PAYMENT BY NDANINI </t>
  </si>
  <si>
    <t>CASH STATEMENT FOR THE MONTH OF NOVEMBER 2014</t>
  </si>
  <si>
    <t>CASH STATEMENT FOR THE MONTH OF DECEMBER 2014</t>
  </si>
  <si>
    <t>CASH STATEMENT FOR THE MONTH OF JANUARY 2015</t>
  </si>
  <si>
    <t>UNPAID BAL IN OCT</t>
  </si>
  <si>
    <t>WATER</t>
  </si>
  <si>
    <t>VACANT</t>
  </si>
  <si>
    <t>CASH STATEMENT FOR THE MONTH OF FEBRUARY 2015</t>
  </si>
  <si>
    <t>ADD DEPOSIT BY NO 3</t>
  </si>
  <si>
    <t>4476</t>
  </si>
  <si>
    <t>JAMES MUSATI 1</t>
  </si>
  <si>
    <t>4477</t>
  </si>
  <si>
    <t>JANET WANJIRU 1A</t>
  </si>
  <si>
    <t>4565</t>
  </si>
  <si>
    <t>PETER WAMAI 3</t>
  </si>
  <si>
    <t>4639</t>
  </si>
  <si>
    <t>HIRAM NYAGA 6</t>
  </si>
  <si>
    <t>4653</t>
  </si>
  <si>
    <t>ERICK MUSONGO 4A</t>
  </si>
  <si>
    <t>L.L</t>
  </si>
  <si>
    <t>DANIEL NDANINI 7</t>
  </si>
  <si>
    <t>4718</t>
  </si>
  <si>
    <t>4729</t>
  </si>
  <si>
    <t>JOYCE WANGUI 4</t>
  </si>
  <si>
    <t>4730</t>
  </si>
  <si>
    <t>JOHN KAGIRI 5</t>
  </si>
  <si>
    <t>4749</t>
  </si>
  <si>
    <t>PETER WAMAI</t>
  </si>
  <si>
    <t>ALEX NKOYO 3A</t>
  </si>
  <si>
    <t>MARY KARIGU 2</t>
  </si>
  <si>
    <t>TOTAL DEDU</t>
  </si>
  <si>
    <t>GRACE</t>
  </si>
  <si>
    <t>LL</t>
  </si>
  <si>
    <t>BCF</t>
  </si>
  <si>
    <t>OTHER PAYMENT</t>
  </si>
  <si>
    <t xml:space="preserve">WATER </t>
  </si>
  <si>
    <t>9300</t>
  </si>
  <si>
    <t>BF</t>
  </si>
  <si>
    <t>PAYMENT22-05-2016</t>
  </si>
  <si>
    <t>MAY BALANCE</t>
  </si>
  <si>
    <t>GNK</t>
  </si>
  <si>
    <t>PAYMENT VIA BANK</t>
  </si>
  <si>
    <t>CASH STATEMENT FOR THE MONTH OF MAY 2015</t>
  </si>
  <si>
    <t>CASH STATEMENT FOR THE MONTH OF APRIL 2015</t>
  </si>
  <si>
    <t>CASH STATEMENT FOR THE MONTH OF MARCH 2015</t>
  </si>
  <si>
    <t>FRANCES NJENGA</t>
  </si>
  <si>
    <t>GABBAGE</t>
  </si>
  <si>
    <t>TOTAL RENT LESS DEDUCTION</t>
  </si>
  <si>
    <t>WATER  &amp; ELECTRICITY DEP (FRANCES)</t>
  </si>
  <si>
    <t>DEPOSIS</t>
  </si>
  <si>
    <t>Marth Nyagas</t>
  </si>
  <si>
    <t>PREVOUS  BALANCE (KAGIRI)</t>
  </si>
  <si>
    <t>PAID BLC</t>
  </si>
  <si>
    <t>LESS JULY RENT FOR MARTHA NYAGA</t>
  </si>
  <si>
    <t>CASH STATEMENT FOR THE MONTH OF JUNE 2015</t>
  </si>
  <si>
    <t>NAME WILLIS 0. OLWALO</t>
  </si>
  <si>
    <t>CASH STATEMENT FOR THE MONTH OF JULY 2015</t>
  </si>
  <si>
    <t xml:space="preserve">  </t>
  </si>
  <si>
    <t>12</t>
  </si>
  <si>
    <t xml:space="preserve">                                                                                                      </t>
  </si>
  <si>
    <t xml:space="preserve">NEW </t>
  </si>
  <si>
    <t>NEW  TENANT DIRECT TO LANDLORD</t>
  </si>
  <si>
    <t xml:space="preserve">OVERPAYMENT </t>
  </si>
  <si>
    <t>PAYMENT VIA BANK/16/9/2015</t>
  </si>
  <si>
    <t>WATER  PAID TO GREN GRADE</t>
  </si>
  <si>
    <t>BF FROM AUGUST</t>
  </si>
  <si>
    <t>TOTAL REMITTANCE</t>
  </si>
  <si>
    <t xml:space="preserve">Agency fee </t>
  </si>
  <si>
    <t>GNK………………………</t>
  </si>
  <si>
    <t>CASH STATEMENT FOR THE MONTH OF SEPTEMBER 2015</t>
  </si>
  <si>
    <t>CASH STATEMENT FOR THE MONTH OF AUGUST2015</t>
  </si>
  <si>
    <t>PAYMENT VIA BANK/16/11/2015</t>
  </si>
  <si>
    <t>BF AUGUST REPEATED SEP &amp;OCT</t>
  </si>
  <si>
    <t>PAID  RENT</t>
  </si>
  <si>
    <t>BCF FROM NOVEMBER</t>
  </si>
  <si>
    <t>PAID ON 16TH DEC  2015</t>
  </si>
  <si>
    <t>CASH STATEMENT FOR THE MONTH OF DECEMBER 2015</t>
  </si>
  <si>
    <t>CASH STATEMENT FOR THE MONTH OF NOV 2015</t>
  </si>
  <si>
    <t>CASH STATEMENT FOR THE MONTH OF OCT 2015</t>
  </si>
  <si>
    <t>paid  on 24th DEC</t>
  </si>
  <si>
    <t>add last  time  commision  on 16th</t>
  </si>
  <si>
    <t>Mary Karigu</t>
  </si>
  <si>
    <t>BF FROM DEC</t>
  </si>
  <si>
    <t>NET /BALANCE PAID ON 15/1/2016</t>
  </si>
  <si>
    <t>L. MWANGI</t>
  </si>
  <si>
    <t>……………………………</t>
  </si>
  <si>
    <t>……………………….</t>
  </si>
  <si>
    <t>…………………..</t>
  </si>
  <si>
    <t>OLWALO</t>
  </si>
  <si>
    <t>UNPAID BALANCE</t>
  </si>
  <si>
    <t>CASH STATEMENT FOR THE MONTH OF JAN 2016</t>
  </si>
  <si>
    <t>BF FROM JAN</t>
  </si>
  <si>
    <t>BF FROM FEB</t>
  </si>
  <si>
    <t>BALANCE PAID ON 16/3/2016</t>
  </si>
  <si>
    <t>PAID IN 31/3/2015</t>
  </si>
  <si>
    <t>BF FROM MARCH</t>
  </si>
  <si>
    <t>BALANCE PAID ON 18/4/2016</t>
  </si>
  <si>
    <t xml:space="preserve">      </t>
  </si>
  <si>
    <t>BF APRIL</t>
  </si>
  <si>
    <t>PAID  ON 16/5/2016</t>
  </si>
  <si>
    <t>MUTUKU</t>
  </si>
  <si>
    <t>CHARO</t>
  </si>
  <si>
    <t>ELIJAH NGANGA</t>
  </si>
  <si>
    <t>CASH STATEMENT FOR THE MONTH OF  MARCH  2016</t>
  </si>
  <si>
    <t>CASH STATEMENT FOR THE MONTH OF APRIL 2016</t>
  </si>
  <si>
    <t>CASH STATEMENT FOR THE MONTH OF MAY 2016</t>
  </si>
  <si>
    <t>KAGIRI TO BE  VACATED</t>
  </si>
  <si>
    <t>CASH STATEMENT FOR THE MONTH OF JULY  2016</t>
  </si>
  <si>
    <t>PAID  ON 16/7/2016</t>
  </si>
  <si>
    <t>JUNE</t>
  </si>
  <si>
    <t>LESS  MARY KSRIGU</t>
  </si>
  <si>
    <t>CASH STATEMENT FOR THE MONTH OF AUGUST 2016</t>
  </si>
  <si>
    <t>LESS CHARO BY MR  OLWALO</t>
  </si>
  <si>
    <t>JULY</t>
  </si>
  <si>
    <t>PAID  ON 15/8/2016</t>
  </si>
  <si>
    <t>MRS  OLWALO   CHARO</t>
  </si>
  <si>
    <t>AUGUST</t>
  </si>
  <si>
    <t>MRS   OLWALO</t>
  </si>
  <si>
    <t>15/10/2016/</t>
  </si>
  <si>
    <t>CASH STATEMENT FOR THE MONTH OF SEP 2016</t>
  </si>
  <si>
    <t>CASH STATEMENT FOR THE MONTH OF OCT 2016</t>
  </si>
  <si>
    <t>BF  NOV</t>
  </si>
  <si>
    <t>19/11/2016</t>
  </si>
  <si>
    <t>25/10/2016</t>
  </si>
  <si>
    <t>CASH STATEMENT FOR THE MONTH OF NOV 2016</t>
  </si>
  <si>
    <t>PAID  ON 16/6/2016</t>
  </si>
  <si>
    <t>CASH STATEMENT FOR THE MONTH OF JUNE  2016</t>
  </si>
  <si>
    <t>BF  NOVE BF</t>
  </si>
  <si>
    <t>16/12/2016</t>
  </si>
  <si>
    <t>CASH STATEMENT FOR THE MONTH OF DEC  2016</t>
  </si>
  <si>
    <t>24/12/2016</t>
  </si>
  <si>
    <t>BF  DEC</t>
  </si>
  <si>
    <t>20/1/2017</t>
  </si>
  <si>
    <t>NEW</t>
  </si>
  <si>
    <t>MRS  OLWALO</t>
  </si>
  <si>
    <t>DERECT  TO LAND LORD</t>
  </si>
  <si>
    <t>JAN</t>
  </si>
  <si>
    <t>RUSA MBAYA</t>
  </si>
  <si>
    <t>DAVID MWANGI</t>
  </si>
  <si>
    <t>CATHERINE</t>
  </si>
  <si>
    <t>KAGIRI FEB</t>
  </si>
  <si>
    <t>PAID  VIA MPESA</t>
  </si>
  <si>
    <t>BAL</t>
  </si>
  <si>
    <t>14/3/2016</t>
  </si>
  <si>
    <t>17/3/2016</t>
  </si>
  <si>
    <t>14/4/2016</t>
  </si>
  <si>
    <t>20/4/2017</t>
  </si>
  <si>
    <t>13/5/2017</t>
  </si>
  <si>
    <t>PETER KIMANI</t>
  </si>
  <si>
    <t>19/6/2017</t>
  </si>
  <si>
    <t>EXPECTED RENT</t>
  </si>
  <si>
    <t>17/7/2017</t>
  </si>
  <si>
    <t>paid  on 28/7/2017</t>
  </si>
  <si>
    <t>17/8/2017</t>
  </si>
  <si>
    <t>22/8/2017</t>
  </si>
  <si>
    <t>30/8/217  PAID /WATER</t>
  </si>
  <si>
    <t>28/7/2017</t>
  </si>
  <si>
    <t>14/9/2017</t>
  </si>
  <si>
    <t>21/9/2017</t>
  </si>
  <si>
    <t>balance</t>
  </si>
  <si>
    <t>PAID ON 10/10/2017</t>
  </si>
  <si>
    <t>DIRECT</t>
  </si>
  <si>
    <t>DIRECT TO LL</t>
  </si>
  <si>
    <t>willisolwalo@yahoo.com</t>
  </si>
  <si>
    <t>VACCANT</t>
  </si>
  <si>
    <t>ELISHA IMBAYA</t>
  </si>
  <si>
    <t>JUSTUS MUTUKU</t>
  </si>
  <si>
    <t>PAID ON 4/11/17</t>
  </si>
  <si>
    <t>DAVID  MWANGI</t>
  </si>
  <si>
    <t>Zadoc oloo</t>
  </si>
  <si>
    <t>DANIEL DANINI</t>
  </si>
  <si>
    <t>HIRAM NYAGA</t>
  </si>
  <si>
    <t>ZADOC OLOO</t>
  </si>
  <si>
    <t>MARTHA NYAGA</t>
  </si>
  <si>
    <t>DEPOSIT</t>
  </si>
  <si>
    <t>PAID BL</t>
  </si>
  <si>
    <t>5/1/18/</t>
  </si>
  <si>
    <t>RENT STATEMENT FOR THE MONTH OF JAN 2018</t>
  </si>
  <si>
    <t>PETER</t>
  </si>
  <si>
    <t>PETERSON GICOBI</t>
  </si>
  <si>
    <t>RENT STATEMENT FOR THE MONTH OF FEB 2018</t>
  </si>
  <si>
    <t>ZADDOCK</t>
  </si>
  <si>
    <t xml:space="preserve">                                                                                                                                                                          </t>
  </si>
  <si>
    <t xml:space="preserve">RENT STATEMENT </t>
  </si>
  <si>
    <t>FOR THE MONTH OF MARCH  2018</t>
  </si>
  <si>
    <t>FOR THE MONTH OF APRIL  2018</t>
  </si>
  <si>
    <t>FOR THE MONTH OF MAY 2018</t>
  </si>
  <si>
    <t>SHABAN</t>
  </si>
  <si>
    <t>TO VACCATE</t>
  </si>
  <si>
    <t>SAMUEL KIRAI</t>
  </si>
  <si>
    <t>NEW 4</t>
  </si>
  <si>
    <t>DEPOSIT WATER</t>
  </si>
  <si>
    <t>FOR THE MONTH OF JUNE 2018</t>
  </si>
  <si>
    <t>FOR THE MONTH OF JULY 2018</t>
  </si>
  <si>
    <t>ROSE GECHURE</t>
  </si>
  <si>
    <t>FRANCIS NJENGA</t>
  </si>
  <si>
    <t xml:space="preserve">PREPARED BY </t>
  </si>
  <si>
    <t>RUTH</t>
  </si>
  <si>
    <t>APPROVED  BY</t>
  </si>
  <si>
    <t xml:space="preserve">RECEIVED BY </t>
  </si>
  <si>
    <t>FOR THE MONTH OF AUGUST 2018</t>
  </si>
  <si>
    <t>CATHERINE IRUNGU</t>
  </si>
  <si>
    <t>A/C NO. 01116002491500</t>
  </si>
  <si>
    <t>FOR THE MONTH OF SEPTEMBER 2018</t>
  </si>
  <si>
    <t>FOR THE MONTH OF OCTOBER 2018</t>
  </si>
  <si>
    <t>water 4260</t>
  </si>
  <si>
    <t>FOR THE MONTH OF NOVEMBER 2018</t>
  </si>
  <si>
    <t>SUMMARY</t>
  </si>
  <si>
    <t xml:space="preserve">TOTAL </t>
  </si>
  <si>
    <t xml:space="preserve">WILLIS OLWALO </t>
  </si>
  <si>
    <t>FOR THE MONTH OF JANUARY 2017</t>
  </si>
  <si>
    <t>APRROVED BY</t>
  </si>
  <si>
    <t>W. OLWALO</t>
  </si>
  <si>
    <t>FOR THE MONTH OF FEBRUARY 2017</t>
  </si>
  <si>
    <t>FOR THE MONTH OF MARCH 2017</t>
  </si>
  <si>
    <t>FOR THE MONTH OF APRIL 2017</t>
  </si>
  <si>
    <t>FOR THE MONTH OF MAY 2017</t>
  </si>
  <si>
    <t>FOR THE MONTH OF JUNE 2017</t>
  </si>
  <si>
    <t>FOR THE MONTH OF JULY 2017</t>
  </si>
  <si>
    <t>FOR THE MONTH OF AUGUST 2017</t>
  </si>
  <si>
    <t>FOR THE MONTH OF SEPTEMBER 2017</t>
  </si>
  <si>
    <t>FOR THE MONTH OF OCTOBER 2017</t>
  </si>
  <si>
    <t>FOR THE MONTH OF NOVEMBER 2017</t>
  </si>
  <si>
    <t>FOR THE MONTH OF DECEMBER 2017</t>
  </si>
  <si>
    <t>APPROVED</t>
  </si>
  <si>
    <t>WILLIS OLWALO-JODAWA PLAZA</t>
  </si>
  <si>
    <t xml:space="preserve">FOR </t>
  </si>
  <si>
    <t>FOR THE MONTH OF DECEMBER 2018</t>
  </si>
  <si>
    <t>NO.</t>
  </si>
  <si>
    <t>SHOP 1</t>
  </si>
  <si>
    <t>SHOP 2</t>
  </si>
  <si>
    <t>SHOP 3</t>
  </si>
  <si>
    <t>G1</t>
  </si>
  <si>
    <t>G2</t>
  </si>
  <si>
    <t xml:space="preserve">G3 </t>
  </si>
  <si>
    <t>G4</t>
  </si>
  <si>
    <t>G5</t>
  </si>
  <si>
    <t>F1</t>
  </si>
  <si>
    <t>F2</t>
  </si>
  <si>
    <t>F3</t>
  </si>
  <si>
    <t>F4</t>
  </si>
  <si>
    <t>F5</t>
  </si>
  <si>
    <t>F6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</si>
  <si>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</si>
  <si>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</si>
  <si>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</si>
  <si>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</si>
  <si>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</si>
  <si>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</si>
  <si>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</si>
  <si>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</si>
  <si>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</si>
  <si>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</si>
  <si>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</si>
  <si>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T6</t>
  </si>
  <si>
    <t>WILSON KILABI</t>
  </si>
  <si>
    <t>BIBIANA MWANGI</t>
  </si>
  <si>
    <t>CATHERINE MUTILE</t>
  </si>
  <si>
    <t>EMMANUEL MULI</t>
  </si>
  <si>
    <t>JOHN KARANJA</t>
  </si>
  <si>
    <t>FREDRICK MUSEE</t>
  </si>
  <si>
    <t>JAMES NJOROGE</t>
  </si>
  <si>
    <t>ESTHER WANGARI</t>
  </si>
  <si>
    <t>MARK SAMU</t>
  </si>
  <si>
    <t>WILLIAM WAWERU</t>
  </si>
  <si>
    <t>STEPHEN</t>
  </si>
  <si>
    <t>FREDRICK OUKO</t>
  </si>
  <si>
    <t>LORNA KOIRRAG</t>
  </si>
  <si>
    <t>FRANCIS KIARIE</t>
  </si>
  <si>
    <t>YASIN NJOROGE</t>
  </si>
  <si>
    <t>SAMSON MAINA</t>
  </si>
  <si>
    <t>JANE ESTHER</t>
  </si>
  <si>
    <t>EMMANUEL KISIVULI</t>
  </si>
  <si>
    <t>DAMARIS MASILA</t>
  </si>
  <si>
    <t>WILLIS OLWALO--------JODAWA PLAZA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</si>
  <si>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</si>
  <si>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</si>
  <si>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</si>
  <si>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</si>
  <si>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</si>
  <si>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</si>
  <si>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</si>
  <si>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DEC</t>
  </si>
  <si>
    <t>PAULINE SIALO</t>
  </si>
  <si>
    <t>BEN KAPOYA</t>
  </si>
  <si>
    <t>JOSH LIRO</t>
  </si>
  <si>
    <t>CHARLES MUGO</t>
  </si>
  <si>
    <t>SUGUT ANTIPAT</t>
  </si>
  <si>
    <t>ON DEPOSIT</t>
  </si>
  <si>
    <t>CHARLES -S5</t>
  </si>
  <si>
    <t>JANE ESTHER-T4</t>
  </si>
  <si>
    <t>FOR THE MONTH OF JANUARY 2019</t>
  </si>
  <si>
    <t xml:space="preserve">ON DEPOSIT </t>
  </si>
  <si>
    <t>ON DEPOSIT -G3</t>
  </si>
  <si>
    <t xml:space="preserve">CATHERINE </t>
  </si>
  <si>
    <t>PAID ON 5/1/19</t>
  </si>
  <si>
    <t>NANCY WAMBUI</t>
  </si>
  <si>
    <t xml:space="preserve">DANINI </t>
  </si>
  <si>
    <t>ON DEPOSIT -F2</t>
  </si>
  <si>
    <t xml:space="preserve">DANINI-EVICTION FEE </t>
  </si>
  <si>
    <t>FOR THE MONTH OF FEBRUARY 2019</t>
  </si>
  <si>
    <t>FEB</t>
  </si>
  <si>
    <t xml:space="preserve">STEPHEN MARETE </t>
  </si>
  <si>
    <t>SAMUEL OCHIENG</t>
  </si>
  <si>
    <t>PAID ON  5/2/19</t>
  </si>
  <si>
    <t>PAID ON 5/2/19</t>
  </si>
  <si>
    <t>FOR THE MONTH OF MARCH 2019</t>
  </si>
  <si>
    <t>MARCH</t>
  </si>
  <si>
    <t>FOR THE MONTH OF MARCH  2019</t>
  </si>
  <si>
    <t xml:space="preserve">PURITY </t>
  </si>
  <si>
    <t>JOASH LIRO</t>
  </si>
  <si>
    <t>PAID ON 5/3/19</t>
  </si>
  <si>
    <t>FOR THE MONTH OF APRIL  2019</t>
  </si>
  <si>
    <t>APRIL</t>
  </si>
  <si>
    <t>FOR THE MONTH OF APRIL 2019</t>
  </si>
  <si>
    <t>LUKAS OMBONYO</t>
  </si>
  <si>
    <t>GG WATER</t>
  </si>
  <si>
    <t>PAID ON 5/4/19</t>
  </si>
  <si>
    <t>SHOP 4</t>
  </si>
  <si>
    <t>DAVID MWANZIA</t>
  </si>
  <si>
    <t>RATEMO JULIAN</t>
  </si>
  <si>
    <t>FOR THE MONTH OF MAY 2019</t>
  </si>
  <si>
    <t>MAY</t>
  </si>
  <si>
    <t>RACHEL KINYANJUI</t>
  </si>
  <si>
    <t>JANE MUTHONI</t>
  </si>
  <si>
    <t>DAVID KIMATHI</t>
  </si>
  <si>
    <t>FOR THE MONTH OF MAY  2019</t>
  </si>
  <si>
    <t>WATER &amp; ELECTRICITY DEPOSIT</t>
  </si>
  <si>
    <t>PAID ON 6/5/19</t>
  </si>
  <si>
    <t>ISACK</t>
  </si>
  <si>
    <t>ALICE JUMA</t>
  </si>
  <si>
    <t>MPESA</t>
  </si>
  <si>
    <t>PAID ON 8/5/19</t>
  </si>
  <si>
    <t>PAID ON 9/5/19</t>
  </si>
  <si>
    <t xml:space="preserve">JANE MUTHONI </t>
  </si>
  <si>
    <t>FOR THE MONTH OF JUNE 2019</t>
  </si>
  <si>
    <t xml:space="preserve">        </t>
  </si>
  <si>
    <t>Charles Mugo</t>
  </si>
  <si>
    <t>PAID ON 5/6/19</t>
  </si>
  <si>
    <t>RODA MATUNGE</t>
  </si>
  <si>
    <t>PAID ON 8/6/19</t>
  </si>
  <si>
    <t>LILIAN MACHARIA</t>
  </si>
  <si>
    <t>FOR THE MONTH OF JULY 2019</t>
  </si>
  <si>
    <t>DAVID KIMATHI DEPOSIT REFUND</t>
  </si>
  <si>
    <t xml:space="preserve">CHARLES </t>
  </si>
  <si>
    <t>MPESA ON 5/7/19</t>
  </si>
  <si>
    <t>BANK DEPOSIT ON 5/7/19</t>
  </si>
  <si>
    <t>CHRISTINE FABIANO</t>
  </si>
  <si>
    <t xml:space="preserve">DAVID MURAGE </t>
  </si>
  <si>
    <t>PAID ON 9/7/19</t>
  </si>
  <si>
    <t>LL 1800</t>
  </si>
  <si>
    <t>august</t>
  </si>
  <si>
    <t>AUG</t>
  </si>
  <si>
    <t>FOR MONTH OF AUGUST 2019</t>
  </si>
  <si>
    <t>paid on 5/8/19</t>
  </si>
  <si>
    <t>SHARONCHEPKOECH</t>
  </si>
  <si>
    <t>PAID ON 9/8</t>
  </si>
  <si>
    <t>FLORENCE</t>
  </si>
  <si>
    <t>ADVANCE ON 30/8</t>
  </si>
  <si>
    <t>JAMES MWENDWA</t>
  </si>
  <si>
    <t>FOR MONTH OF SEPTEMBER 2019</t>
  </si>
  <si>
    <t>SEPT</t>
  </si>
  <si>
    <t>FOR THE MONTH OF SEPT 2019</t>
  </si>
  <si>
    <t>SAMSON</t>
  </si>
  <si>
    <t>PAID ON 9/9</t>
  </si>
  <si>
    <t>PAID ON 5/9</t>
  </si>
  <si>
    <t>LUCY AKIVUTI</t>
  </si>
  <si>
    <t>LANDLORD(NEW)</t>
  </si>
  <si>
    <t>SAMUEL</t>
  </si>
  <si>
    <t>FOR THE MONTH OF AUGUST 2019</t>
  </si>
  <si>
    <t>JOSEPH KAMAU</t>
  </si>
  <si>
    <t>OCTOBER</t>
  </si>
  <si>
    <t>FOR MONTH OF OCTOBER 2019</t>
  </si>
  <si>
    <t>FOR THE MONTH OF OCTOBER 2019</t>
  </si>
  <si>
    <t>ADVANCE 27/9</t>
  </si>
  <si>
    <t>JOASH</t>
  </si>
  <si>
    <t>LL VACATED</t>
  </si>
  <si>
    <t xml:space="preserve"> (NEW)   0702585573</t>
  </si>
  <si>
    <t>PAID ON  5/10/19</t>
  </si>
  <si>
    <t>PAID 0N 8/10/19</t>
  </si>
  <si>
    <t>FOR MONTH OF NOVEMBER 2019</t>
  </si>
  <si>
    <t>NOVEMBER</t>
  </si>
  <si>
    <t>FOR THE MONTH OF NOVEMBER 2019</t>
  </si>
  <si>
    <t>LOCKED/VACCATED</t>
  </si>
  <si>
    <t>PAID ON 6/11</t>
  </si>
  <si>
    <t>PAID ON 8/11</t>
  </si>
  <si>
    <t>JOAN</t>
  </si>
  <si>
    <t>DECEMBER</t>
  </si>
  <si>
    <t>FOR THE MONTH OF DECEMBER 2019</t>
  </si>
  <si>
    <t xml:space="preserve">DECEMBER </t>
  </si>
  <si>
    <t>FOR MONTH OF DECEMBER 2019</t>
  </si>
  <si>
    <t>PAID ON 06/12/19</t>
  </si>
  <si>
    <t>PAID ON 9/12</t>
  </si>
  <si>
    <t>KEVIN</t>
  </si>
  <si>
    <t>VACCATED</t>
  </si>
  <si>
    <t>SHARON G2</t>
  </si>
  <si>
    <t>RATEMO ON DEPOSIT</t>
  </si>
  <si>
    <t>LUKAS</t>
  </si>
  <si>
    <t>FOR MONTH OF JANUARY 2020</t>
  </si>
  <si>
    <t>JANUARY</t>
  </si>
  <si>
    <t>FOR THE MONTH OF JANUARY 2020</t>
  </si>
  <si>
    <t>MARETE</t>
  </si>
  <si>
    <t>PAID ON 4/1/2020</t>
  </si>
  <si>
    <t>PAID ON 7/1</t>
  </si>
  <si>
    <t>SYLVIA</t>
  </si>
  <si>
    <t>PAID ON 9/1</t>
  </si>
  <si>
    <t>PETER OBONYO</t>
  </si>
  <si>
    <t>vaccated</t>
  </si>
  <si>
    <t>FEBRUARY</t>
  </si>
  <si>
    <t>FOR THE MONTH OF FEBRUARY 2020</t>
  </si>
  <si>
    <t>FOR MONTH OF FEBRUARY 2020</t>
  </si>
  <si>
    <t>RATEMO,OUKOS4</t>
  </si>
  <si>
    <t>EVICTED</t>
  </si>
  <si>
    <t>PAID ON 12/2</t>
  </si>
  <si>
    <t>ISAAC</t>
  </si>
  <si>
    <t>ALICE</t>
  </si>
  <si>
    <t>PAID ON5/2</t>
  </si>
  <si>
    <t>FOR THE MONTH OF MARCH 2020</t>
  </si>
  <si>
    <t>FOR MONTH OF MARCH 2020</t>
  </si>
  <si>
    <t>ALICE T5</t>
  </si>
  <si>
    <t>BIBIANA</t>
  </si>
  <si>
    <t>MUTUKU JUSTUS</t>
  </si>
  <si>
    <t>PAID ON  5/3</t>
  </si>
  <si>
    <t>GLADYS WANJIKU</t>
  </si>
  <si>
    <t>PAID ON 7/3</t>
  </si>
  <si>
    <t>FOR THE MONTH OF APRIL 2020</t>
  </si>
  <si>
    <t>FOR MONTH OF APRIL 2020</t>
  </si>
  <si>
    <t>MBURU NEW</t>
  </si>
  <si>
    <t>PAID ON 4/4</t>
  </si>
  <si>
    <t>PAID ON 13/4</t>
  </si>
  <si>
    <t>FOR THE MONTH OF MAY 2020</t>
  </si>
  <si>
    <t>FOR MONTH OF MAY 2020</t>
  </si>
  <si>
    <t>DIRECT TO G3,F5</t>
  </si>
  <si>
    <t>AT HOME</t>
  </si>
  <si>
    <t>HAVE NO MONEY</t>
  </si>
  <si>
    <t>TABITHA WAIRMU</t>
  </si>
  <si>
    <t>ALICE T5+FRANCIS T1</t>
  </si>
  <si>
    <t>DAVID MURAGE F1</t>
  </si>
  <si>
    <t>KEVIN T4</t>
  </si>
  <si>
    <t>FABIANO S5</t>
  </si>
  <si>
    <t>PAID ON 8/5</t>
  </si>
  <si>
    <t>PAID ON 11/5</t>
  </si>
  <si>
    <t>LL4000</t>
  </si>
  <si>
    <t>LL6000</t>
  </si>
  <si>
    <t>TABITHA SHOP 2</t>
  </si>
  <si>
    <t>LL 5000</t>
  </si>
  <si>
    <t>FOR THE MONTH OF JUNE 2020</t>
  </si>
  <si>
    <t>PATRICK NAKEEL</t>
  </si>
  <si>
    <t xml:space="preserve">MBURU </t>
  </si>
  <si>
    <t>LL7500</t>
  </si>
  <si>
    <t>LL8500</t>
  </si>
  <si>
    <t>TABITHA SHP2</t>
  </si>
  <si>
    <t>F1 NEW</t>
  </si>
  <si>
    <t>PATRICK F5</t>
  </si>
  <si>
    <t>CHRISTINE</t>
  </si>
  <si>
    <t>MBURU</t>
  </si>
  <si>
    <t>ABIGAEL KARATA</t>
  </si>
  <si>
    <t>JOHN MBURU</t>
  </si>
  <si>
    <t>OUTA</t>
  </si>
  <si>
    <t>JACOB WASIKE</t>
  </si>
  <si>
    <t>SETH</t>
  </si>
  <si>
    <t>CAROLINE</t>
  </si>
  <si>
    <t>DAVID MWANZIAGIVEN TO LL</t>
  </si>
  <si>
    <t>GIVEN TO LL</t>
  </si>
  <si>
    <t>JANE GIVEN TO LL</t>
  </si>
  <si>
    <t>FRANCIS T1 GIVEN TO LL</t>
  </si>
  <si>
    <t>FRANCISGIVEN TO LL</t>
  </si>
  <si>
    <t>JANEGIVEN TO LL</t>
  </si>
  <si>
    <t>TABITHA SHOP 2GIVEN TO LL</t>
  </si>
  <si>
    <t>MBURU G3GIVEN TO LL</t>
  </si>
  <si>
    <t>S2GIVEN TO LL</t>
  </si>
  <si>
    <t>KEVIN T4GIVEN TO LL</t>
  </si>
  <si>
    <t xml:space="preserve">LL8000 AWAY </t>
  </si>
  <si>
    <t>KEVIN T4 AWAY</t>
  </si>
  <si>
    <t xml:space="preserve">F5PATRICK </t>
  </si>
  <si>
    <t>ALICE T5+FRANCIS T1 DIRECT TO LL</t>
  </si>
  <si>
    <t xml:space="preserve"> DIRECT TOLL  G3,F5</t>
  </si>
  <si>
    <t>MARETE EVICTED</t>
  </si>
  <si>
    <t>DAVID MURAGE F1 VACCATED</t>
  </si>
  <si>
    <t>ALICE T5 DIRECT TO LL</t>
  </si>
  <si>
    <t>SYLVIA VACCATED</t>
  </si>
  <si>
    <t>BIBIANA VACCATED</t>
  </si>
  <si>
    <t>BIBIANAVACCATED</t>
  </si>
  <si>
    <t>MARETEEVICTED</t>
  </si>
  <si>
    <t>JUSTUS MUTUKU VACCATED</t>
  </si>
  <si>
    <t>ALICE  T5 DIRECT TO LL</t>
  </si>
  <si>
    <t>JAMES MWENDWA  S2 ON DEPOSIT</t>
  </si>
  <si>
    <t>RATEMO T6,      OUKO S4 (VACATED</t>
  </si>
  <si>
    <t>MARETE (EVICTED</t>
  </si>
  <si>
    <t>CHARLES MUGO LL</t>
  </si>
  <si>
    <t>BIBIANA VACCTED</t>
  </si>
  <si>
    <t>PAID ON 15/6</t>
  </si>
  <si>
    <t>PAID ON 24/6</t>
  </si>
  <si>
    <t>NOTICE</t>
  </si>
  <si>
    <t>G1A</t>
  </si>
  <si>
    <t>G1B</t>
  </si>
  <si>
    <t xml:space="preserve"> DAVID MUTUKU 0702585573</t>
  </si>
  <si>
    <t>BAL 13000</t>
  </si>
  <si>
    <t>BAL4500</t>
  </si>
  <si>
    <t>DAVID NTUKU  0702585573</t>
  </si>
  <si>
    <t>BAL 15000</t>
  </si>
  <si>
    <t>CAROLINE ODUNDO</t>
  </si>
  <si>
    <t>ABBA MUCHAI</t>
  </si>
  <si>
    <t>PAID ON 6/7/2020</t>
  </si>
  <si>
    <t>FOR THE MONTH OF JULY 2020</t>
  </si>
  <si>
    <t>DAVID MWANZIA PAID LL</t>
  </si>
  <si>
    <t>SAMWEL KIRAI</t>
  </si>
  <si>
    <t>TO BE REFUNDED</t>
  </si>
  <si>
    <t>F6NEW</t>
  </si>
  <si>
    <t>MUCHAIG4</t>
  </si>
  <si>
    <t>JACOBF4</t>
  </si>
  <si>
    <t>PAID ON 9/7/2020</t>
  </si>
  <si>
    <t>ABIGAELG2</t>
  </si>
  <si>
    <t>ARREARS</t>
  </si>
  <si>
    <t>FROM OLWALO</t>
  </si>
  <si>
    <t>FOR THE MONTH OF AUGUST  2020</t>
  </si>
  <si>
    <t>FOR THE MONTH OF AUGUST 2020</t>
  </si>
  <si>
    <t xml:space="preserve">ARREARS </t>
  </si>
  <si>
    <t>BAL JULY</t>
  </si>
  <si>
    <t>WINNIE OMONDI</t>
  </si>
  <si>
    <t>WATER F5</t>
  </si>
  <si>
    <t>PAID ON 6/8</t>
  </si>
  <si>
    <t>JANE SHP 4</t>
  </si>
  <si>
    <t>PAID ON 15/8</t>
  </si>
  <si>
    <t>REFUND TO ASSETFLOW</t>
  </si>
  <si>
    <t>REFUNDED</t>
  </si>
  <si>
    <t>FRANCIS T1</t>
  </si>
  <si>
    <t>PATRICK PAID LL</t>
  </si>
  <si>
    <t>LL2000</t>
  </si>
  <si>
    <t>FOR THE MONTH OF SEPTEMBER  2020</t>
  </si>
  <si>
    <t>SEPTEMBER</t>
  </si>
  <si>
    <t>FOR THE MONTH OF SEPTEMBER 2020</t>
  </si>
  <si>
    <t>HALIMA NDASI</t>
  </si>
  <si>
    <t>NEW PAID LL</t>
  </si>
  <si>
    <t>PAID ON 8/9</t>
  </si>
  <si>
    <t>JANE SP3</t>
  </si>
  <si>
    <t>MARTHA HSE 9</t>
  </si>
  <si>
    <t>MEVIN KIBET</t>
  </si>
  <si>
    <t>ELIZABETH AKINYI</t>
  </si>
  <si>
    <t>ARREARS PATRICK</t>
  </si>
  <si>
    <t>FOR THE MONTH OF OCTOBER 2020</t>
  </si>
  <si>
    <t>FOR THE MONTH OF OCTOBER  2020</t>
  </si>
  <si>
    <t>PAID ON 7/10</t>
  </si>
  <si>
    <t>JACOB F4</t>
  </si>
  <si>
    <t>ABBAI MUCHAI G4 VACCATED</t>
  </si>
  <si>
    <t>PAULINE G5 VACCATED</t>
  </si>
  <si>
    <t>FOR THE MONTH OF NOVEMBER  2020</t>
  </si>
  <si>
    <t>FOR THE MONTH OF NOVEMBER 2020</t>
  </si>
  <si>
    <t>JANE  PAID LL</t>
  </si>
  <si>
    <t>ALICE T5 PAID LL</t>
  </si>
  <si>
    <t>FRANCIS T4 PAID LL</t>
  </si>
  <si>
    <t>MARTHA PAID LL</t>
  </si>
  <si>
    <t>F6 WATER</t>
  </si>
  <si>
    <t>JACOB F4 PAID LL</t>
  </si>
  <si>
    <t>MELVIN KIBET</t>
  </si>
  <si>
    <t>PAID ON 9/11</t>
  </si>
  <si>
    <t>FOR THE MONTH OF DECEMBER  2020</t>
  </si>
  <si>
    <t>FOR THE MONTH OF DECEMBER 2020</t>
  </si>
  <si>
    <t>FEDEL KYALO</t>
  </si>
  <si>
    <t>PAID ON 8/12</t>
  </si>
  <si>
    <t>KEVIN MUIRURI</t>
  </si>
  <si>
    <t>FOR THE MONTH OF JANUARY  2021</t>
  </si>
  <si>
    <t>FOR THE MONTH OF JANUARY 2021</t>
  </si>
  <si>
    <t>WILLIAM</t>
  </si>
  <si>
    <t>STEVE</t>
  </si>
  <si>
    <t>ALICE PAID LL</t>
  </si>
  <si>
    <t>HALIMA ON DEPOSIT VACCATED</t>
  </si>
  <si>
    <t>PAID ON 2/1</t>
  </si>
  <si>
    <t>PAID ON 8/01</t>
  </si>
  <si>
    <t>PAID  ON 08/1</t>
  </si>
  <si>
    <t>RODA VACCATED</t>
  </si>
  <si>
    <t>FOR THE MONTH OF FEBRUARY   2021</t>
  </si>
  <si>
    <t>FOR THE MONTH OF FEBRUARY 2021</t>
  </si>
  <si>
    <t>BENARD</t>
  </si>
  <si>
    <t>ALICE JUMA T5 PAID LL</t>
  </si>
  <si>
    <t>PAID ON 1/2</t>
  </si>
  <si>
    <t>NEW LL</t>
  </si>
  <si>
    <t>FRANCIS T1 ON DEP</t>
  </si>
  <si>
    <t>JANE SHOP 4 ON DEPOSIT</t>
  </si>
  <si>
    <t>PAID ON 2/1 BRIAN REFUND</t>
  </si>
  <si>
    <t>PAID ON 5/2</t>
  </si>
  <si>
    <t>PAID ON 10/2</t>
  </si>
  <si>
    <t>FOR THE MONTH OF MARCH   2021</t>
  </si>
  <si>
    <t>FOR THE MONTH OF MARCH 2021</t>
  </si>
  <si>
    <t>MARTHA NO.9 PAID LL</t>
  </si>
  <si>
    <t>SETH S2 VACCATED</t>
  </si>
  <si>
    <t>DISMARK NYACHAE</t>
  </si>
  <si>
    <t>3MONTH</t>
  </si>
  <si>
    <t>VERONICA KINYUA</t>
  </si>
  <si>
    <t>PAID ON 10/3</t>
  </si>
  <si>
    <t>FOR THE MONTH OF APRIL   2021</t>
  </si>
  <si>
    <t>FOR THE MONTH OF APRIL 2021</t>
  </si>
  <si>
    <t>GIDEON KAMAU</t>
  </si>
  <si>
    <t>JOY</t>
  </si>
  <si>
    <t>CHIEF SERVICE COST</t>
  </si>
  <si>
    <t>CHIEF SERVICE  COST</t>
  </si>
  <si>
    <t>=</t>
  </si>
  <si>
    <t>PAID ON 9/4</t>
  </si>
  <si>
    <t>GIDEON VACCATED</t>
  </si>
  <si>
    <t>FOR THE MONTH OF MAY   2021</t>
  </si>
  <si>
    <t>FOR THE MONTH OF MAY 2021</t>
  </si>
  <si>
    <t>PAID ON 30/4</t>
  </si>
  <si>
    <t>17OOO DAVID TO BE PAID IN 2 INSTALLMENT</t>
  </si>
  <si>
    <t>PAID ON 6/5</t>
  </si>
  <si>
    <t>DAVID NTUKU 1ST INSTALLMENT</t>
  </si>
  <si>
    <t>FOR THE MONTH OF JUNE   2021</t>
  </si>
  <si>
    <t>FOR THE MONTH OF JUNE 2021</t>
  </si>
  <si>
    <t>ESTHER MAINA</t>
  </si>
  <si>
    <t>MARHA PAID LL</t>
  </si>
  <si>
    <t>LUKAS PAID LL</t>
  </si>
  <si>
    <t>LL1500</t>
  </si>
  <si>
    <t>PAID ON 28/5</t>
  </si>
  <si>
    <t>ONGECHI ESBON</t>
  </si>
  <si>
    <t>ELVIS MWANGI</t>
  </si>
  <si>
    <t>EVANS</t>
  </si>
  <si>
    <t>SAMUEL MANDASI</t>
  </si>
  <si>
    <t>DAVID NTUKU 2ND INSTALLMENT</t>
  </si>
  <si>
    <t>PAID ON 5/6</t>
  </si>
  <si>
    <t>ROSE GECHURE VACCATED</t>
  </si>
  <si>
    <t>ELVIS MWANGI PAID LL</t>
  </si>
  <si>
    <t>PAID ON  5/6</t>
  </si>
  <si>
    <t>PAID ON 9/6</t>
  </si>
  <si>
    <t>ALICE PAIDLL</t>
  </si>
  <si>
    <t>FOR THE MONTH OF JULY 2021</t>
  </si>
  <si>
    <t>FOR THE MONTH OF JULY   2021</t>
  </si>
  <si>
    <t>ISAAC VACCATED TO BE DEDUCTED FROM DEP</t>
  </si>
  <si>
    <t>JOY MWENDWA</t>
  </si>
  <si>
    <t>PAID ON 5/7</t>
  </si>
  <si>
    <t>PAID ON 9/7</t>
  </si>
  <si>
    <t>DANIEL</t>
  </si>
  <si>
    <t>BAL6000</t>
  </si>
  <si>
    <t>MARTHA  PAID LL</t>
  </si>
  <si>
    <t>PURITY SAMANTHA</t>
  </si>
  <si>
    <t>FOR THE MONTH OF AUGUST   2021</t>
  </si>
  <si>
    <t>FOR THE MONTH OF AUGUST 2021</t>
  </si>
  <si>
    <t>ANDREW</t>
  </si>
  <si>
    <t>ONCHURU</t>
  </si>
  <si>
    <t>PAID ON 3/8</t>
  </si>
  <si>
    <t>PAID ON 5/8</t>
  </si>
  <si>
    <t>ANTONY MAINA</t>
  </si>
  <si>
    <t>ll</t>
  </si>
  <si>
    <t>ANDREW PAID LL</t>
  </si>
  <si>
    <t>FOR THE MONTH OF SEPTEMBER 2021</t>
  </si>
  <si>
    <t>FOR THE MONTH OF SEPTEMBER   2021</t>
  </si>
  <si>
    <t>PAID ON 23/8</t>
  </si>
  <si>
    <t>PAID ON 26/8</t>
  </si>
  <si>
    <t>ERICK ONCHURU</t>
  </si>
  <si>
    <t>FOR THE MONTH OF OCTOBER   2021</t>
  </si>
  <si>
    <t>PAID ON 5/10</t>
  </si>
  <si>
    <t>PAID ON9/10</t>
  </si>
  <si>
    <t>BEATRICE NYACUMA</t>
  </si>
  <si>
    <t>FOR THE MONTH OF NOVEMBER   2021</t>
  </si>
  <si>
    <t>PAID ON 3/11</t>
  </si>
  <si>
    <t>DISMARK EVICTED</t>
  </si>
  <si>
    <t>SOPHIE MAGETO</t>
  </si>
  <si>
    <t>NJERI</t>
  </si>
  <si>
    <t>PAID ON 11/11</t>
  </si>
  <si>
    <t>FOR THE MONTH OF DECEMBER 2021</t>
  </si>
  <si>
    <t>LUKAS PAIDLL</t>
  </si>
  <si>
    <t>FOR THE MONTH OF DECEMBER   2021</t>
  </si>
  <si>
    <t>4months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</si>
</sst>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\/dd\/yyyy"/>
    <numFmt numFmtId="165" formatCode="#,##0.00;\-#,##0.00"/>
    <numFmt numFmtId="166" formatCode="_(* #,##0_);_(* \(#,##0\);_(* &quot;-&quot;??_);_(@_)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u/>
      <sz val="8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u val="singleAccounting"/>
      <sz val="8"/>
      <color rgb="FF0070C0"/>
      <name val="Calibri"/>
      <family val="2"/>
      <scheme val="minor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u val="double"/>
      <sz val="12"/>
      <color theme="1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9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rgb="FF000000"/>
      <name val="Arial"/>
      <family val="2"/>
    </font>
    <font>
      <b/>
      <sz val="10"/>
      <color theme="1"/>
      <name val="Times New Roman"/>
      <family val="1"/>
    </font>
    <font>
      <b/>
      <sz val="11"/>
      <color rgb="FF1A86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b/>
      <sz val="11"/>
      <color theme="1"/>
      <name val="Times New Roman"/>
      <family val="1"/>
    </font>
    <font>
      <b/>
      <u val="singleAccounting"/>
      <sz val="8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0"/>
      <name val="Calibri"/>
      <family val="2"/>
      <scheme val="minor"/>
    </font>
    <font>
      <sz val="8"/>
      <color theme="0"/>
      <name val="Times New Roman"/>
      <family val="1"/>
    </font>
    <font>
      <sz val="9"/>
      <color theme="0"/>
      <name val="Times New Roman"/>
      <family val="1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sz val="9"/>
      <color rgb="FF00B0F0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8"/>
      <color theme="5"/>
      <name val="Times New Roman"/>
      <family val="1"/>
    </font>
    <font>
      <b/>
      <sz val="8"/>
      <color theme="5"/>
      <name val="Times New Roman"/>
      <family val="1"/>
    </font>
    <font>
      <b/>
      <sz val="11"/>
      <color theme="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u val="singleAccounting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21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16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18" fillId="0" borderId="1" xfId="1" applyFont="1" applyBorder="1" applyAlignment="1">
      <alignment horizontal="center"/>
    </xf>
    <xf numFmtId="43" fontId="20" fillId="0" borderId="0" xfId="1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3" fillId="0" borderId="0" xfId="1" applyFont="1"/>
    <xf numFmtId="43" fontId="24" fillId="0" borderId="0" xfId="1" applyFont="1"/>
    <xf numFmtId="43" fontId="25" fillId="0" borderId="0" xfId="0" applyNumberFormat="1" applyFont="1"/>
    <xf numFmtId="0" fontId="0" fillId="0" borderId="0" xfId="0" applyAlignment="1">
      <alignment vertical="center"/>
    </xf>
    <xf numFmtId="0" fontId="26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" fillId="0" borderId="0" xfId="1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3" fontId="3" fillId="0" borderId="0" xfId="0" applyNumberFormat="1" applyFont="1"/>
    <xf numFmtId="0" fontId="0" fillId="0" borderId="0" xfId="0" applyBorder="1"/>
    <xf numFmtId="0" fontId="28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9" fillId="0" borderId="0" xfId="0" applyFont="1"/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3" fontId="33" fillId="0" borderId="0" xfId="1" applyFont="1"/>
    <xf numFmtId="0" fontId="26" fillId="0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43" fontId="34" fillId="0" borderId="1" xfId="1" applyFont="1" applyBorder="1" applyAlignment="1">
      <alignment horizontal="center"/>
    </xf>
    <xf numFmtId="0" fontId="35" fillId="0" borderId="1" xfId="0" applyFont="1" applyBorder="1"/>
    <xf numFmtId="0" fontId="35" fillId="0" borderId="0" xfId="0" applyFont="1"/>
    <xf numFmtId="43" fontId="32" fillId="0" borderId="1" xfId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43" fontId="32" fillId="0" borderId="1" xfId="1" applyFont="1" applyFill="1" applyBorder="1" applyAlignment="1">
      <alignment horizontal="center"/>
    </xf>
    <xf numFmtId="43" fontId="34" fillId="0" borderId="1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43" fontId="29" fillId="0" borderId="0" xfId="0" applyNumberFormat="1" applyFont="1"/>
    <xf numFmtId="49" fontId="18" fillId="0" borderId="1" xfId="0" applyNumberFormat="1" applyFont="1" applyBorder="1"/>
    <xf numFmtId="43" fontId="36" fillId="0" borderId="0" xfId="0" applyNumberFormat="1" applyFont="1"/>
    <xf numFmtId="43" fontId="37" fillId="0" borderId="0" xfId="0" applyNumberFormat="1" applyFont="1"/>
    <xf numFmtId="0" fontId="3" fillId="0" borderId="1" xfId="0" applyFont="1" applyBorder="1"/>
    <xf numFmtId="0" fontId="3" fillId="0" borderId="1" xfId="0" applyFont="1" applyFill="1" applyBorder="1"/>
    <xf numFmtId="0" fontId="5" fillId="0" borderId="1" xfId="0" applyFont="1" applyBorder="1"/>
    <xf numFmtId="43" fontId="5" fillId="0" borderId="1" xfId="1" applyFont="1" applyBorder="1"/>
    <xf numFmtId="43" fontId="39" fillId="0" borderId="1" xfId="1" applyFont="1" applyBorder="1"/>
    <xf numFmtId="0" fontId="38" fillId="0" borderId="0" xfId="0" applyFont="1" applyFill="1" applyBorder="1"/>
    <xf numFmtId="0" fontId="38" fillId="0" borderId="0" xfId="0" applyFont="1"/>
    <xf numFmtId="0" fontId="40" fillId="0" borderId="1" xfId="0" applyFont="1" applyBorder="1" applyAlignment="1">
      <alignment horizontal="center"/>
    </xf>
    <xf numFmtId="17" fontId="41" fillId="0" borderId="1" xfId="0" applyNumberFormat="1" applyFont="1" applyBorder="1"/>
    <xf numFmtId="17" fontId="41" fillId="0" borderId="1" xfId="0" applyNumberFormat="1" applyFont="1" applyFill="1" applyBorder="1"/>
    <xf numFmtId="0" fontId="42" fillId="0" borderId="0" xfId="0" applyFont="1" applyAlignment="1">
      <alignment vertical="center"/>
    </xf>
    <xf numFmtId="43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43" fillId="0" borderId="0" xfId="0" applyNumberFormat="1" applyFont="1"/>
    <xf numFmtId="164" fontId="43" fillId="0" borderId="0" xfId="0" applyNumberFormat="1" applyFont="1"/>
    <xf numFmtId="165" fontId="43" fillId="0" borderId="0" xfId="0" applyNumberFormat="1" applyFont="1"/>
    <xf numFmtId="49" fontId="44" fillId="0" borderId="0" xfId="0" applyNumberFormat="1" applyFont="1"/>
    <xf numFmtId="164" fontId="44" fillId="0" borderId="0" xfId="0" applyNumberFormat="1" applyFont="1"/>
    <xf numFmtId="165" fontId="44" fillId="0" borderId="0" xfId="0" applyNumberFormat="1" applyFont="1"/>
    <xf numFmtId="165" fontId="44" fillId="0" borderId="2" xfId="0" applyNumberFormat="1" applyFont="1" applyBorder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165" fontId="43" fillId="0" borderId="0" xfId="0" applyNumberFormat="1" applyFont="1" applyBorder="1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0" fontId="0" fillId="0" borderId="0" xfId="0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9" fontId="0" fillId="0" borderId="0" xfId="0" applyNumberFormat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3" fillId="0" borderId="4" xfId="0" applyNumberFormat="1" applyFont="1" applyBorder="1"/>
    <xf numFmtId="49" fontId="43" fillId="0" borderId="8" xfId="0" applyNumberFormat="1" applyFont="1" applyBorder="1" applyAlignment="1">
      <alignment horizontal="center"/>
    </xf>
    <xf numFmtId="43" fontId="35" fillId="0" borderId="1" xfId="1" applyFont="1" applyFill="1" applyBorder="1" applyAlignment="1">
      <alignment horizontal="center"/>
    </xf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35" fillId="0" borderId="1" xfId="1" applyFont="1" applyBorder="1" applyAlignment="1">
      <alignment horizontal="center" vertical="center"/>
    </xf>
    <xf numFmtId="43" fontId="4" fillId="0" borderId="0" xfId="0" applyNumberFormat="1" applyFont="1"/>
    <xf numFmtId="0" fontId="0" fillId="0" borderId="0" xfId="0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0" fillId="0" borderId="0" xfId="1" applyFont="1"/>
    <xf numFmtId="49" fontId="45" fillId="0" borderId="0" xfId="0" applyNumberFormat="1" applyFont="1"/>
    <xf numFmtId="165" fontId="45" fillId="0" borderId="0" xfId="0" applyNumberFormat="1" applyFont="1"/>
    <xf numFmtId="165" fontId="45" fillId="0" borderId="0" xfId="0" applyNumberFormat="1" applyFont="1" applyBorder="1"/>
    <xf numFmtId="43" fontId="0" fillId="0" borderId="1" xfId="0" applyNumberFormat="1" applyBorder="1"/>
    <xf numFmtId="0" fontId="38" fillId="0" borderId="1" xfId="0" applyFont="1" applyBorder="1"/>
    <xf numFmtId="0" fontId="46" fillId="0" borderId="0" xfId="0" applyFont="1"/>
    <xf numFmtId="43" fontId="46" fillId="0" borderId="0" xfId="1" applyFont="1"/>
    <xf numFmtId="43" fontId="47" fillId="0" borderId="0" xfId="0" applyNumberFormat="1" applyFont="1"/>
    <xf numFmtId="0" fontId="48" fillId="0" borderId="0" xfId="0" applyFont="1"/>
    <xf numFmtId="49" fontId="49" fillId="0" borderId="0" xfId="0" applyNumberFormat="1" applyFont="1"/>
    <xf numFmtId="14" fontId="3" fillId="0" borderId="0" xfId="0" applyNumberFormat="1" applyFont="1"/>
    <xf numFmtId="43" fontId="16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0" fillId="0" borderId="0" xfId="0" applyAlignment="1"/>
    <xf numFmtId="0" fontId="5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Fill="1" applyBorder="1"/>
    <xf numFmtId="43" fontId="55" fillId="0" borderId="0" xfId="1" applyFont="1"/>
    <xf numFmtId="0" fontId="30" fillId="0" borderId="0" xfId="0" applyFont="1" applyBorder="1" applyAlignment="1">
      <alignment horizontal="center"/>
    </xf>
    <xf numFmtId="0" fontId="38" fillId="0" borderId="0" xfId="0" applyFont="1" applyBorder="1"/>
    <xf numFmtId="43" fontId="35" fillId="0" borderId="0" xfId="1" applyFont="1" applyBorder="1" applyAlignment="1">
      <alignment horizontal="center" vertical="center"/>
    </xf>
    <xf numFmtId="43" fontId="0" fillId="0" borderId="0" xfId="0" applyNumberFormat="1" applyBorder="1"/>
    <xf numFmtId="0" fontId="0" fillId="0" borderId="0" xfId="0"/>
    <xf numFmtId="0" fontId="3" fillId="0" borderId="0" xfId="0" applyFont="1"/>
    <xf numFmtId="0" fontId="27" fillId="0" borderId="0" xfId="0" applyFont="1"/>
    <xf numFmtId="43" fontId="38" fillId="0" borderId="0" xfId="0" applyNumberFormat="1" applyFont="1"/>
    <xf numFmtId="0" fontId="0" fillId="0" borderId="9" xfId="0" applyBorder="1"/>
    <xf numFmtId="0" fontId="38" fillId="0" borderId="9" xfId="0" applyFont="1" applyBorder="1"/>
    <xf numFmtId="43" fontId="32" fillId="0" borderId="0" xfId="1" applyFont="1" applyBorder="1" applyAlignment="1">
      <alignment horizontal="center"/>
    </xf>
    <xf numFmtId="43" fontId="56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43" fontId="59" fillId="0" borderId="0" xfId="1" applyFont="1" applyBorder="1" applyAlignment="1">
      <alignment horizontal="center"/>
    </xf>
    <xf numFmtId="0" fontId="57" fillId="0" borderId="0" xfId="0" applyFont="1"/>
    <xf numFmtId="0" fontId="58" fillId="0" borderId="0" xfId="0" applyFont="1" applyFill="1" applyBorder="1" applyAlignment="1">
      <alignment horizontal="center" vertical="center"/>
    </xf>
    <xf numFmtId="43" fontId="59" fillId="2" borderId="0" xfId="1" applyFont="1" applyFill="1" applyBorder="1" applyAlignment="1">
      <alignment horizontal="center"/>
    </xf>
    <xf numFmtId="0" fontId="57" fillId="0" borderId="0" xfId="0" applyFont="1" applyBorder="1"/>
    <xf numFmtId="14" fontId="3" fillId="0" borderId="0" xfId="0" applyNumberFormat="1" applyFont="1" applyFill="1" applyBorder="1"/>
    <xf numFmtId="0" fontId="60" fillId="0" borderId="1" xfId="0" applyFont="1" applyBorder="1" applyAlignment="1">
      <alignment horizontal="center" vertical="center"/>
    </xf>
    <xf numFmtId="49" fontId="60" fillId="0" borderId="1" xfId="1" applyNumberFormat="1" applyFont="1" applyBorder="1" applyAlignment="1">
      <alignment horizontal="center" vertical="center"/>
    </xf>
    <xf numFmtId="0" fontId="61" fillId="0" borderId="1" xfId="0" applyFont="1" applyBorder="1"/>
    <xf numFmtId="43" fontId="62" fillId="0" borderId="1" xfId="1" applyFont="1" applyBorder="1" applyAlignment="1">
      <alignment horizontal="center"/>
    </xf>
    <xf numFmtId="43" fontId="60" fillId="0" borderId="1" xfId="1" applyFont="1" applyFill="1" applyBorder="1" applyAlignment="1">
      <alignment horizontal="center"/>
    </xf>
    <xf numFmtId="43" fontId="60" fillId="0" borderId="1" xfId="1" applyNumberFormat="1" applyFont="1" applyFill="1" applyBorder="1" applyAlignment="1">
      <alignment horizontal="center"/>
    </xf>
    <xf numFmtId="43" fontId="61" fillId="0" borderId="1" xfId="0" applyNumberFormat="1" applyFont="1" applyBorder="1"/>
    <xf numFmtId="43" fontId="60" fillId="0" borderId="1" xfId="1" applyFont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43" fontId="62" fillId="0" borderId="1" xfId="1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43" fontId="63" fillId="0" borderId="1" xfId="1" applyFont="1" applyBorder="1" applyAlignment="1">
      <alignment horizontal="center"/>
    </xf>
    <xf numFmtId="0" fontId="0" fillId="0" borderId="1" xfId="0" applyFont="1" applyBorder="1"/>
    <xf numFmtId="43" fontId="2" fillId="0" borderId="1" xfId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43" fontId="0" fillId="0" borderId="1" xfId="0" applyNumberFormat="1" applyFont="1" applyBorder="1"/>
    <xf numFmtId="0" fontId="64" fillId="0" borderId="1" xfId="0" applyFont="1" applyBorder="1" applyAlignment="1">
      <alignment horizontal="center"/>
    </xf>
    <xf numFmtId="43" fontId="64" fillId="0" borderId="1" xfId="1" applyFont="1" applyBorder="1" applyAlignment="1">
      <alignment horizontal="center"/>
    </xf>
    <xf numFmtId="43" fontId="0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0" fillId="0" borderId="0" xfId="0" applyNumberFormat="1"/>
    <xf numFmtId="0" fontId="65" fillId="0" borderId="0" xfId="2"/>
    <xf numFmtId="0" fontId="66" fillId="0" borderId="0" xfId="0" applyFont="1" applyAlignment="1">
      <alignment vertical="center"/>
    </xf>
    <xf numFmtId="0" fontId="52" fillId="0" borderId="0" xfId="0" applyFont="1" applyAlignment="1"/>
    <xf numFmtId="0" fontId="52" fillId="0" borderId="0" xfId="0" applyFont="1"/>
    <xf numFmtId="0" fontId="67" fillId="0" borderId="0" xfId="0" applyFont="1" applyAlignment="1">
      <alignment vertical="center"/>
    </xf>
    <xf numFmtId="43" fontId="2" fillId="0" borderId="1" xfId="1" applyFont="1" applyBorder="1" applyAlignment="1">
      <alignment horizontal="center"/>
    </xf>
    <xf numFmtId="43" fontId="3" fillId="0" borderId="1" xfId="0" applyNumberFormat="1" applyFont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/>
    <xf numFmtId="9" fontId="3" fillId="0" borderId="0" xfId="0" applyNumberFormat="1" applyFont="1"/>
    <xf numFmtId="0" fontId="68" fillId="0" borderId="1" xfId="0" applyFont="1" applyBorder="1" applyAlignment="1">
      <alignment horizontal="center"/>
    </xf>
    <xf numFmtId="0" fontId="69" fillId="0" borderId="1" xfId="0" applyFont="1" applyBorder="1"/>
    <xf numFmtId="0" fontId="70" fillId="0" borderId="1" xfId="0" applyFont="1" applyBorder="1"/>
    <xf numFmtId="0" fontId="68" fillId="0" borderId="1" xfId="0" applyFont="1" applyFill="1" applyBorder="1" applyAlignment="1">
      <alignment horizontal="center"/>
    </xf>
    <xf numFmtId="0" fontId="24" fillId="0" borderId="0" xfId="0" applyFont="1" applyFill="1" applyBorder="1"/>
    <xf numFmtId="166" fontId="2" fillId="0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43" fontId="71" fillId="0" borderId="0" xfId="1" applyFont="1"/>
    <xf numFmtId="0" fontId="0" fillId="0" borderId="0" xfId="0" applyFont="1" applyAlignment="1"/>
    <xf numFmtId="166" fontId="2" fillId="0" borderId="7" xfId="1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3" fillId="0" borderId="7" xfId="0" applyNumberFormat="1" applyFont="1" applyBorder="1"/>
    <xf numFmtId="43" fontId="2" fillId="0" borderId="7" xfId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0" fontId="3" fillId="0" borderId="7" xfId="0" applyFont="1" applyBorder="1"/>
    <xf numFmtId="0" fontId="71" fillId="0" borderId="0" xfId="0" applyFont="1"/>
    <xf numFmtId="43" fontId="71" fillId="0" borderId="0" xfId="0" applyNumberFormat="1" applyFont="1"/>
    <xf numFmtId="0" fontId="71" fillId="0" borderId="0" xfId="0" applyFont="1" applyBorder="1"/>
    <xf numFmtId="0" fontId="72" fillId="0" borderId="0" xfId="0" applyFont="1" applyFill="1" applyBorder="1"/>
    <xf numFmtId="0" fontId="73" fillId="0" borderId="0" xfId="0" applyFont="1" applyFill="1" applyBorder="1"/>
    <xf numFmtId="0" fontId="73" fillId="0" borderId="0" xfId="0" applyFont="1"/>
    <xf numFmtId="0" fontId="68" fillId="0" borderId="5" xfId="0" applyFont="1" applyBorder="1" applyAlignment="1">
      <alignment horizontal="center"/>
    </xf>
    <xf numFmtId="166" fontId="0" fillId="0" borderId="0" xfId="0" applyNumberFormat="1"/>
    <xf numFmtId="49" fontId="2" fillId="0" borderId="0" xfId="1" applyNumberFormat="1" applyFont="1" applyFill="1" applyBorder="1" applyAlignment="1">
      <alignment horizontal="center"/>
    </xf>
    <xf numFmtId="43" fontId="3" fillId="0" borderId="0" xfId="0" applyNumberFormat="1" applyFont="1" applyBorder="1"/>
    <xf numFmtId="166" fontId="0" fillId="0" borderId="0" xfId="0" applyNumberFormat="1" applyBorder="1"/>
    <xf numFmtId="166" fontId="0" fillId="0" borderId="1" xfId="0" applyNumberFormat="1" applyBorder="1"/>
    <xf numFmtId="49" fontId="0" fillId="0" borderId="0" xfId="0" applyNumberFormat="1" applyBorder="1"/>
    <xf numFmtId="0" fontId="74" fillId="0" borderId="0" xfId="0" applyFont="1"/>
    <xf numFmtId="43" fontId="31" fillId="0" borderId="1" xfId="1" applyFont="1" applyBorder="1" applyAlignment="1">
      <alignment horizontal="center"/>
    </xf>
    <xf numFmtId="166" fontId="31" fillId="0" borderId="1" xfId="1" applyNumberFormat="1" applyFont="1" applyFill="1" applyBorder="1" applyAlignment="1">
      <alignment horizontal="center"/>
    </xf>
    <xf numFmtId="166" fontId="1" fillId="0" borderId="1" xfId="0" applyNumberFormat="1" applyFont="1" applyBorder="1"/>
    <xf numFmtId="0" fontId="1" fillId="0" borderId="1" xfId="0" applyFont="1" applyBorder="1"/>
    <xf numFmtId="166" fontId="31" fillId="0" borderId="1" xfId="1" applyNumberFormat="1" applyFont="1" applyBorder="1" applyAlignment="1">
      <alignment horizontal="center"/>
    </xf>
    <xf numFmtId="43" fontId="1" fillId="0" borderId="1" xfId="0" applyNumberFormat="1" applyFont="1" applyBorder="1"/>
    <xf numFmtId="166" fontId="3" fillId="0" borderId="0" xfId="0" applyNumberFormat="1" applyFont="1"/>
    <xf numFmtId="0" fontId="2" fillId="0" borderId="0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166" fontId="31" fillId="0" borderId="0" xfId="1" applyNumberFormat="1" applyFont="1" applyBorder="1" applyAlignment="1">
      <alignment horizontal="center"/>
    </xf>
    <xf numFmtId="166" fontId="31" fillId="0" borderId="0" xfId="1" applyNumberFormat="1" applyFont="1" applyFill="1" applyBorder="1" applyAlignment="1">
      <alignment horizontal="center"/>
    </xf>
    <xf numFmtId="0" fontId="1" fillId="0" borderId="0" xfId="0" applyFont="1" applyBorder="1"/>
    <xf numFmtId="43" fontId="1" fillId="0" borderId="0" xfId="0" applyNumberFormat="1" applyFont="1" applyBorder="1"/>
    <xf numFmtId="166" fontId="4" fillId="0" borderId="1" xfId="0" applyNumberFormat="1" applyFont="1" applyBorder="1"/>
    <xf numFmtId="0" fontId="4" fillId="0" borderId="1" xfId="0" applyFont="1" applyBorder="1"/>
    <xf numFmtId="43" fontId="4" fillId="0" borderId="1" xfId="0" applyNumberFormat="1" applyFont="1" applyBorder="1"/>
    <xf numFmtId="0" fontId="75" fillId="0" borderId="1" xfId="0" applyFont="1" applyBorder="1"/>
    <xf numFmtId="43" fontId="75" fillId="0" borderId="1" xfId="0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0" fontId="76" fillId="0" borderId="1" xfId="0" applyFont="1" applyBorder="1" applyAlignment="1">
      <alignment horizontal="center"/>
    </xf>
    <xf numFmtId="0" fontId="77" fillId="0" borderId="1" xfId="0" applyFont="1" applyBorder="1"/>
    <xf numFmtId="0" fontId="76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6" fontId="75" fillId="0" borderId="1" xfId="1" applyNumberFormat="1" applyFont="1" applyBorder="1" applyAlignment="1">
      <alignment horizontal="center"/>
    </xf>
    <xf numFmtId="166" fontId="75" fillId="0" borderId="1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3" fontId="4" fillId="0" borderId="0" xfId="0" applyNumberFormat="1" applyFont="1" applyBorder="1"/>
    <xf numFmtId="166" fontId="4" fillId="0" borderId="0" xfId="1" applyNumberFormat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43" fontId="75" fillId="0" borderId="1" xfId="1" applyFont="1" applyBorder="1"/>
    <xf numFmtId="43" fontId="79" fillId="0" borderId="1" xfId="1" applyFont="1" applyBorder="1"/>
    <xf numFmtId="0" fontId="47" fillId="0" borderId="1" xfId="0" applyFont="1" applyBorder="1"/>
    <xf numFmtId="43" fontId="80" fillId="0" borderId="1" xfId="1" applyFont="1" applyBorder="1"/>
    <xf numFmtId="0" fontId="26" fillId="0" borderId="1" xfId="0" applyFont="1" applyBorder="1"/>
    <xf numFmtId="9" fontId="4" fillId="0" borderId="1" xfId="0" applyNumberFormat="1" applyFont="1" applyBorder="1"/>
    <xf numFmtId="43" fontId="4" fillId="0" borderId="1" xfId="1" applyFont="1" applyBorder="1"/>
    <xf numFmtId="14" fontId="4" fillId="0" borderId="1" xfId="0" applyNumberFormat="1" applyFont="1" applyBorder="1"/>
    <xf numFmtId="165" fontId="81" fillId="0" borderId="1" xfId="0" applyNumberFormat="1" applyFont="1" applyBorder="1"/>
    <xf numFmtId="165" fontId="82" fillId="0" borderId="1" xfId="0" applyNumberFormat="1" applyFont="1" applyBorder="1"/>
    <xf numFmtId="0" fontId="83" fillId="0" borderId="1" xfId="0" applyFont="1" applyFill="1" applyBorder="1"/>
    <xf numFmtId="0" fontId="41" fillId="0" borderId="1" xfId="0" applyFont="1" applyFill="1" applyBorder="1"/>
    <xf numFmtId="0" fontId="41" fillId="0" borderId="1" xfId="0" applyFont="1" applyBorder="1"/>
    <xf numFmtId="0" fontId="47" fillId="0" borderId="0" xfId="0" applyFont="1" applyFill="1" applyBorder="1"/>
    <xf numFmtId="0" fontId="84" fillId="0" borderId="0" xfId="0" applyFont="1" applyBorder="1" applyAlignment="1">
      <alignment horizontal="center" vertical="center"/>
    </xf>
    <xf numFmtId="0" fontId="75" fillId="0" borderId="0" xfId="0" applyFont="1"/>
    <xf numFmtId="0" fontId="7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166" fontId="64" fillId="0" borderId="1" xfId="1" applyNumberFormat="1" applyFont="1" applyBorder="1" applyAlignment="1">
      <alignment horizontal="center"/>
    </xf>
    <xf numFmtId="166" fontId="0" fillId="0" borderId="1" xfId="0" applyNumberFormat="1" applyFont="1" applyBorder="1"/>
    <xf numFmtId="166" fontId="3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 vertical="center"/>
    </xf>
    <xf numFmtId="166" fontId="32" fillId="0" borderId="1" xfId="1" applyNumberFormat="1" applyFont="1" applyFill="1" applyBorder="1" applyAlignment="1">
      <alignment horizontal="center"/>
    </xf>
    <xf numFmtId="166" fontId="20" fillId="0" borderId="0" xfId="1" applyNumberFormat="1" applyFont="1"/>
    <xf numFmtId="166" fontId="0" fillId="0" borderId="0" xfId="0" applyNumberFormat="1" applyFont="1"/>
    <xf numFmtId="166" fontId="23" fillId="0" borderId="0" xfId="1" applyNumberFormat="1" applyFont="1"/>
    <xf numFmtId="166" fontId="55" fillId="0" borderId="0" xfId="1" applyNumberFormat="1" applyFont="1"/>
    <xf numFmtId="166" fontId="46" fillId="0" borderId="0" xfId="0" applyNumberFormat="1" applyFont="1"/>
    <xf numFmtId="166" fontId="33" fillId="0" borderId="0" xfId="1" applyNumberFormat="1" applyFont="1"/>
    <xf numFmtId="166" fontId="3" fillId="0" borderId="0" xfId="0" applyNumberFormat="1" applyFont="1" applyBorder="1"/>
    <xf numFmtId="166" fontId="26" fillId="0" borderId="0" xfId="0" applyNumberFormat="1" applyFont="1"/>
    <xf numFmtId="166" fontId="3" fillId="0" borderId="0" xfId="1" applyNumberFormat="1" applyFont="1"/>
    <xf numFmtId="166" fontId="0" fillId="0" borderId="0" xfId="1" applyNumberFormat="1" applyFont="1"/>
    <xf numFmtId="166" fontId="3" fillId="0" borderId="0" xfId="0" applyNumberFormat="1" applyFont="1" applyFill="1" applyBorder="1"/>
    <xf numFmtId="166" fontId="44" fillId="0" borderId="0" xfId="0" applyNumberFormat="1" applyFont="1"/>
    <xf numFmtId="166" fontId="46" fillId="0" borderId="0" xfId="0" applyNumberFormat="1" applyFont="1" applyFill="1" applyBorder="1"/>
    <xf numFmtId="166" fontId="38" fillId="0" borderId="0" xfId="0" applyNumberFormat="1" applyFont="1"/>
    <xf numFmtId="166" fontId="4" fillId="0" borderId="0" xfId="0" applyNumberFormat="1" applyFont="1"/>
    <xf numFmtId="9" fontId="0" fillId="0" borderId="0" xfId="3" applyFont="1"/>
    <xf numFmtId="166" fontId="3" fillId="0" borderId="1" xfId="0" applyNumberFormat="1" applyFont="1" applyBorder="1"/>
    <xf numFmtId="0" fontId="27" fillId="0" borderId="1" xfId="0" applyFont="1" applyBorder="1"/>
    <xf numFmtId="0" fontId="85" fillId="0" borderId="1" xfId="0" applyFont="1" applyBorder="1"/>
    <xf numFmtId="49" fontId="86" fillId="0" borderId="0" xfId="1" applyNumberFormat="1" applyFont="1" applyBorder="1" applyAlignment="1">
      <alignment horizontal="right"/>
    </xf>
    <xf numFmtId="49" fontId="87" fillId="0" borderId="0" xfId="0" applyNumberFormat="1" applyFont="1" applyBorder="1" applyAlignment="1">
      <alignment horizontal="right"/>
    </xf>
    <xf numFmtId="0" fontId="27" fillId="0" borderId="0" xfId="0" applyFont="1" applyBorder="1"/>
    <xf numFmtId="4" fontId="27" fillId="0" borderId="0" xfId="0" applyNumberFormat="1" applyFont="1" applyBorder="1"/>
    <xf numFmtId="165" fontId="87" fillId="0" borderId="0" xfId="0" applyNumberFormat="1" applyFont="1" applyBorder="1"/>
    <xf numFmtId="0" fontId="27" fillId="0" borderId="10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38" fillId="0" borderId="1" xfId="0" applyNumberFormat="1" applyFont="1" applyBorder="1"/>
    <xf numFmtId="10" fontId="0" fillId="0" borderId="1" xfId="0" applyNumberFormat="1" applyFont="1" applyBorder="1"/>
    <xf numFmtId="10" fontId="0" fillId="0" borderId="0" xfId="0" applyNumberFormat="1"/>
    <xf numFmtId="9" fontId="0" fillId="0" borderId="0" xfId="0" applyNumberFormat="1" applyFont="1" applyBorder="1"/>
    <xf numFmtId="0" fontId="88" fillId="0" borderId="1" xfId="0" applyFont="1" applyBorder="1"/>
    <xf numFmtId="3" fontId="0" fillId="0" borderId="0" xfId="0" applyNumberFormat="1"/>
    <xf numFmtId="0" fontId="74" fillId="0" borderId="1" xfId="0" applyFont="1" applyBorder="1"/>
    <xf numFmtId="3" fontId="74" fillId="0" borderId="1" xfId="0" applyNumberFormat="1" applyFont="1" applyBorder="1"/>
    <xf numFmtId="3" fontId="27" fillId="0" borderId="1" xfId="0" applyNumberFormat="1" applyFont="1" applyBorder="1"/>
    <xf numFmtId="166" fontId="75" fillId="0" borderId="1" xfId="0" applyNumberFormat="1" applyFont="1" applyBorder="1"/>
    <xf numFmtId="0" fontId="0" fillId="0" borderId="6" xfId="0" applyFill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3" fontId="0" fillId="0" borderId="0" xfId="0" applyNumberFormat="1" applyBorder="1"/>
    <xf numFmtId="166" fontId="0" fillId="0" borderId="1" xfId="0" applyNumberFormat="1" applyFont="1" applyFill="1" applyBorder="1"/>
    <xf numFmtId="0" fontId="0" fillId="0" borderId="0" xfId="0" applyFont="1" applyFill="1" applyBorder="1"/>
    <xf numFmtId="49" fontId="75" fillId="0" borderId="1" xfId="0" applyNumberFormat="1" applyFont="1" applyBorder="1"/>
    <xf numFmtId="0" fontId="89" fillId="0" borderId="1" xfId="0" applyFont="1" applyBorder="1"/>
    <xf numFmtId="3" fontId="4" fillId="0" borderId="0" xfId="0" applyNumberFormat="1" applyFont="1"/>
    <xf numFmtId="0" fontId="88" fillId="0" borderId="11" xfId="0" applyFont="1" applyFill="1" applyBorder="1"/>
    <xf numFmtId="9" fontId="38" fillId="0" borderId="1" xfId="0" applyNumberFormat="1" applyFont="1" applyBorder="1"/>
    <xf numFmtId="3" fontId="38" fillId="0" borderId="5" xfId="0" applyNumberFormat="1" applyFont="1" applyBorder="1"/>
    <xf numFmtId="0" fontId="38" fillId="0" borderId="5" xfId="0" applyFont="1" applyBorder="1"/>
    <xf numFmtId="0" fontId="0" fillId="0" borderId="5" xfId="0" applyBorder="1"/>
    <xf numFmtId="0" fontId="85" fillId="0" borderId="11" xfId="0" applyFont="1" applyFill="1" applyBorder="1"/>
    <xf numFmtId="166" fontId="38" fillId="0" borderId="1" xfId="0" applyNumberFormat="1" applyFont="1" applyBorder="1"/>
    <xf numFmtId="3" fontId="3" fillId="0" borderId="1" xfId="0" applyNumberFormat="1" applyFont="1" applyBorder="1"/>
    <xf numFmtId="3" fontId="0" fillId="0" borderId="1" xfId="0" applyNumberFormat="1" applyBorder="1"/>
    <xf numFmtId="0" fontId="47" fillId="0" borderId="1" xfId="0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6" xfId="0" applyFont="1" applyFill="1" applyBorder="1"/>
    <xf numFmtId="0" fontId="90" fillId="0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43" fontId="47" fillId="0" borderId="1" xfId="0" applyNumberFormat="1" applyFont="1" applyBorder="1"/>
    <xf numFmtId="166" fontId="47" fillId="0" borderId="1" xfId="1" applyNumberFormat="1" applyFont="1" applyBorder="1" applyAlignment="1">
      <alignment horizontal="center"/>
    </xf>
    <xf numFmtId="166" fontId="47" fillId="0" borderId="1" xfId="0" applyNumberFormat="1" applyFont="1" applyBorder="1"/>
    <xf numFmtId="0" fontId="47" fillId="0" borderId="0" xfId="0" applyFont="1"/>
    <xf numFmtId="0" fontId="90" fillId="0" borderId="1" xfId="0" applyFont="1" applyBorder="1" applyAlignment="1">
      <alignment horizontal="center" vertical="center"/>
    </xf>
    <xf numFmtId="43" fontId="90" fillId="0" borderId="1" xfId="0" applyNumberFormat="1" applyFont="1" applyBorder="1"/>
    <xf numFmtId="166" fontId="90" fillId="0" borderId="1" xfId="1" applyNumberFormat="1" applyFont="1" applyBorder="1" applyAlignment="1">
      <alignment horizontal="center"/>
    </xf>
    <xf numFmtId="166" fontId="90" fillId="0" borderId="1" xfId="0" applyNumberFormat="1" applyFont="1" applyBorder="1"/>
    <xf numFmtId="0" fontId="38" fillId="0" borderId="6" xfId="0" applyFont="1" applyFill="1" applyBorder="1"/>
    <xf numFmtId="0" fontId="89" fillId="0" borderId="6" xfId="0" applyFont="1" applyFill="1" applyBorder="1"/>
    <xf numFmtId="0" fontId="27" fillId="0" borderId="12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419100</xdr:colOff>
      <xdr:row>4</xdr:row>
      <xdr:rowOff>76200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142875</xdr:colOff>
      <xdr:row>3</xdr:row>
      <xdr:rowOff>123825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0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390525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66675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723900</xdr:colOff>
      <xdr:row>4</xdr:row>
      <xdr:rowOff>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0</xdr:row>
      <xdr:rowOff>0</xdr:rowOff>
    </xdr:from>
    <xdr:to>
      <xdr:col>11</xdr:col>
      <xdr:colOff>180975</xdr:colOff>
      <xdr:row>3</xdr:row>
      <xdr:rowOff>123824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0"/>
          <a:ext cx="1323975" cy="895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95250</xdr:colOff>
      <xdr:row>3</xdr:row>
      <xdr:rowOff>95251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400176" cy="714374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81700" y="161926"/>
          <a:ext cx="1323975" cy="657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152400</xdr:colOff>
      <xdr:row>2</xdr:row>
      <xdr:rowOff>104775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6262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2</xdr:col>
      <xdr:colOff>400050</xdr:colOff>
      <xdr:row>3</xdr:row>
      <xdr:rowOff>161925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4</xdr:row>
      <xdr:rowOff>19050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1977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19</xdr:col>
      <xdr:colOff>152400</xdr:colOff>
      <xdr:row>14</xdr:row>
      <xdr:rowOff>28575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8.bin"/><Relationship Id="rId1" Type="http://schemas.openxmlformats.org/officeDocument/2006/relationships/hyperlink" Target="mailto:willisolwalo@yahoo.com" TargetMode="Externa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9.bin"/><Relationship Id="rId1" Type="http://schemas.openxmlformats.org/officeDocument/2006/relationships/hyperlink" Target="mailto:willisolwalo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willisolwalo@yahoo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willisolwalo@yahoo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willisolwalo@yahoo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willisolwalo@yahoo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willisolwalo@yahoo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willisolwalo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willisolwalo@yahoo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willisolwalo@yahoo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willisolwalo@yahoo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willisolwalo@yahoo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willisolwalo@yahoo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willisolwalo@yahoo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willisolwalo@yahoo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willisolwalo@yahoo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willisolwalo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willisolwalo@yahoo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willisolwalo@yahoo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9.bin"/><Relationship Id="rId1" Type="http://schemas.openxmlformats.org/officeDocument/2006/relationships/hyperlink" Target="mailto:willisolwalo@yahoo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mailto:willisolwalo@yahoo.com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mailto:willisolwalo@yahoo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hyperlink" Target="mailto:willisolwalo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mailto:willisolwalo@yahoo.com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4.bin"/><Relationship Id="rId1" Type="http://schemas.openxmlformats.org/officeDocument/2006/relationships/hyperlink" Target="mailto:willisolwalo@yahoo.com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5.bin"/><Relationship Id="rId1" Type="http://schemas.openxmlformats.org/officeDocument/2006/relationships/hyperlink" Target="mailto:willisolwalo@yahoo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mailto:willisolwalo@yahoo.com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mailto:willisolwalo@yahoo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mailto:willisolwalo@yahoo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mailto:willisolwalo@yahoo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mailto:willisolwalo@yahoo.com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mailto:willisolwalo@yahoo.com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2.bin"/><Relationship Id="rId1" Type="http://schemas.openxmlformats.org/officeDocument/2006/relationships/hyperlink" Target="mailto:willisolwalo@yahoo.com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3.bin"/><Relationship Id="rId1" Type="http://schemas.openxmlformats.org/officeDocument/2006/relationships/hyperlink" Target="mailto:willisolwalo@yahoo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4.bin"/><Relationship Id="rId1" Type="http://schemas.openxmlformats.org/officeDocument/2006/relationships/hyperlink" Target="mailto:willisolwalo@yahoo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5.bin"/><Relationship Id="rId1" Type="http://schemas.openxmlformats.org/officeDocument/2006/relationships/hyperlink" Target="mailto:willisolwalo@yahoo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6.bin"/><Relationship Id="rId1" Type="http://schemas.openxmlformats.org/officeDocument/2006/relationships/hyperlink" Target="mailto:willisolwalo@yahoo.com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7.bin"/><Relationship Id="rId1" Type="http://schemas.openxmlformats.org/officeDocument/2006/relationships/hyperlink" Target="mailto:willisolwal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A14" sqref="A14"/>
    </sheetView>
  </sheetViews>
  <sheetFormatPr defaultRowHeight="15" x14ac:dyDescent="0.25"/>
  <cols>
    <col min="1" max="1" width="17.7109375" customWidth="1"/>
    <col min="2" max="2" width="3.85546875" customWidth="1"/>
    <col min="4" max="4" width="14.5703125" bestFit="1" customWidth="1"/>
    <col min="6" max="6" width="10.85546875" customWidth="1"/>
    <col min="7" max="7" width="12.7109375" customWidth="1"/>
    <col min="8" max="8" width="10.85546875" customWidth="1"/>
    <col min="9" max="9" width="10.5703125" customWidth="1"/>
    <col min="10" max="10" width="10" customWidth="1"/>
    <col min="11" max="11" width="7.7109375" customWidth="1"/>
  </cols>
  <sheetData>
    <row r="1" spans="1:14" ht="33.75" x14ac:dyDescent="0.45">
      <c r="A1" s="13"/>
      <c r="B1" s="21"/>
      <c r="C1" s="1"/>
      <c r="D1" s="1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3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8"/>
      <c r="B5" s="48"/>
      <c r="C5" s="49" t="s">
        <v>48</v>
      </c>
      <c r="D5" s="48"/>
      <c r="E5" s="48"/>
      <c r="F5" s="48"/>
      <c r="G5" s="48"/>
      <c r="H5" s="48"/>
      <c r="I5" s="48"/>
      <c r="J5" s="48"/>
      <c r="K5" s="50" t="s">
        <v>8</v>
      </c>
      <c r="L5" s="48"/>
      <c r="M5" s="48"/>
      <c r="N5" s="48"/>
    </row>
    <row r="6" spans="1:14" ht="21" x14ac:dyDescent="0.25">
      <c r="A6" s="44"/>
      <c r="B6" s="44"/>
      <c r="C6" s="44"/>
      <c r="D6" s="46"/>
      <c r="E6" s="46"/>
      <c r="F6" s="47" t="s">
        <v>58</v>
      </c>
      <c r="G6" s="47"/>
      <c r="H6" s="46"/>
      <c r="I6" s="46"/>
      <c r="J6" s="46"/>
      <c r="K6" s="46"/>
      <c r="L6" s="46"/>
      <c r="M6" s="44"/>
      <c r="N6" s="44"/>
    </row>
    <row r="7" spans="1:14" x14ac:dyDescent="0.25">
      <c r="A7" s="22" t="s">
        <v>0</v>
      </c>
      <c r="B7" s="3" t="s">
        <v>1</v>
      </c>
      <c r="C7" s="22" t="s">
        <v>9</v>
      </c>
      <c r="D7" s="22" t="s">
        <v>10</v>
      </c>
      <c r="E7" s="22" t="s">
        <v>11</v>
      </c>
      <c r="F7" s="22" t="s">
        <v>12</v>
      </c>
      <c r="G7" s="22" t="s">
        <v>32</v>
      </c>
      <c r="H7" s="22" t="s">
        <v>2</v>
      </c>
      <c r="I7" s="23" t="s">
        <v>13</v>
      </c>
      <c r="J7" s="22" t="s">
        <v>3</v>
      </c>
      <c r="K7" s="22" t="s">
        <v>28</v>
      </c>
      <c r="L7" s="23" t="s">
        <v>14</v>
      </c>
      <c r="M7" s="23" t="s">
        <v>15</v>
      </c>
      <c r="N7" s="23" t="s">
        <v>16</v>
      </c>
    </row>
    <row r="8" spans="1:14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3"/>
      <c r="G8" s="85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3"/>
      <c r="G9" s="85">
        <v>400</v>
      </c>
      <c r="H9" s="33">
        <v>4000</v>
      </c>
      <c r="I9" s="33">
        <v>4400</v>
      </c>
      <c r="J9" s="33">
        <v>4400</v>
      </c>
      <c r="K9" s="6"/>
      <c r="L9" s="5"/>
      <c r="M9" s="6"/>
      <c r="N9" s="7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3"/>
      <c r="G10" s="85">
        <v>300</v>
      </c>
      <c r="H10" s="34">
        <v>4000</v>
      </c>
      <c r="I10" s="34">
        <v>4300</v>
      </c>
      <c r="J10" s="34">
        <v>4300</v>
      </c>
      <c r="K10" s="6"/>
      <c r="L10" s="5"/>
      <c r="M10" s="6"/>
      <c r="N10" s="7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3"/>
      <c r="G11" s="86">
        <v>200</v>
      </c>
      <c r="H11" s="34">
        <v>4000</v>
      </c>
      <c r="I11" s="34">
        <v>4200</v>
      </c>
      <c r="J11" s="34">
        <v>4200</v>
      </c>
      <c r="K11" s="6"/>
      <c r="L11" s="5"/>
      <c r="M11" s="6"/>
      <c r="N11" s="7">
        <v>0</v>
      </c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8"/>
      <c r="F12" s="3"/>
      <c r="G12" s="85"/>
      <c r="H12" s="34">
        <v>4000</v>
      </c>
      <c r="I12" s="34">
        <v>4000</v>
      </c>
      <c r="J12" s="34">
        <v>4000</v>
      </c>
      <c r="K12" s="6"/>
      <c r="L12" s="8"/>
      <c r="M12" s="10"/>
      <c r="N12" s="8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8"/>
      <c r="F13" s="3"/>
      <c r="G13" s="85">
        <v>600</v>
      </c>
      <c r="H13" s="34">
        <v>4000</v>
      </c>
      <c r="I13" s="34">
        <v>4600</v>
      </c>
      <c r="J13" s="34">
        <v>4600</v>
      </c>
      <c r="K13" s="6"/>
      <c r="L13" s="8"/>
      <c r="M13" s="10"/>
      <c r="N13" s="8"/>
    </row>
    <row r="14" spans="1:14" x14ac:dyDescent="0.25">
      <c r="A14" s="8" t="s">
        <v>39</v>
      </c>
      <c r="B14" s="9">
        <v>7</v>
      </c>
      <c r="C14" s="6" t="s">
        <v>34</v>
      </c>
      <c r="D14" s="6" t="s">
        <v>34</v>
      </c>
      <c r="E14" s="8"/>
      <c r="F14" s="3"/>
      <c r="G14" s="85"/>
      <c r="H14" s="34">
        <v>4000</v>
      </c>
      <c r="I14" s="34">
        <v>4000</v>
      </c>
      <c r="J14" s="34"/>
      <c r="K14" s="6"/>
      <c r="L14" s="8"/>
      <c r="M14" s="10" t="s">
        <v>34</v>
      </c>
      <c r="N14" s="8">
        <v>4000</v>
      </c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8"/>
      <c r="F15" s="3"/>
      <c r="G15" s="85"/>
      <c r="H15" s="34">
        <v>4000</v>
      </c>
      <c r="I15" s="34">
        <v>4000</v>
      </c>
      <c r="J15" s="34">
        <v>4000</v>
      </c>
      <c r="K15" s="6"/>
      <c r="L15" s="8"/>
      <c r="M15" s="3"/>
      <c r="N15" s="3"/>
    </row>
    <row r="16" spans="1:14" x14ac:dyDescent="0.25">
      <c r="A16" s="8" t="s">
        <v>41</v>
      </c>
      <c r="B16" s="8">
        <v>1</v>
      </c>
      <c r="C16" s="6" t="s">
        <v>42</v>
      </c>
      <c r="D16" s="6" t="s">
        <v>42</v>
      </c>
      <c r="E16" s="8"/>
      <c r="F16" s="3"/>
      <c r="G16" s="85">
        <v>300</v>
      </c>
      <c r="H16" s="34">
        <v>2500</v>
      </c>
      <c r="I16" s="34">
        <v>2800</v>
      </c>
      <c r="J16" s="34">
        <v>2800</v>
      </c>
      <c r="K16" s="6"/>
      <c r="L16" s="8"/>
      <c r="M16" s="8"/>
      <c r="N16" s="8"/>
    </row>
    <row r="17" spans="1:14" x14ac:dyDescent="0.25">
      <c r="A17" s="8" t="s">
        <v>43</v>
      </c>
      <c r="B17" s="8">
        <v>2</v>
      </c>
      <c r="C17" s="6" t="s">
        <v>44</v>
      </c>
      <c r="D17" s="6" t="s">
        <v>44</v>
      </c>
      <c r="E17" s="8"/>
      <c r="F17" s="3"/>
      <c r="G17" s="85">
        <v>400</v>
      </c>
      <c r="H17" s="34">
        <v>5000</v>
      </c>
      <c r="I17" s="34">
        <v>5400</v>
      </c>
      <c r="J17" s="34">
        <v>5400</v>
      </c>
      <c r="K17" s="6"/>
      <c r="L17" s="8"/>
      <c r="M17" s="8"/>
      <c r="N17" s="8"/>
    </row>
    <row r="18" spans="1:14" x14ac:dyDescent="0.25">
      <c r="A18" s="57" t="s">
        <v>45</v>
      </c>
      <c r="B18" s="8">
        <v>3</v>
      </c>
      <c r="C18" s="6" t="s">
        <v>42</v>
      </c>
      <c r="D18" s="6" t="s">
        <v>42</v>
      </c>
      <c r="E18" s="8"/>
      <c r="F18" s="3"/>
      <c r="G18" s="85">
        <v>400</v>
      </c>
      <c r="H18" s="34">
        <v>2500</v>
      </c>
      <c r="I18" s="34">
        <v>2900</v>
      </c>
      <c r="J18" s="34">
        <v>2900</v>
      </c>
      <c r="K18" s="6"/>
      <c r="L18" s="8"/>
      <c r="M18" s="11"/>
      <c r="N18" s="4"/>
    </row>
    <row r="19" spans="1:14" x14ac:dyDescent="0.25">
      <c r="A19" s="8" t="s">
        <v>46</v>
      </c>
      <c r="B19" s="8">
        <v>4</v>
      </c>
      <c r="C19" s="6" t="s">
        <v>42</v>
      </c>
      <c r="D19" s="6" t="s">
        <v>42</v>
      </c>
      <c r="E19" s="8"/>
      <c r="F19" s="3"/>
      <c r="G19" s="85">
        <v>200</v>
      </c>
      <c r="H19" s="34">
        <v>2500</v>
      </c>
      <c r="I19" s="34">
        <v>2700</v>
      </c>
      <c r="J19" s="34">
        <v>2700</v>
      </c>
      <c r="K19" s="6"/>
      <c r="L19" s="8"/>
      <c r="M19" s="11"/>
      <c r="N19" s="12"/>
    </row>
    <row r="20" spans="1:14" x14ac:dyDescent="0.25">
      <c r="A20" s="3"/>
      <c r="B20" s="24"/>
      <c r="C20" s="24"/>
      <c r="D20" s="24"/>
      <c r="E20" s="24"/>
      <c r="F20" s="24"/>
      <c r="G20" s="35">
        <v>3200</v>
      </c>
      <c r="H20" s="35">
        <f>SUM(H8:H19)</f>
        <v>44500</v>
      </c>
      <c r="I20" s="35">
        <f>SUM(I8:I19)</f>
        <v>47700</v>
      </c>
      <c r="J20" s="35">
        <f>SUM(J8:J19)</f>
        <v>43700</v>
      </c>
      <c r="K20" s="24"/>
      <c r="L20" s="24"/>
      <c r="M20" s="82" t="s">
        <v>34</v>
      </c>
      <c r="N20" s="3">
        <v>4000</v>
      </c>
    </row>
    <row r="21" spans="1:14" x14ac:dyDescent="0.25">
      <c r="A21" s="56" t="s">
        <v>30</v>
      </c>
      <c r="B21" s="1"/>
      <c r="C21" s="1"/>
      <c r="D21" s="1"/>
      <c r="E21" s="1"/>
      <c r="F21" s="1"/>
      <c r="G21" s="1"/>
      <c r="H21" s="1"/>
      <c r="I21" s="37">
        <f>SUM(I8:I19)</f>
        <v>47700</v>
      </c>
      <c r="J21" s="1"/>
      <c r="K21" s="1"/>
      <c r="L21" s="1"/>
      <c r="M21" s="1"/>
      <c r="N21" s="1"/>
    </row>
    <row r="22" spans="1:14" x14ac:dyDescent="0.25">
      <c r="A22" s="2" t="s">
        <v>17</v>
      </c>
      <c r="B22" s="1"/>
      <c r="C22" s="1"/>
      <c r="D22" s="36">
        <f>SUM(H20)</f>
        <v>44500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50</v>
      </c>
      <c r="B23" s="2"/>
      <c r="C23" s="38"/>
      <c r="D23" s="41">
        <v>1700</v>
      </c>
      <c r="E23" s="26"/>
      <c r="F23" s="1"/>
      <c r="G23" s="1" t="s">
        <v>60</v>
      </c>
      <c r="H23" s="1"/>
      <c r="I23" s="37">
        <f>SUM(D22-D29+D23)</f>
        <v>27585</v>
      </c>
      <c r="J23" s="1"/>
      <c r="K23" s="1"/>
      <c r="L23" s="1"/>
      <c r="M23" s="1"/>
      <c r="N23" s="1"/>
    </row>
    <row r="24" spans="1:14" x14ac:dyDescent="0.25">
      <c r="A24" s="2"/>
      <c r="B24" s="2"/>
      <c r="C24" s="38"/>
      <c r="D24" s="41"/>
      <c r="E24" s="26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52</v>
      </c>
      <c r="B25" s="2"/>
      <c r="C25" s="38"/>
      <c r="D25" s="41">
        <f>SUM(D22:D24)</f>
        <v>46200</v>
      </c>
      <c r="E25" s="26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45" t="s">
        <v>29</v>
      </c>
      <c r="B26" s="2"/>
      <c r="C26" s="38"/>
      <c r="D26" s="38"/>
      <c r="E26" s="26"/>
      <c r="F26" s="1"/>
      <c r="G26" s="1"/>
      <c r="H26" s="52"/>
      <c r="I26" s="1"/>
      <c r="J26" s="53"/>
      <c r="K26" s="1"/>
      <c r="L26" s="1"/>
      <c r="M26" s="1"/>
      <c r="N26" s="1"/>
    </row>
    <row r="27" spans="1:14" x14ac:dyDescent="0.25">
      <c r="A27" s="2" t="s">
        <v>26</v>
      </c>
      <c r="B27" s="2"/>
      <c r="C27" s="38"/>
      <c r="D27" s="40">
        <f>SUM(D22*7%)</f>
        <v>3115.0000000000005</v>
      </c>
      <c r="E27" s="26"/>
      <c r="F27" s="1"/>
      <c r="G27" s="1"/>
      <c r="H27" s="53"/>
      <c r="I27" s="53"/>
      <c r="J27" s="1"/>
      <c r="K27" s="1"/>
      <c r="L27" s="1"/>
      <c r="M27" s="1"/>
      <c r="N27" s="1"/>
    </row>
    <row r="28" spans="1:14" x14ac:dyDescent="0.25">
      <c r="A28" s="2" t="s">
        <v>59</v>
      </c>
      <c r="B28" s="2"/>
      <c r="C28" s="38"/>
      <c r="D28" s="42">
        <f>SUM(H11+H12+H16+H18+H19)</f>
        <v>15500</v>
      </c>
      <c r="E28" s="27"/>
      <c r="F28" s="1"/>
      <c r="G28" s="1"/>
      <c r="H28" s="2"/>
      <c r="I28" s="53"/>
      <c r="J28" s="1"/>
      <c r="K28" s="1"/>
      <c r="L28" s="1"/>
      <c r="M28" s="1"/>
      <c r="N28" s="1"/>
    </row>
    <row r="29" spans="1:14" ht="18.75" x14ac:dyDescent="0.3">
      <c r="A29" s="55" t="s">
        <v>27</v>
      </c>
      <c r="B29" s="2"/>
      <c r="C29" s="2"/>
      <c r="D29" s="81">
        <f>SUM(D27:D28)</f>
        <v>18615</v>
      </c>
      <c r="E29" s="25"/>
      <c r="F29" s="1"/>
      <c r="G29" s="37"/>
      <c r="H29" s="53"/>
      <c r="I29" s="53"/>
      <c r="J29" s="1"/>
      <c r="K29" s="1"/>
      <c r="L29" s="1"/>
      <c r="M29" s="13"/>
      <c r="N29" s="1"/>
    </row>
    <row r="30" spans="1:14" x14ac:dyDescent="0.25">
      <c r="A30" s="28"/>
      <c r="B30" s="29"/>
      <c r="C30" s="1"/>
      <c r="D30" s="1"/>
      <c r="E30" s="1"/>
      <c r="F30" s="28"/>
      <c r="G30" s="28"/>
      <c r="H30" s="28"/>
      <c r="I30" s="28"/>
      <c r="J30" s="28"/>
      <c r="K30" s="1"/>
      <c r="L30" s="1"/>
      <c r="M30" s="1"/>
      <c r="N30" s="1"/>
    </row>
    <row r="31" spans="1:14" x14ac:dyDescent="0.25">
      <c r="A31" s="28"/>
      <c r="B31" s="29" t="s">
        <v>18</v>
      </c>
      <c r="C31" s="1"/>
      <c r="D31" s="1"/>
      <c r="E31" s="1"/>
      <c r="F31" s="28" t="s">
        <v>19</v>
      </c>
      <c r="G31" s="28"/>
      <c r="H31" s="28"/>
      <c r="I31" s="28" t="s">
        <v>20</v>
      </c>
      <c r="J31" s="28"/>
      <c r="K31" s="1"/>
      <c r="L31" s="1"/>
      <c r="M31" s="1"/>
      <c r="N31" s="1"/>
    </row>
    <row r="32" spans="1:14" x14ac:dyDescent="0.25">
      <c r="A32" s="28"/>
      <c r="B32" s="28"/>
      <c r="C32" s="1"/>
      <c r="D32" s="1"/>
      <c r="E32" s="1"/>
      <c r="F32" s="28"/>
      <c r="G32" s="28"/>
      <c r="H32" s="28"/>
      <c r="I32" s="28"/>
      <c r="J32" s="28"/>
      <c r="K32" s="1"/>
      <c r="L32" s="1"/>
      <c r="M32" s="1"/>
      <c r="N32" s="1"/>
    </row>
    <row r="33" spans="1:14" x14ac:dyDescent="0.25">
      <c r="A33" s="28"/>
      <c r="B33" s="28" t="s">
        <v>21</v>
      </c>
      <c r="C33" s="1"/>
      <c r="D33" s="1"/>
      <c r="E33" s="1"/>
      <c r="F33" s="28" t="s">
        <v>22</v>
      </c>
      <c r="G33" s="28"/>
      <c r="H33" s="28"/>
      <c r="I33" s="28" t="s">
        <v>53</v>
      </c>
      <c r="J33" s="28"/>
      <c r="K33" s="1"/>
      <c r="L33" s="1"/>
      <c r="M33" s="1"/>
      <c r="N33" s="1"/>
    </row>
    <row r="34" spans="1:14" x14ac:dyDescent="0.25">
      <c r="A34" s="30" t="s">
        <v>23</v>
      </c>
      <c r="B34" s="28" t="s">
        <v>24</v>
      </c>
      <c r="C34" s="1"/>
      <c r="D34" s="1"/>
      <c r="E34" s="1"/>
      <c r="F34" s="28" t="s">
        <v>24</v>
      </c>
      <c r="G34" s="28"/>
      <c r="H34" s="28"/>
      <c r="I34" s="28" t="s">
        <v>25</v>
      </c>
      <c r="J34" s="28"/>
      <c r="K34" s="1"/>
      <c r="L34" s="1"/>
      <c r="M34" s="1"/>
      <c r="N34" s="1"/>
    </row>
    <row r="35" spans="1:14" x14ac:dyDescent="0.25">
      <c r="A35" s="28"/>
      <c r="B35" s="29"/>
      <c r="C35" s="1"/>
      <c r="D35" s="1"/>
      <c r="E35" s="1"/>
      <c r="F35" s="28"/>
      <c r="G35" s="28"/>
      <c r="H35" s="28"/>
      <c r="I35" s="28"/>
      <c r="J35" s="28"/>
      <c r="K35" s="1"/>
      <c r="L35" s="1"/>
      <c r="M35" s="1"/>
      <c r="N35" s="1"/>
    </row>
  </sheetData>
  <pageMargins left="0.7" right="0.7" top="0.75" bottom="0.75" header="0.3" footer="0.3"/>
  <pageSetup orientation="landscape" horizontalDpi="0" verticalDpi="0" r:id="rId1"/>
  <ignoredErrors>
    <ignoredError sqref="M14:M20 C8:D1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workbookViewId="0">
      <selection activeCell="I11" sqref="I11"/>
    </sheetView>
  </sheetViews>
  <sheetFormatPr defaultRowHeight="15" x14ac:dyDescent="0.25"/>
  <cols>
    <col min="1" max="1" width="12.85546875" customWidth="1"/>
    <col min="2" max="2" width="3.140625" customWidth="1"/>
    <col min="3" max="3" width="7.5703125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96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700</v>
      </c>
      <c r="K5" s="7">
        <v>4700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11000</v>
      </c>
      <c r="F6" s="74">
        <v>500</v>
      </c>
      <c r="G6" s="33">
        <v>4000</v>
      </c>
      <c r="H6" s="33">
        <f>SUM(E6:G6)</f>
        <v>15500</v>
      </c>
      <c r="I6" s="33"/>
      <c r="J6" s="7"/>
      <c r="K6" s="7"/>
      <c r="L6" s="6"/>
      <c r="M6" s="7">
        <f>SUM(H6-K6)</f>
        <v>15500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4300</v>
      </c>
      <c r="I8" s="7"/>
      <c r="J8" s="7"/>
      <c r="K8" s="7"/>
      <c r="L8" s="6"/>
      <c r="M8" s="7">
        <v>100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4200</v>
      </c>
      <c r="F9" s="74">
        <v>300</v>
      </c>
      <c r="G9" s="7">
        <v>4000</v>
      </c>
      <c r="H9" s="7">
        <f>SUM(E9:G9)</f>
        <v>8500</v>
      </c>
      <c r="I9" s="7">
        <v>3600</v>
      </c>
      <c r="J9" s="7"/>
      <c r="K9" s="7"/>
      <c r="L9" s="10"/>
      <c r="M9" s="64">
        <f>SUM(H9-I9)</f>
        <v>4900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4500</v>
      </c>
      <c r="I10" s="7">
        <v>3000</v>
      </c>
      <c r="J10" s="7"/>
      <c r="K10" s="7">
        <v>3000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>
        <v>4000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600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3500</v>
      </c>
      <c r="G17" s="71">
        <f t="shared" si="0"/>
        <v>44500</v>
      </c>
      <c r="H17" s="71">
        <f t="shared" si="0"/>
        <v>76800</v>
      </c>
      <c r="I17" s="71">
        <f t="shared" si="0"/>
        <v>35100</v>
      </c>
      <c r="J17" s="78">
        <f t="shared" si="0"/>
        <v>2300</v>
      </c>
      <c r="K17" s="78">
        <f t="shared" si="0"/>
        <v>29700</v>
      </c>
      <c r="L17" s="69"/>
      <c r="M17" s="78">
        <f>SUM(M5:M16)</f>
        <v>35400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35100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2300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37400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2457.0000000000005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34943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37400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tabSelected="1" topLeftCell="A4" workbookViewId="0">
      <selection activeCell="H7" sqref="H7"/>
    </sheetView>
  </sheetViews>
  <sheetFormatPr defaultRowHeight="15" x14ac:dyDescent="0.25"/>
  <cols>
    <col min="1" max="1" width="20.140625" style="173" customWidth="1"/>
    <col min="2" max="3" width="9.140625" style="173"/>
    <col min="4" max="4" width="12.140625" style="173" customWidth="1"/>
    <col min="5" max="5" width="9.140625" style="173"/>
    <col min="6" max="6" width="14.140625" style="173" customWidth="1"/>
    <col min="7" max="16384" width="9.140625" style="173"/>
  </cols>
  <sheetData>
    <row r="2" spans="1:10" ht="15.75" x14ac:dyDescent="0.25">
      <c r="B2" s="95"/>
      <c r="D2" s="403" t="s">
        <v>105</v>
      </c>
      <c r="E2" s="403"/>
      <c r="F2" s="403"/>
      <c r="G2" s="211" t="s">
        <v>273</v>
      </c>
    </row>
    <row r="3" spans="1:10" x14ac:dyDescent="0.25">
      <c r="A3" s="66"/>
      <c r="D3" s="402" t="s">
        <v>293</v>
      </c>
      <c r="E3" s="402"/>
      <c r="F3" s="402"/>
      <c r="G3" s="249" t="s">
        <v>312</v>
      </c>
    </row>
    <row r="4" spans="1:10" x14ac:dyDescent="0.25">
      <c r="D4" s="401" t="s">
        <v>761</v>
      </c>
      <c r="E4" s="401"/>
      <c r="F4" s="401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'OCTOBER 21'!I6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'OCTOBER 21'!I7</f>
        <v>3000</v>
      </c>
      <c r="E7" s="277"/>
      <c r="F7" s="278">
        <v>6000</v>
      </c>
      <c r="G7" s="263">
        <f t="shared" ref="G7:G18" si="0">F7+D7</f>
        <v>9000</v>
      </c>
      <c r="H7" s="264"/>
      <c r="I7" s="263">
        <f t="shared" ref="I7:I18" si="1">G7-H7</f>
        <v>9000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'OCTOBER 21'!I8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'OCTOBER 21'!I9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'OCTOBER 21'!I10</f>
        <v>8</v>
      </c>
      <c r="E10" s="276"/>
      <c r="F10" s="278">
        <v>4500</v>
      </c>
      <c r="G10" s="263">
        <f t="shared" si="0"/>
        <v>4508</v>
      </c>
      <c r="H10" s="264">
        <f>2000+2500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'OCTOBER 21'!I11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'OCTOBER 21'!I12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'OCTOBER 21'!I13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'OCTOBER 21'!I14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'OCTOBER 21'!I15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'OCTOBER 21'!I16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'OCTOBER 21'!I17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'OCTOBER 21'!I18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10508</v>
      </c>
      <c r="E19" s="281">
        <f t="shared" si="2"/>
        <v>0</v>
      </c>
      <c r="F19" s="281">
        <f t="shared" si="2"/>
        <v>48500</v>
      </c>
      <c r="G19" s="282">
        <f t="shared" si="2"/>
        <v>59008</v>
      </c>
      <c r="H19" s="266">
        <f>SUM(H6:H18)</f>
        <v>39500</v>
      </c>
      <c r="I19" s="366">
        <f t="shared" si="2"/>
        <v>19508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B21" s="344"/>
      <c r="C21" s="345"/>
      <c r="D21" s="249" t="s">
        <v>317</v>
      </c>
      <c r="E21" s="347"/>
      <c r="F21" s="348"/>
      <c r="G21" s="347"/>
      <c r="I21" s="262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491</v>
      </c>
      <c r="B24" s="350">
        <f>F19</f>
        <v>48500</v>
      </c>
      <c r="C24" s="201"/>
      <c r="D24" s="201"/>
      <c r="E24" s="201" t="s">
        <v>491</v>
      </c>
      <c r="F24" s="350">
        <f>H19</f>
        <v>39500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'OCTOBER 21'!D36</f>
        <v>-6492</v>
      </c>
      <c r="C25" s="201"/>
      <c r="D25" s="201"/>
      <c r="E25" s="201" t="s">
        <v>147</v>
      </c>
      <c r="F25" s="350">
        <f>'OCTOBER 21'!H36</f>
        <v>-17000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/>
      <c r="B31" s="3"/>
      <c r="C31" s="247"/>
      <c r="D31" s="3"/>
      <c r="E31" s="353"/>
      <c r="F31" s="3"/>
      <c r="G31" s="247"/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 t="s">
        <v>766</v>
      </c>
      <c r="B34" s="201"/>
      <c r="C34" s="321">
        <v>34100</v>
      </c>
      <c r="D34" s="201"/>
      <c r="E34" s="354" t="s">
        <v>766</v>
      </c>
      <c r="F34" s="201"/>
      <c r="G34" s="321">
        <v>34100</v>
      </c>
      <c r="H34" s="201"/>
      <c r="I34" s="292"/>
      <c r="J34" s="17"/>
    </row>
    <row r="35" spans="1:10" x14ac:dyDescent="0.25">
      <c r="A35" s="353" t="s">
        <v>768</v>
      </c>
      <c r="B35" s="3"/>
      <c r="C35" s="372">
        <v>2500</v>
      </c>
      <c r="D35" s="201"/>
      <c r="E35" s="353" t="s">
        <v>768</v>
      </c>
      <c r="F35" s="3"/>
      <c r="G35" s="372">
        <v>2500</v>
      </c>
      <c r="H35" s="201"/>
      <c r="I35" s="292"/>
      <c r="J35" s="17"/>
    </row>
    <row r="36" spans="1:10" x14ac:dyDescent="0.25">
      <c r="A36" s="363" t="s">
        <v>62</v>
      </c>
      <c r="B36" s="364">
        <f>B24+B25+B28-C27</f>
        <v>38613</v>
      </c>
      <c r="C36" s="364">
        <f>SUM(C29:C35)</f>
        <v>47600</v>
      </c>
      <c r="D36" s="364">
        <f>B36-C36</f>
        <v>-8987</v>
      </c>
      <c r="E36" s="363" t="s">
        <v>62</v>
      </c>
      <c r="F36" s="364">
        <f>F24++F25+F26-G27</f>
        <v>19105</v>
      </c>
      <c r="G36" s="364">
        <f>SUM(G29:G35)</f>
        <v>47600</v>
      </c>
      <c r="H36" s="365">
        <f>F36-G36</f>
        <v>-28495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'OCTOBER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'OCTOBER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3">
        <f>'OCTOBER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'OCTOBER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148"/>
      <c r="B52" s="148" t="s">
        <v>604</v>
      </c>
      <c r="C52" s="148"/>
      <c r="D52" s="148"/>
      <c r="E52" s="148"/>
      <c r="F52" s="148">
        <f t="shared" si="3"/>
        <v>0</v>
      </c>
      <c r="G52" s="148"/>
      <c r="H52" s="148">
        <f t="shared" si="4"/>
        <v>0</v>
      </c>
      <c r="I52" s="148"/>
      <c r="J52" s="148"/>
      <c r="K52" s="91"/>
    </row>
    <row r="53" spans="1:11" x14ac:dyDescent="0.25">
      <c r="A53" s="3" t="s">
        <v>480</v>
      </c>
      <c r="B53" s="3" t="s">
        <v>605</v>
      </c>
      <c r="C53" s="3"/>
      <c r="D53" s="3">
        <f>'OCTOBER 21'!H53:H81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'OCTOBER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'OCTOBER 21'!H55:H83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'OCTOBER 21'!H56:H84</f>
        <v>2000</v>
      </c>
      <c r="E56" s="363">
        <v>8000</v>
      </c>
      <c r="F56" s="3">
        <f t="shared" si="3"/>
        <v>10000</v>
      </c>
      <c r="G56" s="363">
        <v>7000</v>
      </c>
      <c r="H56" s="3">
        <f>F56-G56</f>
        <v>3000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'OCTOBER 21'!H57:H85</f>
        <v>3000</v>
      </c>
      <c r="E57" s="3">
        <v>8500</v>
      </c>
      <c r="F57" s="3">
        <f t="shared" si="3"/>
        <v>11500</v>
      </c>
      <c r="G57" s="3">
        <f>600+2000+8900</f>
        <v>11500</v>
      </c>
      <c r="H57" s="3">
        <f t="shared" si="4"/>
        <v>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'OCTOBER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'OCTOBER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'OCTOBER 21'!H60:H88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765</v>
      </c>
      <c r="B61" s="3" t="s">
        <v>350</v>
      </c>
      <c r="C61" s="3"/>
      <c r="D61" s="3">
        <f>'OCTOBER 21'!H61:H89</f>
        <v>0</v>
      </c>
      <c r="E61" s="3">
        <v>8000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'OCTOBER 21'!H62:H90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'OCTOBER 21'!H63:H91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'OCTOBER 21'!H64:H92</f>
        <v>10500</v>
      </c>
      <c r="E64" s="3">
        <v>8500</v>
      </c>
      <c r="F64" s="3">
        <f t="shared" si="3"/>
        <v>19000</v>
      </c>
      <c r="G64" s="3">
        <f>8000+8500</f>
        <v>16500</v>
      </c>
      <c r="H64" s="3">
        <f t="shared" si="4"/>
        <v>2500</v>
      </c>
      <c r="I64" s="3"/>
      <c r="J64" s="3"/>
    </row>
    <row r="65" spans="1:12" x14ac:dyDescent="0.25">
      <c r="A65" s="3" t="s">
        <v>629</v>
      </c>
      <c r="B65" s="3" t="s">
        <v>354</v>
      </c>
      <c r="C65" s="3"/>
      <c r="D65" s="3">
        <f>'OCTOBER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2" x14ac:dyDescent="0.25">
      <c r="A66" s="3" t="s">
        <v>531</v>
      </c>
      <c r="B66" s="3" t="s">
        <v>355</v>
      </c>
      <c r="C66" s="3"/>
      <c r="D66" s="3">
        <f>'OCTOBER 21'!H66:H94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2" x14ac:dyDescent="0.25">
      <c r="A67" s="3" t="s">
        <v>516</v>
      </c>
      <c r="B67" s="3" t="s">
        <v>356</v>
      </c>
      <c r="C67" s="3"/>
      <c r="D67" s="3">
        <f>'OCTOBER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</row>
    <row r="68" spans="1:12" x14ac:dyDescent="0.25">
      <c r="A68" s="375" t="s">
        <v>664</v>
      </c>
      <c r="B68" s="375" t="s">
        <v>357</v>
      </c>
      <c r="C68" s="148"/>
      <c r="D68" s="3">
        <f>'OCTOBER 21'!H68:H96</f>
        <v>6000</v>
      </c>
      <c r="E68" s="3">
        <v>9000</v>
      </c>
      <c r="F68" s="3">
        <f t="shared" si="3"/>
        <v>15000</v>
      </c>
      <c r="G68" s="3">
        <v>10000</v>
      </c>
      <c r="H68" s="3">
        <f>F68-G68</f>
        <v>5000</v>
      </c>
      <c r="I68" s="3"/>
      <c r="J68" s="3"/>
    </row>
    <row r="69" spans="1:12" x14ac:dyDescent="0.25">
      <c r="A69" s="148" t="s">
        <v>419</v>
      </c>
      <c r="B69" s="3" t="s">
        <v>358</v>
      </c>
      <c r="C69" s="3"/>
      <c r="D69" s="3">
        <f>'OCTOBER 21'!H69:H97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91"/>
      <c r="L69" s="91"/>
    </row>
    <row r="70" spans="1:12" x14ac:dyDescent="0.25">
      <c r="A70" s="148" t="s">
        <v>698</v>
      </c>
      <c r="B70" s="375" t="s">
        <v>359</v>
      </c>
      <c r="C70" s="3"/>
      <c r="D70" s="3">
        <f>'OCTOBER 21'!H70:H98</f>
        <v>0</v>
      </c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'OCTOBER 21'!H71:H99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2" x14ac:dyDescent="0.25">
      <c r="A72" s="375" t="s">
        <v>764</v>
      </c>
      <c r="B72" s="375" t="s">
        <v>361</v>
      </c>
      <c r="C72" s="3"/>
      <c r="D72" s="3">
        <f>'OCTOBER 21'!H72:H100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2" x14ac:dyDescent="0.25">
      <c r="A73" s="375" t="s">
        <v>724</v>
      </c>
      <c r="B73" s="3" t="s">
        <v>362</v>
      </c>
      <c r="C73" s="3"/>
      <c r="D73" s="3">
        <f>'OCTOBER 21'!H73:H101</f>
        <v>1500</v>
      </c>
      <c r="E73" s="3">
        <v>8000</v>
      </c>
      <c r="F73" s="3">
        <f t="shared" si="3"/>
        <v>9500</v>
      </c>
      <c r="G73" s="3">
        <v>10000</v>
      </c>
      <c r="H73" s="3">
        <f>F73-G73</f>
        <v>-500</v>
      </c>
      <c r="I73" s="3"/>
      <c r="J73" s="3"/>
    </row>
    <row r="74" spans="1:12" x14ac:dyDescent="0.25">
      <c r="A74" s="375" t="s">
        <v>440</v>
      </c>
      <c r="B74" s="3" t="s">
        <v>363</v>
      </c>
      <c r="C74" s="3"/>
      <c r="D74" s="3">
        <f>'OCTOBER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2" x14ac:dyDescent="0.25">
      <c r="A75" s="375" t="s">
        <v>648</v>
      </c>
      <c r="B75" s="3" t="s">
        <v>364</v>
      </c>
      <c r="C75" s="3"/>
      <c r="D75" s="3">
        <f>'OCTOBER 21'!H75:H103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2" x14ac:dyDescent="0.25">
      <c r="A76" s="3"/>
      <c r="B76" s="3"/>
      <c r="C76" s="3"/>
      <c r="D76" s="3">
        <f>'OCTOBER 21'!H76:H104</f>
        <v>0</v>
      </c>
      <c r="E76" s="3"/>
      <c r="F76" s="3"/>
      <c r="G76" s="3"/>
      <c r="H76" s="3"/>
      <c r="I76" s="3"/>
      <c r="J76" s="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33400</v>
      </c>
      <c r="E77" s="343">
        <f>SUM(E48:E76)</f>
        <v>166000</v>
      </c>
      <c r="F77" s="343">
        <f>SUM(F48:F76)</f>
        <v>199400</v>
      </c>
      <c r="G77" s="343">
        <f>SUM(G48:G76)</f>
        <v>179000</v>
      </c>
      <c r="H77" s="343">
        <f t="shared" si="5"/>
        <v>20400</v>
      </c>
      <c r="I77" s="343">
        <f t="shared" si="5"/>
        <v>0</v>
      </c>
      <c r="J77" s="3">
        <f>SUM(J48:J76)</f>
        <v>0</v>
      </c>
    </row>
    <row r="78" spans="1:12" x14ac:dyDescent="0.25">
      <c r="D78" s="3"/>
      <c r="G78" s="347"/>
    </row>
    <row r="79" spans="1:12" x14ac:dyDescent="0.25">
      <c r="A79" s="91" t="s">
        <v>317</v>
      </c>
      <c r="B79" s="344"/>
      <c r="C79" s="345"/>
      <c r="D79" s="3"/>
      <c r="E79" s="347"/>
      <c r="F79" s="348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</row>
    <row r="82" spans="1:12" x14ac:dyDescent="0.25">
      <c r="A82" s="201" t="s">
        <v>481</v>
      </c>
      <c r="B82" s="350">
        <f>E77</f>
        <v>166000</v>
      </c>
      <c r="C82" s="201"/>
      <c r="D82" s="201"/>
      <c r="E82" s="201" t="s">
        <v>481</v>
      </c>
      <c r="F82" s="350">
        <f>G77</f>
        <v>179000</v>
      </c>
      <c r="G82" s="201"/>
      <c r="H82" s="201"/>
      <c r="J82" s="377"/>
    </row>
    <row r="83" spans="1:12" x14ac:dyDescent="0.25">
      <c r="A83" s="201" t="s">
        <v>147</v>
      </c>
      <c r="B83" s="350">
        <f>'OCTOBER 21'!D95</f>
        <v>-11194</v>
      </c>
      <c r="C83" s="201"/>
      <c r="D83" s="201"/>
      <c r="E83" s="201" t="s">
        <v>147</v>
      </c>
      <c r="F83" s="350">
        <f>'OCTOBER 21'!H95</f>
        <v>-67094</v>
      </c>
      <c r="G83" s="201"/>
      <c r="H83" s="201"/>
      <c r="J83" s="148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J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J85" s="148"/>
    </row>
    <row r="86" spans="1:12" x14ac:dyDescent="0.25">
      <c r="A86" s="201" t="s">
        <v>390</v>
      </c>
      <c r="B86" s="358">
        <v>4.4999999999999998E-2</v>
      </c>
      <c r="C86" s="350">
        <f>B86*B82</f>
        <v>7470</v>
      </c>
      <c r="D86" s="201"/>
      <c r="E86" s="201" t="s">
        <v>390</v>
      </c>
      <c r="F86" s="359">
        <v>4.4999999999999998E-2</v>
      </c>
      <c r="G86" s="350">
        <f>C86</f>
        <v>7470</v>
      </c>
      <c r="H86" s="201"/>
      <c r="J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J87" s="148"/>
    </row>
    <row r="88" spans="1:12" x14ac:dyDescent="0.25">
      <c r="A88" s="85" t="s">
        <v>762</v>
      </c>
      <c r="B88" s="85"/>
      <c r="C88" s="384">
        <v>50105</v>
      </c>
      <c r="D88" s="85"/>
      <c r="E88" s="85" t="s">
        <v>762</v>
      </c>
      <c r="F88" s="85"/>
      <c r="G88" s="384">
        <v>50105</v>
      </c>
      <c r="H88" s="85"/>
      <c r="J88" s="378"/>
    </row>
    <row r="89" spans="1:12" x14ac:dyDescent="0.25">
      <c r="A89" s="388" t="s">
        <v>494</v>
      </c>
      <c r="B89" s="369"/>
      <c r="C89" s="85">
        <v>97231</v>
      </c>
      <c r="D89" s="384"/>
      <c r="E89" s="388" t="s">
        <v>494</v>
      </c>
      <c r="F89" s="369"/>
      <c r="G89" s="85">
        <v>97231</v>
      </c>
      <c r="H89" s="85"/>
      <c r="J89" s="379"/>
    </row>
    <row r="90" spans="1:12" x14ac:dyDescent="0.25">
      <c r="A90" s="3" t="s">
        <v>675</v>
      </c>
      <c r="B90" s="3"/>
      <c r="C90" s="385">
        <v>8500</v>
      </c>
      <c r="D90" s="3"/>
      <c r="E90" s="3" t="s">
        <v>675</v>
      </c>
      <c r="F90" s="3"/>
      <c r="G90" s="385">
        <v>8500</v>
      </c>
      <c r="H90" s="85"/>
      <c r="J90" s="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L91" s="362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J94" s="364"/>
    </row>
    <row r="95" spans="1:12" x14ac:dyDescent="0.25">
      <c r="A95" s="369"/>
      <c r="B95" s="384">
        <f>B82+B83+B85+B84-C86</f>
        <v>147336</v>
      </c>
      <c r="C95" s="384">
        <f>SUM(C88:C94)</f>
        <v>155836</v>
      </c>
      <c r="D95" s="384">
        <f>B95-C95</f>
        <v>-8500</v>
      </c>
      <c r="E95" s="369"/>
      <c r="F95" s="384">
        <f>F82+F83+F84-G86</f>
        <v>104436</v>
      </c>
      <c r="G95" s="384">
        <f>SUM(G88:G94)</f>
        <v>155836</v>
      </c>
      <c r="H95" s="384">
        <f>F95-G95</f>
        <v>-51400</v>
      </c>
      <c r="I95" s="362"/>
      <c r="J95" s="364"/>
    </row>
    <row r="104" spans="6:6" x14ac:dyDescent="0.25">
      <c r="F104" s="173">
        <f>92456+85000+14520+17500+6000+5000</f>
        <v>220476</v>
      </c>
    </row>
  </sheetData>
  <mergeCells count="3">
    <mergeCell ref="D4:F4"/>
    <mergeCell ref="D3:F3"/>
    <mergeCell ref="D2:F2"/>
  </mergeCells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31" sqref="A31"/>
    </sheetView>
  </sheetViews>
  <sheetFormatPr defaultRowHeight="15" x14ac:dyDescent="0.25"/>
  <cols>
    <col min="1" max="1" width="19.85546875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403" t="s">
        <v>105</v>
      </c>
      <c r="E2" s="403"/>
      <c r="F2" s="403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402" t="s">
        <v>293</v>
      </c>
      <c r="E3" s="402"/>
      <c r="F3" s="402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401" t="s">
        <v>769</v>
      </c>
      <c r="E4" s="401"/>
      <c r="F4" s="401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760</v>
      </c>
      <c r="B6" s="274">
        <v>1</v>
      </c>
      <c r="C6" s="387"/>
      <c r="D6" s="276">
        <f>'NOVEMBER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'NOVEMBER 21'!I7:I19</f>
        <v>9000</v>
      </c>
      <c r="E7" s="277"/>
      <c r="F7" s="278"/>
      <c r="G7" s="263">
        <f t="shared" ref="G7:G18" si="0">F7+D7</f>
        <v>9000</v>
      </c>
      <c r="H7" s="264"/>
      <c r="I7" s="263">
        <f t="shared" ref="I7:I18" si="1">G7-H7</f>
        <v>9000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'NOVEMBER 21'!I8:I20</f>
        <v>0</v>
      </c>
      <c r="E8" s="276"/>
      <c r="F8" s="278">
        <v>4500</v>
      </c>
      <c r="G8" s="263">
        <f>F8+D8</f>
        <v>4500</v>
      </c>
      <c r="H8" s="264"/>
      <c r="I8" s="263">
        <f t="shared" si="1"/>
        <v>4500</v>
      </c>
      <c r="J8" s="17"/>
      <c r="K8" s="173"/>
      <c r="L8" s="173"/>
    </row>
    <row r="9" spans="1:12" x14ac:dyDescent="0.25">
      <c r="A9" s="389" t="s">
        <v>756</v>
      </c>
      <c r="B9" s="395">
        <v>4</v>
      </c>
      <c r="C9" s="396"/>
      <c r="D9" s="276">
        <f>'NOVEMBER 21'!I9:I21</f>
        <v>0</v>
      </c>
      <c r="E9" s="278"/>
      <c r="F9" s="278">
        <v>4500</v>
      </c>
      <c r="G9" s="398">
        <f t="shared" si="0"/>
        <v>4500</v>
      </c>
      <c r="H9" s="264"/>
      <c r="I9" s="398">
        <f t="shared" si="1"/>
        <v>4500</v>
      </c>
      <c r="J9" s="394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'NOVEMBER 21'!I10:I22</f>
        <v>8</v>
      </c>
      <c r="E10" s="276"/>
      <c r="F10" s="278">
        <v>4500</v>
      </c>
      <c r="G10" s="263">
        <f t="shared" si="0"/>
        <v>4508</v>
      </c>
      <c r="H10" s="264"/>
      <c r="I10" s="263">
        <f t="shared" si="1"/>
        <v>4508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f>'NOVEMBER 21'!I11:I23</f>
        <v>7500</v>
      </c>
      <c r="E11" s="276"/>
      <c r="F11" s="278">
        <v>4500</v>
      </c>
      <c r="G11" s="263">
        <f t="shared" si="0"/>
        <v>12000</v>
      </c>
      <c r="H11" s="264"/>
      <c r="I11" s="263">
        <f t="shared" si="1"/>
        <v>12000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'NOVEMBER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'NOVEMBER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'NOVEMBER 21'!I14:I26</f>
        <v>0</v>
      </c>
      <c r="E14" s="276"/>
      <c r="F14" s="278">
        <v>3000</v>
      </c>
      <c r="G14" s="263">
        <f t="shared" si="0"/>
        <v>3000</v>
      </c>
      <c r="H14" s="264"/>
      <c r="I14" s="263">
        <f t="shared" si="1"/>
        <v>3000</v>
      </c>
      <c r="J14" s="17" t="s">
        <v>750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'NOVEMBER 21'!I15:I27</f>
        <v>3000</v>
      </c>
      <c r="E15" s="276"/>
      <c r="F15" s="278">
        <v>3000</v>
      </c>
      <c r="G15" s="263">
        <f>F15+D15</f>
        <v>6000</v>
      </c>
      <c r="H15" s="264"/>
      <c r="I15" s="263">
        <f t="shared" si="1"/>
        <v>6000</v>
      </c>
      <c r="J15" s="17"/>
      <c r="K15" s="173"/>
      <c r="L15" s="173"/>
    </row>
    <row r="16" spans="1:12" x14ac:dyDescent="0.25">
      <c r="A16" s="389" t="s">
        <v>745</v>
      </c>
      <c r="B16" s="274">
        <v>3</v>
      </c>
      <c r="C16" s="265"/>
      <c r="D16" s="276">
        <f>'NOVEMBER 21'!I16:I28</f>
        <v>0</v>
      </c>
      <c r="E16" s="276"/>
      <c r="F16" s="278">
        <v>3500</v>
      </c>
      <c r="G16" s="263">
        <f>F16+D16</f>
        <v>3500</v>
      </c>
      <c r="H16" s="264"/>
      <c r="I16" s="263">
        <f>G16-H16</f>
        <v>3500</v>
      </c>
      <c r="J16" s="17" t="s">
        <v>750</v>
      </c>
      <c r="K16" s="173"/>
      <c r="L16" s="173"/>
    </row>
    <row r="17" spans="1:12" x14ac:dyDescent="0.25">
      <c r="A17" s="273"/>
      <c r="B17" s="274">
        <v>4</v>
      </c>
      <c r="C17" s="265"/>
      <c r="D17" s="276">
        <f>'NOVEMBER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'NOVEMBER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G19" si="2">SUM(C6:C18)</f>
        <v>0</v>
      </c>
      <c r="D19" s="276">
        <f>SUM(D6:D18)</f>
        <v>19508</v>
      </c>
      <c r="E19" s="281">
        <f t="shared" si="2"/>
        <v>0</v>
      </c>
      <c r="F19" s="281">
        <f t="shared" si="2"/>
        <v>42500</v>
      </c>
      <c r="G19" s="282">
        <f t="shared" si="2"/>
        <v>62008</v>
      </c>
      <c r="H19" s="266">
        <f>SUM(H6:H18)</f>
        <v>15000</v>
      </c>
      <c r="I19" s="366">
        <f>SUM(I6:I18)</f>
        <v>47008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497</v>
      </c>
      <c r="B24" s="350">
        <f>F19</f>
        <v>42500</v>
      </c>
      <c r="C24" s="201"/>
      <c r="D24" s="201"/>
      <c r="E24" s="201" t="s">
        <v>497</v>
      </c>
      <c r="F24" s="350">
        <f>H19</f>
        <v>15000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'NOVEMBER 21'!D36</f>
        <v>-8987</v>
      </c>
      <c r="C25" s="201"/>
      <c r="D25" s="201"/>
      <c r="E25" s="201" t="s">
        <v>147</v>
      </c>
      <c r="F25" s="350">
        <f>'NOVEMBER 21'!H36</f>
        <v>-28495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2975.0000000000005</v>
      </c>
      <c r="D27" s="201"/>
      <c r="E27" s="201" t="s">
        <v>390</v>
      </c>
      <c r="F27" s="351">
        <v>7.0000000000000007E-2</v>
      </c>
      <c r="G27" s="350">
        <f>C27</f>
        <v>2975.0000000000005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  <c r="K30" s="173"/>
      <c r="L30" s="173"/>
    </row>
    <row r="31" spans="1:12" x14ac:dyDescent="0.25">
      <c r="A31" s="353"/>
      <c r="B31" s="3"/>
      <c r="C31" s="247"/>
      <c r="D31" s="3"/>
      <c r="E31" s="353"/>
      <c r="F31" s="3"/>
      <c r="G31" s="247"/>
      <c r="H31" s="201"/>
      <c r="I31" s="292"/>
      <c r="J31" s="17"/>
      <c r="K31" s="173"/>
      <c r="L31" s="173"/>
    </row>
    <row r="32" spans="1:12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/>
      <c r="B33" s="201"/>
      <c r="C33" s="321"/>
      <c r="D33" s="201"/>
      <c r="E33" s="354" t="s">
        <v>89</v>
      </c>
      <c r="F33" s="201"/>
      <c r="G33" s="321"/>
      <c r="H33" s="201"/>
      <c r="I33" s="292"/>
      <c r="J33" s="17"/>
      <c r="K33" s="173"/>
      <c r="L33" s="173"/>
    </row>
    <row r="34" spans="1:12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  <c r="K34" s="173"/>
      <c r="L34" s="173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173"/>
      <c r="L35" s="173"/>
    </row>
    <row r="36" spans="1:12" x14ac:dyDescent="0.25">
      <c r="A36" s="363" t="s">
        <v>62</v>
      </c>
      <c r="B36" s="364">
        <f>B24+B25+B28-C27</f>
        <v>30538</v>
      </c>
      <c r="C36" s="364">
        <f>SUM(C29:C35)</f>
        <v>4500</v>
      </c>
      <c r="D36" s="364">
        <f>B36-C36</f>
        <v>26038</v>
      </c>
      <c r="E36" s="363" t="s">
        <v>62</v>
      </c>
      <c r="F36" s="364">
        <f>F24++F25+F26-G27</f>
        <v>-16470</v>
      </c>
      <c r="G36" s="364">
        <f>SUM(G29:G35)</f>
        <v>4500</v>
      </c>
      <c r="H36" s="365">
        <f>F36-G36</f>
        <v>-20970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3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767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'NOVEMBER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749</v>
      </c>
      <c r="B49" s="3" t="s">
        <v>340</v>
      </c>
      <c r="C49" s="3"/>
      <c r="D49" s="3">
        <f>'NOVEMBER 21'!H49:H77</f>
        <v>0</v>
      </c>
      <c r="E49" s="3">
        <v>4000</v>
      </c>
      <c r="F49" s="3">
        <f t="shared" ref="F49:F75" si="3">C49+D49+E49</f>
        <v>4000</v>
      </c>
      <c r="G49" s="3"/>
      <c r="H49" s="3">
        <f>F49-G49</f>
        <v>4000</v>
      </c>
      <c r="I49" s="3"/>
      <c r="J49" s="3"/>
      <c r="K49" s="173"/>
      <c r="L49" s="173"/>
    </row>
    <row r="50" spans="1:12" x14ac:dyDescent="0.25">
      <c r="A50" s="148" t="s">
        <v>433</v>
      </c>
      <c r="B50" s="148" t="s">
        <v>341</v>
      </c>
      <c r="C50" s="148"/>
      <c r="D50" s="3">
        <f>'NOVEMBER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'NOVEMBER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148" t="s">
        <v>243</v>
      </c>
      <c r="B52" s="148" t="s">
        <v>604</v>
      </c>
      <c r="C52" s="148"/>
      <c r="D52" s="3">
        <f>'NOVEMBER 21'!H52:H80</f>
        <v>0</v>
      </c>
      <c r="E52" s="148">
        <v>5000</v>
      </c>
      <c r="F52" s="148">
        <f t="shared" si="3"/>
        <v>5000</v>
      </c>
      <c r="G52" s="148"/>
      <c r="H52" s="148">
        <f t="shared" si="4"/>
        <v>5000</v>
      </c>
      <c r="I52" s="148"/>
      <c r="J52" s="148"/>
      <c r="K52" s="91"/>
      <c r="L52" s="173"/>
    </row>
    <row r="53" spans="1:12" x14ac:dyDescent="0.25">
      <c r="A53" s="3" t="s">
        <v>480</v>
      </c>
      <c r="B53" s="3" t="s">
        <v>605</v>
      </c>
      <c r="C53" s="3"/>
      <c r="D53" s="3">
        <f>'NOVEMBER 21'!H53:H81</f>
        <v>0</v>
      </c>
      <c r="E53" s="3">
        <v>4000</v>
      </c>
      <c r="F53" s="3">
        <f t="shared" si="3"/>
        <v>4000</v>
      </c>
      <c r="G53" s="3"/>
      <c r="H53" s="3">
        <f t="shared" si="4"/>
        <v>4000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'NOVEMBER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'NOVEMBER 21'!H55:H83</f>
        <v>2000</v>
      </c>
      <c r="E55" s="3">
        <v>5000</v>
      </c>
      <c r="F55" s="3">
        <f t="shared" si="3"/>
        <v>7000</v>
      </c>
      <c r="G55" s="3"/>
      <c r="H55" s="3">
        <f t="shared" si="4"/>
        <v>7000</v>
      </c>
      <c r="I55" s="3"/>
      <c r="J55" s="3"/>
      <c r="K55" s="173"/>
      <c r="L55" s="173"/>
    </row>
    <row r="56" spans="1:12" x14ac:dyDescent="0.25">
      <c r="A56" s="363" t="s">
        <v>739</v>
      </c>
      <c r="B56" s="363" t="s">
        <v>345</v>
      </c>
      <c r="C56" s="361"/>
      <c r="D56" s="3">
        <f>'NOVEMBER 21'!H56:H84</f>
        <v>3000</v>
      </c>
      <c r="E56" s="363">
        <v>8000</v>
      </c>
      <c r="F56" s="3">
        <f t="shared" si="3"/>
        <v>11000</v>
      </c>
      <c r="G56" s="363"/>
      <c r="H56" s="3">
        <f>F56-G56</f>
        <v>11000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'NOVEMBER 21'!H57:H85</f>
        <v>0</v>
      </c>
      <c r="E57" s="3">
        <v>8500</v>
      </c>
      <c r="F57" s="3">
        <f t="shared" si="3"/>
        <v>8500</v>
      </c>
      <c r="G57" s="3"/>
      <c r="H57" s="3">
        <f t="shared" si="4"/>
        <v>8500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'NOVEMBER 21'!H58:H86</f>
        <v>0</v>
      </c>
      <c r="E58" s="3">
        <v>8000</v>
      </c>
      <c r="F58" s="3">
        <f t="shared" si="3"/>
        <v>8000</v>
      </c>
      <c r="G58" s="3"/>
      <c r="H58" s="3">
        <f t="shared" si="4"/>
        <v>8000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'NOVEMBER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375" t="s">
        <v>419</v>
      </c>
      <c r="B60" s="3" t="s">
        <v>349</v>
      </c>
      <c r="C60" s="3"/>
      <c r="D60" s="3">
        <f>'NOVEMBER 21'!H60:H88</f>
        <v>0</v>
      </c>
      <c r="E60" s="3">
        <v>7000</v>
      </c>
      <c r="F60" s="3">
        <f t="shared" si="3"/>
        <v>7000</v>
      </c>
      <c r="G60" s="3">
        <v>2500</v>
      </c>
      <c r="H60" s="3">
        <f>F60-G60</f>
        <v>4500</v>
      </c>
      <c r="I60" s="3"/>
      <c r="J60" s="3"/>
      <c r="K60" s="173" t="s">
        <v>770</v>
      </c>
      <c r="L60" s="173"/>
    </row>
    <row r="61" spans="1:12" x14ac:dyDescent="0.25">
      <c r="A61" s="400" t="s">
        <v>765</v>
      </c>
      <c r="B61" s="3" t="s">
        <v>350</v>
      </c>
      <c r="C61" s="3"/>
      <c r="D61" s="3">
        <f>'NOVEMBER 21'!H61:H89</f>
        <v>0</v>
      </c>
      <c r="E61" s="3">
        <v>8000</v>
      </c>
      <c r="F61" s="3">
        <f t="shared" si="3"/>
        <v>8000</v>
      </c>
      <c r="G61" s="367"/>
      <c r="H61" s="3">
        <f>F61-G61</f>
        <v>8000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'NOVEMBER 21'!H62:H90</f>
        <v>0</v>
      </c>
      <c r="E62" s="3">
        <v>9000</v>
      </c>
      <c r="F62" s="375">
        <f t="shared" si="3"/>
        <v>9000</v>
      </c>
      <c r="G62" s="3"/>
      <c r="H62" s="375">
        <f>F62-G62</f>
        <v>9000</v>
      </c>
      <c r="I62" s="3"/>
      <c r="J62" s="3"/>
      <c r="K62" s="173"/>
      <c r="L62" s="173"/>
    </row>
    <row r="63" spans="1:12" x14ac:dyDescent="0.25">
      <c r="A63" s="375" t="s">
        <v>736</v>
      </c>
      <c r="B63" s="3" t="s">
        <v>352</v>
      </c>
      <c r="C63" s="3"/>
      <c r="D63" s="3">
        <f>'NOVEMBER 21'!H63:H91</f>
        <v>0</v>
      </c>
      <c r="E63" s="3">
        <v>6000</v>
      </c>
      <c r="F63" s="3">
        <f t="shared" si="3"/>
        <v>6000</v>
      </c>
      <c r="G63" s="3"/>
      <c r="H63" s="3">
        <f t="shared" si="4"/>
        <v>6000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'NOVEMBER 21'!H64:H92</f>
        <v>2500</v>
      </c>
      <c r="E64" s="3">
        <v>8500</v>
      </c>
      <c r="F64" s="3">
        <f t="shared" si="3"/>
        <v>11000</v>
      </c>
      <c r="G64" s="3"/>
      <c r="H64" s="3">
        <f t="shared" si="4"/>
        <v>11000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'NOVEMBER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'NOVEMBER 21'!H66:H94</f>
        <v>0</v>
      </c>
      <c r="E66" s="3">
        <v>8000</v>
      </c>
      <c r="F66" s="3">
        <f t="shared" si="3"/>
        <v>8000</v>
      </c>
      <c r="G66" s="3"/>
      <c r="H66" s="3">
        <f t="shared" si="4"/>
        <v>8000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'NOVEMBER 21'!H67:H95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'NOVEMBER 21'!H68:H96</f>
        <v>5000</v>
      </c>
      <c r="E68" s="3">
        <v>9000</v>
      </c>
      <c r="F68" s="3">
        <f t="shared" si="3"/>
        <v>14000</v>
      </c>
      <c r="G68" s="3"/>
      <c r="H68" s="3">
        <f>F68-G68</f>
        <v>14000</v>
      </c>
      <c r="I68" s="3"/>
      <c r="J68" s="3"/>
      <c r="K68" s="173"/>
      <c r="L68" s="173"/>
    </row>
    <row r="69" spans="1:12" x14ac:dyDescent="0.25">
      <c r="A69" s="148"/>
      <c r="B69" s="3" t="s">
        <v>358</v>
      </c>
      <c r="C69" s="3"/>
      <c r="D69" s="3">
        <f>'NOVEMBER 21'!H69:H97</f>
        <v>0</v>
      </c>
      <c r="E69" s="3"/>
      <c r="F69" s="3">
        <f t="shared" si="3"/>
        <v>0</v>
      </c>
      <c r="G69" s="3"/>
      <c r="H69" s="3">
        <f t="shared" si="4"/>
        <v>0</v>
      </c>
      <c r="I69" s="3"/>
      <c r="J69" s="3"/>
      <c r="K69" s="91"/>
      <c r="L69" s="91"/>
    </row>
    <row r="70" spans="1:12" x14ac:dyDescent="0.25">
      <c r="A70" s="375" t="s">
        <v>722</v>
      </c>
      <c r="B70" s="375" t="s">
        <v>359</v>
      </c>
      <c r="C70" s="3"/>
      <c r="D70" s="3">
        <f>'NOVEMBER 21'!H70:H98</f>
        <v>0</v>
      </c>
      <c r="E70" s="3">
        <v>9000</v>
      </c>
      <c r="F70" s="3">
        <f t="shared" si="3"/>
        <v>9000</v>
      </c>
      <c r="G70" s="3">
        <v>8000</v>
      </c>
      <c r="H70" s="3">
        <f t="shared" si="4"/>
        <v>1000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'NOVEMBER 21'!H71:H99</f>
        <v>0</v>
      </c>
      <c r="E71" s="3">
        <v>8500</v>
      </c>
      <c r="F71" s="3">
        <f t="shared" si="3"/>
        <v>8500</v>
      </c>
      <c r="G71" s="3"/>
      <c r="H71" s="3">
        <f t="shared" si="4"/>
        <v>8500</v>
      </c>
      <c r="I71" s="3"/>
      <c r="J71" s="3"/>
      <c r="K71" s="173"/>
      <c r="L71" s="173"/>
    </row>
    <row r="72" spans="1:12" x14ac:dyDescent="0.25">
      <c r="A72" s="375" t="s">
        <v>764</v>
      </c>
      <c r="B72" s="375" t="s">
        <v>361</v>
      </c>
      <c r="C72" s="3"/>
      <c r="D72" s="3">
        <f>'NOVEMBER 21'!H72:H100</f>
        <v>0</v>
      </c>
      <c r="E72" s="3">
        <v>8500</v>
      </c>
      <c r="F72" s="3">
        <f t="shared" si="3"/>
        <v>8500</v>
      </c>
      <c r="G72" s="3"/>
      <c r="H72" s="3">
        <f t="shared" si="4"/>
        <v>8500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'NOVEMBER 21'!H73:H101</f>
        <v>-500</v>
      </c>
      <c r="E73" s="3">
        <v>8000</v>
      </c>
      <c r="F73" s="3">
        <f t="shared" si="3"/>
        <v>7500</v>
      </c>
      <c r="G73" s="3"/>
      <c r="H73" s="3">
        <f>F73-G73</f>
        <v>7500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'NOVEMBER 21'!H74:H102</f>
        <v>0</v>
      </c>
      <c r="E74" s="3">
        <v>8500</v>
      </c>
      <c r="F74" s="3">
        <f t="shared" si="3"/>
        <v>8500</v>
      </c>
      <c r="G74" s="3"/>
      <c r="H74" s="3">
        <f>F74-G74</f>
        <v>8500</v>
      </c>
      <c r="I74" s="3"/>
      <c r="J74" s="3" t="s">
        <v>142</v>
      </c>
      <c r="K74" s="173"/>
      <c r="L74" s="173"/>
    </row>
    <row r="75" spans="1:12" x14ac:dyDescent="0.25">
      <c r="A75" s="375" t="s">
        <v>648</v>
      </c>
      <c r="B75" s="3" t="s">
        <v>364</v>
      </c>
      <c r="C75" s="3"/>
      <c r="D75" s="3">
        <f>'NOVEMBER 21'!H75:H103</f>
        <v>0</v>
      </c>
      <c r="E75" s="3">
        <v>5500</v>
      </c>
      <c r="F75" s="3">
        <f t="shared" si="3"/>
        <v>5500</v>
      </c>
      <c r="G75" s="3"/>
      <c r="H75" s="3">
        <f>F75-G75</f>
        <v>5500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'NOVEMBER 21'!H76:H104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20400</v>
      </c>
      <c r="E77" s="343">
        <f>SUM(E48:E76)</f>
        <v>174000</v>
      </c>
      <c r="F77" s="343">
        <f>SUM(F48:F76)</f>
        <v>194400</v>
      </c>
      <c r="G77" s="343">
        <f>SUM(G48:G76)</f>
        <v>38500</v>
      </c>
      <c r="H77" s="343">
        <f t="shared" si="5"/>
        <v>155900</v>
      </c>
      <c r="I77" s="343">
        <f t="shared" si="5"/>
        <v>0</v>
      </c>
      <c r="J77" s="3">
        <f>SUM(J48:J76)</f>
        <v>0</v>
      </c>
      <c r="K77" s="173"/>
      <c r="L77" s="173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497</v>
      </c>
      <c r="B82" s="350">
        <f>E77</f>
        <v>174000</v>
      </c>
      <c r="C82" s="201"/>
      <c r="D82" s="201"/>
      <c r="E82" s="201" t="s">
        <v>497</v>
      </c>
      <c r="F82" s="350">
        <f>G77</f>
        <v>38500</v>
      </c>
      <c r="G82" s="201"/>
      <c r="H82" s="201"/>
      <c r="I82" s="173"/>
      <c r="J82" s="377"/>
      <c r="K82" s="173"/>
      <c r="L82" s="173"/>
    </row>
    <row r="83" spans="1:12" x14ac:dyDescent="0.25">
      <c r="A83" s="201" t="s">
        <v>147</v>
      </c>
      <c r="B83" s="350">
        <f>'NOVEMBER 21'!D95</f>
        <v>-8500</v>
      </c>
      <c r="C83" s="201"/>
      <c r="D83" s="201"/>
      <c r="E83" s="201" t="s">
        <v>147</v>
      </c>
      <c r="F83" s="350">
        <f>'NOVEMBER 21'!H95</f>
        <v>-51400</v>
      </c>
      <c r="G83" s="201"/>
      <c r="H83" s="201"/>
      <c r="I83" s="173"/>
      <c r="J83" s="148"/>
      <c r="K83" s="173"/>
      <c r="L83" s="173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73"/>
      <c r="L84" s="173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73"/>
      <c r="L85" s="173"/>
    </row>
    <row r="86" spans="1:12" x14ac:dyDescent="0.25">
      <c r="A86" s="201" t="s">
        <v>390</v>
      </c>
      <c r="B86" s="358">
        <v>4.4999999999999998E-2</v>
      </c>
      <c r="C86" s="350">
        <f>B86*B82</f>
        <v>7830</v>
      </c>
      <c r="D86" s="201"/>
      <c r="E86" s="201" t="s">
        <v>390</v>
      </c>
      <c r="F86" s="359">
        <v>4.4999999999999998E-2</v>
      </c>
      <c r="G86" s="350">
        <f>C86</f>
        <v>7830</v>
      </c>
      <c r="H86" s="201"/>
      <c r="I86" s="173"/>
      <c r="J86" s="148"/>
      <c r="K86" s="173"/>
      <c r="L86" s="173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73"/>
      <c r="L87" s="173"/>
    </row>
    <row r="88" spans="1:12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73"/>
      <c r="L88" s="173"/>
    </row>
    <row r="89" spans="1:12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173"/>
      <c r="L89" s="173"/>
    </row>
    <row r="90" spans="1:12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  <c r="K90" s="173"/>
      <c r="L90" s="17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173"/>
      <c r="L91" s="173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173"/>
      <c r="L92" s="17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173"/>
      <c r="L93" s="17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173"/>
      <c r="L94" s="173"/>
    </row>
    <row r="95" spans="1:12" x14ac:dyDescent="0.25">
      <c r="A95" s="369"/>
      <c r="B95" s="384">
        <f>B82+B83+B85+B84-C86</f>
        <v>157670</v>
      </c>
      <c r="C95" s="384">
        <f>SUM(C88:C94)</f>
        <v>0</v>
      </c>
      <c r="D95" s="384">
        <f>B95-C95</f>
        <v>157670</v>
      </c>
      <c r="E95" s="369"/>
      <c r="F95" s="384">
        <f>F82+F83+F84-G86</f>
        <v>-20730</v>
      </c>
      <c r="G95" s="384">
        <f>SUM(G88:G94)</f>
        <v>0</v>
      </c>
      <c r="H95" s="384">
        <f>F95-G95</f>
        <v>-20730</v>
      </c>
      <c r="I95" s="362"/>
      <c r="J95" s="364"/>
      <c r="K95" s="173"/>
      <c r="L95" s="17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1:12" x14ac:dyDescent="0.25">
      <c r="A104" s="173"/>
      <c r="B104" s="173"/>
      <c r="C104" s="173"/>
      <c r="D104" s="173"/>
      <c r="E104" s="173"/>
      <c r="F104" s="173">
        <f>92456+85000+14520+17500+6000+5000</f>
        <v>220476</v>
      </c>
      <c r="G104" s="173"/>
      <c r="H104" s="173"/>
      <c r="I104" s="173"/>
      <c r="J104" s="173"/>
      <c r="K104" s="173"/>
      <c r="L104" s="173"/>
    </row>
    <row r="105" spans="1:12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1:12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1:12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</sheetData>
  <mergeCells count="3">
    <mergeCell ref="D2:F2"/>
    <mergeCell ref="D3:F3"/>
    <mergeCell ref="D4:F4"/>
  </mergeCells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E21" sqref="E21"/>
    </sheetView>
  </sheetViews>
  <sheetFormatPr defaultRowHeight="15" x14ac:dyDescent="0.25"/>
  <cols>
    <col min="1" max="1" width="13.140625" customWidth="1"/>
    <col min="2" max="2" width="3.5703125" customWidth="1"/>
    <col min="4" max="4" width="11.85546875" customWidth="1"/>
    <col min="8" max="9" width="10.5703125" bestFit="1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98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400</v>
      </c>
      <c r="G5" s="33">
        <v>4000</v>
      </c>
      <c r="H5" s="33">
        <v>4400</v>
      </c>
      <c r="I5" s="33">
        <v>4000</v>
      </c>
      <c r="J5" s="7">
        <v>400</v>
      </c>
      <c r="K5" s="7">
        <v>4400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97</v>
      </c>
      <c r="D6" s="6" t="s">
        <v>34</v>
      </c>
      <c r="E6" s="74">
        <v>15500</v>
      </c>
      <c r="F6" s="74">
        <v>500</v>
      </c>
      <c r="G6" s="33">
        <v>4000</v>
      </c>
      <c r="H6" s="33">
        <f>SUM(E6:G6)</f>
        <v>20000</v>
      </c>
      <c r="I6" s="33">
        <v>12000</v>
      </c>
      <c r="J6" s="7"/>
      <c r="K6" s="7">
        <v>12000</v>
      </c>
      <c r="L6" s="6"/>
      <c r="M6" s="7">
        <f>SUM(H6-K6)</f>
        <v>8000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600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100</v>
      </c>
      <c r="F8" s="77">
        <v>300</v>
      </c>
      <c r="G8" s="7">
        <v>4000</v>
      </c>
      <c r="H8" s="7">
        <v>4400</v>
      </c>
      <c r="I8" s="7">
        <v>4000</v>
      </c>
      <c r="J8" s="7"/>
      <c r="K8" s="7">
        <v>4000</v>
      </c>
      <c r="L8" s="6"/>
      <c r="M8" s="7">
        <v>400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4600</v>
      </c>
      <c r="F9" s="74">
        <v>600</v>
      </c>
      <c r="G9" s="7">
        <v>4000</v>
      </c>
      <c r="H9" s="7">
        <f>SUM(E9:G9)</f>
        <v>9200</v>
      </c>
      <c r="I9" s="7">
        <v>5000</v>
      </c>
      <c r="J9" s="7"/>
      <c r="K9" s="7">
        <v>5000</v>
      </c>
      <c r="L9" s="10"/>
      <c r="M9" s="64">
        <f>SUM(H9-I9)</f>
        <v>4200</v>
      </c>
      <c r="N9" s="1"/>
    </row>
    <row r="10" spans="1:14" x14ac:dyDescent="0.25">
      <c r="A10" s="9" t="s">
        <v>38</v>
      </c>
      <c r="B10" s="9">
        <v>6</v>
      </c>
      <c r="C10" s="6"/>
      <c r="D10" s="6"/>
      <c r="E10" s="74">
        <v>1500</v>
      </c>
      <c r="F10" s="74">
        <v>500</v>
      </c>
      <c r="G10" s="7">
        <v>4000</v>
      </c>
      <c r="H10" s="7">
        <v>6000</v>
      </c>
      <c r="I10" s="7">
        <v>4000</v>
      </c>
      <c r="J10" s="7">
        <v>500</v>
      </c>
      <c r="K10" s="7">
        <v>4500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/>
      <c r="J11" s="7"/>
      <c r="K11" s="7"/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97</v>
      </c>
      <c r="D12" s="6" t="s">
        <v>97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300</v>
      </c>
      <c r="G15" s="7">
        <v>2500</v>
      </c>
      <c r="H15" s="7">
        <v>2800</v>
      </c>
      <c r="I15" s="7"/>
      <c r="J15" s="7"/>
      <c r="K15" s="7"/>
      <c r="L15" s="63"/>
      <c r="M15" s="62">
        <v>2800</v>
      </c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500</v>
      </c>
      <c r="K16" s="7">
        <v>3000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>
        <f>SUM(E5:E16)</f>
        <v>35300</v>
      </c>
      <c r="F17" s="71">
        <f t="shared" ref="F17:K17" si="0">SUM(F5:F16)</f>
        <v>4000</v>
      </c>
      <c r="G17" s="71">
        <f t="shared" si="0"/>
        <v>44500</v>
      </c>
      <c r="H17" s="71">
        <f t="shared" si="0"/>
        <v>83800</v>
      </c>
      <c r="I17" s="71">
        <f t="shared" si="0"/>
        <v>47000</v>
      </c>
      <c r="J17" s="78">
        <f t="shared" si="0"/>
        <v>2400</v>
      </c>
      <c r="K17" s="78">
        <f t="shared" si="0"/>
        <v>49400</v>
      </c>
      <c r="L17" s="69"/>
      <c r="M17" s="78">
        <f>SUM(M5:M16)</f>
        <v>34600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37"/>
      <c r="I18" s="37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47000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2400</v>
      </c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49400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3290.0000000000005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40000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43290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6110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workbookViewId="0">
      <selection activeCell="E21" sqref="E21"/>
    </sheetView>
  </sheetViews>
  <sheetFormatPr defaultRowHeight="15" x14ac:dyDescent="0.25"/>
  <cols>
    <col min="1" max="1" width="14.42578125" style="1" customWidth="1"/>
    <col min="2" max="3" width="9.28515625" style="1" bestFit="1" customWidth="1"/>
    <col min="4" max="4" width="10.85546875" customWidth="1"/>
    <col min="5" max="6" width="9.28515625" bestFit="1" customWidth="1"/>
    <col min="7" max="7" width="10" bestFit="1" customWidth="1"/>
    <col min="8" max="12" width="9.28515625" bestFit="1" customWidth="1"/>
  </cols>
  <sheetData>
    <row r="1" spans="1:13" s="1" customFormat="1" x14ac:dyDescent="0.25"/>
    <row r="2" spans="1:13" x14ac:dyDescent="0.25">
      <c r="E2" s="1" t="s">
        <v>99</v>
      </c>
    </row>
    <row r="3" spans="1:13" x14ac:dyDescent="0.25">
      <c r="D3" s="1" t="s">
        <v>100</v>
      </c>
    </row>
    <row r="5" spans="1:13" s="91" customFormat="1" x14ac:dyDescent="0.25">
      <c r="A5" s="92" t="s">
        <v>0</v>
      </c>
      <c r="B5" s="93">
        <v>41548</v>
      </c>
      <c r="C5" s="93">
        <v>41579</v>
      </c>
      <c r="D5" s="93">
        <v>41609</v>
      </c>
      <c r="E5" s="93">
        <v>41640</v>
      </c>
      <c r="F5" s="93">
        <v>41671</v>
      </c>
      <c r="G5" s="93">
        <v>41699</v>
      </c>
      <c r="H5" s="94">
        <v>41730</v>
      </c>
      <c r="I5" s="94">
        <v>41760</v>
      </c>
      <c r="J5" s="94">
        <v>41791</v>
      </c>
      <c r="K5" s="94">
        <v>41821</v>
      </c>
      <c r="L5" s="94">
        <v>41852</v>
      </c>
      <c r="M5" s="90"/>
    </row>
    <row r="6" spans="1:13" x14ac:dyDescent="0.25">
      <c r="A6" s="5" t="s">
        <v>75</v>
      </c>
      <c r="B6" s="88">
        <v>4000</v>
      </c>
      <c r="C6" s="88">
        <v>4400</v>
      </c>
      <c r="D6" s="88">
        <v>4100</v>
      </c>
      <c r="E6" s="88">
        <v>2800</v>
      </c>
      <c r="F6" s="88">
        <v>4500</v>
      </c>
      <c r="G6" s="88">
        <v>4100</v>
      </c>
      <c r="H6" s="88">
        <v>4300</v>
      </c>
      <c r="I6" s="88">
        <v>4000</v>
      </c>
      <c r="J6" s="88">
        <v>4300</v>
      </c>
      <c r="K6" s="88">
        <v>4700</v>
      </c>
      <c r="L6" s="88">
        <v>4400</v>
      </c>
    </row>
    <row r="7" spans="1:13" x14ac:dyDescent="0.25">
      <c r="A7" s="5" t="s">
        <v>35</v>
      </c>
      <c r="B7" s="88">
        <v>4400</v>
      </c>
      <c r="C7" s="88">
        <v>4400</v>
      </c>
      <c r="D7" s="88">
        <v>4500</v>
      </c>
      <c r="E7" s="88">
        <v>4500</v>
      </c>
      <c r="F7" s="88">
        <v>4500</v>
      </c>
      <c r="G7" s="88">
        <v>4600</v>
      </c>
      <c r="H7" s="88">
        <v>6400</v>
      </c>
      <c r="I7" s="88">
        <v>4600</v>
      </c>
      <c r="J7" s="88"/>
      <c r="K7" s="88">
        <v>4000</v>
      </c>
      <c r="L7" s="88">
        <v>8000</v>
      </c>
    </row>
    <row r="8" spans="1:13" x14ac:dyDescent="0.25">
      <c r="A8" s="5" t="s">
        <v>36</v>
      </c>
      <c r="B8" s="88">
        <v>4000</v>
      </c>
      <c r="C8" s="88">
        <v>4300</v>
      </c>
      <c r="D8" s="88">
        <v>4000</v>
      </c>
      <c r="E8" s="88">
        <v>4000</v>
      </c>
      <c r="F8" s="88">
        <v>4000</v>
      </c>
      <c r="G8" s="88">
        <v>4000</v>
      </c>
      <c r="H8" s="88">
        <v>4300</v>
      </c>
      <c r="I8" s="88">
        <v>5000</v>
      </c>
      <c r="J8" s="88">
        <v>4500</v>
      </c>
      <c r="K8" s="88">
        <v>4200</v>
      </c>
      <c r="L8" s="88">
        <v>4200</v>
      </c>
    </row>
    <row r="9" spans="1:13" x14ac:dyDescent="0.25">
      <c r="A9" s="9" t="s">
        <v>37</v>
      </c>
      <c r="B9" s="88">
        <v>4200</v>
      </c>
      <c r="C9" s="88">
        <v>4200</v>
      </c>
      <c r="D9" s="88">
        <v>4300</v>
      </c>
      <c r="E9" s="88">
        <v>4300</v>
      </c>
      <c r="F9" s="88">
        <v>4300</v>
      </c>
      <c r="G9" s="88">
        <v>4000</v>
      </c>
      <c r="H9" s="88">
        <v>4000</v>
      </c>
      <c r="I9" s="88">
        <v>4900</v>
      </c>
      <c r="J9" s="88">
        <v>4000</v>
      </c>
      <c r="K9" s="88">
        <v>4600</v>
      </c>
      <c r="L9" s="88">
        <v>4000</v>
      </c>
    </row>
    <row r="10" spans="1:13" x14ac:dyDescent="0.25">
      <c r="A10" s="9" t="s">
        <v>47</v>
      </c>
      <c r="B10" s="88"/>
      <c r="C10" s="88">
        <v>3000</v>
      </c>
      <c r="D10" s="88">
        <v>4200</v>
      </c>
      <c r="E10" s="88">
        <v>4100</v>
      </c>
      <c r="F10" s="88">
        <v>4300</v>
      </c>
      <c r="G10" s="88">
        <v>4200</v>
      </c>
      <c r="H10" s="88">
        <v>4200</v>
      </c>
      <c r="I10" s="88">
        <v>2000</v>
      </c>
      <c r="J10" s="88">
        <v>2500</v>
      </c>
      <c r="K10" s="88">
        <v>3600</v>
      </c>
      <c r="L10" s="88">
        <v>5000</v>
      </c>
    </row>
    <row r="11" spans="1:13" x14ac:dyDescent="0.25">
      <c r="A11" s="9" t="s">
        <v>38</v>
      </c>
      <c r="B11" s="88">
        <v>4500</v>
      </c>
      <c r="C11" s="88">
        <v>4600</v>
      </c>
      <c r="D11" s="88">
        <v>4500</v>
      </c>
      <c r="E11" s="88">
        <v>2500</v>
      </c>
      <c r="F11" s="88">
        <v>4000</v>
      </c>
      <c r="G11" s="88">
        <v>4000</v>
      </c>
      <c r="H11" s="88">
        <v>4400</v>
      </c>
      <c r="I11" s="88">
        <v>4200</v>
      </c>
      <c r="J11" s="88">
        <v>4700</v>
      </c>
      <c r="K11" s="88">
        <v>3000</v>
      </c>
      <c r="L11" s="88">
        <v>4500</v>
      </c>
    </row>
    <row r="12" spans="1:13" x14ac:dyDescent="0.25">
      <c r="A12" s="5" t="s">
        <v>39</v>
      </c>
      <c r="B12" s="88"/>
      <c r="C12" s="88">
        <v>4000</v>
      </c>
      <c r="D12" s="88">
        <v>4000</v>
      </c>
      <c r="E12" s="88"/>
      <c r="F12" s="88"/>
      <c r="G12" s="88">
        <v>10000</v>
      </c>
      <c r="H12" s="88"/>
      <c r="I12" s="88">
        <v>8000</v>
      </c>
      <c r="J12" s="88">
        <v>8000</v>
      </c>
      <c r="K12" s="88">
        <v>4000</v>
      </c>
      <c r="L12" s="88"/>
    </row>
    <row r="13" spans="1:13" x14ac:dyDescent="0.25">
      <c r="A13" s="9" t="s">
        <v>40</v>
      </c>
      <c r="B13" s="88">
        <v>4300</v>
      </c>
      <c r="C13" s="88">
        <v>4100</v>
      </c>
      <c r="D13" s="88">
        <v>4000</v>
      </c>
      <c r="E13" s="88">
        <v>4400</v>
      </c>
      <c r="F13" s="88">
        <v>4200</v>
      </c>
      <c r="G13" s="88">
        <v>4300</v>
      </c>
      <c r="H13" s="88">
        <v>4200</v>
      </c>
      <c r="I13" s="88">
        <v>4000</v>
      </c>
      <c r="J13" s="88">
        <v>4200</v>
      </c>
      <c r="K13" s="88">
        <v>4200</v>
      </c>
      <c r="L13" s="88">
        <v>4200</v>
      </c>
    </row>
    <row r="14" spans="1:13" x14ac:dyDescent="0.25">
      <c r="A14" s="5" t="s">
        <v>41</v>
      </c>
      <c r="B14" s="88">
        <v>2800</v>
      </c>
      <c r="C14" s="88">
        <v>2800</v>
      </c>
      <c r="D14" s="88">
        <v>2800</v>
      </c>
      <c r="E14" s="88">
        <v>2800</v>
      </c>
      <c r="F14" s="88">
        <v>2800</v>
      </c>
      <c r="G14" s="88">
        <v>2500</v>
      </c>
      <c r="H14" s="88">
        <v>2500</v>
      </c>
      <c r="I14" s="88">
        <v>3700</v>
      </c>
      <c r="J14" s="88">
        <v>2800</v>
      </c>
      <c r="K14" s="88">
        <v>2800</v>
      </c>
      <c r="L14" s="88">
        <v>2800</v>
      </c>
    </row>
    <row r="15" spans="1:13" x14ac:dyDescent="0.25">
      <c r="A15" s="5" t="s">
        <v>43</v>
      </c>
      <c r="B15" s="88">
        <v>5300</v>
      </c>
      <c r="C15" s="88">
        <v>5400</v>
      </c>
      <c r="D15" s="88">
        <v>5300</v>
      </c>
      <c r="E15" s="88">
        <v>5300</v>
      </c>
      <c r="F15" s="88">
        <v>5200</v>
      </c>
      <c r="G15" s="88">
        <v>5300</v>
      </c>
      <c r="H15" s="88">
        <v>5300</v>
      </c>
      <c r="I15" s="88">
        <v>5300</v>
      </c>
      <c r="J15" s="88">
        <v>5300</v>
      </c>
      <c r="K15" s="88">
        <v>5300</v>
      </c>
      <c r="L15" s="88">
        <v>5300</v>
      </c>
    </row>
    <row r="16" spans="1:13" x14ac:dyDescent="0.25">
      <c r="A16" s="9" t="s">
        <v>57</v>
      </c>
      <c r="B16" s="88">
        <v>2800</v>
      </c>
      <c r="C16" s="88">
        <v>2900</v>
      </c>
      <c r="D16" s="88"/>
      <c r="E16" s="88">
        <v>2800</v>
      </c>
      <c r="F16" s="88">
        <v>3300</v>
      </c>
      <c r="G16" s="88">
        <v>3400</v>
      </c>
      <c r="H16" s="88">
        <v>2800</v>
      </c>
      <c r="I16" s="88">
        <v>2800</v>
      </c>
      <c r="J16" s="88">
        <v>2900</v>
      </c>
      <c r="K16" s="88">
        <v>3100</v>
      </c>
      <c r="L16" s="88"/>
    </row>
    <row r="17" spans="1:12" x14ac:dyDescent="0.25">
      <c r="A17" s="5" t="s">
        <v>61</v>
      </c>
      <c r="B17" s="88">
        <v>2700</v>
      </c>
      <c r="C17" s="88">
        <v>2700</v>
      </c>
      <c r="D17" s="88">
        <v>2900</v>
      </c>
      <c r="E17" s="88">
        <v>2700</v>
      </c>
      <c r="F17" s="88">
        <v>3000</v>
      </c>
      <c r="G17" s="88">
        <v>2500</v>
      </c>
      <c r="H17" s="89">
        <v>2500</v>
      </c>
      <c r="I17" s="88">
        <v>2900</v>
      </c>
      <c r="J17" s="88">
        <v>2700</v>
      </c>
      <c r="K17" s="88">
        <v>2500</v>
      </c>
      <c r="L17" s="88">
        <v>3000</v>
      </c>
    </row>
    <row r="18" spans="1:12" x14ac:dyDescent="0.25">
      <c r="A18" s="69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M24" sqref="M24"/>
    </sheetView>
  </sheetViews>
  <sheetFormatPr defaultRowHeight="15" x14ac:dyDescent="0.25"/>
  <cols>
    <col min="1" max="1" width="13.85546875" customWidth="1"/>
    <col min="2" max="2" width="2.85546875" customWidth="1"/>
    <col min="3" max="3" width="14.28515625" customWidth="1"/>
    <col min="5" max="5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C3" s="44"/>
      <c r="F3" s="47" t="s">
        <v>101</v>
      </c>
      <c r="G3" s="46"/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500</v>
      </c>
      <c r="F5" s="33">
        <v>4000</v>
      </c>
      <c r="G5" s="33">
        <v>4400</v>
      </c>
      <c r="H5" s="33">
        <v>4000</v>
      </c>
      <c r="I5" s="7"/>
      <c r="J5" s="7">
        <v>4000</v>
      </c>
      <c r="K5" s="6"/>
      <c r="L5" s="7">
        <v>500</v>
      </c>
      <c r="M5" s="1"/>
    </row>
    <row r="6" spans="1:13" x14ac:dyDescent="0.25">
      <c r="A6" s="5" t="s">
        <v>35</v>
      </c>
      <c r="B6" s="5">
        <v>2</v>
      </c>
      <c r="C6" s="6"/>
      <c r="D6" s="74">
        <v>8300</v>
      </c>
      <c r="E6" s="74">
        <v>500</v>
      </c>
      <c r="F6" s="33">
        <v>4000</v>
      </c>
      <c r="G6" s="33">
        <f>SUM(D6:F6)</f>
        <v>12800</v>
      </c>
      <c r="H6" s="33">
        <v>4000</v>
      </c>
      <c r="I6" s="7"/>
      <c r="J6" s="7">
        <v>4000</v>
      </c>
      <c r="K6" s="6"/>
      <c r="L6" s="7">
        <f>SUM(G6-J6)</f>
        <v>8800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400</v>
      </c>
      <c r="F7" s="7">
        <v>4000</v>
      </c>
      <c r="G7" s="7">
        <f>SUM(D7:F7)</f>
        <v>4700</v>
      </c>
      <c r="H7" s="7">
        <v>4000</v>
      </c>
      <c r="I7" s="7">
        <v>400</v>
      </c>
      <c r="J7" s="7">
        <v>4400</v>
      </c>
      <c r="K7" s="6"/>
      <c r="L7" s="7">
        <v>300</v>
      </c>
      <c r="M7" s="1"/>
    </row>
    <row r="8" spans="1:13" x14ac:dyDescent="0.25">
      <c r="A8" s="9" t="s">
        <v>37</v>
      </c>
      <c r="B8" s="5">
        <v>4</v>
      </c>
      <c r="C8" s="6"/>
      <c r="D8" s="74">
        <v>300</v>
      </c>
      <c r="E8" s="77">
        <v>400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f>SUM(G8-J8)</f>
        <v>700</v>
      </c>
      <c r="M8" s="1"/>
    </row>
    <row r="9" spans="1:13" x14ac:dyDescent="0.25">
      <c r="A9" s="9" t="s">
        <v>47</v>
      </c>
      <c r="B9" s="9">
        <v>5</v>
      </c>
      <c r="C9" s="6"/>
      <c r="D9" s="74">
        <v>4200</v>
      </c>
      <c r="E9" s="74">
        <v>500</v>
      </c>
      <c r="F9" s="7">
        <v>4000</v>
      </c>
      <c r="G9" s="7">
        <f>SUM(D9:F9)</f>
        <v>8700</v>
      </c>
      <c r="H9" s="7"/>
      <c r="I9" s="7"/>
      <c r="J9" s="7"/>
      <c r="K9" s="10"/>
      <c r="L9" s="64">
        <f>SUM(G9-J9)</f>
        <v>8700</v>
      </c>
      <c r="M9" s="1"/>
    </row>
    <row r="10" spans="1:13" x14ac:dyDescent="0.25">
      <c r="A10" s="9" t="s">
        <v>38</v>
      </c>
      <c r="B10" s="9">
        <v>6</v>
      </c>
      <c r="C10" s="6"/>
      <c r="D10" s="74">
        <v>1500</v>
      </c>
      <c r="E10" s="74">
        <v>500</v>
      </c>
      <c r="F10" s="7">
        <v>4000</v>
      </c>
      <c r="G10" s="7">
        <v>6000</v>
      </c>
      <c r="H10" s="7">
        <v>6000</v>
      </c>
      <c r="I10" s="7"/>
      <c r="J10" s="7">
        <v>6000</v>
      </c>
      <c r="K10" s="10"/>
      <c r="L10" s="7"/>
      <c r="M10" s="1"/>
    </row>
    <row r="11" spans="1:13" x14ac:dyDescent="0.25">
      <c r="A11" s="5" t="s">
        <v>39</v>
      </c>
      <c r="B11" s="9">
        <v>7</v>
      </c>
      <c r="C11" s="6"/>
      <c r="D11" s="74">
        <v>6700</v>
      </c>
      <c r="E11" s="74">
        <v>300</v>
      </c>
      <c r="F11" s="7">
        <v>4000</v>
      </c>
      <c r="G11" s="7">
        <f>SUM(D11:F11)</f>
        <v>11000</v>
      </c>
      <c r="H11" s="7">
        <v>5000</v>
      </c>
      <c r="I11" s="7"/>
      <c r="J11" s="7">
        <v>5000</v>
      </c>
      <c r="K11" s="62"/>
      <c r="L11" s="64">
        <f>SUM(G11-H11)</f>
        <v>6000</v>
      </c>
      <c r="M11" s="1"/>
    </row>
    <row r="12" spans="1:13" x14ac:dyDescent="0.25">
      <c r="A12" s="9" t="s">
        <v>40</v>
      </c>
      <c r="B12" s="9">
        <v>8</v>
      </c>
      <c r="C12" s="6"/>
      <c r="D12" s="74">
        <v>6400</v>
      </c>
      <c r="E12" s="74">
        <v>200</v>
      </c>
      <c r="F12" s="7">
        <v>4000</v>
      </c>
      <c r="G12" s="7">
        <f>SUM(D12:F12)</f>
        <v>10600</v>
      </c>
      <c r="H12" s="7">
        <v>4700</v>
      </c>
      <c r="I12" s="7">
        <v>200</v>
      </c>
      <c r="J12" s="7">
        <v>4900</v>
      </c>
      <c r="K12" s="10"/>
      <c r="L12" s="64">
        <f>SUM(G12-J12)</f>
        <v>5700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400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>
        <v>2800</v>
      </c>
      <c r="E15" s="74">
        <v>300</v>
      </c>
      <c r="F15" s="7">
        <v>2500</v>
      </c>
      <c r="G15" s="7">
        <f>SUM(D15:F15)</f>
        <v>5600</v>
      </c>
      <c r="H15" s="7">
        <v>5000</v>
      </c>
      <c r="I15" s="7">
        <v>600</v>
      </c>
      <c r="J15" s="7">
        <v>5600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/>
      <c r="E16" s="74">
        <v>200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30500</v>
      </c>
      <c r="E17" s="71">
        <f t="shared" ref="E17:J17" si="0">SUM(E5:E16)</f>
        <v>4500</v>
      </c>
      <c r="F17" s="71">
        <f t="shared" si="0"/>
        <v>44500</v>
      </c>
      <c r="G17" s="71">
        <f t="shared" si="0"/>
        <v>79400</v>
      </c>
      <c r="H17" s="71">
        <f t="shared" si="0"/>
        <v>46700</v>
      </c>
      <c r="I17" s="78">
        <f t="shared" si="0"/>
        <v>2000</v>
      </c>
      <c r="J17" s="78">
        <f t="shared" si="0"/>
        <v>48700</v>
      </c>
      <c r="K17" s="69"/>
      <c r="L17" s="78">
        <f>SUM(L5:L16)</f>
        <v>30700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46700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2000</v>
      </c>
      <c r="D20" s="1"/>
      <c r="E20" s="1"/>
      <c r="F20" s="1"/>
      <c r="G20" s="1"/>
      <c r="H20" s="1"/>
      <c r="I20" s="1"/>
      <c r="J20" s="1"/>
      <c r="K20" s="1"/>
      <c r="L20" s="1"/>
      <c r="M20" s="1" t="s">
        <v>91</v>
      </c>
    </row>
    <row r="21" spans="1:13" s="1" customFormat="1" x14ac:dyDescent="0.25">
      <c r="A21" s="2" t="s">
        <v>102</v>
      </c>
      <c r="B21" s="2"/>
      <c r="C21" s="41">
        <v>10430</v>
      </c>
    </row>
    <row r="22" spans="1:13" ht="16.5" x14ac:dyDescent="0.35">
      <c r="A22" s="2" t="s">
        <v>62</v>
      </c>
      <c r="B22" s="2"/>
      <c r="C22" s="67">
        <f>SUM(C19:C21)</f>
        <v>59130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3269.0000000000005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81</v>
      </c>
      <c r="B25" s="2"/>
      <c r="C25" s="40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50285</v>
      </c>
      <c r="D26" s="1"/>
      <c r="E26" s="17"/>
      <c r="F26" s="2" t="s">
        <v>64</v>
      </c>
      <c r="G26" s="2"/>
      <c r="H26" s="2" t="s">
        <v>71</v>
      </c>
      <c r="I26" s="2"/>
      <c r="J26" s="2" t="s">
        <v>67</v>
      </c>
      <c r="K26" s="2"/>
      <c r="L26" s="1"/>
      <c r="M26" s="1"/>
    </row>
    <row r="27" spans="1:13" x14ac:dyDescent="0.25">
      <c r="A27" s="2" t="s">
        <v>56</v>
      </c>
      <c r="B27" s="2"/>
      <c r="C27" s="42">
        <f>SUM(C24:C26)</f>
        <v>53554</v>
      </c>
      <c r="D27" s="1"/>
      <c r="E27" s="1"/>
      <c r="F27" s="2"/>
      <c r="G27" s="2"/>
      <c r="H27" s="2"/>
      <c r="I27" s="2"/>
      <c r="J27" s="2"/>
      <c r="K27" s="2"/>
      <c r="L27" s="1"/>
      <c r="M27" s="1"/>
    </row>
    <row r="28" spans="1:13" x14ac:dyDescent="0.25">
      <c r="A28" s="1"/>
      <c r="B28" s="1"/>
      <c r="C28" s="1"/>
      <c r="D28" s="1"/>
      <c r="E28" s="17"/>
      <c r="F28" s="2" t="s">
        <v>70</v>
      </c>
      <c r="G28" s="2"/>
      <c r="H28" s="2" t="s">
        <v>72</v>
      </c>
      <c r="I28" s="2"/>
      <c r="J28" s="2" t="s">
        <v>73</v>
      </c>
      <c r="K28" s="2"/>
      <c r="L28" s="37"/>
      <c r="M28" s="1"/>
    </row>
    <row r="29" spans="1:13" ht="15.75" x14ac:dyDescent="0.25">
      <c r="A29" s="55" t="s">
        <v>27</v>
      </c>
      <c r="B29" s="2"/>
      <c r="C29" s="84">
        <f>SUM(C22-C27)</f>
        <v>5576</v>
      </c>
      <c r="D29" s="28"/>
      <c r="E29" s="17" t="s">
        <v>23</v>
      </c>
      <c r="F29" s="2" t="s">
        <v>69</v>
      </c>
      <c r="G29" s="2"/>
      <c r="H29" s="2" t="s">
        <v>68</v>
      </c>
      <c r="I29" s="2"/>
      <c r="J29" s="2" t="s">
        <v>74</v>
      </c>
      <c r="K29" s="2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  <pageSetup orientation="landscape" horizontalDpi="0" verticalDpi="0" r:id="rId1"/>
  <ignoredErrors>
    <ignoredError sqref="C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H19" sqref="H19:H25"/>
    </sheetView>
  </sheetViews>
  <sheetFormatPr defaultRowHeight="15" x14ac:dyDescent="0.25"/>
  <cols>
    <col min="1" max="1" width="18" style="1" customWidth="1"/>
    <col min="2" max="2" width="7.140625" style="1" customWidth="1"/>
    <col min="3" max="3" width="14.5703125" style="1" customWidth="1"/>
    <col min="4" max="4" width="9.140625" style="1"/>
    <col min="5" max="5" width="9.140625" style="1" customWidth="1"/>
    <col min="6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109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</row>
    <row r="6" spans="1:12" x14ac:dyDescent="0.25">
      <c r="A6" s="5" t="s">
        <v>35</v>
      </c>
      <c r="B6" s="5">
        <v>2</v>
      </c>
      <c r="C6" s="6"/>
      <c r="D6" s="74">
        <v>8800</v>
      </c>
      <c r="E6" s="74">
        <v>300</v>
      </c>
      <c r="F6" s="33">
        <v>4000</v>
      </c>
      <c r="G6" s="33">
        <f>SUM(D6:F6)</f>
        <v>13100</v>
      </c>
      <c r="H6" s="33">
        <v>4000</v>
      </c>
      <c r="I6" s="7">
        <v>500</v>
      </c>
      <c r="J6" s="7">
        <v>4500</v>
      </c>
      <c r="K6" s="6"/>
      <c r="L6" s="7">
        <f>SUM(G6-J6)</f>
        <v>8600</v>
      </c>
    </row>
    <row r="7" spans="1:12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300</v>
      </c>
      <c r="J7" s="7">
        <v>4300</v>
      </c>
      <c r="K7" s="6"/>
      <c r="L7" s="7">
        <v>300</v>
      </c>
    </row>
    <row r="8" spans="1:12" x14ac:dyDescent="0.25">
      <c r="A8" s="9" t="s">
        <v>37</v>
      </c>
      <c r="B8" s="5">
        <v>4</v>
      </c>
      <c r="C8" s="6"/>
      <c r="D8" s="74">
        <v>700</v>
      </c>
      <c r="E8" s="77">
        <v>200</v>
      </c>
      <c r="F8" s="7">
        <v>4000</v>
      </c>
      <c r="G8" s="7">
        <f>SUM(D8:F8)</f>
        <v>4900</v>
      </c>
      <c r="H8" s="7">
        <v>4000</v>
      </c>
      <c r="I8" s="7">
        <v>500</v>
      </c>
      <c r="J8" s="7">
        <v>4500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8700</v>
      </c>
      <c r="E9" s="74">
        <v>500</v>
      </c>
      <c r="F9" s="7">
        <v>4000</v>
      </c>
      <c r="G9" s="7">
        <f>SUM(D9:F9)</f>
        <v>13200</v>
      </c>
      <c r="H9" s="7">
        <v>12200</v>
      </c>
      <c r="I9" s="7">
        <v>1000</v>
      </c>
      <c r="J9" s="7">
        <v>13200</v>
      </c>
      <c r="K9" s="10"/>
      <c r="L9" s="64">
        <f>SUM(G9-J9)</f>
        <v>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2" x14ac:dyDescent="0.25">
      <c r="A11" s="5" t="s">
        <v>39</v>
      </c>
      <c r="B11" s="9">
        <v>7</v>
      </c>
      <c r="C11" s="6"/>
      <c r="D11" s="74">
        <v>6000</v>
      </c>
      <c r="E11" s="74">
        <v>200</v>
      </c>
      <c r="F11" s="7">
        <v>4000</v>
      </c>
      <c r="G11" s="7">
        <f>SUM(D11:F11)</f>
        <v>10200</v>
      </c>
      <c r="H11" s="7">
        <v>9700</v>
      </c>
      <c r="I11" s="7">
        <v>600</v>
      </c>
      <c r="J11" s="7">
        <v>10300</v>
      </c>
      <c r="K11" s="62"/>
      <c r="L11" s="64"/>
    </row>
    <row r="12" spans="1:12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>
        <v>200</v>
      </c>
      <c r="J12" s="7">
        <v>4200</v>
      </c>
      <c r="K12" s="10"/>
      <c r="L12" s="64">
        <f>SUM(G12-J12)</f>
        <v>5700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400</v>
      </c>
      <c r="J15" s="7">
        <v>2900</v>
      </c>
      <c r="K15" s="63"/>
      <c r="L15" s="62"/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2700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30200</v>
      </c>
      <c r="E17" s="71">
        <f t="shared" ref="E17:J17" si="0">SUM(E5:E16)</f>
        <v>3500</v>
      </c>
      <c r="F17" s="71">
        <f t="shared" si="0"/>
        <v>44500</v>
      </c>
      <c r="G17" s="71">
        <f t="shared" si="0"/>
        <v>78500</v>
      </c>
      <c r="H17" s="71">
        <f t="shared" si="0"/>
        <v>58400</v>
      </c>
      <c r="I17" s="78">
        <f t="shared" si="0"/>
        <v>5100</v>
      </c>
      <c r="J17" s="78">
        <f t="shared" si="0"/>
        <v>63700</v>
      </c>
      <c r="K17" s="69"/>
      <c r="L17" s="78">
        <f>SUM(L5:L16)</f>
        <v>15400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58400</v>
      </c>
    </row>
    <row r="20" spans="1:13" x14ac:dyDescent="0.25">
      <c r="A20" s="2" t="s">
        <v>104</v>
      </c>
      <c r="B20" s="2"/>
      <c r="C20" s="41">
        <f>SUM(I17)</f>
        <v>5100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63500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4088.0000000000005</v>
      </c>
    </row>
    <row r="25" spans="1:13" x14ac:dyDescent="0.25">
      <c r="A25" s="2" t="s">
        <v>94</v>
      </c>
      <c r="B25" s="2"/>
      <c r="C25" s="40">
        <v>6000</v>
      </c>
    </row>
    <row r="26" spans="1:13" x14ac:dyDescent="0.25">
      <c r="A26" s="2" t="s">
        <v>110</v>
      </c>
      <c r="B26" s="2"/>
      <c r="C26" s="40">
        <v>8300</v>
      </c>
    </row>
    <row r="27" spans="1:13" x14ac:dyDescent="0.25">
      <c r="A27" s="2" t="s">
        <v>94</v>
      </c>
      <c r="B27" s="2"/>
      <c r="C27" s="40">
        <v>28805</v>
      </c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47193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16307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  <row r="38" spans="13:13" x14ac:dyDescent="0.25">
      <c r="M38" s="1" t="s">
        <v>106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C11" sqref="C11"/>
    </sheetView>
  </sheetViews>
  <sheetFormatPr defaultColWidth="11.42578125" defaultRowHeight="15" x14ac:dyDescent="0.25"/>
  <cols>
    <col min="2" max="2" width="4.42578125" customWidth="1"/>
    <col min="5" max="5" width="9.42578125" customWidth="1"/>
    <col min="8" max="8" width="10" customWidth="1"/>
    <col min="10" max="10" width="9.5703125" customWidth="1"/>
    <col min="11" max="11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A3" s="1"/>
      <c r="B3" s="1"/>
      <c r="C3" s="44"/>
      <c r="D3" s="1"/>
      <c r="E3" s="1"/>
      <c r="F3" s="47" t="s">
        <v>111</v>
      </c>
      <c r="G3" s="46" t="s">
        <v>89</v>
      </c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  <c r="M5" s="1"/>
    </row>
    <row r="6" spans="1:13" x14ac:dyDescent="0.25">
      <c r="A6" s="5" t="s">
        <v>35</v>
      </c>
      <c r="B6" s="5">
        <v>2</v>
      </c>
      <c r="C6" s="6"/>
      <c r="D6" s="74">
        <v>8600</v>
      </c>
      <c r="E6" s="74">
        <v>300</v>
      </c>
      <c r="F6" s="33">
        <v>4000</v>
      </c>
      <c r="G6" s="33">
        <f>SUM(D6:F6)</f>
        <v>12900</v>
      </c>
      <c r="H6" s="33">
        <v>4000</v>
      </c>
      <c r="I6" s="7">
        <v>500</v>
      </c>
      <c r="J6" s="7">
        <v>4500</v>
      </c>
      <c r="K6" s="6"/>
      <c r="L6" s="7">
        <f>SUM(G6-J6)</f>
        <v>8400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600</v>
      </c>
      <c r="J7" s="7">
        <v>4600</v>
      </c>
      <c r="K7" s="6"/>
      <c r="L7" s="7"/>
      <c r="M7" s="1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500</v>
      </c>
      <c r="J8" s="7">
        <v>4500</v>
      </c>
      <c r="K8" s="6"/>
      <c r="L8" s="7">
        <v>500</v>
      </c>
      <c r="M8" s="1"/>
    </row>
    <row r="9" spans="1:13" x14ac:dyDescent="0.25">
      <c r="A9" s="9" t="s">
        <v>47</v>
      </c>
      <c r="B9" s="9">
        <v>5</v>
      </c>
      <c r="C9" s="6"/>
      <c r="D9" s="74"/>
      <c r="E9" s="74">
        <v>600</v>
      </c>
      <c r="F9" s="7">
        <v>4000</v>
      </c>
      <c r="G9" s="7">
        <f>SUM(D9:F9)</f>
        <v>4600</v>
      </c>
      <c r="H9" s="7">
        <v>4500</v>
      </c>
      <c r="I9" s="7">
        <v>500</v>
      </c>
      <c r="J9" s="7">
        <v>4500</v>
      </c>
      <c r="K9" s="10"/>
      <c r="L9" s="64">
        <f>SUM(G9-J9)</f>
        <v>100</v>
      </c>
      <c r="M9" s="1"/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>
        <v>4400</v>
      </c>
      <c r="M10" s="1"/>
    </row>
    <row r="11" spans="1:13" x14ac:dyDescent="0.25">
      <c r="A11" s="5" t="s">
        <v>39</v>
      </c>
      <c r="B11" s="9">
        <v>7</v>
      </c>
      <c r="C11" s="6"/>
      <c r="D11" s="74"/>
      <c r="E11" s="74">
        <v>400</v>
      </c>
      <c r="F11" s="7">
        <v>4000</v>
      </c>
      <c r="G11" s="7">
        <f>SUM(D11:F11)</f>
        <v>4400</v>
      </c>
      <c r="H11" s="7"/>
      <c r="I11" s="7"/>
      <c r="J11" s="7"/>
      <c r="K11" s="62"/>
      <c r="L11" s="64">
        <v>4400</v>
      </c>
      <c r="M11" s="1"/>
    </row>
    <row r="12" spans="1:13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/>
      <c r="J12" s="7">
        <v>4000</v>
      </c>
      <c r="K12" s="10"/>
      <c r="L12" s="64">
        <f>SUM(G12-J12)</f>
        <v>5900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/>
      <c r="E15" s="74">
        <v>500</v>
      </c>
      <c r="F15" s="7">
        <v>2500</v>
      </c>
      <c r="G15" s="7">
        <f>SUM(D15:F15)</f>
        <v>3000</v>
      </c>
      <c r="H15" s="7">
        <v>2500</v>
      </c>
      <c r="I15" s="7">
        <v>500</v>
      </c>
      <c r="J15" s="7">
        <v>3000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>
        <v>100</v>
      </c>
      <c r="E16" s="74">
        <v>100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15400</v>
      </c>
      <c r="E17" s="71">
        <f t="shared" ref="E17:J17" si="0">SUM(E5:E16)</f>
        <v>4000</v>
      </c>
      <c r="F17" s="71">
        <f t="shared" si="0"/>
        <v>44500</v>
      </c>
      <c r="G17" s="71">
        <f t="shared" si="0"/>
        <v>64100</v>
      </c>
      <c r="H17" s="71">
        <f t="shared" si="0"/>
        <v>41000</v>
      </c>
      <c r="I17" s="78">
        <f t="shared" si="0"/>
        <v>4400</v>
      </c>
      <c r="J17" s="78">
        <f t="shared" si="0"/>
        <v>44900</v>
      </c>
      <c r="K17" s="69"/>
      <c r="L17" s="78">
        <f>SUM(L5:L16)</f>
        <v>23700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41000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4400</v>
      </c>
      <c r="D20" s="1" t="s">
        <v>89</v>
      </c>
      <c r="E20" s="1"/>
      <c r="F20" s="1" t="s">
        <v>107</v>
      </c>
      <c r="G20" s="1"/>
      <c r="H20" s="1"/>
      <c r="I20" s="1"/>
      <c r="J20" s="1"/>
      <c r="K20" s="1"/>
      <c r="L20" s="1"/>
      <c r="M20" s="1" t="s">
        <v>91</v>
      </c>
    </row>
    <row r="21" spans="1:13" x14ac:dyDescent="0.25">
      <c r="A21" s="2" t="s">
        <v>114</v>
      </c>
      <c r="B21" s="2"/>
      <c r="C21" s="41">
        <v>16300</v>
      </c>
      <c r="D21" s="1"/>
      <c r="E21" s="1"/>
      <c r="F21" s="1"/>
      <c r="G21" s="1"/>
      <c r="H21" s="1" t="s">
        <v>108</v>
      </c>
      <c r="I21" s="1"/>
      <c r="J21" s="1"/>
      <c r="K21" s="1"/>
      <c r="L21" s="1"/>
      <c r="M21" s="1"/>
    </row>
    <row r="22" spans="1:13" ht="16.5" x14ac:dyDescent="0.35">
      <c r="A22" s="2" t="s">
        <v>62</v>
      </c>
      <c r="B22" s="2"/>
      <c r="C22" s="67">
        <f>SUM(C19:C21)</f>
        <v>61700</v>
      </c>
      <c r="D22" s="37">
        <f>SUM(C19:C21)</f>
        <v>61700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2870.0000000000005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94</v>
      </c>
      <c r="B25" s="2"/>
      <c r="C25" s="40">
        <v>26500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8500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2" t="s">
        <v>94</v>
      </c>
      <c r="B27" s="2"/>
      <c r="C27" s="40">
        <v>16300</v>
      </c>
      <c r="D27" s="1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L27" s="1"/>
      <c r="M27" s="1"/>
    </row>
    <row r="28" spans="1:13" s="1" customFormat="1" x14ac:dyDescent="0.25">
      <c r="A28" s="2" t="s">
        <v>115</v>
      </c>
      <c r="B28" s="2"/>
      <c r="C28" s="40">
        <v>6664</v>
      </c>
      <c r="E28" s="17"/>
      <c r="F28" s="2"/>
      <c r="G28" s="2"/>
      <c r="H28" s="2"/>
      <c r="I28" s="2"/>
      <c r="J28" s="2"/>
      <c r="K28" s="2"/>
    </row>
    <row r="29" spans="1:13" x14ac:dyDescent="0.25">
      <c r="A29" s="2" t="s">
        <v>56</v>
      </c>
      <c r="B29" s="2"/>
      <c r="C29" s="42">
        <f>SUM(C24:C28)</f>
        <v>60834</v>
      </c>
      <c r="D29" s="1"/>
      <c r="E29" s="1"/>
      <c r="F29" s="2"/>
      <c r="G29" s="2"/>
      <c r="H29" s="2"/>
      <c r="I29" s="2"/>
      <c r="J29" s="2"/>
      <c r="K29" s="2"/>
      <c r="L29" s="1"/>
      <c r="M29" s="1"/>
    </row>
    <row r="30" spans="1:13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  <c r="M30" s="1"/>
    </row>
    <row r="31" spans="1:13" ht="15.75" x14ac:dyDescent="0.25">
      <c r="A31" s="55" t="s">
        <v>27</v>
      </c>
      <c r="B31" s="2"/>
      <c r="C31" s="84">
        <f>SUM(C22-C29)</f>
        <v>866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9" spans="1:13" x14ac:dyDescent="0.25">
      <c r="A39" s="1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J11" sqref="J1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112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/>
      <c r="I5" s="7"/>
      <c r="J5" s="7"/>
      <c r="K5" s="6"/>
      <c r="L5" s="7">
        <v>4300</v>
      </c>
    </row>
    <row r="6" spans="1:12" x14ac:dyDescent="0.25">
      <c r="A6" s="5" t="s">
        <v>35</v>
      </c>
      <c r="B6" s="5">
        <v>2</v>
      </c>
      <c r="C6" s="6"/>
      <c r="D6" s="74">
        <v>8400</v>
      </c>
      <c r="E6" s="74">
        <v>300</v>
      </c>
      <c r="F6" s="33">
        <v>4000</v>
      </c>
      <c r="G6" s="33">
        <f>SUM(D6:F6)</f>
        <v>12700</v>
      </c>
      <c r="H6" s="33">
        <v>4000</v>
      </c>
      <c r="I6" s="7">
        <v>200</v>
      </c>
      <c r="J6" s="7">
        <v>4200</v>
      </c>
      <c r="K6" s="6"/>
      <c r="L6" s="7">
        <f>SUM(G6-J6)</f>
        <v>8500</v>
      </c>
    </row>
    <row r="7" spans="1:12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2" x14ac:dyDescent="0.25">
      <c r="A8" s="9" t="s">
        <v>37</v>
      </c>
      <c r="B8" s="5">
        <v>4</v>
      </c>
      <c r="C8" s="6"/>
      <c r="D8" s="74">
        <v>500</v>
      </c>
      <c r="E8" s="77">
        <v>200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100</v>
      </c>
      <c r="E9" s="74">
        <v>500</v>
      </c>
      <c r="F9" s="7">
        <v>4000</v>
      </c>
      <c r="G9" s="7">
        <f>SUM(D9:F9)</f>
        <v>4600</v>
      </c>
      <c r="H9" s="7"/>
      <c r="I9" s="7"/>
      <c r="J9" s="7"/>
      <c r="K9" s="10"/>
      <c r="L9" s="64">
        <f>SUM(G9-J9)</f>
        <v>4600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500</v>
      </c>
      <c r="J10" s="7">
        <v>4400</v>
      </c>
      <c r="K10" s="10"/>
      <c r="L10" s="7">
        <v>-100</v>
      </c>
    </row>
    <row r="11" spans="1:12" x14ac:dyDescent="0.25">
      <c r="A11" s="5" t="s">
        <v>39</v>
      </c>
      <c r="B11" s="9">
        <v>7</v>
      </c>
      <c r="C11" s="6"/>
      <c r="D11" s="74">
        <v>4400</v>
      </c>
      <c r="E11" s="74">
        <v>200</v>
      </c>
      <c r="F11" s="7">
        <v>4000</v>
      </c>
      <c r="G11" s="7">
        <f>SUM(D11:F11)</f>
        <v>8600</v>
      </c>
      <c r="H11" s="7">
        <v>4000</v>
      </c>
      <c r="I11" s="7">
        <v>500</v>
      </c>
      <c r="J11" s="7">
        <v>4500</v>
      </c>
      <c r="K11" s="62"/>
      <c r="L11" s="64">
        <f>SUM(G11-J11)</f>
        <v>4100</v>
      </c>
    </row>
    <row r="12" spans="1:12" x14ac:dyDescent="0.25">
      <c r="A12" s="9" t="s">
        <v>40</v>
      </c>
      <c r="B12" s="9">
        <v>8</v>
      </c>
      <c r="C12" s="6"/>
      <c r="D12" s="74">
        <v>5900</v>
      </c>
      <c r="E12" s="74">
        <v>200</v>
      </c>
      <c r="F12" s="7">
        <v>4000</v>
      </c>
      <c r="G12" s="7">
        <f>SUM(D12:F12)</f>
        <v>10100</v>
      </c>
      <c r="H12" s="7">
        <v>4000</v>
      </c>
      <c r="I12" s="7">
        <v>200</v>
      </c>
      <c r="J12" s="7">
        <v>4200</v>
      </c>
      <c r="K12" s="10"/>
      <c r="L12" s="64">
        <f>SUM(G12-J12)</f>
        <v>5900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/>
      <c r="I15" s="7"/>
      <c r="J15" s="7"/>
      <c r="K15" s="63"/>
      <c r="L15" s="96">
        <f>SUM(G15-J15)</f>
        <v>2900</v>
      </c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>
        <v>100</v>
      </c>
      <c r="J16" s="7">
        <v>2600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19300</v>
      </c>
      <c r="E17" s="71">
        <f t="shared" ref="E17:J17" si="0">SUM(E5:E16)</f>
        <v>3200</v>
      </c>
      <c r="F17" s="71">
        <f t="shared" si="0"/>
        <v>40500</v>
      </c>
      <c r="G17" s="71">
        <f t="shared" si="0"/>
        <v>63300</v>
      </c>
      <c r="H17" s="71">
        <f t="shared" si="0"/>
        <v>30000</v>
      </c>
      <c r="I17" s="78">
        <f t="shared" si="0"/>
        <v>2100</v>
      </c>
      <c r="J17" s="78">
        <f t="shared" si="0"/>
        <v>32000</v>
      </c>
      <c r="K17" s="69"/>
      <c r="L17" s="78">
        <f>SUM(L5:L16)</f>
        <v>31000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30000</v>
      </c>
    </row>
    <row r="20" spans="1:13" x14ac:dyDescent="0.25">
      <c r="A20" s="2" t="s">
        <v>104</v>
      </c>
      <c r="B20" s="2"/>
      <c r="C20" s="41">
        <f>SUM(I17)</f>
        <v>2100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32100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2100</v>
      </c>
    </row>
    <row r="25" spans="1:13" x14ac:dyDescent="0.25">
      <c r="A25" s="2" t="s">
        <v>94</v>
      </c>
      <c r="B25" s="2"/>
      <c r="C25" s="40">
        <v>30000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32100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98" zoomScaleNormal="98" workbookViewId="0">
      <selection activeCell="E31" sqref="E3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3" ht="21" x14ac:dyDescent="0.25">
      <c r="C3" s="44"/>
      <c r="F3" s="47" t="s">
        <v>113</v>
      </c>
      <c r="G3" s="46"/>
      <c r="H3" s="46"/>
      <c r="I3" s="46"/>
      <c r="J3" s="46"/>
      <c r="K3" s="44"/>
      <c r="L3" s="44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3" x14ac:dyDescent="0.25">
      <c r="A5" s="5" t="s">
        <v>75</v>
      </c>
      <c r="B5" s="5">
        <v>1</v>
      </c>
      <c r="C5" s="6" t="s">
        <v>89</v>
      </c>
      <c r="D5" s="74">
        <v>4300</v>
      </c>
      <c r="E5" s="74">
        <v>300</v>
      </c>
      <c r="F5" s="33">
        <v>4000</v>
      </c>
      <c r="G5" s="33">
        <v>8600</v>
      </c>
      <c r="H5" s="33">
        <v>8000</v>
      </c>
      <c r="I5" s="7">
        <v>800</v>
      </c>
      <c r="J5" s="7">
        <v>8800</v>
      </c>
      <c r="K5" s="6"/>
      <c r="L5" s="7">
        <f ca="1">SUM(L5:L16)</f>
        <v>369972885500</v>
      </c>
    </row>
    <row r="6" spans="1:13" x14ac:dyDescent="0.25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</row>
    <row r="7" spans="1:13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1000</v>
      </c>
      <c r="J8" s="7">
        <v>5000</v>
      </c>
      <c r="K8" s="6"/>
      <c r="L8" s="7"/>
    </row>
    <row r="9" spans="1:13" x14ac:dyDescent="0.25">
      <c r="A9" s="9" t="s">
        <v>47</v>
      </c>
      <c r="B9" s="9">
        <v>5</v>
      </c>
      <c r="C9" s="6"/>
      <c r="D9" s="74">
        <v>4600</v>
      </c>
      <c r="E9" s="74">
        <v>600</v>
      </c>
      <c r="F9" s="7">
        <v>4000</v>
      </c>
      <c r="G9" s="7">
        <f>SUM(D9:F9)</f>
        <v>9200</v>
      </c>
      <c r="H9" s="7"/>
      <c r="I9" s="7"/>
      <c r="J9" s="7"/>
      <c r="K9" s="10"/>
      <c r="L9" s="64">
        <f>SUM(G9-J9)</f>
        <v>9200</v>
      </c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3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</row>
    <row r="12" spans="1:13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>
        <f>SUM(D12:F12)</f>
        <v>9300</v>
      </c>
      <c r="H12" s="7">
        <v>9100</v>
      </c>
      <c r="I12" s="7">
        <v>200</v>
      </c>
      <c r="J12" s="7">
        <v>9300</v>
      </c>
      <c r="K12" s="10"/>
      <c r="L12" s="64">
        <f>SUM(G12-J12)</f>
        <v>0</v>
      </c>
    </row>
    <row r="13" spans="1:13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3" x14ac:dyDescent="0.25">
      <c r="A15" s="9" t="s">
        <v>57</v>
      </c>
      <c r="B15" s="5">
        <v>3</v>
      </c>
      <c r="C15" s="6"/>
      <c r="D15" s="74">
        <v>2900</v>
      </c>
      <c r="E15" s="74">
        <v>400</v>
      </c>
      <c r="F15" s="7">
        <v>2500</v>
      </c>
      <c r="G15" s="7">
        <f>SUM(D15:F15)</f>
        <v>5800</v>
      </c>
      <c r="H15" s="7">
        <v>5100</v>
      </c>
      <c r="I15" s="7">
        <v>800</v>
      </c>
      <c r="J15" s="7">
        <v>5900</v>
      </c>
      <c r="K15" s="63"/>
      <c r="L15" s="96">
        <f>SUM(G15-J15)</f>
        <v>-100</v>
      </c>
      <c r="M15" s="37"/>
    </row>
    <row r="16" spans="1:13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</row>
    <row r="17" spans="1:13" x14ac:dyDescent="0.25">
      <c r="A17" s="69"/>
      <c r="B17" s="69"/>
      <c r="C17" s="70"/>
      <c r="D17" s="71">
        <f>SUM(D5:D16)</f>
        <v>30700</v>
      </c>
      <c r="E17" s="71">
        <f t="shared" ref="E17:J17" si="0">SUM(E5:E16)</f>
        <v>3600</v>
      </c>
      <c r="F17" s="71">
        <f t="shared" si="0"/>
        <v>40500</v>
      </c>
      <c r="G17" s="71">
        <f t="shared" si="0"/>
        <v>74900</v>
      </c>
      <c r="H17" s="71">
        <f t="shared" si="0"/>
        <v>48200</v>
      </c>
      <c r="I17" s="78">
        <f t="shared" si="0"/>
        <v>4200</v>
      </c>
      <c r="J17" s="78">
        <f t="shared" si="0"/>
        <v>52400</v>
      </c>
      <c r="K17" s="69"/>
      <c r="L17" s="78">
        <f ca="1">SUM(L5:L16)</f>
        <v>369972908200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48200</v>
      </c>
      <c r="H19" s="37"/>
    </row>
    <row r="20" spans="1:13" x14ac:dyDescent="0.25">
      <c r="A20" s="2" t="s">
        <v>104</v>
      </c>
      <c r="B20" s="2"/>
      <c r="C20" s="41">
        <f>SUM(I17)</f>
        <v>4200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52400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3374.0000000000005</v>
      </c>
    </row>
    <row r="25" spans="1:13" x14ac:dyDescent="0.25">
      <c r="A25" s="2" t="s">
        <v>94</v>
      </c>
      <c r="B25" s="2"/>
      <c r="C25" s="40">
        <v>35145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38519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13881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workbookViewId="0">
      <selection activeCell="C25" sqref="C25"/>
    </sheetView>
  </sheetViews>
  <sheetFormatPr defaultRowHeight="15" x14ac:dyDescent="0.25"/>
  <cols>
    <col min="1" max="1" width="14.140625" style="1" customWidth="1"/>
    <col min="2" max="2" width="3.28515625" style="1" customWidth="1"/>
    <col min="3" max="3" width="12.4257812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26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26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26" ht="21" x14ac:dyDescent="0.25">
      <c r="C3" s="44"/>
      <c r="F3" s="47" t="s">
        <v>117</v>
      </c>
      <c r="G3" s="46"/>
      <c r="H3" s="46"/>
      <c r="I3" s="46"/>
      <c r="J3" s="46"/>
      <c r="K3" s="44"/>
      <c r="L3" s="44"/>
    </row>
    <row r="4" spans="1:2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98"/>
      <c r="N4" s="98"/>
      <c r="O4" s="98"/>
      <c r="P4" s="98"/>
      <c r="Q4" s="98"/>
      <c r="R4" s="99"/>
      <c r="S4" s="98"/>
      <c r="T4" s="98"/>
      <c r="U4" s="98"/>
      <c r="V4" s="98"/>
      <c r="W4" s="98"/>
      <c r="X4" s="100"/>
      <c r="Y4" s="98"/>
      <c r="Z4" s="100"/>
    </row>
    <row r="5" spans="1:26" x14ac:dyDescent="0.25">
      <c r="A5" s="5" t="s">
        <v>75</v>
      </c>
      <c r="B5" s="5">
        <v>1</v>
      </c>
      <c r="C5" s="6" t="s">
        <v>89</v>
      </c>
      <c r="D5" s="74"/>
      <c r="E5" s="74">
        <v>300</v>
      </c>
      <c r="F5" s="33">
        <v>4000</v>
      </c>
      <c r="G5" s="33">
        <v>4300</v>
      </c>
      <c r="H5" s="33">
        <v>4000</v>
      </c>
      <c r="I5" s="7"/>
      <c r="J5" s="7">
        <v>4000</v>
      </c>
      <c r="K5" s="6"/>
      <c r="L5" s="7">
        <v>300</v>
      </c>
      <c r="M5" s="101"/>
      <c r="N5" s="101"/>
      <c r="O5" s="101"/>
      <c r="P5" s="101"/>
      <c r="Q5" s="101"/>
      <c r="R5" s="102"/>
      <c r="S5" s="101"/>
      <c r="T5" s="101"/>
      <c r="U5" s="101"/>
      <c r="V5" s="101"/>
      <c r="W5" s="101"/>
      <c r="X5" s="103"/>
      <c r="Y5" s="101"/>
      <c r="Z5" s="103"/>
    </row>
    <row r="6" spans="1:26" ht="15.75" thickBot="1" x14ac:dyDescent="0.3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  <c r="M6" s="101"/>
      <c r="N6" s="101"/>
      <c r="O6" s="101"/>
      <c r="P6" s="101"/>
      <c r="Q6" s="101"/>
      <c r="R6" s="102"/>
      <c r="S6" s="101"/>
      <c r="T6" s="101"/>
      <c r="U6" s="101"/>
      <c r="V6" s="101"/>
      <c r="W6" s="101"/>
      <c r="X6" s="104"/>
      <c r="Y6" s="101"/>
      <c r="Z6" s="104"/>
    </row>
    <row r="7" spans="1:26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  <c r="M7" s="101"/>
      <c r="N7" s="101"/>
      <c r="O7" s="101"/>
      <c r="P7" s="101"/>
      <c r="Q7" s="101"/>
      <c r="R7" s="102"/>
      <c r="S7" s="101"/>
      <c r="T7" s="101"/>
      <c r="U7" s="101"/>
      <c r="V7" s="101"/>
      <c r="W7" s="101"/>
      <c r="X7" s="103"/>
      <c r="Y7" s="101"/>
      <c r="Z7" s="103"/>
    </row>
    <row r="8" spans="1:26" x14ac:dyDescent="0.25">
      <c r="A8" s="9" t="s">
        <v>37</v>
      </c>
      <c r="B8" s="5">
        <v>4</v>
      </c>
      <c r="C8" s="6"/>
      <c r="D8" s="74"/>
      <c r="E8" s="77">
        <v>300</v>
      </c>
      <c r="F8" s="7">
        <v>4000</v>
      </c>
      <c r="G8" s="7">
        <f>SUM(D8:F8)</f>
        <v>4300</v>
      </c>
      <c r="H8" s="7">
        <v>4000</v>
      </c>
      <c r="I8" s="7"/>
      <c r="J8" s="7">
        <v>4000</v>
      </c>
      <c r="K8" s="6"/>
      <c r="L8" s="7">
        <v>300</v>
      </c>
      <c r="M8" s="98"/>
      <c r="N8" s="98"/>
      <c r="O8" s="98"/>
      <c r="P8" s="98"/>
      <c r="Q8" s="98"/>
      <c r="R8" s="99"/>
      <c r="S8" s="98"/>
      <c r="T8" s="98"/>
      <c r="U8" s="98"/>
      <c r="V8" s="98"/>
      <c r="W8" s="98"/>
      <c r="X8" s="100"/>
      <c r="Y8" s="98"/>
      <c r="Z8" s="100"/>
    </row>
    <row r="9" spans="1:26" x14ac:dyDescent="0.25">
      <c r="A9" s="9" t="s">
        <v>47</v>
      </c>
      <c r="B9" s="9">
        <v>5</v>
      </c>
      <c r="C9" s="6"/>
      <c r="D9" s="74">
        <v>9200</v>
      </c>
      <c r="E9" s="74">
        <v>500</v>
      </c>
      <c r="F9" s="7">
        <v>4000</v>
      </c>
      <c r="G9" s="7">
        <f>SUM(D9:F9)</f>
        <v>13700</v>
      </c>
      <c r="H9" s="7">
        <v>5000</v>
      </c>
      <c r="I9" s="7"/>
      <c r="J9" s="7">
        <v>5000</v>
      </c>
      <c r="K9" s="10"/>
      <c r="L9" s="64">
        <f>SUM(G9-J9)</f>
        <v>8700</v>
      </c>
      <c r="M9" s="101"/>
      <c r="N9" s="101"/>
      <c r="O9" s="101"/>
      <c r="P9" s="101"/>
      <c r="Q9" s="101"/>
      <c r="R9" s="102"/>
      <c r="S9" s="101"/>
      <c r="T9" s="101"/>
      <c r="U9" s="101"/>
      <c r="V9" s="101"/>
      <c r="W9" s="101"/>
      <c r="X9" s="103"/>
      <c r="Y9" s="101"/>
      <c r="Z9" s="103"/>
    </row>
    <row r="10" spans="1:26" ht="15.75" thickBot="1" x14ac:dyDescent="0.3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  <c r="M10" s="101"/>
      <c r="N10" s="101"/>
      <c r="O10" s="101"/>
      <c r="P10" s="101"/>
      <c r="Q10" s="101"/>
      <c r="R10" s="102"/>
      <c r="S10" s="101"/>
      <c r="T10" s="101"/>
      <c r="U10" s="101"/>
      <c r="V10" s="101"/>
      <c r="W10" s="101"/>
      <c r="X10" s="104"/>
      <c r="Y10" s="101"/>
      <c r="Z10" s="104"/>
    </row>
    <row r="11" spans="1:26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  <c r="M11" s="101"/>
      <c r="N11" s="101"/>
      <c r="O11" s="101"/>
      <c r="P11" s="101"/>
      <c r="Q11" s="101"/>
      <c r="R11" s="102"/>
      <c r="S11" s="101"/>
      <c r="T11" s="101"/>
      <c r="U11" s="101"/>
      <c r="V11" s="101"/>
      <c r="W11" s="101"/>
      <c r="X11" s="103"/>
      <c r="Y11" s="101"/>
      <c r="Z11" s="103"/>
    </row>
    <row r="12" spans="1:26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/>
      <c r="H12" s="7">
        <v>6000</v>
      </c>
      <c r="I12" s="7"/>
      <c r="J12" s="7">
        <v>6000</v>
      </c>
      <c r="K12" s="10"/>
      <c r="L12" s="64">
        <f>SUM(G12-J12)</f>
        <v>-6000</v>
      </c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100"/>
      <c r="Y12" s="98"/>
      <c r="Z12" s="100"/>
    </row>
    <row r="13" spans="1:26" ht="15.75" thickBot="1" x14ac:dyDescent="0.3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  <c r="M13" s="97"/>
      <c r="N13" s="101"/>
      <c r="O13" s="101"/>
      <c r="P13" s="101"/>
      <c r="Q13" s="101"/>
      <c r="R13" s="102"/>
      <c r="S13" s="101"/>
      <c r="T13" s="101"/>
      <c r="U13" s="101"/>
      <c r="V13" s="101"/>
      <c r="W13" s="101"/>
      <c r="X13" s="104"/>
      <c r="Y13" s="101"/>
      <c r="Z13" s="104"/>
    </row>
    <row r="14" spans="1:26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01"/>
      <c r="N14" s="101"/>
      <c r="O14" s="101"/>
      <c r="P14" s="101"/>
      <c r="Q14" s="101"/>
      <c r="R14" s="102"/>
      <c r="S14" s="101"/>
      <c r="T14" s="101"/>
      <c r="U14" s="101"/>
      <c r="V14" s="101"/>
      <c r="W14" s="101"/>
      <c r="X14" s="103"/>
      <c r="Y14" s="101"/>
      <c r="Z14" s="103"/>
    </row>
    <row r="15" spans="1:26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300</v>
      </c>
      <c r="J15" s="7">
        <v>2800</v>
      </c>
      <c r="K15" s="63"/>
      <c r="L15" s="96">
        <f>SUM(G15-J15)</f>
        <v>100</v>
      </c>
      <c r="M15" s="98"/>
      <c r="N15" s="98"/>
      <c r="O15" s="98"/>
      <c r="P15" s="98"/>
      <c r="Q15" s="98"/>
      <c r="R15" s="99"/>
      <c r="S15" s="98"/>
      <c r="T15" s="98"/>
      <c r="U15" s="98"/>
      <c r="V15" s="98"/>
      <c r="W15" s="98"/>
      <c r="X15" s="100"/>
      <c r="Y15" s="98"/>
      <c r="Z15" s="100"/>
    </row>
    <row r="16" spans="1:26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  <c r="M16" s="101"/>
      <c r="N16" s="101"/>
      <c r="O16" s="101"/>
      <c r="P16" s="101"/>
      <c r="Q16" s="101"/>
      <c r="R16" s="102"/>
      <c r="S16" s="101"/>
      <c r="T16" s="101"/>
      <c r="U16" s="101"/>
      <c r="V16" s="101"/>
      <c r="W16" s="101"/>
      <c r="X16" s="103"/>
      <c r="Y16" s="101"/>
      <c r="Z16" s="103"/>
    </row>
    <row r="17" spans="1:26" ht="15.75" thickBot="1" x14ac:dyDescent="0.3">
      <c r="A17" s="69"/>
      <c r="B17" s="69"/>
      <c r="C17" s="70"/>
      <c r="D17" s="71">
        <f>SUM(D5:D16)</f>
        <v>27400</v>
      </c>
      <c r="E17" s="71">
        <f t="shared" ref="E17:J17" si="0">SUM(E5:E16)</f>
        <v>3500</v>
      </c>
      <c r="F17" s="71">
        <f t="shared" si="0"/>
        <v>40500</v>
      </c>
      <c r="G17" s="71">
        <f t="shared" si="0"/>
        <v>62200</v>
      </c>
      <c r="H17" s="71">
        <f t="shared" si="0"/>
        <v>43500</v>
      </c>
      <c r="I17" s="78">
        <f t="shared" si="0"/>
        <v>1700</v>
      </c>
      <c r="J17" s="78">
        <f t="shared" si="0"/>
        <v>45200</v>
      </c>
      <c r="K17" s="69"/>
      <c r="L17" s="78">
        <f>SUM(L5:L16)</f>
        <v>17000</v>
      </c>
      <c r="M17" s="101"/>
      <c r="N17" s="101"/>
      <c r="O17" s="101"/>
      <c r="P17" s="101"/>
      <c r="Q17" s="101"/>
      <c r="R17" s="102"/>
      <c r="S17" s="101"/>
      <c r="T17" s="101"/>
      <c r="U17" s="101"/>
      <c r="V17" s="101"/>
      <c r="W17" s="101"/>
      <c r="X17" s="104"/>
      <c r="Y17" s="101"/>
      <c r="Z17" s="104"/>
    </row>
    <row r="18" spans="1:26" x14ac:dyDescent="0.25">
      <c r="A18" s="68" t="s">
        <v>30</v>
      </c>
      <c r="G18" s="37"/>
      <c r="H18" s="37"/>
      <c r="M18" s="101"/>
      <c r="N18" s="101"/>
      <c r="O18" s="101"/>
      <c r="P18" s="101"/>
      <c r="Q18" s="101"/>
      <c r="R18" s="102"/>
      <c r="S18" s="101"/>
      <c r="T18" s="101"/>
      <c r="U18" s="101"/>
      <c r="V18" s="101"/>
      <c r="W18" s="101"/>
      <c r="X18" s="103"/>
      <c r="Y18" s="101"/>
      <c r="Z18" s="103"/>
    </row>
    <row r="19" spans="1:26" x14ac:dyDescent="0.25">
      <c r="A19" s="2" t="s">
        <v>84</v>
      </c>
      <c r="C19" s="36">
        <f>SUM(H17)</f>
        <v>43500</v>
      </c>
      <c r="H19" s="37"/>
      <c r="M19" s="98"/>
      <c r="N19" s="98"/>
      <c r="O19" s="98"/>
      <c r="P19" s="98"/>
      <c r="Q19" s="98"/>
      <c r="R19" s="99"/>
      <c r="S19" s="98"/>
      <c r="T19" s="98"/>
      <c r="U19" s="98"/>
      <c r="V19" s="98"/>
      <c r="W19" s="98"/>
      <c r="X19" s="100"/>
      <c r="Y19" s="98"/>
      <c r="Z19" s="100"/>
    </row>
    <row r="20" spans="1:26" x14ac:dyDescent="0.25">
      <c r="A20" s="2" t="s">
        <v>104</v>
      </c>
      <c r="B20" s="2"/>
      <c r="C20" s="41">
        <f>SUM(I17)</f>
        <v>1700</v>
      </c>
      <c r="F20" s="1" t="s">
        <v>107</v>
      </c>
      <c r="M20" s="101"/>
      <c r="N20" s="101"/>
      <c r="O20" s="101"/>
      <c r="P20" s="101"/>
      <c r="Q20" s="101"/>
      <c r="R20" s="102"/>
      <c r="S20" s="101"/>
      <c r="T20" s="101"/>
      <c r="U20" s="101"/>
      <c r="V20" s="101"/>
      <c r="W20" s="101"/>
      <c r="X20" s="103"/>
      <c r="Y20" s="101"/>
      <c r="Z20" s="103"/>
    </row>
    <row r="21" spans="1:26" ht="15.75" thickBot="1" x14ac:dyDescent="0.3">
      <c r="A21" s="2" t="s">
        <v>118</v>
      </c>
      <c r="B21" s="2"/>
      <c r="C21" s="41">
        <v>4000</v>
      </c>
      <c r="H21" s="1" t="s">
        <v>108</v>
      </c>
      <c r="M21" s="101"/>
      <c r="N21" s="101"/>
      <c r="O21" s="101"/>
      <c r="P21" s="101"/>
      <c r="Q21" s="101"/>
      <c r="R21" s="102"/>
      <c r="S21" s="101"/>
      <c r="T21" s="101"/>
      <c r="U21" s="101"/>
      <c r="V21" s="101"/>
      <c r="W21" s="101"/>
      <c r="X21" s="104"/>
      <c r="Y21" s="101"/>
      <c r="Z21" s="104"/>
    </row>
    <row r="22" spans="1:26" ht="16.5" x14ac:dyDescent="0.35">
      <c r="A22" s="2" t="s">
        <v>62</v>
      </c>
      <c r="B22" s="2"/>
      <c r="C22" s="67">
        <f>SUM(C19:C21)</f>
        <v>49200</v>
      </c>
      <c r="M22" s="101"/>
      <c r="N22" s="101"/>
      <c r="O22" s="101"/>
      <c r="P22" s="101"/>
      <c r="Q22" s="101"/>
      <c r="R22" s="102"/>
      <c r="S22" s="101"/>
      <c r="T22" s="101"/>
      <c r="U22" s="101"/>
      <c r="V22" s="101"/>
      <c r="W22" s="101"/>
      <c r="X22" s="103"/>
      <c r="Y22" s="101"/>
      <c r="Z22" s="103"/>
    </row>
    <row r="23" spans="1:26" x14ac:dyDescent="0.25">
      <c r="A23" s="45" t="s">
        <v>29</v>
      </c>
      <c r="B23" s="2"/>
      <c r="C23" s="3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100"/>
      <c r="Y23" s="98"/>
      <c r="Z23" s="100"/>
    </row>
    <row r="24" spans="1:26" x14ac:dyDescent="0.25">
      <c r="A24" s="2" t="s">
        <v>26</v>
      </c>
      <c r="B24" s="2"/>
      <c r="C24" s="40">
        <f>SUM(C19*7%)</f>
        <v>3045.0000000000005</v>
      </c>
      <c r="M24" s="101"/>
      <c r="N24" s="101"/>
      <c r="O24" s="101"/>
      <c r="P24" s="101"/>
      <c r="Q24" s="101"/>
      <c r="R24" s="102"/>
      <c r="S24" s="101"/>
      <c r="T24" s="101"/>
      <c r="U24" s="101"/>
      <c r="V24" s="101"/>
      <c r="W24" s="101"/>
      <c r="X24" s="103"/>
      <c r="Y24" s="101"/>
      <c r="Z24" s="103"/>
    </row>
    <row r="25" spans="1:26" ht="15.75" thickBot="1" x14ac:dyDescent="0.3">
      <c r="A25" s="2" t="s">
        <v>94</v>
      </c>
      <c r="B25" s="2"/>
      <c r="C25" s="40">
        <v>35145</v>
      </c>
      <c r="M25" s="101"/>
      <c r="N25" s="101"/>
      <c r="O25" s="101"/>
      <c r="P25" s="101"/>
      <c r="Q25" s="101"/>
      <c r="R25" s="102"/>
      <c r="S25" s="101"/>
      <c r="T25" s="101"/>
      <c r="U25" s="101"/>
      <c r="V25" s="101"/>
      <c r="W25" s="101"/>
      <c r="X25" s="104"/>
      <c r="Y25" s="101"/>
      <c r="Z25" s="104"/>
    </row>
    <row r="26" spans="1:26" x14ac:dyDescent="0.25">
      <c r="A26" s="2" t="s">
        <v>110</v>
      </c>
      <c r="B26" s="2"/>
      <c r="C26" s="40"/>
      <c r="M26" s="101"/>
      <c r="N26" s="101"/>
      <c r="O26" s="101"/>
      <c r="P26" s="101"/>
      <c r="Q26" s="101"/>
      <c r="R26" s="102"/>
      <c r="S26" s="101"/>
      <c r="T26" s="101"/>
      <c r="U26" s="101"/>
      <c r="V26" s="101"/>
      <c r="W26" s="101"/>
      <c r="X26" s="103"/>
      <c r="Y26" s="101"/>
      <c r="Z26" s="103"/>
    </row>
    <row r="27" spans="1:26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100"/>
      <c r="Y27" s="98"/>
      <c r="Z27" s="100"/>
    </row>
    <row r="28" spans="1:26" x14ac:dyDescent="0.25">
      <c r="A28" s="2" t="s">
        <v>56</v>
      </c>
      <c r="B28" s="2"/>
      <c r="C28" s="42">
        <f>SUM(C24:C27)</f>
        <v>38190</v>
      </c>
      <c r="F28" s="2"/>
      <c r="G28" s="2"/>
      <c r="H28" s="2"/>
      <c r="I28" s="2"/>
      <c r="J28" s="2"/>
      <c r="K28" s="2"/>
      <c r="M28" s="101"/>
      <c r="N28" s="101"/>
      <c r="O28" s="101"/>
      <c r="P28" s="101"/>
      <c r="Q28" s="101"/>
      <c r="R28" s="102"/>
      <c r="S28" s="101"/>
      <c r="T28" s="101"/>
      <c r="U28" s="101"/>
      <c r="V28" s="101"/>
      <c r="W28" s="101"/>
      <c r="X28" s="103"/>
      <c r="Y28" s="101"/>
      <c r="Z28" s="103"/>
    </row>
    <row r="29" spans="1:26" ht="15.75" thickBot="1" x14ac:dyDescent="0.3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  <c r="M29" s="101"/>
      <c r="N29" s="101"/>
      <c r="O29" s="101"/>
      <c r="P29" s="101"/>
      <c r="Q29" s="101"/>
      <c r="R29" s="102"/>
      <c r="S29" s="101"/>
      <c r="T29" s="101"/>
      <c r="U29" s="101"/>
      <c r="V29" s="101"/>
      <c r="W29" s="101"/>
      <c r="X29" s="104"/>
      <c r="Y29" s="101"/>
      <c r="Z29" s="104"/>
    </row>
    <row r="30" spans="1:26" ht="15.75" x14ac:dyDescent="0.25">
      <c r="A30" s="55" t="s">
        <v>27</v>
      </c>
      <c r="B30" s="2"/>
      <c r="C30" s="84">
        <f>SUM(C22-C28)</f>
        <v>11010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  <c r="M30" s="101"/>
      <c r="N30" s="101"/>
      <c r="O30" s="101"/>
      <c r="P30" s="101"/>
      <c r="Q30" s="101"/>
      <c r="R30" s="102"/>
      <c r="S30" s="101"/>
      <c r="T30" s="101"/>
      <c r="U30" s="101"/>
      <c r="V30" s="101"/>
      <c r="W30" s="101"/>
      <c r="X30" s="103"/>
      <c r="Y30" s="101"/>
      <c r="Z30" s="103"/>
    </row>
    <row r="31" spans="1:26" x14ac:dyDescent="0.25"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100"/>
      <c r="Y31" s="98"/>
      <c r="Z31" s="100"/>
    </row>
    <row r="32" spans="1:26" x14ac:dyDescent="0.25">
      <c r="M32" s="101"/>
      <c r="N32" s="101"/>
      <c r="O32" s="101"/>
      <c r="P32" s="101"/>
      <c r="Q32" s="101"/>
      <c r="R32" s="102"/>
      <c r="S32" s="101"/>
      <c r="T32" s="101"/>
      <c r="U32" s="101"/>
      <c r="V32" s="101"/>
      <c r="W32" s="101"/>
      <c r="X32" s="103"/>
      <c r="Y32" s="101"/>
      <c r="Z32" s="103"/>
    </row>
    <row r="33" spans="13:26" x14ac:dyDescent="0.25">
      <c r="M33" s="101"/>
      <c r="N33" s="101"/>
      <c r="O33" s="101"/>
      <c r="P33" s="101"/>
      <c r="Q33" s="101"/>
      <c r="R33" s="102"/>
      <c r="S33" s="101"/>
      <c r="T33" s="101"/>
      <c r="U33" s="101"/>
      <c r="V33" s="101"/>
      <c r="W33" s="101"/>
      <c r="X33" s="103"/>
      <c r="Y33" s="101"/>
      <c r="Z33" s="103"/>
    </row>
    <row r="34" spans="13:26" ht="15.75" thickBot="1" x14ac:dyDescent="0.3">
      <c r="M34" s="101"/>
      <c r="N34" s="101"/>
      <c r="O34" s="101"/>
      <c r="P34" s="101"/>
      <c r="Q34" s="101"/>
      <c r="R34" s="102"/>
      <c r="S34" s="101"/>
      <c r="T34" s="101"/>
      <c r="U34" s="101"/>
      <c r="V34" s="101"/>
      <c r="W34" s="101"/>
      <c r="X34" s="104"/>
      <c r="Y34" s="101"/>
      <c r="Z34" s="104"/>
    </row>
    <row r="35" spans="13:26" x14ac:dyDescent="0.25">
      <c r="M35" s="101"/>
      <c r="N35" s="101"/>
      <c r="O35" s="101"/>
      <c r="P35" s="101"/>
      <c r="Q35" s="101"/>
      <c r="R35" s="102"/>
      <c r="S35" s="101"/>
      <c r="T35" s="101"/>
      <c r="U35" s="101"/>
      <c r="V35" s="101"/>
      <c r="W35" s="101"/>
      <c r="X35" s="103"/>
      <c r="Y35" s="101"/>
      <c r="Z35" s="103"/>
    </row>
    <row r="36" spans="13:26" x14ac:dyDescent="0.25">
      <c r="M36" s="98"/>
      <c r="N36" s="98"/>
      <c r="O36" s="98"/>
      <c r="P36" s="98"/>
      <c r="Q36" s="98"/>
      <c r="R36" s="99"/>
      <c r="S36" s="98"/>
      <c r="T36" s="98"/>
      <c r="U36" s="98"/>
      <c r="V36" s="98"/>
      <c r="W36" s="98"/>
      <c r="X36" s="100"/>
      <c r="Y36" s="98"/>
      <c r="Z36" s="100"/>
    </row>
    <row r="37" spans="13:26" x14ac:dyDescent="0.25">
      <c r="M37" s="101"/>
      <c r="N37" s="101"/>
      <c r="O37" s="101"/>
      <c r="P37" s="101"/>
      <c r="Q37" s="101"/>
      <c r="R37" s="102"/>
      <c r="S37" s="101"/>
      <c r="T37" s="101"/>
      <c r="U37" s="101"/>
      <c r="V37" s="101"/>
      <c r="W37" s="101"/>
      <c r="X37" s="103"/>
      <c r="Y37" s="101"/>
      <c r="Z37" s="103"/>
    </row>
    <row r="38" spans="13:26" ht="15.75" thickBot="1" x14ac:dyDescent="0.3">
      <c r="M38" s="101"/>
      <c r="N38" s="101"/>
      <c r="O38" s="101"/>
      <c r="P38" s="101"/>
      <c r="Q38" s="101"/>
      <c r="R38" s="102"/>
      <c r="S38" s="101"/>
      <c r="T38" s="101"/>
      <c r="U38" s="101"/>
      <c r="V38" s="101"/>
      <c r="W38" s="101"/>
      <c r="X38" s="104"/>
      <c r="Y38" s="101"/>
      <c r="Z38" s="104"/>
    </row>
    <row r="39" spans="13:26" x14ac:dyDescent="0.25">
      <c r="M39" s="101"/>
      <c r="N39" s="101"/>
      <c r="O39" s="101"/>
      <c r="P39" s="101"/>
      <c r="Q39" s="101"/>
      <c r="R39" s="102"/>
      <c r="S39" s="101"/>
      <c r="T39" s="101"/>
      <c r="U39" s="101"/>
      <c r="V39" s="101"/>
      <c r="W39" s="101"/>
      <c r="X39" s="103"/>
      <c r="Y39" s="101"/>
      <c r="Z39" s="103"/>
    </row>
    <row r="40" spans="13:26" x14ac:dyDescent="0.25"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100"/>
      <c r="Y40" s="98"/>
      <c r="Z40" s="100"/>
    </row>
    <row r="41" spans="13:26" x14ac:dyDescent="0.25">
      <c r="M41" s="101"/>
      <c r="N41" s="101"/>
      <c r="O41" s="101"/>
      <c r="P41" s="101"/>
      <c r="Q41" s="101"/>
      <c r="R41" s="102"/>
      <c r="S41" s="101"/>
      <c r="T41" s="101"/>
      <c r="U41" s="101"/>
      <c r="V41" s="101"/>
      <c r="W41" s="101"/>
      <c r="X41" s="103"/>
      <c r="Y41" s="101"/>
      <c r="Z41" s="103"/>
    </row>
    <row r="42" spans="13:26" ht="15.75" thickBot="1" x14ac:dyDescent="0.3">
      <c r="M42" s="101"/>
      <c r="N42" s="101"/>
      <c r="O42" s="101"/>
      <c r="P42" s="101"/>
      <c r="Q42" s="101"/>
      <c r="R42" s="102"/>
      <c r="S42" s="101"/>
      <c r="T42" s="101"/>
      <c r="U42" s="101"/>
      <c r="V42" s="101"/>
      <c r="W42" s="101"/>
      <c r="X42" s="104"/>
      <c r="Y42" s="101"/>
      <c r="Z42" s="104"/>
    </row>
    <row r="43" spans="13:26" x14ac:dyDescent="0.25">
      <c r="M43" s="101"/>
      <c r="N43" s="101"/>
      <c r="O43" s="101"/>
      <c r="P43" s="101"/>
      <c r="Q43" s="101"/>
      <c r="R43" s="102"/>
      <c r="S43" s="101"/>
      <c r="T43" s="101"/>
      <c r="U43" s="101"/>
      <c r="V43" s="101"/>
      <c r="W43" s="101"/>
      <c r="X43" s="103"/>
      <c r="Y43" s="101"/>
      <c r="Z43" s="103"/>
    </row>
    <row r="44" spans="13:26" x14ac:dyDescent="0.25"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100"/>
      <c r="Y44" s="98"/>
      <c r="Z44" s="100"/>
    </row>
    <row r="45" spans="13:26" x14ac:dyDescent="0.25">
      <c r="M45" s="101"/>
      <c r="N45" s="101"/>
      <c r="O45" s="101"/>
      <c r="P45" s="101"/>
      <c r="Q45" s="101"/>
      <c r="R45" s="102"/>
      <c r="S45" s="101"/>
      <c r="T45" s="101"/>
      <c r="U45" s="101"/>
      <c r="V45" s="101"/>
      <c r="W45" s="101"/>
      <c r="X45" s="103"/>
      <c r="Y45" s="101"/>
      <c r="Z45" s="103"/>
    </row>
    <row r="46" spans="13:26" ht="15.75" thickBot="1" x14ac:dyDescent="0.3">
      <c r="M46" s="101"/>
      <c r="N46" s="101"/>
      <c r="O46" s="101"/>
      <c r="P46" s="101"/>
      <c r="Q46" s="101"/>
      <c r="R46" s="102"/>
      <c r="S46" s="101"/>
      <c r="T46" s="101"/>
      <c r="U46" s="101"/>
      <c r="V46" s="101"/>
      <c r="W46" s="101"/>
      <c r="X46" s="104"/>
      <c r="Y46" s="101"/>
      <c r="Z46" s="104"/>
    </row>
    <row r="47" spans="13:26" x14ac:dyDescent="0.25">
      <c r="M47" s="101"/>
      <c r="N47" s="101"/>
      <c r="O47" s="101"/>
      <c r="P47" s="101"/>
      <c r="Q47" s="101"/>
      <c r="R47" s="102"/>
      <c r="S47" s="101"/>
      <c r="T47" s="101"/>
      <c r="U47" s="101"/>
      <c r="V47" s="101"/>
      <c r="W47" s="101"/>
      <c r="X47" s="103"/>
      <c r="Y47" s="101"/>
      <c r="Z47" s="103"/>
    </row>
    <row r="48" spans="13:26" x14ac:dyDescent="0.25">
      <c r="M48" s="98"/>
      <c r="N48" s="98"/>
      <c r="O48" s="98"/>
      <c r="P48" s="98"/>
      <c r="Q48" s="98"/>
      <c r="R48" s="99"/>
      <c r="S48" s="98"/>
      <c r="T48" s="98"/>
      <c r="U48" s="98"/>
      <c r="V48" s="98"/>
      <c r="W48" s="98"/>
      <c r="X48" s="100"/>
      <c r="Y48" s="98"/>
      <c r="Z48" s="100"/>
    </row>
    <row r="49" spans="13:26" x14ac:dyDescent="0.25">
      <c r="M49" s="101"/>
      <c r="N49" s="101"/>
      <c r="O49" s="101"/>
      <c r="P49" s="101"/>
      <c r="Q49" s="101"/>
      <c r="R49" s="102"/>
      <c r="S49" s="101"/>
      <c r="T49" s="101"/>
      <c r="U49" s="101"/>
      <c r="V49" s="101"/>
      <c r="W49" s="101"/>
      <c r="X49" s="103"/>
      <c r="Y49" s="101"/>
      <c r="Z49" s="103"/>
    </row>
    <row r="50" spans="13:26" ht="15.75" thickBot="1" x14ac:dyDescent="0.3">
      <c r="M50" s="101"/>
      <c r="N50" s="101"/>
      <c r="O50" s="101"/>
      <c r="P50" s="101"/>
      <c r="Q50" s="101"/>
      <c r="R50" s="102"/>
      <c r="S50" s="101"/>
      <c r="T50" s="101"/>
      <c r="U50" s="101"/>
      <c r="V50" s="101"/>
      <c r="W50" s="101"/>
      <c r="X50" s="104"/>
      <c r="Y50" s="101"/>
      <c r="Z50" s="104"/>
    </row>
    <row r="51" spans="13:26" x14ac:dyDescent="0.25">
      <c r="M51" s="101"/>
      <c r="N51" s="101"/>
      <c r="O51" s="101"/>
      <c r="P51" s="101"/>
      <c r="Q51" s="101"/>
      <c r="R51" s="102"/>
      <c r="S51" s="101"/>
      <c r="T51" s="101"/>
      <c r="U51" s="101"/>
      <c r="V51" s="101"/>
      <c r="W51" s="101"/>
      <c r="X51" s="103"/>
      <c r="Y51" s="101"/>
      <c r="Z51" s="103"/>
    </row>
    <row r="52" spans="13:26" x14ac:dyDescent="0.25"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100"/>
      <c r="Y52" s="98"/>
      <c r="Z52" s="100"/>
    </row>
    <row r="53" spans="13:26" x14ac:dyDescent="0.25">
      <c r="M53" s="101"/>
      <c r="N53" s="101"/>
      <c r="O53" s="101"/>
      <c r="P53" s="101"/>
      <c r="Q53" s="101"/>
      <c r="R53" s="102"/>
      <c r="S53" s="101"/>
      <c r="T53" s="101"/>
      <c r="U53" s="101"/>
      <c r="V53" s="101"/>
      <c r="W53" s="101"/>
      <c r="X53" s="103"/>
      <c r="Y53" s="101"/>
      <c r="Z53" s="103"/>
    </row>
    <row r="54" spans="13:26" ht="15.75" thickBot="1" x14ac:dyDescent="0.3">
      <c r="M54" s="101"/>
      <c r="N54" s="101"/>
      <c r="O54" s="101"/>
      <c r="P54" s="101"/>
      <c r="Q54" s="101"/>
      <c r="R54" s="102"/>
      <c r="S54" s="101"/>
      <c r="T54" s="101"/>
      <c r="U54" s="101"/>
      <c r="V54" s="101"/>
      <c r="W54" s="101"/>
      <c r="X54" s="104"/>
      <c r="Y54" s="101"/>
      <c r="Z54" s="104"/>
    </row>
    <row r="55" spans="13:26" x14ac:dyDescent="0.25">
      <c r="M55" s="101"/>
      <c r="N55" s="101"/>
      <c r="O55" s="101"/>
      <c r="P55" s="101"/>
      <c r="Q55" s="101"/>
      <c r="R55" s="102"/>
      <c r="S55" s="101"/>
      <c r="T55" s="101"/>
      <c r="U55" s="101"/>
      <c r="V55" s="101"/>
      <c r="W55" s="101"/>
      <c r="X55" s="103"/>
      <c r="Y55" s="101"/>
      <c r="Z55" s="103"/>
    </row>
    <row r="56" spans="13:26" x14ac:dyDescent="0.25"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100"/>
      <c r="Y56" s="98"/>
      <c r="Z56" s="100"/>
    </row>
    <row r="57" spans="13:26" x14ac:dyDescent="0.25">
      <c r="M57" s="101"/>
      <c r="N57" s="101"/>
      <c r="O57" s="101"/>
      <c r="P57" s="101"/>
      <c r="Q57" s="101"/>
      <c r="R57" s="102"/>
      <c r="S57" s="101"/>
      <c r="T57" s="101"/>
      <c r="U57" s="101"/>
      <c r="V57" s="101"/>
      <c r="W57" s="101"/>
      <c r="X57" s="103"/>
      <c r="Y57" s="101"/>
      <c r="Z57" s="103"/>
    </row>
    <row r="58" spans="13:26" ht="15.75" thickBot="1" x14ac:dyDescent="0.3">
      <c r="M58" s="101"/>
      <c r="N58" s="101"/>
      <c r="O58" s="101"/>
      <c r="P58" s="101"/>
      <c r="Q58" s="101"/>
      <c r="R58" s="102"/>
      <c r="S58" s="101"/>
      <c r="T58" s="101"/>
      <c r="U58" s="101"/>
      <c r="V58" s="101"/>
      <c r="W58" s="101"/>
      <c r="X58" s="104"/>
      <c r="Y58" s="101"/>
      <c r="Z58" s="104"/>
    </row>
    <row r="59" spans="13:26" x14ac:dyDescent="0.25">
      <c r="M59" s="101"/>
      <c r="N59" s="101"/>
      <c r="O59" s="101"/>
      <c r="P59" s="101"/>
      <c r="Q59" s="101"/>
      <c r="R59" s="102"/>
      <c r="S59" s="101"/>
      <c r="T59" s="101"/>
      <c r="U59" s="101"/>
      <c r="V59" s="101"/>
      <c r="W59" s="101"/>
      <c r="X59" s="103"/>
      <c r="Y59" s="101"/>
      <c r="Z59" s="103"/>
    </row>
    <row r="60" spans="13:26" x14ac:dyDescent="0.25"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100"/>
      <c r="Y60" s="98"/>
      <c r="Z60" s="100"/>
    </row>
    <row r="61" spans="13:26" x14ac:dyDescent="0.25">
      <c r="M61" s="101"/>
      <c r="N61" s="101"/>
      <c r="O61" s="101"/>
      <c r="P61" s="101"/>
      <c r="Q61" s="101"/>
      <c r="R61" s="102"/>
      <c r="S61" s="101"/>
      <c r="T61" s="101"/>
      <c r="U61" s="101"/>
      <c r="V61" s="101"/>
      <c r="W61" s="101"/>
      <c r="X61" s="103"/>
      <c r="Y61" s="101"/>
      <c r="Z61" s="103"/>
    </row>
    <row r="62" spans="13:26" x14ac:dyDescent="0.25">
      <c r="M62" s="101"/>
      <c r="N62" s="101"/>
      <c r="O62" s="101"/>
      <c r="P62" s="101"/>
      <c r="Q62" s="101"/>
      <c r="R62" s="102"/>
      <c r="S62" s="101"/>
      <c r="T62" s="101"/>
      <c r="U62" s="101"/>
      <c r="V62" s="101"/>
      <c r="W62" s="101"/>
      <c r="X62" s="103"/>
      <c r="Y62" s="101"/>
      <c r="Z62" s="103"/>
    </row>
    <row r="63" spans="13:26" ht="15.75" thickBot="1" x14ac:dyDescent="0.3">
      <c r="M63" s="101"/>
      <c r="N63" s="101"/>
      <c r="O63" s="101"/>
      <c r="P63" s="101"/>
      <c r="Q63" s="101"/>
      <c r="R63" s="102"/>
      <c r="S63" s="101"/>
      <c r="T63" s="101"/>
      <c r="U63" s="101"/>
      <c r="V63" s="101"/>
      <c r="W63" s="101"/>
      <c r="X63" s="104"/>
      <c r="Y63" s="101"/>
      <c r="Z63" s="104"/>
    </row>
    <row r="64" spans="13:26" x14ac:dyDescent="0.25">
      <c r="M64" s="101"/>
      <c r="N64" s="101"/>
      <c r="O64" s="101"/>
      <c r="P64" s="101"/>
      <c r="Q64" s="101"/>
      <c r="R64" s="102"/>
      <c r="S64" s="101"/>
      <c r="T64" s="101"/>
      <c r="U64" s="101"/>
      <c r="V64" s="101"/>
      <c r="W64" s="101"/>
      <c r="X64" s="103"/>
      <c r="Y64" s="101"/>
      <c r="Z64" s="103"/>
    </row>
    <row r="65" spans="13:26" x14ac:dyDescent="0.25"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100"/>
      <c r="Y65" s="98"/>
      <c r="Z65" s="100"/>
    </row>
    <row r="66" spans="13:26" x14ac:dyDescent="0.25">
      <c r="M66" s="101"/>
      <c r="N66" s="101"/>
      <c r="O66" s="101"/>
      <c r="P66" s="101"/>
      <c r="Q66" s="101"/>
      <c r="R66" s="102"/>
      <c r="S66" s="101"/>
      <c r="T66" s="101"/>
      <c r="U66" s="101"/>
      <c r="V66" s="101"/>
      <c r="W66" s="101"/>
      <c r="X66" s="103"/>
      <c r="Y66" s="101"/>
      <c r="Z66" s="103"/>
    </row>
    <row r="67" spans="13:26" ht="15.75" thickBot="1" x14ac:dyDescent="0.3">
      <c r="M67" s="101"/>
      <c r="N67" s="101"/>
      <c r="O67" s="101"/>
      <c r="P67" s="101"/>
      <c r="Q67" s="101"/>
      <c r="R67" s="102"/>
      <c r="S67" s="101"/>
      <c r="T67" s="101"/>
      <c r="U67" s="101"/>
      <c r="V67" s="101"/>
      <c r="W67" s="101"/>
      <c r="X67" s="104"/>
      <c r="Y67" s="101"/>
      <c r="Z67" s="104"/>
    </row>
    <row r="68" spans="13:26" x14ac:dyDescent="0.25">
      <c r="M68" s="101"/>
      <c r="N68" s="101"/>
      <c r="O68" s="101"/>
      <c r="P68" s="101"/>
      <c r="Q68" s="101"/>
      <c r="R68" s="102"/>
      <c r="S68" s="101"/>
      <c r="T68" s="101"/>
      <c r="U68" s="101"/>
      <c r="V68" s="101"/>
      <c r="W68" s="101"/>
      <c r="X68" s="103"/>
      <c r="Y68" s="101"/>
      <c r="Z68" s="103"/>
    </row>
    <row r="69" spans="13:26" x14ac:dyDescent="0.25"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100"/>
      <c r="Y69" s="98"/>
      <c r="Z69" s="100"/>
    </row>
    <row r="70" spans="13:26" x14ac:dyDescent="0.25">
      <c r="M70" s="101"/>
      <c r="N70" s="101"/>
      <c r="O70" s="101"/>
      <c r="P70" s="101"/>
      <c r="Q70" s="101"/>
      <c r="R70" s="102"/>
      <c r="S70" s="101"/>
      <c r="T70" s="101"/>
      <c r="U70" s="101"/>
      <c r="V70" s="101"/>
      <c r="W70" s="101"/>
      <c r="X70" s="103"/>
      <c r="Y70" s="101"/>
      <c r="Z70" s="103"/>
    </row>
    <row r="71" spans="13:26" ht="15.75" thickBot="1" x14ac:dyDescent="0.3">
      <c r="M71" s="101"/>
      <c r="N71" s="101"/>
      <c r="O71" s="101"/>
      <c r="P71" s="101"/>
      <c r="Q71" s="101"/>
      <c r="R71" s="102"/>
      <c r="S71" s="101"/>
      <c r="T71" s="101"/>
      <c r="U71" s="101"/>
      <c r="V71" s="101"/>
      <c r="W71" s="101"/>
      <c r="X71" s="104"/>
      <c r="Y71" s="101"/>
      <c r="Z71" s="104"/>
    </row>
    <row r="72" spans="13:26" x14ac:dyDescent="0.25">
      <c r="M72" s="101"/>
      <c r="N72" s="101"/>
      <c r="O72" s="101"/>
      <c r="P72" s="101"/>
      <c r="Q72" s="101"/>
      <c r="R72" s="102"/>
      <c r="S72" s="101"/>
      <c r="T72" s="101"/>
      <c r="U72" s="101"/>
      <c r="V72" s="101"/>
      <c r="W72" s="101"/>
      <c r="X72" s="103"/>
      <c r="Y72" s="101"/>
      <c r="Z72" s="103"/>
    </row>
    <row r="73" spans="13:26" x14ac:dyDescent="0.25"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100"/>
      <c r="Y73" s="98"/>
      <c r="Z73" s="100"/>
    </row>
    <row r="74" spans="13:26" x14ac:dyDescent="0.25">
      <c r="M74" s="101"/>
      <c r="N74" s="101"/>
      <c r="O74" s="101"/>
      <c r="P74" s="101"/>
      <c r="Q74" s="101"/>
      <c r="R74" s="102"/>
      <c r="S74" s="101"/>
      <c r="T74" s="101"/>
      <c r="U74" s="101"/>
      <c r="V74" s="101"/>
      <c r="W74" s="101"/>
      <c r="X74" s="103"/>
      <c r="Y74" s="101"/>
      <c r="Z74" s="103"/>
    </row>
    <row r="75" spans="13:26" ht="15.75" thickBot="1" x14ac:dyDescent="0.3">
      <c r="M75" s="101"/>
      <c r="N75" s="101"/>
      <c r="O75" s="101"/>
      <c r="P75" s="101"/>
      <c r="Q75" s="101"/>
      <c r="R75" s="102"/>
      <c r="S75" s="101"/>
      <c r="T75" s="101"/>
      <c r="U75" s="101"/>
      <c r="V75" s="101"/>
      <c r="W75" s="101"/>
      <c r="X75" s="104"/>
      <c r="Y75" s="101"/>
      <c r="Z75" s="104"/>
    </row>
    <row r="76" spans="13:26" x14ac:dyDescent="0.25">
      <c r="M76" s="101"/>
      <c r="N76" s="101"/>
      <c r="O76" s="101"/>
      <c r="P76" s="101"/>
      <c r="Q76" s="101"/>
      <c r="R76" s="102"/>
      <c r="S76" s="101"/>
      <c r="T76" s="101"/>
      <c r="U76" s="101"/>
      <c r="V76" s="101"/>
      <c r="W76" s="101"/>
      <c r="X76" s="103"/>
      <c r="Y76" s="101"/>
      <c r="Z76" s="103"/>
    </row>
    <row r="77" spans="13:26" x14ac:dyDescent="0.25"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100"/>
      <c r="Y77" s="98"/>
      <c r="Z77" s="100"/>
    </row>
    <row r="78" spans="13:26" x14ac:dyDescent="0.25">
      <c r="M78" s="101"/>
      <c r="N78" s="101"/>
      <c r="O78" s="101"/>
      <c r="P78" s="101"/>
      <c r="Q78" s="101"/>
      <c r="R78" s="102"/>
      <c r="S78" s="101"/>
      <c r="T78" s="101"/>
      <c r="U78" s="101"/>
      <c r="V78" s="101"/>
      <c r="W78" s="101"/>
      <c r="X78" s="103"/>
      <c r="Y78" s="101"/>
      <c r="Z78" s="103"/>
    </row>
    <row r="79" spans="13:26" x14ac:dyDescent="0.25">
      <c r="M79" s="101"/>
      <c r="N79" s="101"/>
      <c r="O79" s="101"/>
      <c r="P79" s="101"/>
      <c r="Q79" s="101"/>
      <c r="R79" s="102"/>
      <c r="S79" s="101"/>
      <c r="T79" s="101"/>
      <c r="U79" s="101"/>
      <c r="V79" s="101"/>
      <c r="W79" s="101"/>
      <c r="X79" s="103"/>
      <c r="Y79" s="101"/>
      <c r="Z79" s="103"/>
    </row>
    <row r="80" spans="13:26" ht="15.75" thickBot="1" x14ac:dyDescent="0.3">
      <c r="M80" s="101"/>
      <c r="N80" s="101"/>
      <c r="O80" s="101"/>
      <c r="P80" s="101"/>
      <c r="Q80" s="101"/>
      <c r="R80" s="102"/>
      <c r="S80" s="101"/>
      <c r="T80" s="101"/>
      <c r="U80" s="101"/>
      <c r="V80" s="101"/>
      <c r="W80" s="101"/>
      <c r="X80" s="105"/>
      <c r="Y80" s="101"/>
      <c r="Z80" s="105"/>
    </row>
    <row r="81" spans="13:26" ht="15.75" thickBot="1" x14ac:dyDescent="0.3">
      <c r="M81" s="101"/>
      <c r="N81" s="101"/>
      <c r="O81" s="101"/>
      <c r="P81" s="101"/>
      <c r="Q81" s="101"/>
      <c r="R81" s="102"/>
      <c r="S81" s="101"/>
      <c r="T81" s="101"/>
      <c r="U81" s="101"/>
      <c r="V81" s="101"/>
      <c r="W81" s="101"/>
      <c r="X81" s="106"/>
      <c r="Y81" s="101"/>
      <c r="Z81" s="106"/>
    </row>
    <row r="82" spans="13:26" ht="15.75" thickBot="1" x14ac:dyDescent="0.3"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107"/>
      <c r="Y82" s="98"/>
      <c r="Z82" s="107"/>
    </row>
  </sheetData>
  <pageMargins left="0.7" right="0.7" top="0.75" bottom="0.75" header="0.3" footer="0.3"/>
  <pageSetup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G1" sqref="G1"/>
    </sheetView>
  </sheetViews>
  <sheetFormatPr defaultRowHeight="15" x14ac:dyDescent="0.25"/>
  <cols>
    <col min="3" max="3" width="13.42578125" customWidth="1"/>
    <col min="4" max="4" width="20.7109375" customWidth="1"/>
    <col min="5" max="5" width="15.7109375" customWidth="1"/>
    <col min="6" max="6" width="9" customWidth="1"/>
    <col min="7" max="7" width="10.85546875" customWidth="1"/>
    <col min="8" max="8" width="10.42578125" customWidth="1"/>
    <col min="10" max="10" width="10.5703125" customWidth="1"/>
    <col min="14" max="14" width="13.140625" customWidth="1"/>
  </cols>
  <sheetData>
    <row r="1" spans="1:15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</row>
    <row r="2" spans="1:15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5" ht="21" x14ac:dyDescent="0.25">
      <c r="A3" s="1"/>
      <c r="B3" s="1"/>
      <c r="C3" s="44"/>
      <c r="D3" s="1"/>
      <c r="E3" s="1"/>
      <c r="F3" s="47" t="s">
        <v>154</v>
      </c>
      <c r="G3" s="46"/>
      <c r="H3" s="46"/>
      <c r="I3" s="46"/>
      <c r="J3" s="46"/>
      <c r="K3" s="44"/>
      <c r="L3" s="44"/>
    </row>
    <row r="4" spans="1:15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5" x14ac:dyDescent="0.25">
      <c r="A5" s="5" t="s">
        <v>75</v>
      </c>
      <c r="B5" s="5">
        <v>1</v>
      </c>
      <c r="C5" s="6" t="s">
        <v>89</v>
      </c>
      <c r="D5" s="74">
        <v>100</v>
      </c>
      <c r="E5" s="74">
        <v>300</v>
      </c>
      <c r="F5" s="33">
        <v>4000</v>
      </c>
      <c r="G5" s="33">
        <f>D5+E5+F5</f>
        <v>4400</v>
      </c>
      <c r="H5" s="7">
        <v>4000</v>
      </c>
      <c r="I5" s="7">
        <v>400</v>
      </c>
      <c r="J5" s="120">
        <f>H5+I5</f>
        <v>4400</v>
      </c>
      <c r="K5" s="6"/>
      <c r="L5" s="7">
        <f>G5-J5</f>
        <v>0</v>
      </c>
      <c r="M5" s="110" t="s">
        <v>119</v>
      </c>
      <c r="N5" s="110" t="s">
        <v>120</v>
      </c>
      <c r="O5" s="111">
        <v>4400</v>
      </c>
    </row>
    <row r="6" spans="1:15" x14ac:dyDescent="0.25">
      <c r="A6" s="5" t="s">
        <v>35</v>
      </c>
      <c r="B6" s="5">
        <v>2</v>
      </c>
      <c r="C6" s="6"/>
      <c r="D6" s="74">
        <v>8300</v>
      </c>
      <c r="E6" s="74">
        <v>300</v>
      </c>
      <c r="F6" s="33">
        <v>4000</v>
      </c>
      <c r="G6" s="33">
        <f t="shared" ref="G6:G17" si="0">D6+E6+F6</f>
        <v>12600</v>
      </c>
      <c r="H6" s="7"/>
      <c r="I6" s="7">
        <v>400</v>
      </c>
      <c r="J6" s="121">
        <f t="shared" ref="J6:J17" si="1">H6+I6</f>
        <v>400</v>
      </c>
      <c r="K6" s="6"/>
      <c r="L6" s="7">
        <f t="shared" ref="L6:L18" si="2">G6-J6</f>
        <v>12200</v>
      </c>
      <c r="M6" s="110" t="s">
        <v>121</v>
      </c>
      <c r="N6" s="110" t="s">
        <v>122</v>
      </c>
      <c r="O6" s="111">
        <v>2800</v>
      </c>
    </row>
    <row r="7" spans="1:15" x14ac:dyDescent="0.25">
      <c r="A7" s="5" t="s">
        <v>137</v>
      </c>
      <c r="B7" s="5">
        <v>3</v>
      </c>
      <c r="C7" s="6"/>
      <c r="D7" s="74">
        <v>4000</v>
      </c>
      <c r="E7" s="74"/>
      <c r="F7" s="7">
        <v>4000</v>
      </c>
      <c r="G7" s="33">
        <f t="shared" si="0"/>
        <v>8000</v>
      </c>
      <c r="H7" s="7">
        <v>6500</v>
      </c>
      <c r="I7" s="7"/>
      <c r="J7" s="121">
        <f t="shared" si="1"/>
        <v>6500</v>
      </c>
      <c r="K7" s="6"/>
      <c r="L7" s="7">
        <f t="shared" si="2"/>
        <v>1500</v>
      </c>
      <c r="M7" s="110" t="s">
        <v>123</v>
      </c>
      <c r="N7" s="110" t="s">
        <v>124</v>
      </c>
      <c r="O7" s="111">
        <v>4000</v>
      </c>
    </row>
    <row r="8" spans="1:15" x14ac:dyDescent="0.25">
      <c r="A8" s="9" t="s">
        <v>37</v>
      </c>
      <c r="B8" s="5">
        <v>4</v>
      </c>
      <c r="C8" s="6"/>
      <c r="D8" s="74">
        <v>400</v>
      </c>
      <c r="E8" s="77">
        <v>300</v>
      </c>
      <c r="F8" s="7">
        <v>4000</v>
      </c>
      <c r="G8" s="33">
        <f t="shared" si="0"/>
        <v>4700</v>
      </c>
      <c r="H8" s="7">
        <v>4300</v>
      </c>
      <c r="I8" s="7"/>
      <c r="J8" s="121">
        <f t="shared" si="1"/>
        <v>4300</v>
      </c>
      <c r="K8" s="6"/>
      <c r="L8" s="7">
        <f t="shared" si="2"/>
        <v>400</v>
      </c>
      <c r="M8" s="110" t="s">
        <v>125</v>
      </c>
      <c r="N8" s="110" t="s">
        <v>126</v>
      </c>
      <c r="O8" s="111">
        <v>6700</v>
      </c>
    </row>
    <row r="9" spans="1:15" x14ac:dyDescent="0.25">
      <c r="A9" s="9" t="s">
        <v>47</v>
      </c>
      <c r="B9" s="9">
        <v>5</v>
      </c>
      <c r="C9" s="6"/>
      <c r="D9" s="74">
        <v>8800</v>
      </c>
      <c r="E9" s="74">
        <v>500</v>
      </c>
      <c r="F9" s="7">
        <v>4000</v>
      </c>
      <c r="G9" s="33">
        <f t="shared" si="0"/>
        <v>13300</v>
      </c>
      <c r="H9" s="7">
        <v>5000</v>
      </c>
      <c r="I9" s="7"/>
      <c r="J9" s="121">
        <f t="shared" si="1"/>
        <v>5000</v>
      </c>
      <c r="K9" s="10"/>
      <c r="L9" s="7">
        <f t="shared" si="2"/>
        <v>8300</v>
      </c>
      <c r="M9" s="110" t="s">
        <v>127</v>
      </c>
      <c r="N9" s="110" t="s">
        <v>128</v>
      </c>
      <c r="O9" s="111">
        <v>2500</v>
      </c>
    </row>
    <row r="10" spans="1:15" x14ac:dyDescent="0.25">
      <c r="A10" s="9" t="s">
        <v>38</v>
      </c>
      <c r="B10" s="9">
        <v>6</v>
      </c>
      <c r="C10" s="6"/>
      <c r="D10" s="74">
        <v>2000</v>
      </c>
      <c r="E10" s="74">
        <v>400</v>
      </c>
      <c r="F10" s="7">
        <v>4000</v>
      </c>
      <c r="G10" s="33">
        <f>D10+E10+F10</f>
        <v>6400</v>
      </c>
      <c r="H10" s="7">
        <v>6300</v>
      </c>
      <c r="I10" s="7">
        <v>400</v>
      </c>
      <c r="J10" s="121">
        <f>H10+I10</f>
        <v>6700</v>
      </c>
      <c r="K10" s="10"/>
      <c r="L10" s="7">
        <f t="shared" si="2"/>
        <v>-300</v>
      </c>
      <c r="M10" s="110" t="s">
        <v>129</v>
      </c>
      <c r="N10" s="110" t="s">
        <v>130</v>
      </c>
      <c r="O10" s="111">
        <v>8500</v>
      </c>
    </row>
    <row r="11" spans="1:15" x14ac:dyDescent="0.25">
      <c r="A11" s="5" t="s">
        <v>39</v>
      </c>
      <c r="B11" s="9">
        <v>7</v>
      </c>
      <c r="C11" s="6"/>
      <c r="D11" s="74">
        <v>5000</v>
      </c>
      <c r="E11" s="74">
        <v>300</v>
      </c>
      <c r="F11" s="7">
        <v>4000</v>
      </c>
      <c r="G11" s="33">
        <f t="shared" si="0"/>
        <v>9300</v>
      </c>
      <c r="H11" s="7">
        <v>8500</v>
      </c>
      <c r="I11" s="7"/>
      <c r="J11" s="121">
        <f t="shared" si="1"/>
        <v>8500</v>
      </c>
      <c r="K11" s="62"/>
      <c r="L11" s="7">
        <f t="shared" si="2"/>
        <v>800</v>
      </c>
      <c r="M11" s="110" t="s">
        <v>131</v>
      </c>
      <c r="N11" s="110" t="s">
        <v>124</v>
      </c>
      <c r="O11" s="111">
        <v>1000</v>
      </c>
    </row>
    <row r="12" spans="1:15" x14ac:dyDescent="0.25">
      <c r="A12" s="9" t="s">
        <v>40</v>
      </c>
      <c r="B12" s="9">
        <v>8</v>
      </c>
      <c r="C12" s="6"/>
      <c r="D12" s="74"/>
      <c r="E12" s="74">
        <v>200</v>
      </c>
      <c r="F12" s="7">
        <v>4000</v>
      </c>
      <c r="G12" s="33">
        <f t="shared" si="0"/>
        <v>4200</v>
      </c>
      <c r="H12" s="7">
        <v>0</v>
      </c>
      <c r="I12" s="7"/>
      <c r="J12" s="121">
        <f t="shared" si="1"/>
        <v>0</v>
      </c>
      <c r="K12" s="10"/>
      <c r="L12" s="7">
        <f t="shared" si="2"/>
        <v>4200</v>
      </c>
      <c r="M12" s="110" t="s">
        <v>132</v>
      </c>
      <c r="N12" s="110" t="s">
        <v>133</v>
      </c>
      <c r="O12" s="111">
        <v>4300</v>
      </c>
    </row>
    <row r="13" spans="1:15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33">
        <f t="shared" si="0"/>
        <v>2900</v>
      </c>
      <c r="H13" s="7">
        <v>2800</v>
      </c>
      <c r="I13" s="7">
        <v>300</v>
      </c>
      <c r="J13" s="121">
        <f t="shared" si="1"/>
        <v>3100</v>
      </c>
      <c r="K13" s="5"/>
      <c r="L13" s="7">
        <f t="shared" si="2"/>
        <v>-200</v>
      </c>
      <c r="M13" s="110" t="s">
        <v>134</v>
      </c>
      <c r="N13" s="110" t="s">
        <v>135</v>
      </c>
      <c r="O13" s="111">
        <v>5000</v>
      </c>
    </row>
    <row r="14" spans="1:15" ht="15.75" thickBot="1" x14ac:dyDescent="0.3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33">
        <f t="shared" si="0"/>
        <v>5300</v>
      </c>
      <c r="H14" s="7"/>
      <c r="I14" s="7">
        <v>300</v>
      </c>
      <c r="J14" s="121">
        <f t="shared" si="1"/>
        <v>300</v>
      </c>
      <c r="K14" s="5" t="s">
        <v>89</v>
      </c>
      <c r="L14" s="7">
        <f t="shared" si="2"/>
        <v>5000</v>
      </c>
      <c r="M14" s="110" t="s">
        <v>136</v>
      </c>
      <c r="N14" s="110" t="s">
        <v>124</v>
      </c>
      <c r="O14" s="112">
        <v>1500</v>
      </c>
    </row>
    <row r="15" spans="1:15" ht="15.75" thickBot="1" x14ac:dyDescent="0.3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33">
        <f t="shared" si="0"/>
        <v>2900</v>
      </c>
      <c r="H15" s="7"/>
      <c r="I15" s="7">
        <v>300</v>
      </c>
      <c r="J15" s="121">
        <f t="shared" si="1"/>
        <v>300</v>
      </c>
      <c r="K15" s="63"/>
      <c r="L15" s="7">
        <f t="shared" si="2"/>
        <v>2600</v>
      </c>
      <c r="M15" s="110"/>
      <c r="N15" s="110"/>
      <c r="O15" s="113">
        <v>40700</v>
      </c>
    </row>
    <row r="16" spans="1:15" ht="15.75" thickBot="1" x14ac:dyDescent="0.3">
      <c r="A16" s="5" t="s">
        <v>61</v>
      </c>
      <c r="B16" s="5">
        <v>4</v>
      </c>
      <c r="C16" s="6"/>
      <c r="D16" s="74">
        <v>200</v>
      </c>
      <c r="E16" s="74">
        <v>100</v>
      </c>
      <c r="F16" s="7">
        <v>2500</v>
      </c>
      <c r="G16" s="33">
        <f t="shared" si="0"/>
        <v>2800</v>
      </c>
      <c r="H16" s="7">
        <v>2500</v>
      </c>
      <c r="I16" s="7"/>
      <c r="J16" s="121">
        <f t="shared" si="1"/>
        <v>2500</v>
      </c>
      <c r="K16" s="63"/>
      <c r="L16" s="7">
        <f t="shared" si="2"/>
        <v>300</v>
      </c>
      <c r="M16" s="109"/>
      <c r="N16" s="109"/>
      <c r="O16" s="114">
        <v>40700</v>
      </c>
    </row>
    <row r="17" spans="1:15" s="115" customFormat="1" ht="15.75" thickTop="1" x14ac:dyDescent="0.25">
      <c r="A17" s="5"/>
      <c r="B17" s="5"/>
      <c r="C17" s="6"/>
      <c r="D17" s="74"/>
      <c r="E17" s="74"/>
      <c r="F17" s="7"/>
      <c r="G17" s="33">
        <f t="shared" si="0"/>
        <v>0</v>
      </c>
      <c r="H17" s="7"/>
      <c r="I17" s="7"/>
      <c r="J17" s="121">
        <f t="shared" si="1"/>
        <v>0</v>
      </c>
      <c r="K17" s="63"/>
      <c r="L17" s="7">
        <f t="shared" si="2"/>
        <v>0</v>
      </c>
      <c r="M17" s="116"/>
      <c r="N17" s="116"/>
      <c r="O17" s="108"/>
    </row>
    <row r="18" spans="1:15" x14ac:dyDescent="0.25">
      <c r="A18" s="69"/>
      <c r="B18" s="69"/>
      <c r="C18" s="70"/>
      <c r="D18" s="71">
        <f>SUM(D5:D16)</f>
        <v>28800</v>
      </c>
      <c r="E18" s="71">
        <f>SUM(E5:E16)</f>
        <v>3500</v>
      </c>
      <c r="F18" s="71">
        <f>SUM(F5:F16)</f>
        <v>44500</v>
      </c>
      <c r="G18" s="71">
        <f>SUM(G5:G16)</f>
        <v>76800</v>
      </c>
      <c r="H18" s="71">
        <f>SUM(H5:H17)</f>
        <v>39900</v>
      </c>
      <c r="I18" s="78">
        <f>SUM(I5:I16)</f>
        <v>2100</v>
      </c>
      <c r="J18" s="122">
        <f>SUM(J5:J17)</f>
        <v>42000</v>
      </c>
      <c r="K18" s="69"/>
      <c r="L18" s="7">
        <f t="shared" si="2"/>
        <v>34800</v>
      </c>
    </row>
    <row r="19" spans="1:15" x14ac:dyDescent="0.25">
      <c r="A19" s="68" t="s">
        <v>30</v>
      </c>
      <c r="B19" s="1"/>
      <c r="C19" s="1"/>
      <c r="D19" s="1"/>
      <c r="E19" s="1"/>
      <c r="F19" s="1"/>
      <c r="G19" s="37"/>
      <c r="H19" s="37"/>
      <c r="I19" s="1"/>
      <c r="J19" s="1"/>
      <c r="K19" s="1"/>
      <c r="L19" s="1"/>
    </row>
    <row r="20" spans="1:15" x14ac:dyDescent="0.25">
      <c r="A20" s="2" t="s">
        <v>84</v>
      </c>
      <c r="B20" s="1"/>
      <c r="C20" s="36">
        <v>39900</v>
      </c>
      <c r="D20" s="1"/>
      <c r="E20" s="1"/>
      <c r="F20" s="1"/>
      <c r="G20" s="1"/>
      <c r="H20" s="116"/>
      <c r="I20" s="117"/>
      <c r="J20" s="1"/>
      <c r="K20" s="1"/>
      <c r="L20" s="1"/>
    </row>
    <row r="21" spans="1:15" x14ac:dyDescent="0.25">
      <c r="A21" s="2" t="s">
        <v>104</v>
      </c>
      <c r="B21" s="2"/>
      <c r="C21" s="41">
        <v>3500</v>
      </c>
      <c r="D21" s="1"/>
      <c r="E21" s="1"/>
      <c r="F21" s="1" t="s">
        <v>107</v>
      </c>
      <c r="G21" s="1"/>
      <c r="H21" s="116"/>
      <c r="I21" s="117"/>
      <c r="J21" s="1"/>
      <c r="K21" s="1"/>
      <c r="L21" s="1"/>
    </row>
    <row r="22" spans="1:15" x14ac:dyDescent="0.25">
      <c r="A22" s="2"/>
      <c r="B22" s="2"/>
      <c r="C22" s="41">
        <f>SUM(C20:C21)</f>
        <v>43400</v>
      </c>
      <c r="D22" s="119">
        <v>7.0000000000000007E-2</v>
      </c>
      <c r="E22" s="1"/>
      <c r="F22" s="1"/>
      <c r="G22" s="1"/>
      <c r="H22" s="116"/>
      <c r="I22" s="117"/>
      <c r="J22" s="1"/>
      <c r="K22" s="1"/>
      <c r="L22" s="1"/>
    </row>
    <row r="23" spans="1:15" ht="16.5" x14ac:dyDescent="0.35">
      <c r="A23" s="2" t="s">
        <v>62</v>
      </c>
      <c r="B23" s="2"/>
      <c r="C23" s="67"/>
      <c r="D23" s="1"/>
      <c r="E23" s="1"/>
      <c r="F23" s="1"/>
      <c r="G23" s="1"/>
      <c r="H23" s="116"/>
      <c r="I23" s="117"/>
      <c r="J23" s="1"/>
      <c r="K23" s="1"/>
      <c r="L23" s="1"/>
    </row>
    <row r="24" spans="1:15" x14ac:dyDescent="0.25">
      <c r="A24" s="45" t="s">
        <v>29</v>
      </c>
      <c r="B24" s="2"/>
      <c r="C24" s="38"/>
      <c r="D24" s="1"/>
      <c r="E24" s="1"/>
      <c r="F24" s="1"/>
      <c r="G24" s="1"/>
      <c r="H24" s="116"/>
      <c r="I24" s="117"/>
      <c r="J24" s="1"/>
      <c r="K24" s="1"/>
      <c r="L24" s="1"/>
    </row>
    <row r="25" spans="1:15" x14ac:dyDescent="0.25">
      <c r="A25" s="2" t="s">
        <v>26</v>
      </c>
      <c r="B25" s="2"/>
      <c r="C25" s="40">
        <f>C20*D22</f>
        <v>2793.0000000000005</v>
      </c>
      <c r="D25" s="1"/>
      <c r="E25" s="1"/>
      <c r="F25" s="1"/>
      <c r="G25" s="1"/>
      <c r="H25" s="116"/>
      <c r="I25" s="117"/>
      <c r="J25" s="1"/>
      <c r="K25" s="1"/>
      <c r="L25" s="1"/>
    </row>
    <row r="26" spans="1:15" x14ac:dyDescent="0.25">
      <c r="A26" s="2" t="s">
        <v>94</v>
      </c>
      <c r="B26" s="2"/>
      <c r="C26" s="40"/>
      <c r="D26" s="1"/>
      <c r="E26" s="1"/>
      <c r="F26" s="1"/>
      <c r="G26" s="1"/>
      <c r="H26" s="116"/>
      <c r="I26" s="117"/>
      <c r="J26" s="1"/>
      <c r="K26" s="1"/>
      <c r="L26" s="1"/>
    </row>
    <row r="27" spans="1:15" x14ac:dyDescent="0.25">
      <c r="A27" s="2" t="s">
        <v>110</v>
      </c>
      <c r="B27" s="2"/>
      <c r="C27" s="40">
        <v>8500</v>
      </c>
      <c r="D27" s="1"/>
      <c r="E27" s="1"/>
      <c r="F27" s="1"/>
      <c r="G27" s="1"/>
      <c r="H27" s="116"/>
      <c r="I27" s="117"/>
      <c r="J27" s="1"/>
      <c r="K27" s="1"/>
      <c r="L27" s="1"/>
    </row>
    <row r="28" spans="1:15" x14ac:dyDescent="0.25">
      <c r="A28" s="2" t="s">
        <v>94</v>
      </c>
      <c r="B28" s="2"/>
      <c r="C28" s="40">
        <v>16000</v>
      </c>
      <c r="D28" s="1"/>
      <c r="E28" s="17"/>
      <c r="F28" s="2" t="s">
        <v>64</v>
      </c>
      <c r="G28" s="2"/>
      <c r="H28" s="116"/>
      <c r="I28" s="117"/>
      <c r="J28" s="2"/>
      <c r="K28" s="2"/>
      <c r="L28" s="1"/>
    </row>
    <row r="29" spans="1:15" x14ac:dyDescent="0.25">
      <c r="A29" s="2" t="s">
        <v>56</v>
      </c>
      <c r="B29" s="2"/>
      <c r="C29" s="42">
        <f>SUM(C25:C28)</f>
        <v>27293</v>
      </c>
      <c r="D29" s="1"/>
      <c r="E29" s="1"/>
      <c r="F29" s="2"/>
      <c r="G29" s="2"/>
      <c r="H29" s="116"/>
      <c r="I29" s="118"/>
      <c r="J29" s="2"/>
      <c r="K29" s="2"/>
      <c r="L29" s="1"/>
    </row>
    <row r="30" spans="1:15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</row>
    <row r="31" spans="1:15" ht="15.75" x14ac:dyDescent="0.25">
      <c r="A31" s="55" t="s">
        <v>27</v>
      </c>
      <c r="B31" s="2"/>
      <c r="C31" s="84">
        <f>C22-C29</f>
        <v>16107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F9" sqref="F9"/>
    </sheetView>
  </sheetViews>
  <sheetFormatPr defaultRowHeight="15" x14ac:dyDescent="0.25"/>
  <cols>
    <col min="1" max="1" width="15.28515625" customWidth="1"/>
    <col min="2" max="2" width="3.5703125" customWidth="1"/>
    <col min="5" max="5" width="6.7109375" customWidth="1"/>
    <col min="6" max="6" width="8" customWidth="1"/>
    <col min="7" max="7" width="9.140625" style="1" customWidth="1"/>
    <col min="8" max="8" width="15" customWidth="1"/>
    <col min="9" max="9" width="11.140625" customWidth="1"/>
    <col min="10" max="10" width="11" customWidth="1"/>
    <col min="11" max="11" width="7.85546875" customWidth="1"/>
    <col min="13" max="13" width="6.42578125" customWidth="1"/>
    <col min="14" max="14" width="10.42578125" bestFit="1" customWidth="1"/>
  </cols>
  <sheetData>
    <row r="1" spans="1:28" ht="23.25" customHeight="1" x14ac:dyDescent="0.45">
      <c r="A1" s="13"/>
      <c r="B1" s="21"/>
      <c r="C1" s="1"/>
      <c r="D1" s="13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  <c r="O1" s="1"/>
    </row>
    <row r="2" spans="1:28" ht="12.75" customHeight="1" x14ac:dyDescent="0.3">
      <c r="A2" s="13"/>
      <c r="B2" s="13"/>
      <c r="C2" s="1"/>
      <c r="E2" s="1"/>
      <c r="F2" s="13"/>
      <c r="G2" s="14" t="s">
        <v>5</v>
      </c>
      <c r="H2" s="14"/>
      <c r="I2" s="14"/>
      <c r="J2" s="15"/>
      <c r="K2" s="15"/>
      <c r="L2" s="13"/>
      <c r="M2" s="1"/>
      <c r="N2" s="1"/>
      <c r="O2" s="1"/>
    </row>
    <row r="3" spans="1:28" ht="12" customHeight="1" x14ac:dyDescent="0.25">
      <c r="A3" s="1"/>
      <c r="B3" s="1"/>
      <c r="C3" s="1"/>
      <c r="E3" s="1"/>
      <c r="F3" s="17"/>
      <c r="G3" s="20" t="s">
        <v>6</v>
      </c>
      <c r="H3" s="20"/>
      <c r="I3" s="18"/>
      <c r="J3" s="18"/>
      <c r="K3" s="17"/>
      <c r="L3" s="1"/>
      <c r="M3" s="1"/>
      <c r="N3" s="1"/>
      <c r="O3" s="1"/>
    </row>
    <row r="4" spans="1:28" ht="12.75" customHeight="1" x14ac:dyDescent="0.25">
      <c r="A4" s="1"/>
      <c r="B4" s="1"/>
      <c r="C4" s="1"/>
      <c r="E4" s="1"/>
      <c r="F4" s="1"/>
      <c r="G4" s="19" t="s">
        <v>7</v>
      </c>
      <c r="H4" s="19"/>
      <c r="I4" s="19"/>
      <c r="J4" s="16"/>
      <c r="K4" s="16"/>
      <c r="L4" s="1"/>
      <c r="M4" s="1"/>
      <c r="N4" s="1"/>
      <c r="O4" s="1"/>
    </row>
    <row r="5" spans="1:28" s="44" customFormat="1" ht="16.5" customHeight="1" x14ac:dyDescent="0.25">
      <c r="C5" s="65" t="s">
        <v>48</v>
      </c>
      <c r="J5" s="66" t="s">
        <v>54</v>
      </c>
    </row>
    <row r="6" spans="1:28" ht="18" customHeight="1" x14ac:dyDescent="0.25">
      <c r="A6" s="44"/>
      <c r="B6" s="44"/>
      <c r="C6" s="44"/>
      <c r="D6" s="46"/>
      <c r="E6" s="46"/>
      <c r="F6" s="47" t="s">
        <v>31</v>
      </c>
      <c r="G6" s="47"/>
      <c r="H6" s="46"/>
      <c r="I6" s="46"/>
      <c r="J6" s="46"/>
      <c r="K6" s="46"/>
      <c r="L6" s="46"/>
      <c r="M6" s="44"/>
      <c r="N6" s="44"/>
      <c r="O6" s="44"/>
    </row>
    <row r="7" spans="1:28" s="73" customFormat="1" ht="12" customHeight="1" x14ac:dyDescent="0.2">
      <c r="A7" s="59" t="s">
        <v>0</v>
      </c>
      <c r="B7" s="72" t="s">
        <v>1</v>
      </c>
      <c r="C7" s="59" t="s">
        <v>9</v>
      </c>
      <c r="D7" s="59" t="s">
        <v>10</v>
      </c>
      <c r="E7" s="59" t="s">
        <v>11</v>
      </c>
      <c r="F7" s="59" t="s">
        <v>12</v>
      </c>
      <c r="G7" s="59" t="s">
        <v>32</v>
      </c>
      <c r="H7" s="59" t="s">
        <v>2</v>
      </c>
      <c r="I7" s="60" t="s">
        <v>13</v>
      </c>
      <c r="J7" s="59" t="s">
        <v>3</v>
      </c>
      <c r="K7" s="59" t="s">
        <v>28</v>
      </c>
      <c r="L7" s="60" t="s">
        <v>14</v>
      </c>
      <c r="M7" s="60" t="s">
        <v>15</v>
      </c>
      <c r="N7" s="60" t="s">
        <v>16</v>
      </c>
    </row>
    <row r="8" spans="1:28" s="76" customFormat="1" ht="12" customHeight="1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74"/>
      <c r="G8" s="74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  <c r="O8" s="51"/>
      <c r="P8" s="51"/>
      <c r="Q8" s="61"/>
      <c r="R8" s="61"/>
      <c r="S8" s="61"/>
      <c r="T8" s="61"/>
      <c r="U8" s="61"/>
      <c r="V8" s="75"/>
      <c r="W8" s="75"/>
      <c r="X8" s="75"/>
      <c r="Y8" s="75"/>
      <c r="Z8" s="75"/>
      <c r="AA8" s="75"/>
      <c r="AB8" s="75"/>
    </row>
    <row r="9" spans="1:28" s="76" customFormat="1" ht="12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74">
        <v>8600</v>
      </c>
      <c r="G9" s="74">
        <v>400</v>
      </c>
      <c r="H9" s="33">
        <v>4000</v>
      </c>
      <c r="I9" s="33">
        <f>SUM(F9:H9)</f>
        <v>13000</v>
      </c>
      <c r="J9" s="33">
        <v>4400</v>
      </c>
      <c r="K9" s="6"/>
      <c r="L9" s="5"/>
      <c r="M9" s="6"/>
      <c r="N9" s="7">
        <f>SUM(I9-J9)</f>
        <v>8600</v>
      </c>
      <c r="O9" s="51"/>
      <c r="P9" s="51"/>
      <c r="Q9" s="61"/>
      <c r="R9" s="61"/>
      <c r="S9" s="61"/>
      <c r="T9" s="61"/>
      <c r="U9" s="61"/>
      <c r="V9" s="75"/>
      <c r="W9" s="75"/>
      <c r="X9" s="75"/>
      <c r="Y9" s="75"/>
      <c r="Z9" s="75"/>
      <c r="AA9" s="75"/>
      <c r="AB9" s="75"/>
    </row>
    <row r="10" spans="1:28" s="76" customFormat="1" ht="12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74"/>
      <c r="G10" s="74">
        <v>300</v>
      </c>
      <c r="H10" s="7">
        <v>4000</v>
      </c>
      <c r="I10" s="7">
        <v>4300</v>
      </c>
      <c r="J10" s="7">
        <v>4300</v>
      </c>
      <c r="K10" s="6"/>
      <c r="L10" s="5"/>
      <c r="M10" s="6"/>
      <c r="N10" s="7"/>
      <c r="O10" s="51"/>
      <c r="P10" s="51"/>
      <c r="Q10" s="61"/>
      <c r="R10" s="61"/>
      <c r="S10" s="61"/>
      <c r="T10" s="61"/>
      <c r="U10" s="61"/>
      <c r="V10" s="75"/>
      <c r="W10" s="75"/>
      <c r="X10" s="75"/>
      <c r="Y10" s="75"/>
      <c r="Z10" s="75"/>
      <c r="AA10" s="75"/>
      <c r="AB10" s="75"/>
    </row>
    <row r="11" spans="1:28" s="76" customFormat="1" ht="12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74"/>
      <c r="G11" s="77">
        <v>200</v>
      </c>
      <c r="H11" s="7">
        <v>4000</v>
      </c>
      <c r="I11" s="7">
        <v>4200</v>
      </c>
      <c r="J11" s="7">
        <v>4200</v>
      </c>
      <c r="K11" s="6"/>
      <c r="L11" s="5"/>
      <c r="M11" s="6"/>
      <c r="N11" s="7">
        <v>0</v>
      </c>
      <c r="O11" s="51"/>
      <c r="P11" s="51"/>
      <c r="Q11" s="61"/>
      <c r="R11" s="61"/>
      <c r="S11" s="61"/>
      <c r="T11" s="61"/>
      <c r="U11" s="61"/>
      <c r="V11" s="75"/>
      <c r="W11" s="75"/>
      <c r="X11" s="75"/>
      <c r="Y11" s="75"/>
      <c r="Z11" s="75"/>
      <c r="AA11" s="75"/>
      <c r="AB11" s="75"/>
    </row>
    <row r="12" spans="1:28" s="76" customFormat="1" ht="12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5"/>
      <c r="F12" s="74"/>
      <c r="G12" s="74"/>
      <c r="H12" s="7"/>
      <c r="I12" s="7"/>
      <c r="J12" s="7"/>
      <c r="K12" s="6"/>
      <c r="L12" s="5"/>
      <c r="M12" s="10"/>
      <c r="N12" s="5"/>
      <c r="O12" s="61"/>
      <c r="P12" s="61"/>
      <c r="Q12" s="61"/>
      <c r="R12" s="61"/>
      <c r="S12" s="61"/>
      <c r="T12" s="61"/>
      <c r="U12" s="61"/>
      <c r="V12" s="75"/>
      <c r="W12" s="75"/>
      <c r="X12" s="75"/>
      <c r="Y12" s="75"/>
      <c r="Z12" s="75"/>
      <c r="AA12" s="75"/>
      <c r="AB12" s="75"/>
    </row>
    <row r="13" spans="1:28" s="76" customFormat="1" ht="12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5"/>
      <c r="F13" s="74"/>
      <c r="G13" s="74">
        <v>600</v>
      </c>
      <c r="H13" s="7">
        <v>4000</v>
      </c>
      <c r="I13" s="7">
        <v>4600</v>
      </c>
      <c r="J13" s="7">
        <v>4600</v>
      </c>
      <c r="K13" s="6"/>
      <c r="L13" s="5"/>
      <c r="M13" s="10"/>
      <c r="N13" s="5"/>
      <c r="O13" s="61"/>
      <c r="P13" s="61"/>
      <c r="Q13" s="61"/>
      <c r="R13" s="61"/>
      <c r="S13" s="61"/>
      <c r="T13" s="61"/>
      <c r="U13" s="61"/>
      <c r="V13" s="75"/>
      <c r="W13" s="75"/>
      <c r="X13" s="75"/>
      <c r="Y13" s="75"/>
      <c r="Z13" s="75"/>
      <c r="AA13" s="75"/>
      <c r="AB13" s="75"/>
    </row>
    <row r="14" spans="1:28" s="76" customFormat="1" ht="12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5"/>
      <c r="F14" s="74">
        <v>8700</v>
      </c>
      <c r="G14" s="74"/>
      <c r="H14" s="7">
        <v>4000</v>
      </c>
      <c r="I14" s="7">
        <f>SUM(F14:H14)</f>
        <v>12700</v>
      </c>
      <c r="J14" s="7">
        <v>4000</v>
      </c>
      <c r="K14" s="6"/>
      <c r="L14" s="5"/>
      <c r="M14" s="62"/>
      <c r="N14" s="64">
        <f>SUM(I14-J14)</f>
        <v>8700</v>
      </c>
      <c r="O14" s="61"/>
      <c r="P14" s="61"/>
      <c r="Q14" s="61"/>
      <c r="R14" s="61"/>
      <c r="S14" s="61"/>
      <c r="T14" s="61"/>
      <c r="U14" s="61"/>
      <c r="V14" s="75"/>
      <c r="W14" s="75"/>
      <c r="X14" s="75"/>
      <c r="Y14" s="75"/>
      <c r="Z14" s="75"/>
      <c r="AA14" s="75"/>
      <c r="AB14" s="75"/>
    </row>
    <row r="15" spans="1:28" s="76" customFormat="1" ht="12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5"/>
      <c r="F15" s="74">
        <v>5500</v>
      </c>
      <c r="G15" s="74">
        <v>300</v>
      </c>
      <c r="H15" s="7">
        <v>4000</v>
      </c>
      <c r="I15" s="7">
        <f>SUM(F15:H15)</f>
        <v>9800</v>
      </c>
      <c r="J15" s="7">
        <v>4000</v>
      </c>
      <c r="K15" s="6"/>
      <c r="L15" s="5"/>
      <c r="M15" s="10"/>
      <c r="N15" s="64">
        <f>SUM(I15-J15)</f>
        <v>5800</v>
      </c>
      <c r="O15" s="61"/>
      <c r="P15" s="61"/>
      <c r="Q15" s="61"/>
      <c r="R15" s="61"/>
      <c r="S15" s="61"/>
      <c r="T15" s="61"/>
      <c r="U15" s="61"/>
      <c r="V15" s="75"/>
      <c r="W15" s="75"/>
      <c r="X15" s="75"/>
      <c r="Y15" s="75"/>
      <c r="Z15" s="75"/>
      <c r="AA15" s="75"/>
      <c r="AB15" s="75"/>
    </row>
    <row r="16" spans="1:28" s="76" customFormat="1" ht="12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5"/>
      <c r="F16" s="74"/>
      <c r="G16" s="74">
        <v>300</v>
      </c>
      <c r="H16" s="7">
        <v>2500</v>
      </c>
      <c r="I16" s="7">
        <v>2800</v>
      </c>
      <c r="J16" s="7">
        <v>2800</v>
      </c>
      <c r="K16" s="6"/>
      <c r="L16" s="5"/>
      <c r="M16" s="5"/>
      <c r="N16" s="5"/>
      <c r="O16" s="61"/>
      <c r="P16" s="61"/>
      <c r="Q16" s="61"/>
      <c r="R16" s="61"/>
      <c r="S16" s="61"/>
      <c r="T16" s="61"/>
      <c r="U16" s="61"/>
      <c r="V16" s="75"/>
      <c r="W16" s="75"/>
      <c r="X16" s="75"/>
      <c r="Y16" s="75"/>
      <c r="Z16" s="75"/>
      <c r="AA16" s="75"/>
      <c r="AB16" s="75"/>
    </row>
    <row r="17" spans="1:28" s="76" customFormat="1" ht="12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5"/>
      <c r="F17" s="74"/>
      <c r="G17" s="74">
        <v>400</v>
      </c>
      <c r="H17" s="7">
        <v>5000</v>
      </c>
      <c r="I17" s="7">
        <v>5400</v>
      </c>
      <c r="J17" s="7">
        <v>5400</v>
      </c>
      <c r="K17" s="6"/>
      <c r="L17" s="5"/>
      <c r="M17" s="5"/>
      <c r="N17" s="5"/>
      <c r="O17" s="61"/>
      <c r="P17" s="61"/>
      <c r="Q17" s="61"/>
      <c r="R17" s="61"/>
      <c r="S17" s="61"/>
      <c r="T17" s="61"/>
      <c r="U17" s="61"/>
      <c r="V17" s="75"/>
      <c r="W17" s="75"/>
      <c r="X17" s="75"/>
      <c r="Y17" s="75"/>
      <c r="Z17" s="75"/>
      <c r="AA17" s="75"/>
      <c r="AB17" s="75"/>
    </row>
    <row r="18" spans="1:28" s="76" customFormat="1" ht="12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5"/>
      <c r="F18" s="74"/>
      <c r="G18" s="74">
        <v>400</v>
      </c>
      <c r="H18" s="7">
        <v>2500</v>
      </c>
      <c r="I18" s="7">
        <v>2900</v>
      </c>
      <c r="J18" s="7">
        <v>2900</v>
      </c>
      <c r="K18" s="6"/>
      <c r="L18" s="5"/>
      <c r="M18" s="63"/>
      <c r="N18" s="62"/>
      <c r="O18" s="61"/>
      <c r="P18" s="61"/>
      <c r="Q18" s="61"/>
      <c r="R18" s="61"/>
      <c r="S18" s="61"/>
      <c r="T18" s="61"/>
      <c r="U18" s="61"/>
      <c r="V18" s="75"/>
      <c r="W18" s="75"/>
      <c r="X18" s="75"/>
      <c r="Y18" s="75"/>
      <c r="Z18" s="75"/>
      <c r="AA18" s="75"/>
      <c r="AB18" s="75"/>
    </row>
    <row r="19" spans="1:28" s="76" customFormat="1" ht="12" customHeight="1" x14ac:dyDescent="0.25">
      <c r="A19" s="5" t="s">
        <v>46</v>
      </c>
      <c r="B19" s="5">
        <v>4</v>
      </c>
      <c r="C19" s="6" t="s">
        <v>42</v>
      </c>
      <c r="D19" s="6" t="s">
        <v>42</v>
      </c>
      <c r="E19" s="5"/>
      <c r="F19" s="74"/>
      <c r="G19" s="74">
        <v>200</v>
      </c>
      <c r="H19" s="7">
        <v>2500</v>
      </c>
      <c r="I19" s="7">
        <v>2700</v>
      </c>
      <c r="J19" s="7">
        <v>2700</v>
      </c>
      <c r="K19" s="6"/>
      <c r="L19" s="5"/>
      <c r="M19" s="63"/>
      <c r="N19" s="64"/>
      <c r="O19" s="61"/>
      <c r="P19" s="61"/>
      <c r="Q19" s="61"/>
      <c r="R19" s="61"/>
      <c r="S19" s="61"/>
      <c r="T19" s="61"/>
      <c r="U19" s="61"/>
      <c r="V19" s="75"/>
      <c r="W19" s="75"/>
      <c r="X19" s="75"/>
      <c r="Y19" s="75"/>
      <c r="Z19" s="75"/>
      <c r="AA19" s="75"/>
      <c r="AB19" s="75"/>
    </row>
    <row r="20" spans="1:28" s="80" customFormat="1" ht="12" customHeight="1" x14ac:dyDescent="0.2">
      <c r="A20" s="69"/>
      <c r="B20" s="69"/>
      <c r="C20" s="69"/>
      <c r="D20" s="70"/>
      <c r="E20" s="69"/>
      <c r="F20" s="71"/>
      <c r="G20" s="71">
        <v>3200</v>
      </c>
      <c r="H20" s="71">
        <f>SUM(H8:H19)</f>
        <v>40500</v>
      </c>
      <c r="I20" s="71">
        <f ca="1">SUM(I8:I20)</f>
        <v>1088730287300</v>
      </c>
      <c r="J20" s="71">
        <f ca="1">SUM(J8:J20)</f>
        <v>712238196900</v>
      </c>
      <c r="K20" s="69"/>
      <c r="L20" s="69"/>
      <c r="M20" s="69"/>
      <c r="N20" s="78">
        <f>SUM(N8:N19)</f>
        <v>23100</v>
      </c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spans="1:28" x14ac:dyDescent="0.25">
      <c r="A21" s="68" t="s">
        <v>30</v>
      </c>
    </row>
    <row r="22" spans="1:28" x14ac:dyDescent="0.25">
      <c r="A22" s="2" t="s">
        <v>55</v>
      </c>
      <c r="D22" s="36">
        <v>36500</v>
      </c>
    </row>
    <row r="23" spans="1:28" s="1" customFormat="1" ht="12.95" customHeight="1" x14ac:dyDescent="0.25">
      <c r="A23" s="2" t="s">
        <v>50</v>
      </c>
      <c r="B23" s="2"/>
      <c r="C23" s="38"/>
      <c r="D23" s="41">
        <v>3200</v>
      </c>
      <c r="E23" s="2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1" customFormat="1" ht="12.95" customHeight="1" x14ac:dyDescent="0.25">
      <c r="A24" s="2" t="s">
        <v>51</v>
      </c>
      <c r="B24" s="2"/>
      <c r="C24" s="38"/>
      <c r="D24" s="41">
        <v>4000</v>
      </c>
      <c r="E24" s="2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1" customFormat="1" ht="12.95" customHeight="1" x14ac:dyDescent="0.35">
      <c r="A25" s="2" t="s">
        <v>52</v>
      </c>
      <c r="B25" s="2"/>
      <c r="C25" s="38"/>
      <c r="D25" s="67">
        <f>SUM(D22:D24)</f>
        <v>43700</v>
      </c>
      <c r="E25" s="26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1" customFormat="1" ht="12.95" customHeight="1" x14ac:dyDescent="0.25">
      <c r="A26" s="45" t="s">
        <v>29</v>
      </c>
      <c r="B26" s="2"/>
      <c r="C26" s="38"/>
      <c r="D26" s="38"/>
      <c r="E26" s="26"/>
      <c r="H26" s="52"/>
      <c r="J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1" customFormat="1" ht="12.95" customHeight="1" x14ac:dyDescent="0.25">
      <c r="A27" s="2" t="s">
        <v>26</v>
      </c>
      <c r="B27" s="2"/>
      <c r="C27" s="38"/>
      <c r="D27" s="40">
        <f>SUM(D22*7%)</f>
        <v>2555.0000000000005</v>
      </c>
      <c r="E27" s="26"/>
      <c r="H27" s="53"/>
      <c r="I27" s="53"/>
    </row>
    <row r="28" spans="1:28" s="1" customFormat="1" ht="12.95" customHeight="1" x14ac:dyDescent="0.25">
      <c r="A28" s="2" t="s">
        <v>49</v>
      </c>
      <c r="B28" s="2"/>
      <c r="C28" s="38"/>
      <c r="D28" s="42">
        <v>8000</v>
      </c>
      <c r="E28" s="27"/>
      <c r="H28" s="2"/>
      <c r="I28" s="53"/>
    </row>
    <row r="29" spans="1:28" s="1" customFormat="1" ht="12.95" customHeight="1" x14ac:dyDescent="0.25">
      <c r="A29" s="2" t="s">
        <v>56</v>
      </c>
      <c r="B29" s="2"/>
      <c r="C29" s="38"/>
      <c r="D29" s="42">
        <f>SUM(D27:D28)</f>
        <v>10555</v>
      </c>
      <c r="E29" s="27"/>
      <c r="H29" s="2"/>
      <c r="I29" s="53"/>
    </row>
    <row r="30" spans="1:28" s="1" customFormat="1" ht="20.25" customHeight="1" x14ac:dyDescent="0.3">
      <c r="A30" s="55" t="s">
        <v>27</v>
      </c>
      <c r="B30" s="2"/>
      <c r="C30" s="2"/>
      <c r="D30" s="58">
        <v>33145</v>
      </c>
      <c r="E30" s="25"/>
      <c r="G30" s="37"/>
      <c r="H30" s="53"/>
      <c r="I30" s="53"/>
      <c r="M30" s="13"/>
    </row>
    <row r="31" spans="1:28" s="1" customFormat="1" ht="13.5" customHeight="1" x14ac:dyDescent="0.25">
      <c r="A31" s="28"/>
      <c r="B31" s="29"/>
      <c r="F31" s="28"/>
      <c r="G31" s="28"/>
      <c r="H31" s="28"/>
      <c r="I31" s="28"/>
      <c r="J31" s="28"/>
    </row>
    <row r="32" spans="1:28" s="1" customFormat="1" ht="13.5" customHeight="1" x14ac:dyDescent="0.25">
      <c r="A32" s="28"/>
      <c r="B32" s="29" t="s">
        <v>18</v>
      </c>
      <c r="F32" s="28" t="s">
        <v>19</v>
      </c>
      <c r="G32" s="28"/>
      <c r="H32" s="28"/>
      <c r="I32" s="28" t="s">
        <v>20</v>
      </c>
      <c r="J32" s="28"/>
    </row>
    <row r="33" spans="1:15" s="1" customFormat="1" x14ac:dyDescent="0.25">
      <c r="A33" s="28"/>
      <c r="B33" s="28"/>
      <c r="F33" s="28"/>
      <c r="G33" s="28"/>
      <c r="H33" s="28"/>
      <c r="I33" s="28"/>
      <c r="J33" s="28"/>
    </row>
    <row r="34" spans="1:15" s="1" customFormat="1" x14ac:dyDescent="0.25">
      <c r="A34" s="28"/>
      <c r="B34" s="28" t="s">
        <v>21</v>
      </c>
      <c r="F34" s="28" t="s">
        <v>22</v>
      </c>
      <c r="G34" s="28"/>
      <c r="H34" s="28"/>
      <c r="I34" s="28" t="s">
        <v>53</v>
      </c>
      <c r="J34" s="28"/>
    </row>
    <row r="35" spans="1:15" s="1" customFormat="1" x14ac:dyDescent="0.25">
      <c r="A35" s="30" t="s">
        <v>23</v>
      </c>
      <c r="B35" s="28" t="s">
        <v>24</v>
      </c>
      <c r="F35" s="28" t="s">
        <v>24</v>
      </c>
      <c r="G35" s="28"/>
      <c r="H35" s="28"/>
      <c r="I35" s="28" t="s">
        <v>25</v>
      </c>
      <c r="J35" s="28"/>
    </row>
    <row r="36" spans="1:15" s="1" customFormat="1" ht="13.5" customHeight="1" x14ac:dyDescent="0.25">
      <c r="A36" s="28"/>
      <c r="B36" s="29"/>
      <c r="F36" s="28"/>
      <c r="G36" s="28"/>
      <c r="H36" s="28"/>
      <c r="I36" s="28"/>
      <c r="J36" s="28"/>
    </row>
    <row r="37" spans="1:15" s="1" customFormat="1" ht="18" x14ac:dyDescent="0.4">
      <c r="A37" s="39"/>
      <c r="B37" s="2"/>
      <c r="C37" s="2"/>
      <c r="D37" s="2"/>
      <c r="G37" s="43"/>
    </row>
    <row r="38" spans="1:15" s="1" customFormat="1" x14ac:dyDescent="0.25">
      <c r="A38" s="28"/>
      <c r="B38" s="28"/>
      <c r="F38" s="28"/>
      <c r="G38" s="28"/>
      <c r="H38" s="28"/>
      <c r="I38" s="28"/>
      <c r="J38" s="28"/>
    </row>
    <row r="39" spans="1:15" s="1" customFormat="1" x14ac:dyDescent="0.25">
      <c r="A39" s="28"/>
      <c r="B39" s="28"/>
      <c r="F39" s="28"/>
      <c r="G39" s="28"/>
      <c r="H39" s="28"/>
      <c r="I39" s="28"/>
      <c r="J39" s="28"/>
    </row>
    <row r="40" spans="1:15" s="1" customFormat="1" x14ac:dyDescent="0.25">
      <c r="A40" s="30"/>
      <c r="B40" s="28"/>
      <c r="F40" s="28"/>
      <c r="G40" s="28"/>
      <c r="H40" s="28"/>
      <c r="I40" s="28"/>
      <c r="J40" s="28"/>
    </row>
    <row r="41" spans="1:15" s="1" customFormat="1" x14ac:dyDescent="0.25">
      <c r="A41" s="28"/>
      <c r="B41" s="28"/>
      <c r="F41" s="28"/>
      <c r="G41" s="28"/>
      <c r="H41" s="28"/>
      <c r="I41" s="28"/>
      <c r="J41" s="28"/>
    </row>
    <row r="42" spans="1:15" s="1" customFormat="1" x14ac:dyDescent="0.25">
      <c r="A42" s="30"/>
      <c r="B42" s="28"/>
      <c r="F42" s="28"/>
      <c r="G42" s="28"/>
      <c r="H42" s="28"/>
      <c r="I42" s="28"/>
      <c r="J42" s="28"/>
    </row>
    <row r="43" spans="1:15" s="1" customFormat="1" x14ac:dyDescent="0.25"/>
    <row r="44" spans="1:15" x14ac:dyDescent="0.25">
      <c r="A44" s="30"/>
      <c r="B44" s="28"/>
      <c r="C44" s="1"/>
      <c r="D44" s="1"/>
      <c r="E44" s="1"/>
      <c r="F44" s="28"/>
      <c r="G44" s="28"/>
      <c r="H44" s="28"/>
      <c r="I44" s="28"/>
      <c r="J44" s="28"/>
      <c r="K44" s="28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75" bottom="0.75" header="0.3" footer="0.3"/>
  <pageSetup orientation="landscape" horizontalDpi="0" verticalDpi="0" r:id="rId1"/>
  <ignoredErrors>
    <ignoredError sqref="C19:G19 C8:G8 K8:L8 C9:E9 K9:L9 C10:G10 K10:L10 C11:G11 K11:L11 C12:G12 K12:L12 C13:G13 K13:L13 C14:E14 K14:L14 C15:E15 K15:L15 C16:G16 K16:L16 C17:G17 K17:L17 C18:G18 K18:L18 K19:L19 G9 G14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O80" sqref="O80"/>
    </sheetView>
  </sheetViews>
  <sheetFormatPr defaultRowHeight="15" x14ac:dyDescent="0.25"/>
  <cols>
    <col min="1" max="1" width="12.5703125" customWidth="1"/>
    <col min="2" max="2" width="1.42578125" customWidth="1"/>
    <col min="3" max="3" width="11.28515625" hidden="1" customWidth="1"/>
    <col min="5" max="5" width="10.5703125" bestFit="1" customWidth="1"/>
    <col min="8" max="8" width="12" customWidth="1"/>
    <col min="9" max="9" width="9.140625" hidden="1" customWidth="1"/>
    <col min="10" max="10" width="12.85546875" hidden="1" customWidth="1"/>
    <col min="11" max="11" width="3.85546875" hidden="1" customWidth="1"/>
    <col min="12" max="12" width="9.140625" hidden="1" customWidth="1"/>
    <col min="13" max="13" width="11.140625" hidden="1" customWidth="1"/>
    <col min="14" max="14" width="1" hidden="1" customWidth="1"/>
    <col min="15" max="15" width="15.85546875" customWidth="1"/>
  </cols>
  <sheetData>
    <row r="1" spans="1:20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15"/>
      <c r="L1" s="115"/>
    </row>
    <row r="2" spans="1:20" x14ac:dyDescent="0.25">
      <c r="A2" s="66" t="s">
        <v>54</v>
      </c>
      <c r="B2" s="44"/>
      <c r="C2" s="44"/>
      <c r="D2" s="44"/>
      <c r="E2" s="44"/>
    </row>
    <row r="3" spans="1:20" ht="21" x14ac:dyDescent="0.25">
      <c r="A3" s="115"/>
      <c r="B3" s="115"/>
      <c r="C3" s="44"/>
      <c r="D3" s="115"/>
      <c r="E3" s="115"/>
      <c r="F3" s="47" t="s">
        <v>153</v>
      </c>
      <c r="G3" s="46"/>
      <c r="H3" s="46"/>
      <c r="I3" s="46"/>
      <c r="J3" s="46"/>
      <c r="K3" s="44"/>
      <c r="L3" s="44"/>
      <c r="M3" s="123"/>
    </row>
    <row r="4" spans="1:20" s="136" customFormat="1" ht="21" x14ac:dyDescent="0.25">
      <c r="C4" s="44"/>
      <c r="F4" s="47"/>
      <c r="G4" s="46"/>
      <c r="H4" s="46"/>
      <c r="I4" s="46"/>
      <c r="J4" s="46"/>
      <c r="K4" s="44"/>
      <c r="L4" s="44"/>
      <c r="M4" s="137"/>
    </row>
    <row r="5" spans="1:20" ht="15.75" thickBot="1" x14ac:dyDescent="0.3">
      <c r="A5" s="59" t="s">
        <v>0</v>
      </c>
      <c r="B5" s="72" t="s">
        <v>1</v>
      </c>
      <c r="C5" s="59"/>
      <c r="D5" s="59" t="s">
        <v>12</v>
      </c>
      <c r="E5" s="59" t="s">
        <v>32</v>
      </c>
      <c r="F5" s="59" t="s">
        <v>2</v>
      </c>
      <c r="G5" s="60" t="s">
        <v>13</v>
      </c>
      <c r="H5" s="59" t="s">
        <v>94</v>
      </c>
      <c r="I5" s="59" t="s">
        <v>32</v>
      </c>
      <c r="J5" s="59" t="s">
        <v>62</v>
      </c>
      <c r="K5" s="60" t="s">
        <v>15</v>
      </c>
      <c r="L5" s="60" t="s">
        <v>16</v>
      </c>
      <c r="M5" s="127"/>
      <c r="N5" s="127"/>
      <c r="O5" s="148" t="s">
        <v>143</v>
      </c>
      <c r="R5" s="144"/>
      <c r="S5" s="145"/>
      <c r="T5" s="127"/>
    </row>
    <row r="6" spans="1:20" ht="15.75" thickTop="1" x14ac:dyDescent="0.25">
      <c r="A6" s="5" t="s">
        <v>75</v>
      </c>
      <c r="B6" s="5">
        <v>1</v>
      </c>
      <c r="C6" s="6" t="s">
        <v>89</v>
      </c>
      <c r="D6" s="74"/>
      <c r="E6" s="74">
        <v>400</v>
      </c>
      <c r="F6" s="33">
        <v>4000</v>
      </c>
      <c r="G6" s="33">
        <f>D6+E6+F6</f>
        <v>4400</v>
      </c>
      <c r="H6" s="134">
        <v>4400</v>
      </c>
      <c r="I6" s="7">
        <v>400</v>
      </c>
      <c r="J6" s="120">
        <f>H6+I6</f>
        <v>4800</v>
      </c>
      <c r="K6" s="6"/>
      <c r="L6" s="7"/>
      <c r="M6" s="99"/>
      <c r="N6" s="123"/>
      <c r="O6" s="147">
        <f>D6+E6+F6-H6</f>
        <v>0</v>
      </c>
      <c r="R6" s="130"/>
      <c r="S6" s="131"/>
      <c r="T6" s="100"/>
    </row>
    <row r="7" spans="1:20" x14ac:dyDescent="0.25">
      <c r="A7" s="5" t="s">
        <v>35</v>
      </c>
      <c r="B7" s="5">
        <v>2</v>
      </c>
      <c r="C7" s="6"/>
      <c r="D7" s="74">
        <v>12600</v>
      </c>
      <c r="E7" s="74">
        <v>300</v>
      </c>
      <c r="F7" s="33">
        <v>4000</v>
      </c>
      <c r="G7" s="33">
        <f t="shared" ref="G7:G18" si="0">D7+E7+F7</f>
        <v>16900</v>
      </c>
      <c r="H7" s="134">
        <v>4300</v>
      </c>
      <c r="I7" s="7">
        <v>400</v>
      </c>
      <c r="J7" s="121">
        <f t="shared" ref="J7:J18" si="1">H7+I7</f>
        <v>4700</v>
      </c>
      <c r="K7" s="6"/>
      <c r="L7" s="7"/>
      <c r="M7" s="102"/>
      <c r="N7" s="110"/>
      <c r="O7" s="147">
        <f t="shared" ref="O7:O19" si="2">D7+E7+F7-H7</f>
        <v>12600</v>
      </c>
      <c r="Q7">
        <v>150</v>
      </c>
      <c r="R7" s="144" t="s">
        <v>168</v>
      </c>
      <c r="S7" s="145">
        <f>Q7*R7</f>
        <v>1800</v>
      </c>
      <c r="T7" s="124">
        <v>2100</v>
      </c>
    </row>
    <row r="8" spans="1:20" x14ac:dyDescent="0.25">
      <c r="A8" s="5" t="s">
        <v>137</v>
      </c>
      <c r="B8" s="5">
        <v>3</v>
      </c>
      <c r="C8" s="6"/>
      <c r="D8" s="74">
        <v>1700</v>
      </c>
      <c r="E8" s="74">
        <v>400</v>
      </c>
      <c r="F8" s="7">
        <v>4000</v>
      </c>
      <c r="G8" s="128">
        <f t="shared" si="0"/>
        <v>6100</v>
      </c>
      <c r="H8" s="134">
        <v>5400</v>
      </c>
      <c r="I8" s="7"/>
      <c r="J8" s="121">
        <f t="shared" si="1"/>
        <v>5400</v>
      </c>
      <c r="K8" s="6"/>
      <c r="L8" s="7"/>
      <c r="M8" s="102"/>
      <c r="N8" s="110"/>
      <c r="O8" s="147">
        <f t="shared" si="2"/>
        <v>700</v>
      </c>
      <c r="R8" s="144"/>
      <c r="S8" s="145"/>
      <c r="T8" s="124"/>
    </row>
    <row r="9" spans="1:20" x14ac:dyDescent="0.25">
      <c r="A9" s="9" t="s">
        <v>37</v>
      </c>
      <c r="B9" s="5">
        <v>4</v>
      </c>
      <c r="C9" s="6"/>
      <c r="D9" s="74">
        <v>400</v>
      </c>
      <c r="E9" s="77">
        <v>400</v>
      </c>
      <c r="F9" s="7">
        <v>4000</v>
      </c>
      <c r="G9" s="33">
        <f t="shared" si="0"/>
        <v>4800</v>
      </c>
      <c r="H9" s="134">
        <v>4400</v>
      </c>
      <c r="I9" s="7"/>
      <c r="J9" s="121">
        <f t="shared" si="1"/>
        <v>4400</v>
      </c>
      <c r="K9" s="6"/>
      <c r="L9" s="7"/>
      <c r="M9" s="102"/>
      <c r="N9" s="110"/>
      <c r="O9" s="147">
        <f t="shared" si="2"/>
        <v>400</v>
      </c>
      <c r="R9" s="130"/>
      <c r="S9" s="131"/>
      <c r="T9" s="124"/>
    </row>
    <row r="10" spans="1:20" x14ac:dyDescent="0.25">
      <c r="A10" s="9" t="s">
        <v>47</v>
      </c>
      <c r="B10" s="9">
        <v>5</v>
      </c>
      <c r="C10" s="6"/>
      <c r="D10" s="74">
        <v>8400</v>
      </c>
      <c r="E10" s="74">
        <v>300</v>
      </c>
      <c r="F10" s="7">
        <v>4000</v>
      </c>
      <c r="G10" s="33">
        <f t="shared" si="0"/>
        <v>12700</v>
      </c>
      <c r="H10" s="134">
        <v>3000</v>
      </c>
      <c r="I10" s="7"/>
      <c r="J10" s="121">
        <f t="shared" si="1"/>
        <v>3000</v>
      </c>
      <c r="K10" s="10"/>
      <c r="L10" s="7"/>
      <c r="M10" s="102"/>
      <c r="N10" s="110"/>
      <c r="O10" s="147">
        <f t="shared" si="2"/>
        <v>9700</v>
      </c>
      <c r="R10" s="130"/>
      <c r="S10" s="131"/>
      <c r="T10" s="124"/>
    </row>
    <row r="11" spans="1:20" x14ac:dyDescent="0.25">
      <c r="A11" s="9" t="s">
        <v>38</v>
      </c>
      <c r="B11" s="9">
        <v>6</v>
      </c>
      <c r="C11" s="6"/>
      <c r="D11" s="74"/>
      <c r="E11" s="74">
        <v>300</v>
      </c>
      <c r="F11" s="7">
        <v>4000</v>
      </c>
      <c r="G11" s="33">
        <f>D11+E11+F11</f>
        <v>4300</v>
      </c>
      <c r="H11" s="134">
        <v>3000</v>
      </c>
      <c r="I11" s="7">
        <v>400</v>
      </c>
      <c r="J11" s="121">
        <f>H11+I11</f>
        <v>3400</v>
      </c>
      <c r="K11" s="10"/>
      <c r="L11" s="7"/>
      <c r="M11" s="102"/>
      <c r="N11" s="110"/>
      <c r="O11" s="147">
        <f t="shared" si="2"/>
        <v>1300</v>
      </c>
      <c r="R11" s="144"/>
      <c r="S11" s="145"/>
      <c r="T11" s="124"/>
    </row>
    <row r="12" spans="1:20" x14ac:dyDescent="0.25">
      <c r="A12" s="5" t="s">
        <v>39</v>
      </c>
      <c r="B12" s="9">
        <v>7</v>
      </c>
      <c r="C12" s="6"/>
      <c r="D12" s="74">
        <v>800</v>
      </c>
      <c r="E12" s="74">
        <v>500</v>
      </c>
      <c r="F12" s="7">
        <v>4000</v>
      </c>
      <c r="G12" s="33">
        <f t="shared" si="0"/>
        <v>5300</v>
      </c>
      <c r="H12" s="134">
        <v>5000</v>
      </c>
      <c r="I12" s="7"/>
      <c r="J12" s="121">
        <f t="shared" si="1"/>
        <v>5000</v>
      </c>
      <c r="K12" s="62"/>
      <c r="L12" s="7"/>
      <c r="M12" s="102"/>
      <c r="N12" s="110"/>
      <c r="O12" s="147">
        <f t="shared" si="2"/>
        <v>300</v>
      </c>
      <c r="R12" s="130"/>
      <c r="S12" s="131"/>
      <c r="T12" s="124"/>
    </row>
    <row r="13" spans="1:20" x14ac:dyDescent="0.25">
      <c r="A13" s="9" t="s">
        <v>40</v>
      </c>
      <c r="B13" s="9">
        <v>8</v>
      </c>
      <c r="C13" s="6"/>
      <c r="D13" s="74">
        <v>2500</v>
      </c>
      <c r="E13" s="74">
        <v>500</v>
      </c>
      <c r="F13" s="7">
        <v>4000</v>
      </c>
      <c r="G13" s="33">
        <f t="shared" si="0"/>
        <v>7000</v>
      </c>
      <c r="H13" s="134">
        <v>4500</v>
      </c>
      <c r="I13" s="7"/>
      <c r="J13" s="121">
        <f t="shared" si="1"/>
        <v>4500</v>
      </c>
      <c r="K13" s="10"/>
      <c r="L13" s="7"/>
      <c r="M13" s="102"/>
      <c r="N13" s="110"/>
      <c r="O13" s="147">
        <f t="shared" si="2"/>
        <v>2500</v>
      </c>
      <c r="R13" s="144"/>
      <c r="S13" s="145"/>
      <c r="T13" s="124"/>
    </row>
    <row r="14" spans="1:20" x14ac:dyDescent="0.25">
      <c r="A14" s="5" t="s">
        <v>41</v>
      </c>
      <c r="B14" s="5">
        <v>1</v>
      </c>
      <c r="C14" s="6"/>
      <c r="D14" s="74"/>
      <c r="E14" s="74">
        <v>300</v>
      </c>
      <c r="F14" s="7">
        <v>2500</v>
      </c>
      <c r="G14" s="128">
        <f>D14+E14+F14</f>
        <v>2800</v>
      </c>
      <c r="H14" s="134">
        <v>2800</v>
      </c>
      <c r="I14" s="7">
        <v>300</v>
      </c>
      <c r="J14" s="121">
        <f t="shared" si="1"/>
        <v>3100</v>
      </c>
      <c r="K14" s="5"/>
      <c r="L14" s="7"/>
      <c r="M14" s="102"/>
      <c r="N14" s="110"/>
      <c r="O14" s="147">
        <f t="shared" si="2"/>
        <v>0</v>
      </c>
      <c r="R14" s="144"/>
      <c r="S14" s="145"/>
      <c r="T14" s="124"/>
    </row>
    <row r="15" spans="1:20" x14ac:dyDescent="0.25">
      <c r="A15" s="5" t="s">
        <v>43</v>
      </c>
      <c r="B15" s="5">
        <v>2</v>
      </c>
      <c r="C15" s="6"/>
      <c r="D15" s="74">
        <v>5300</v>
      </c>
      <c r="E15" s="74">
        <v>600</v>
      </c>
      <c r="F15" s="7">
        <v>5000</v>
      </c>
      <c r="G15" s="128">
        <f t="shared" si="0"/>
        <v>10900</v>
      </c>
      <c r="H15" s="134">
        <v>10600</v>
      </c>
      <c r="I15" s="7">
        <v>300</v>
      </c>
      <c r="J15" s="121">
        <f t="shared" si="1"/>
        <v>10900</v>
      </c>
      <c r="K15" s="5" t="s">
        <v>89</v>
      </c>
      <c r="L15" s="7"/>
      <c r="M15" s="102"/>
      <c r="N15" s="110"/>
      <c r="O15" s="147">
        <f t="shared" si="2"/>
        <v>300</v>
      </c>
      <c r="R15" s="144"/>
      <c r="S15" s="145"/>
      <c r="T15" s="124"/>
    </row>
    <row r="16" spans="1:20" ht="15.75" thickBot="1" x14ac:dyDescent="0.3">
      <c r="A16" s="9" t="s">
        <v>57</v>
      </c>
      <c r="B16" s="5">
        <v>3</v>
      </c>
      <c r="C16" s="6"/>
      <c r="D16" s="74">
        <v>2800</v>
      </c>
      <c r="E16" s="74">
        <v>600</v>
      </c>
      <c r="F16" s="7">
        <v>2500</v>
      </c>
      <c r="G16" s="33">
        <f>D16+E16+F16</f>
        <v>5900</v>
      </c>
      <c r="H16" s="134">
        <v>5900</v>
      </c>
      <c r="I16" s="7">
        <v>300</v>
      </c>
      <c r="J16" s="121">
        <f t="shared" si="1"/>
        <v>6200</v>
      </c>
      <c r="K16" s="63"/>
      <c r="L16" s="7"/>
      <c r="M16" s="102"/>
      <c r="N16" s="110"/>
      <c r="O16" s="147">
        <f t="shared" si="2"/>
        <v>0</v>
      </c>
      <c r="R16" s="144"/>
      <c r="S16" s="145"/>
      <c r="T16" s="125"/>
    </row>
    <row r="17" spans="1:20" ht="15.75" thickBot="1" x14ac:dyDescent="0.3">
      <c r="A17" s="5" t="s">
        <v>61</v>
      </c>
      <c r="B17" s="5">
        <v>4</v>
      </c>
      <c r="C17" s="6"/>
      <c r="D17" s="74">
        <v>2000</v>
      </c>
      <c r="E17" s="74">
        <v>300</v>
      </c>
      <c r="F17" s="7">
        <v>2500</v>
      </c>
      <c r="G17" s="33">
        <f>D17+E17+F17</f>
        <v>4800</v>
      </c>
      <c r="H17" s="134">
        <v>2800</v>
      </c>
      <c r="I17" s="7"/>
      <c r="J17" s="121">
        <f t="shared" si="1"/>
        <v>2800</v>
      </c>
      <c r="K17" s="63"/>
      <c r="L17" s="7"/>
      <c r="M17" s="102"/>
      <c r="N17" s="110"/>
      <c r="O17" s="147">
        <f t="shared" si="2"/>
        <v>2000</v>
      </c>
      <c r="R17" s="144"/>
      <c r="S17" s="145"/>
      <c r="T17" s="113"/>
    </row>
    <row r="18" spans="1:20" ht="15.75" thickBot="1" x14ac:dyDescent="0.3">
      <c r="A18" s="5"/>
      <c r="B18" s="5"/>
      <c r="C18" s="6"/>
      <c r="D18" s="74"/>
      <c r="E18" s="74"/>
      <c r="F18" s="7"/>
      <c r="G18" s="33">
        <f t="shared" si="0"/>
        <v>0</v>
      </c>
      <c r="H18" s="7"/>
      <c r="I18" s="7"/>
      <c r="J18" s="121">
        <f t="shared" si="1"/>
        <v>0</v>
      </c>
      <c r="K18" s="63"/>
      <c r="L18" s="7"/>
      <c r="M18" s="99"/>
      <c r="N18" s="123"/>
      <c r="O18" s="147">
        <f t="shared" si="2"/>
        <v>0</v>
      </c>
      <c r="R18" s="144"/>
      <c r="S18" s="145"/>
      <c r="T18" s="126"/>
    </row>
    <row r="19" spans="1:20" ht="15.75" thickTop="1" x14ac:dyDescent="0.25">
      <c r="A19" s="69"/>
      <c r="B19" s="69"/>
      <c r="C19" s="70"/>
      <c r="D19" s="71">
        <f>SUM(D7:D18)</f>
        <v>36500</v>
      </c>
      <c r="E19" s="71">
        <f>SUM(E6:E18)</f>
        <v>4900</v>
      </c>
      <c r="F19" s="71">
        <f>SUM(F6:F17)</f>
        <v>44500</v>
      </c>
      <c r="G19" s="71">
        <f>SUM(G6:G17)</f>
        <v>85900</v>
      </c>
      <c r="H19" s="71">
        <f>SUM(H6:H18)</f>
        <v>56100</v>
      </c>
      <c r="I19" s="78">
        <f>SUM(I6:I17)</f>
        <v>2100</v>
      </c>
      <c r="J19" s="122">
        <f>SUM(J6:J18)</f>
        <v>58200</v>
      </c>
      <c r="K19" s="69"/>
      <c r="L19" s="7"/>
      <c r="O19" s="147">
        <f t="shared" si="2"/>
        <v>29800</v>
      </c>
      <c r="R19" s="144"/>
      <c r="S19" s="145"/>
    </row>
    <row r="20" spans="1:20" ht="15.75" thickBot="1" x14ac:dyDescent="0.3">
      <c r="A20" s="68" t="s">
        <v>30</v>
      </c>
      <c r="B20" s="115"/>
      <c r="C20" s="115"/>
      <c r="D20" s="115"/>
      <c r="E20" s="115"/>
      <c r="F20" s="115"/>
      <c r="G20" s="37"/>
      <c r="H20" s="37"/>
      <c r="I20" s="115"/>
      <c r="J20" s="115"/>
      <c r="K20" s="115"/>
      <c r="L20" s="115"/>
      <c r="R20" s="144"/>
      <c r="S20" s="146"/>
    </row>
    <row r="21" spans="1:20" ht="15.75" thickBot="1" x14ac:dyDescent="0.3">
      <c r="A21" s="2" t="s">
        <v>84</v>
      </c>
      <c r="B21" s="115"/>
      <c r="C21" s="36">
        <v>44500</v>
      </c>
      <c r="D21" s="115"/>
      <c r="E21" s="37">
        <v>44500</v>
      </c>
      <c r="F21" s="115"/>
      <c r="G21" s="152" t="s">
        <v>144</v>
      </c>
      <c r="H21" s="153"/>
      <c r="I21" s="117"/>
      <c r="J21" s="115"/>
      <c r="K21" s="115"/>
      <c r="L21" s="115"/>
      <c r="R21" s="130"/>
      <c r="S21" s="132"/>
    </row>
    <row r="22" spans="1:20" ht="15.75" thickBot="1" x14ac:dyDescent="0.3">
      <c r="A22" s="2"/>
      <c r="B22" s="2"/>
      <c r="C22" s="41"/>
      <c r="D22" s="115"/>
      <c r="E22" s="115"/>
      <c r="F22" s="115" t="s">
        <v>107</v>
      </c>
      <c r="G22" s="136" t="s">
        <v>145</v>
      </c>
      <c r="H22" s="137" t="s">
        <v>146</v>
      </c>
      <c r="I22" s="117"/>
      <c r="J22" s="115"/>
      <c r="K22" s="115"/>
      <c r="L22" s="115"/>
      <c r="O22" s="129"/>
      <c r="P22" s="133"/>
    </row>
    <row r="23" spans="1:20" ht="15.75" thickTop="1" x14ac:dyDescent="0.25">
      <c r="A23" s="2"/>
      <c r="B23" s="2"/>
      <c r="C23" s="41">
        <f>SUM(C21:C22)</f>
        <v>44500</v>
      </c>
      <c r="D23" s="119">
        <v>7.0000000000000007E-2</v>
      </c>
      <c r="E23" s="37">
        <f>E21*D23</f>
        <v>3115.0000000000005</v>
      </c>
      <c r="F23" s="115"/>
      <c r="G23" s="115"/>
      <c r="H23" s="116"/>
      <c r="I23" s="117"/>
      <c r="J23" s="115"/>
      <c r="K23" s="115"/>
      <c r="L23" s="115"/>
    </row>
    <row r="24" spans="1:20" ht="16.5" x14ac:dyDescent="0.35">
      <c r="A24" s="2" t="s">
        <v>62</v>
      </c>
      <c r="B24" s="2"/>
      <c r="C24" s="67"/>
      <c r="D24" s="115"/>
      <c r="E24" s="115"/>
      <c r="F24" s="115"/>
      <c r="G24" s="115"/>
      <c r="H24" s="116"/>
      <c r="I24" s="117"/>
      <c r="J24" s="115"/>
      <c r="K24" s="115"/>
      <c r="L24" s="115"/>
    </row>
    <row r="25" spans="1:20" x14ac:dyDescent="0.25">
      <c r="A25" s="45" t="s">
        <v>29</v>
      </c>
      <c r="B25" s="2"/>
      <c r="C25" s="38"/>
      <c r="D25" s="115"/>
      <c r="E25" s="115"/>
      <c r="F25" s="115"/>
      <c r="G25" s="115"/>
      <c r="H25" s="116"/>
      <c r="I25" s="117"/>
      <c r="J25" s="115"/>
      <c r="K25" s="115"/>
      <c r="L25" s="115"/>
    </row>
    <row r="26" spans="1:20" x14ac:dyDescent="0.25">
      <c r="A26" s="2" t="s">
        <v>26</v>
      </c>
      <c r="B26" s="2"/>
      <c r="C26" s="40">
        <f>C21*D23</f>
        <v>3115.0000000000005</v>
      </c>
      <c r="D26" s="115"/>
      <c r="E26" s="37">
        <f>E21*D23</f>
        <v>3115.0000000000005</v>
      </c>
      <c r="F26" s="115"/>
      <c r="G26" s="136"/>
      <c r="H26" s="116"/>
      <c r="I26" s="117"/>
      <c r="J26" s="115"/>
      <c r="K26" s="115"/>
      <c r="L26" s="115"/>
    </row>
    <row r="27" spans="1:20" x14ac:dyDescent="0.25">
      <c r="A27" s="2" t="s">
        <v>94</v>
      </c>
      <c r="B27" s="2"/>
      <c r="C27" s="40"/>
      <c r="D27" s="115"/>
      <c r="E27" s="143">
        <v>38000</v>
      </c>
      <c r="F27" s="115"/>
      <c r="G27" s="115"/>
      <c r="H27" s="116"/>
      <c r="I27" s="117"/>
      <c r="J27" s="115"/>
      <c r="K27" s="115"/>
      <c r="L27" s="115"/>
    </row>
    <row r="28" spans="1:20" x14ac:dyDescent="0.25">
      <c r="A28" s="149" t="s">
        <v>140</v>
      </c>
      <c r="B28" s="149"/>
      <c r="C28" s="150">
        <v>38000</v>
      </c>
      <c r="D28" s="91"/>
      <c r="E28" s="151">
        <f>SUM(E26:E27)</f>
        <v>41115</v>
      </c>
      <c r="F28" s="2"/>
      <c r="G28" s="2"/>
      <c r="H28" s="116"/>
      <c r="I28" s="118"/>
      <c r="J28" s="2"/>
      <c r="K28" s="2"/>
      <c r="L28" s="115"/>
    </row>
    <row r="29" spans="1:20" x14ac:dyDescent="0.25">
      <c r="A29" s="91"/>
      <c r="B29" s="91"/>
      <c r="C29" s="91"/>
      <c r="D29" s="91"/>
      <c r="E29" s="91"/>
      <c r="H29" s="2" t="s">
        <v>141</v>
      </c>
      <c r="I29" s="2"/>
      <c r="J29" s="2" t="s">
        <v>72</v>
      </c>
      <c r="K29" s="2"/>
      <c r="L29" s="37"/>
    </row>
    <row r="30" spans="1:20" ht="15.75" x14ac:dyDescent="0.25">
      <c r="A30" s="55" t="s">
        <v>27</v>
      </c>
      <c r="B30" s="2"/>
      <c r="C30" s="84"/>
      <c r="D30" s="28"/>
      <c r="E30" s="37">
        <f>E21-E28</f>
        <v>3385</v>
      </c>
      <c r="G30" s="17" t="s">
        <v>23</v>
      </c>
      <c r="H30" s="2" t="s">
        <v>69</v>
      </c>
      <c r="I30" s="2"/>
      <c r="J30" s="2" t="s">
        <v>68</v>
      </c>
      <c r="K30" s="2"/>
      <c r="L30" s="115"/>
    </row>
    <row r="31" spans="1:20" x14ac:dyDescent="0.25">
      <c r="A31" s="115"/>
      <c r="B31" s="115"/>
      <c r="C31" s="115"/>
      <c r="D31" s="115"/>
      <c r="E31" s="115">
        <v>2100</v>
      </c>
      <c r="F31" s="115"/>
      <c r="G31" s="115"/>
      <c r="H31" s="115"/>
      <c r="I31" s="115"/>
      <c r="J31" s="115"/>
      <c r="K31" s="115"/>
      <c r="L31" s="115"/>
    </row>
    <row r="32" spans="1:20" x14ac:dyDescent="0.25">
      <c r="A32" s="115"/>
      <c r="B32" s="115"/>
      <c r="C32" s="115"/>
      <c r="D32" s="115"/>
      <c r="E32" s="37">
        <f>SUM(E30:E31)</f>
        <v>5485</v>
      </c>
      <c r="F32" s="115"/>
      <c r="G32" s="115"/>
      <c r="H32" s="115"/>
      <c r="I32" s="115"/>
      <c r="J32" s="115"/>
      <c r="K32" s="115"/>
      <c r="L32" s="115"/>
    </row>
  </sheetData>
  <pageMargins left="0.7" right="0.7" top="0.75" bottom="0.75" header="0.3" footer="0.3"/>
  <pageSetup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30" sqref="C30"/>
    </sheetView>
  </sheetViews>
  <sheetFormatPr defaultRowHeight="15" x14ac:dyDescent="0.25"/>
  <cols>
    <col min="1" max="1" width="16.140625" bestFit="1" customWidth="1"/>
    <col min="2" max="2" width="3.28515625" bestFit="1" customWidth="1"/>
    <col min="3" max="3" width="12.140625" customWidth="1"/>
    <col min="5" max="5" width="11.85546875" customWidth="1"/>
    <col min="9" max="9" width="15" customWidth="1"/>
    <col min="10" max="10" width="7.28515625" customWidth="1"/>
  </cols>
  <sheetData>
    <row r="1" spans="1:16" ht="33.75" x14ac:dyDescent="0.45">
      <c r="A1" s="13"/>
      <c r="B1" s="21"/>
      <c r="C1" s="13"/>
      <c r="D1" s="31"/>
      <c r="E1" s="31"/>
      <c r="F1" s="32" t="s">
        <v>4</v>
      </c>
      <c r="G1" s="32"/>
      <c r="H1" s="31"/>
    </row>
    <row r="2" spans="1:16" ht="15.75" x14ac:dyDescent="0.25">
      <c r="A2" s="44"/>
      <c r="B2" s="44"/>
      <c r="C2" s="95" t="s">
        <v>105</v>
      </c>
      <c r="D2" s="44"/>
      <c r="E2" s="44"/>
      <c r="F2" s="66" t="s">
        <v>54</v>
      </c>
    </row>
    <row r="3" spans="1:16" ht="21" x14ac:dyDescent="0.25">
      <c r="A3" s="115"/>
      <c r="B3" s="115"/>
      <c r="C3" s="44"/>
      <c r="D3" s="115"/>
      <c r="E3" s="115"/>
      <c r="F3" s="47" t="s">
        <v>152</v>
      </c>
      <c r="G3" s="46"/>
      <c r="H3" s="46"/>
    </row>
    <row r="4" spans="1:1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94</v>
      </c>
      <c r="I4" s="148" t="s">
        <v>143</v>
      </c>
    </row>
    <row r="5" spans="1:16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33">
        <v>4000</v>
      </c>
      <c r="G5" s="33">
        <f>D5+E5+F5</f>
        <v>4500</v>
      </c>
      <c r="H5" s="134">
        <v>4500</v>
      </c>
      <c r="I5" s="147">
        <f>D5+E5+F5-H5</f>
        <v>0</v>
      </c>
    </row>
    <row r="6" spans="1:16" x14ac:dyDescent="0.25">
      <c r="A6" s="5" t="s">
        <v>35</v>
      </c>
      <c r="B6" s="5">
        <v>2</v>
      </c>
      <c r="C6" s="147"/>
      <c r="D6" s="74">
        <v>12600</v>
      </c>
      <c r="E6" s="74">
        <v>300</v>
      </c>
      <c r="F6" s="33">
        <v>4000</v>
      </c>
      <c r="G6" s="33">
        <f t="shared" ref="G6:G17" si="0">D6+E6+F6</f>
        <v>16900</v>
      </c>
      <c r="H6" s="134">
        <v>5000</v>
      </c>
      <c r="I6" s="147">
        <f t="shared" ref="I6:I18" si="1">D6+E6+F6-H6</f>
        <v>11900</v>
      </c>
      <c r="M6" s="138" t="s">
        <v>138</v>
      </c>
      <c r="N6" s="138"/>
      <c r="O6" s="139">
        <v>4000</v>
      </c>
      <c r="P6" s="138"/>
    </row>
    <row r="7" spans="1:16" x14ac:dyDescent="0.25">
      <c r="A7" s="5" t="s">
        <v>137</v>
      </c>
      <c r="B7" s="5">
        <v>3</v>
      </c>
      <c r="C7" s="147"/>
      <c r="D7" s="74">
        <v>700</v>
      </c>
      <c r="E7" s="74"/>
      <c r="F7" s="7">
        <v>4000</v>
      </c>
      <c r="G7" s="128">
        <f t="shared" si="0"/>
        <v>4700</v>
      </c>
      <c r="H7" s="134"/>
      <c r="I7" s="147">
        <f t="shared" si="1"/>
        <v>4700</v>
      </c>
      <c r="M7" s="138" t="s">
        <v>139</v>
      </c>
      <c r="N7" s="138"/>
      <c r="O7" s="139">
        <v>5000</v>
      </c>
      <c r="P7" s="138"/>
    </row>
    <row r="8" spans="1:16" x14ac:dyDescent="0.25">
      <c r="A8" s="9" t="s">
        <v>37</v>
      </c>
      <c r="B8" s="5">
        <v>4</v>
      </c>
      <c r="C8" s="147"/>
      <c r="D8" s="74">
        <v>400</v>
      </c>
      <c r="E8" s="77">
        <v>300</v>
      </c>
      <c r="F8" s="7">
        <v>4000</v>
      </c>
      <c r="G8" s="33">
        <f t="shared" si="0"/>
        <v>4700</v>
      </c>
      <c r="H8" s="134">
        <v>4700</v>
      </c>
      <c r="I8" s="147">
        <f t="shared" si="1"/>
        <v>0</v>
      </c>
      <c r="M8" s="138" t="s">
        <v>122</v>
      </c>
      <c r="N8" s="138"/>
      <c r="O8" s="139">
        <v>2900</v>
      </c>
      <c r="P8" s="138"/>
    </row>
    <row r="9" spans="1:16" x14ac:dyDescent="0.25">
      <c r="A9" s="9" t="s">
        <v>47</v>
      </c>
      <c r="B9" s="9">
        <v>5</v>
      </c>
      <c r="C9" s="147"/>
      <c r="D9" s="74">
        <v>9700</v>
      </c>
      <c r="E9" s="74">
        <v>500</v>
      </c>
      <c r="F9" s="7">
        <v>4000</v>
      </c>
      <c r="G9" s="33">
        <f t="shared" si="0"/>
        <v>14200</v>
      </c>
      <c r="H9" s="134"/>
      <c r="I9" s="147">
        <f t="shared" si="1"/>
        <v>14200</v>
      </c>
      <c r="M9" s="138" t="s">
        <v>120</v>
      </c>
      <c r="N9" s="138"/>
      <c r="O9" s="139">
        <v>4500</v>
      </c>
      <c r="P9" s="138"/>
    </row>
    <row r="10" spans="1:16" x14ac:dyDescent="0.25">
      <c r="A10" s="9" t="s">
        <v>38</v>
      </c>
      <c r="B10" s="9">
        <v>6</v>
      </c>
      <c r="C10" s="147"/>
      <c r="D10" s="74">
        <v>1300</v>
      </c>
      <c r="E10" s="74">
        <v>700</v>
      </c>
      <c r="F10" s="7">
        <v>4000</v>
      </c>
      <c r="G10" s="33">
        <f>D10+E10+F10</f>
        <v>6000</v>
      </c>
      <c r="H10" s="134">
        <v>6000</v>
      </c>
      <c r="I10" s="147">
        <f t="shared" si="1"/>
        <v>0</v>
      </c>
      <c r="M10" s="138" t="s">
        <v>126</v>
      </c>
      <c r="N10" s="138"/>
      <c r="O10" s="139">
        <v>6000</v>
      </c>
      <c r="P10" s="138"/>
    </row>
    <row r="11" spans="1:16" x14ac:dyDescent="0.25">
      <c r="A11" s="5" t="s">
        <v>39</v>
      </c>
      <c r="B11" s="9">
        <v>7</v>
      </c>
      <c r="C11" s="147"/>
      <c r="D11" s="74">
        <v>300</v>
      </c>
      <c r="E11" s="74">
        <v>300</v>
      </c>
      <c r="F11" s="7">
        <v>4000</v>
      </c>
      <c r="G11" s="33">
        <f t="shared" si="0"/>
        <v>4600</v>
      </c>
      <c r="H11" s="134">
        <v>4600</v>
      </c>
      <c r="I11" s="147">
        <f t="shared" si="1"/>
        <v>0</v>
      </c>
      <c r="M11" s="138" t="s">
        <v>138</v>
      </c>
      <c r="N11" s="138"/>
      <c r="O11" s="139">
        <v>3000</v>
      </c>
      <c r="P11" s="138"/>
    </row>
    <row r="12" spans="1:16" ht="15.75" thickBot="1" x14ac:dyDescent="0.3">
      <c r="A12" s="9" t="s">
        <v>40</v>
      </c>
      <c r="B12" s="9">
        <v>8</v>
      </c>
      <c r="C12" s="147"/>
      <c r="D12" s="74">
        <v>2500</v>
      </c>
      <c r="E12" s="74">
        <v>200</v>
      </c>
      <c r="F12" s="7">
        <v>4000</v>
      </c>
      <c r="G12" s="33">
        <f t="shared" si="0"/>
        <v>6700</v>
      </c>
      <c r="H12" s="134"/>
      <c r="I12" s="147">
        <f t="shared" si="1"/>
        <v>6700</v>
      </c>
      <c r="M12" s="138" t="s">
        <v>133</v>
      </c>
      <c r="N12" s="138"/>
      <c r="O12" s="140">
        <v>0</v>
      </c>
      <c r="P12" s="138"/>
    </row>
    <row r="13" spans="1:16" ht="15.75" thickBot="1" x14ac:dyDescent="0.3">
      <c r="A13" s="5" t="s">
        <v>41</v>
      </c>
      <c r="B13" s="5">
        <v>1</v>
      </c>
      <c r="C13" s="147"/>
      <c r="D13" s="74"/>
      <c r="E13" s="74">
        <v>400</v>
      </c>
      <c r="F13" s="7">
        <v>2500</v>
      </c>
      <c r="G13" s="128">
        <f>D13+E13+F13</f>
        <v>2900</v>
      </c>
      <c r="H13" s="134">
        <v>2900</v>
      </c>
      <c r="I13" s="147">
        <f t="shared" si="1"/>
        <v>0</v>
      </c>
      <c r="M13" s="138"/>
      <c r="N13" s="138"/>
      <c r="O13" s="141">
        <v>25400</v>
      </c>
      <c r="P13" s="138"/>
    </row>
    <row r="14" spans="1:16" ht="15.75" thickBot="1" x14ac:dyDescent="0.3">
      <c r="A14" s="5" t="s">
        <v>43</v>
      </c>
      <c r="B14" s="5">
        <v>2</v>
      </c>
      <c r="C14" s="147"/>
      <c r="D14" s="74">
        <v>300</v>
      </c>
      <c r="E14" s="74">
        <v>300</v>
      </c>
      <c r="F14" s="7">
        <v>5000</v>
      </c>
      <c r="G14" s="128">
        <f t="shared" si="0"/>
        <v>5600</v>
      </c>
      <c r="H14" s="134"/>
      <c r="I14" s="147">
        <f t="shared" si="1"/>
        <v>5600</v>
      </c>
      <c r="M14" s="137"/>
      <c r="N14" s="137"/>
      <c r="O14" s="142">
        <v>25400</v>
      </c>
      <c r="P14" s="137"/>
    </row>
    <row r="15" spans="1:16" ht="15.75" thickTop="1" x14ac:dyDescent="0.25">
      <c r="A15" s="9" t="s">
        <v>57</v>
      </c>
      <c r="B15" s="5">
        <v>3</v>
      </c>
      <c r="C15" s="147"/>
      <c r="D15" s="74">
        <v>1100</v>
      </c>
      <c r="E15" s="74">
        <v>400</v>
      </c>
      <c r="F15" s="7">
        <v>2500</v>
      </c>
      <c r="G15" s="33">
        <f>D15+E15+F15</f>
        <v>4000</v>
      </c>
      <c r="H15" s="134">
        <v>4000</v>
      </c>
      <c r="I15" s="147">
        <f t="shared" si="1"/>
        <v>0</v>
      </c>
    </row>
    <row r="16" spans="1:16" x14ac:dyDescent="0.25">
      <c r="A16" s="5" t="s">
        <v>61</v>
      </c>
      <c r="B16" s="5">
        <v>4</v>
      </c>
      <c r="C16" s="147"/>
      <c r="D16" s="74">
        <v>2000</v>
      </c>
      <c r="E16" s="74">
        <v>100</v>
      </c>
      <c r="F16" s="7">
        <v>2500</v>
      </c>
      <c r="G16" s="33">
        <f>D16+E16+F16</f>
        <v>4600</v>
      </c>
      <c r="H16" s="134"/>
      <c r="I16" s="147">
        <f t="shared" si="1"/>
        <v>4600</v>
      </c>
    </row>
    <row r="17" spans="1:11" x14ac:dyDescent="0.25">
      <c r="A17" s="5"/>
      <c r="B17" s="5"/>
      <c r="C17" s="147"/>
      <c r="D17" s="74"/>
      <c r="E17" s="74"/>
      <c r="F17" s="7"/>
      <c r="G17" s="33">
        <f t="shared" si="0"/>
        <v>0</v>
      </c>
      <c r="H17" s="7"/>
      <c r="I17" s="147">
        <f t="shared" si="1"/>
        <v>0</v>
      </c>
    </row>
    <row r="18" spans="1:11" x14ac:dyDescent="0.25">
      <c r="A18" s="69"/>
      <c r="B18" s="69"/>
      <c r="C18" s="147"/>
      <c r="D18" s="71"/>
      <c r="E18" s="71">
        <f>SUM(E5:E16)</f>
        <v>4000</v>
      </c>
      <c r="F18" s="71">
        <f>SUM(F5:F16)</f>
        <v>44500</v>
      </c>
      <c r="G18" s="71">
        <f>SUM(G5:G16)</f>
        <v>79400</v>
      </c>
      <c r="H18" s="71">
        <f>SUM(H5:H17)</f>
        <v>31700</v>
      </c>
      <c r="I18" s="147">
        <f t="shared" si="1"/>
        <v>16800</v>
      </c>
    </row>
    <row r="19" spans="1:11" x14ac:dyDescent="0.25">
      <c r="A19" s="68" t="s">
        <v>30</v>
      </c>
      <c r="B19" s="115"/>
      <c r="C19" s="115"/>
      <c r="D19" s="115"/>
      <c r="E19" s="115"/>
      <c r="F19" s="115"/>
      <c r="G19" s="37"/>
      <c r="H19" s="37"/>
    </row>
    <row r="20" spans="1:11" x14ac:dyDescent="0.25">
      <c r="A20" s="2" t="s">
        <v>84</v>
      </c>
      <c r="B20" s="115"/>
      <c r="C20" s="36">
        <v>44500</v>
      </c>
      <c r="D20" s="115"/>
      <c r="E20" s="37">
        <f>H18</f>
        <v>31700</v>
      </c>
      <c r="F20" s="115"/>
      <c r="G20" s="115"/>
      <c r="H20" s="129"/>
    </row>
    <row r="21" spans="1:11" x14ac:dyDescent="0.25">
      <c r="A21" s="2" t="s">
        <v>147</v>
      </c>
      <c r="B21" s="2"/>
      <c r="C21" s="41">
        <v>3385</v>
      </c>
      <c r="D21" s="115"/>
      <c r="E21" s="115"/>
      <c r="F21" s="115" t="s">
        <v>107</v>
      </c>
      <c r="G21" s="115"/>
      <c r="H21" s="129"/>
    </row>
    <row r="22" spans="1:11" x14ac:dyDescent="0.25">
      <c r="A22" s="2" t="s">
        <v>62</v>
      </c>
      <c r="B22" s="2"/>
      <c r="C22" s="41">
        <f>SUM(C20:C21)</f>
        <v>47885</v>
      </c>
      <c r="D22" s="119">
        <v>7.0000000000000007E-2</v>
      </c>
      <c r="E22" s="37">
        <f>E20*D22</f>
        <v>2219</v>
      </c>
      <c r="F22" s="115"/>
      <c r="G22" s="115"/>
      <c r="H22" s="129"/>
    </row>
    <row r="23" spans="1:11" ht="16.5" x14ac:dyDescent="0.35">
      <c r="B23" s="2"/>
      <c r="C23" s="67"/>
      <c r="D23" s="115"/>
      <c r="E23" s="115"/>
      <c r="F23" s="115"/>
      <c r="G23" s="115"/>
      <c r="H23" s="129"/>
    </row>
    <row r="24" spans="1:11" x14ac:dyDescent="0.25">
      <c r="A24" s="45" t="s">
        <v>29</v>
      </c>
      <c r="B24" s="2"/>
      <c r="C24" s="38"/>
      <c r="D24" s="115"/>
      <c r="E24" s="115"/>
      <c r="F24" s="115"/>
      <c r="G24" s="115"/>
      <c r="H24" s="129"/>
      <c r="J24">
        <v>4155</v>
      </c>
    </row>
    <row r="25" spans="1:11" x14ac:dyDescent="0.25">
      <c r="A25" s="2" t="s">
        <v>26</v>
      </c>
      <c r="B25" s="2"/>
      <c r="C25" s="40">
        <f>C20*D22</f>
        <v>3115.0000000000005</v>
      </c>
      <c r="E25" s="2"/>
      <c r="F25" s="129"/>
      <c r="G25" s="115"/>
      <c r="H25" s="129"/>
      <c r="J25">
        <v>1800</v>
      </c>
    </row>
    <row r="26" spans="1:11" x14ac:dyDescent="0.25">
      <c r="A26" s="2" t="s">
        <v>151</v>
      </c>
      <c r="B26" s="2"/>
      <c r="C26" s="40">
        <v>25000</v>
      </c>
      <c r="D26" s="2"/>
      <c r="E26" s="2"/>
      <c r="F26" s="129"/>
      <c r="G26" s="115"/>
      <c r="H26" s="129"/>
      <c r="J26">
        <f>J24-J25</f>
        <v>2355</v>
      </c>
    </row>
    <row r="27" spans="1:11" s="136" customFormat="1" x14ac:dyDescent="0.25">
      <c r="A27" s="2" t="s">
        <v>142</v>
      </c>
      <c r="B27" s="2"/>
      <c r="C27" s="40">
        <v>7000</v>
      </c>
      <c r="D27" s="115"/>
      <c r="E27" s="2" t="s">
        <v>64</v>
      </c>
      <c r="G27" s="2"/>
      <c r="H27" s="137"/>
      <c r="I27" s="139"/>
      <c r="J27" s="2"/>
      <c r="K27" s="2"/>
    </row>
    <row r="28" spans="1:11" s="136" customFormat="1" x14ac:dyDescent="0.25">
      <c r="A28" s="2" t="s">
        <v>151</v>
      </c>
      <c r="B28" s="2"/>
      <c r="C28" s="40">
        <v>12000</v>
      </c>
      <c r="E28" s="2"/>
      <c r="G28" s="2"/>
      <c r="H28" s="137"/>
      <c r="I28" s="140"/>
      <c r="J28" s="2"/>
      <c r="K28" s="2"/>
    </row>
    <row r="29" spans="1:11" s="136" customFormat="1" x14ac:dyDescent="0.25">
      <c r="A29" s="154" t="s">
        <v>148</v>
      </c>
      <c r="B29" s="2"/>
      <c r="C29" s="40">
        <f>SUM(C25:C28)</f>
        <v>47115</v>
      </c>
      <c r="D29" s="115"/>
      <c r="E29" s="2" t="s">
        <v>150</v>
      </c>
      <c r="G29" s="2" t="s">
        <v>72</v>
      </c>
      <c r="H29" s="2"/>
      <c r="I29" s="2" t="s">
        <v>73</v>
      </c>
      <c r="J29" s="2"/>
    </row>
    <row r="30" spans="1:11" x14ac:dyDescent="0.25">
      <c r="A30" s="149" t="s">
        <v>149</v>
      </c>
      <c r="B30" s="149"/>
      <c r="C30" s="150">
        <f>C22-C29</f>
        <v>770</v>
      </c>
      <c r="D30" s="115"/>
      <c r="E30" s="17" t="s">
        <v>23</v>
      </c>
      <c r="F30" s="2" t="s">
        <v>69</v>
      </c>
      <c r="G30" s="2" t="s">
        <v>68</v>
      </c>
      <c r="H30" s="2"/>
      <c r="I30" s="2" t="s">
        <v>74</v>
      </c>
      <c r="J30" s="2"/>
    </row>
    <row r="31" spans="1:11" x14ac:dyDescent="0.25">
      <c r="B31" s="2"/>
      <c r="C31" s="42"/>
      <c r="D31" s="115"/>
      <c r="E31" s="135"/>
    </row>
    <row r="32" spans="1:11" x14ac:dyDescent="0.25">
      <c r="A32" s="2"/>
      <c r="B32" s="115"/>
      <c r="C32" s="37"/>
      <c r="D32" s="115"/>
      <c r="E32" s="115"/>
    </row>
    <row r="33" spans="1:8" s="136" customFormat="1" x14ac:dyDescent="0.25">
      <c r="A33" s="2"/>
      <c r="C33" s="37"/>
    </row>
    <row r="34" spans="1:8" ht="15.75" x14ac:dyDescent="0.25">
      <c r="A34" s="2"/>
      <c r="B34" s="2"/>
      <c r="C34" s="84"/>
      <c r="D34" s="28"/>
      <c r="E34" s="37"/>
    </row>
    <row r="35" spans="1:8" x14ac:dyDescent="0.25">
      <c r="A35" s="2"/>
      <c r="B35" s="115"/>
      <c r="C35" s="115"/>
      <c r="D35" s="115"/>
      <c r="E35" s="115"/>
      <c r="F35" s="115"/>
      <c r="G35" s="115"/>
      <c r="H35" s="115"/>
    </row>
    <row r="36" spans="1:8" ht="15.75" x14ac:dyDescent="0.25">
      <c r="A36" s="55"/>
    </row>
  </sheetData>
  <pageMargins left="0.7" right="0.7" top="0.75" bottom="0.75" header="0.3" footer="0.3"/>
  <pageSetup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6" sqref="A16"/>
    </sheetView>
  </sheetViews>
  <sheetFormatPr defaultRowHeight="15" x14ac:dyDescent="0.25"/>
  <cols>
    <col min="1" max="1" width="15.42578125" customWidth="1"/>
    <col min="5" max="5" width="11.7109375" customWidth="1"/>
    <col min="6" max="6" width="11.7109375" style="136" customWidth="1"/>
    <col min="10" max="10" width="14.28515625" customWidth="1"/>
  </cols>
  <sheetData>
    <row r="1" spans="1:10" ht="28.5" x14ac:dyDescent="0.45">
      <c r="A1" s="13" t="s">
        <v>167</v>
      </c>
      <c r="B1" s="21"/>
      <c r="C1" s="157"/>
      <c r="D1" s="158" t="s">
        <v>4</v>
      </c>
      <c r="E1" s="158"/>
      <c r="I1" s="157"/>
      <c r="J1" s="164"/>
    </row>
    <row r="2" spans="1:10" ht="15.75" x14ac:dyDescent="0.25">
      <c r="A2" s="95" t="s">
        <v>105</v>
      </c>
      <c r="B2" s="44"/>
      <c r="C2" s="66" t="s">
        <v>54</v>
      </c>
      <c r="D2" s="164"/>
      <c r="E2" s="164"/>
      <c r="F2" s="164"/>
    </row>
    <row r="3" spans="1:10" x14ac:dyDescent="0.25">
      <c r="A3" s="136"/>
      <c r="B3" s="164"/>
      <c r="C3" s="164"/>
      <c r="D3" s="166" t="s">
        <v>164</v>
      </c>
      <c r="E3" s="165"/>
      <c r="F3" s="165"/>
      <c r="G3" s="164"/>
    </row>
    <row r="4" spans="1:10" x14ac:dyDescent="0.25">
      <c r="A4" s="59" t="s">
        <v>0</v>
      </c>
      <c r="B4" s="72" t="s">
        <v>1</v>
      </c>
      <c r="C4" s="59"/>
      <c r="D4" s="59" t="s">
        <v>12</v>
      </c>
      <c r="E4" s="59" t="s">
        <v>115</v>
      </c>
      <c r="F4" s="59" t="s">
        <v>156</v>
      </c>
      <c r="G4" s="59" t="s">
        <v>2</v>
      </c>
      <c r="H4" s="60" t="s">
        <v>13</v>
      </c>
      <c r="I4" s="59" t="s">
        <v>94</v>
      </c>
      <c r="J4" s="148" t="s">
        <v>143</v>
      </c>
    </row>
    <row r="5" spans="1:10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74">
        <v>200</v>
      </c>
      <c r="G5" s="33">
        <v>4000</v>
      </c>
      <c r="H5" s="33">
        <f>D5+E5+G5</f>
        <v>4500</v>
      </c>
      <c r="I5" s="134">
        <f>E5+F5+G5</f>
        <v>4700</v>
      </c>
      <c r="J5" s="147"/>
    </row>
    <row r="6" spans="1:10" x14ac:dyDescent="0.25">
      <c r="A6" s="5" t="s">
        <v>35</v>
      </c>
      <c r="B6" s="5">
        <v>2</v>
      </c>
      <c r="C6" s="147"/>
      <c r="D6" s="74">
        <v>7000</v>
      </c>
      <c r="E6" s="74"/>
      <c r="F6" s="74"/>
      <c r="G6" s="33">
        <v>4000</v>
      </c>
      <c r="H6" s="33">
        <f>D6+E6+G6</f>
        <v>11000</v>
      </c>
      <c r="I6" s="134"/>
      <c r="J6" s="147"/>
    </row>
    <row r="7" spans="1:10" x14ac:dyDescent="0.25">
      <c r="A7" s="5" t="s">
        <v>155</v>
      </c>
      <c r="B7" s="5"/>
      <c r="C7" s="147"/>
      <c r="D7" s="74"/>
      <c r="E7" s="74">
        <v>300</v>
      </c>
      <c r="F7" s="74">
        <v>200</v>
      </c>
      <c r="G7" s="7">
        <v>4000</v>
      </c>
      <c r="H7" s="128"/>
      <c r="I7" s="134">
        <f t="shared" ref="I7:I19" si="0">E7+F7+G7</f>
        <v>4500</v>
      </c>
      <c r="J7" s="147"/>
    </row>
    <row r="8" spans="1:10" x14ac:dyDescent="0.25">
      <c r="A8" s="9" t="s">
        <v>37</v>
      </c>
      <c r="B8" s="5">
        <v>4</v>
      </c>
      <c r="C8" s="147"/>
      <c r="D8" s="74"/>
      <c r="E8" s="77"/>
      <c r="F8" s="77"/>
      <c r="G8" s="7">
        <v>4000</v>
      </c>
      <c r="H8" s="33">
        <f>D8+E8+G8</f>
        <v>4000</v>
      </c>
      <c r="I8" s="134">
        <f t="shared" si="0"/>
        <v>4000</v>
      </c>
      <c r="J8" s="147"/>
    </row>
    <row r="9" spans="1:10" x14ac:dyDescent="0.25">
      <c r="A9" s="9" t="s">
        <v>47</v>
      </c>
      <c r="B9" s="9">
        <v>5</v>
      </c>
      <c r="C9" s="147"/>
      <c r="D9" s="74"/>
      <c r="E9" s="74">
        <v>0</v>
      </c>
      <c r="F9" s="74"/>
      <c r="G9" s="7">
        <v>4000</v>
      </c>
      <c r="H9" s="33">
        <f>D9+E9+G9</f>
        <v>4000</v>
      </c>
      <c r="I9" s="134">
        <f t="shared" si="0"/>
        <v>4000</v>
      </c>
      <c r="J9" s="147"/>
    </row>
    <row r="10" spans="1:10" x14ac:dyDescent="0.25">
      <c r="A10" s="9" t="s">
        <v>38</v>
      </c>
      <c r="B10" s="9">
        <v>6</v>
      </c>
      <c r="C10" s="147"/>
      <c r="D10" s="74"/>
      <c r="E10" s="74">
        <v>500</v>
      </c>
      <c r="F10" s="74">
        <v>200</v>
      </c>
      <c r="G10" s="7">
        <v>4000</v>
      </c>
      <c r="H10" s="33">
        <f>D10+E10+G10</f>
        <v>4500</v>
      </c>
      <c r="I10" s="134">
        <f t="shared" si="0"/>
        <v>4700</v>
      </c>
      <c r="J10" s="147"/>
    </row>
    <row r="11" spans="1:10" x14ac:dyDescent="0.25">
      <c r="A11" s="5" t="s">
        <v>39</v>
      </c>
      <c r="B11" s="9">
        <v>7</v>
      </c>
      <c r="C11" s="147"/>
      <c r="D11" s="74"/>
      <c r="E11" s="74">
        <v>300</v>
      </c>
      <c r="F11" s="74">
        <v>200</v>
      </c>
      <c r="G11" s="7">
        <v>4000</v>
      </c>
      <c r="H11" s="33">
        <f>D11+E11+G11</f>
        <v>4300</v>
      </c>
      <c r="I11" s="134">
        <f t="shared" si="0"/>
        <v>4500</v>
      </c>
      <c r="J11" s="147"/>
    </row>
    <row r="12" spans="1:10" x14ac:dyDescent="0.25">
      <c r="A12" s="9" t="s">
        <v>40</v>
      </c>
      <c r="B12" s="9">
        <v>8</v>
      </c>
      <c r="C12" s="147"/>
      <c r="D12" s="74"/>
      <c r="E12" s="74">
        <v>300</v>
      </c>
      <c r="F12" s="74">
        <v>200</v>
      </c>
      <c r="G12" s="7">
        <v>4000</v>
      </c>
      <c r="H12" s="33">
        <f>D12+E12+G12</f>
        <v>4300</v>
      </c>
      <c r="I12" s="134">
        <f t="shared" si="0"/>
        <v>4500</v>
      </c>
      <c r="J12" s="147"/>
    </row>
    <row r="13" spans="1:10" x14ac:dyDescent="0.25">
      <c r="A13" s="5" t="s">
        <v>116</v>
      </c>
      <c r="B13" s="5">
        <v>1</v>
      </c>
      <c r="C13" s="147"/>
      <c r="D13" s="74"/>
      <c r="E13" s="74"/>
      <c r="F13" s="74"/>
      <c r="G13" s="7"/>
      <c r="H13" s="128"/>
      <c r="I13" s="134">
        <f t="shared" si="0"/>
        <v>0</v>
      </c>
      <c r="J13" s="147"/>
    </row>
    <row r="14" spans="1:10" x14ac:dyDescent="0.25">
      <c r="A14" s="5" t="s">
        <v>43</v>
      </c>
      <c r="B14" s="5">
        <v>2</v>
      </c>
      <c r="C14" s="147"/>
      <c r="D14" s="74"/>
      <c r="E14" s="74">
        <v>200</v>
      </c>
      <c r="F14" s="74">
        <v>200</v>
      </c>
      <c r="G14" s="7">
        <v>5000</v>
      </c>
      <c r="H14" s="128">
        <f>D14+E14+G14</f>
        <v>5200</v>
      </c>
      <c r="I14" s="134">
        <f t="shared" si="0"/>
        <v>5400</v>
      </c>
      <c r="J14" s="147"/>
    </row>
    <row r="15" spans="1:10" x14ac:dyDescent="0.25">
      <c r="A15" s="9" t="s">
        <v>57</v>
      </c>
      <c r="B15" s="5">
        <v>3</v>
      </c>
      <c r="C15" s="147"/>
      <c r="D15" s="74"/>
      <c r="E15" s="74">
        <v>100</v>
      </c>
      <c r="F15" s="74">
        <v>200</v>
      </c>
      <c r="G15" s="7">
        <v>2500</v>
      </c>
      <c r="H15" s="33">
        <f>D15+E15+G15</f>
        <v>2600</v>
      </c>
      <c r="I15" s="134">
        <f t="shared" si="0"/>
        <v>2800</v>
      </c>
      <c r="J15" s="147"/>
    </row>
    <row r="16" spans="1:10" x14ac:dyDescent="0.25">
      <c r="A16" s="5" t="s">
        <v>61</v>
      </c>
      <c r="B16" s="5">
        <v>4</v>
      </c>
      <c r="C16" s="147"/>
      <c r="D16" s="74"/>
      <c r="E16" s="74">
        <v>100</v>
      </c>
      <c r="F16" s="74">
        <v>200</v>
      </c>
      <c r="G16" s="134">
        <v>2500</v>
      </c>
      <c r="H16" s="33">
        <f>D16+E16+G16</f>
        <v>2600</v>
      </c>
      <c r="I16" s="134">
        <f t="shared" si="0"/>
        <v>2800</v>
      </c>
      <c r="J16" s="147"/>
    </row>
    <row r="17" spans="1:10" x14ac:dyDescent="0.25">
      <c r="A17" s="5"/>
      <c r="B17" s="5"/>
      <c r="C17" s="147"/>
      <c r="D17" s="74"/>
      <c r="E17" s="74"/>
      <c r="F17" s="74"/>
      <c r="G17" s="7"/>
      <c r="H17" s="33">
        <f>D17+E17+G17</f>
        <v>0</v>
      </c>
      <c r="I17" s="134">
        <f t="shared" si="0"/>
        <v>0</v>
      </c>
      <c r="J17" s="147"/>
    </row>
    <row r="18" spans="1:10" x14ac:dyDescent="0.25">
      <c r="A18" s="69"/>
      <c r="B18" s="69"/>
      <c r="C18" s="147"/>
      <c r="D18" s="71"/>
      <c r="E18" s="71">
        <f>SUM(E5:E16)</f>
        <v>2300</v>
      </c>
      <c r="F18" s="71">
        <f>SUM(F5:F17)</f>
        <v>1600</v>
      </c>
      <c r="G18" s="71">
        <f>SUM(G5:G16)</f>
        <v>42000</v>
      </c>
      <c r="H18" s="71">
        <f>SUM(H5:H16)</f>
        <v>47000</v>
      </c>
      <c r="I18" s="134">
        <f>SUM(I5:I17)</f>
        <v>41900</v>
      </c>
      <c r="J18" s="147"/>
    </row>
    <row r="19" spans="1:10" x14ac:dyDescent="0.25">
      <c r="A19" s="68" t="s">
        <v>30</v>
      </c>
      <c r="B19" s="136"/>
      <c r="C19" s="136"/>
      <c r="D19" s="136"/>
      <c r="E19" s="136"/>
      <c r="G19" s="136"/>
      <c r="H19" s="37"/>
      <c r="I19" s="134">
        <f t="shared" si="0"/>
        <v>0</v>
      </c>
      <c r="J19" s="136"/>
    </row>
    <row r="20" spans="1:10" x14ac:dyDescent="0.25">
      <c r="A20" s="2" t="s">
        <v>84</v>
      </c>
      <c r="B20" s="136"/>
      <c r="C20" s="36">
        <f>I18-F18-E18</f>
        <v>38000</v>
      </c>
      <c r="D20" s="136"/>
      <c r="E20" s="37">
        <f>I18</f>
        <v>41900</v>
      </c>
      <c r="F20" s="37"/>
      <c r="G20" s="136"/>
      <c r="H20" s="136"/>
      <c r="I20" s="137"/>
      <c r="J20" s="136"/>
    </row>
    <row r="21" spans="1:10" x14ac:dyDescent="0.25">
      <c r="A21" s="2" t="s">
        <v>147</v>
      </c>
      <c r="B21" s="2"/>
      <c r="C21" s="41">
        <v>770</v>
      </c>
      <c r="D21" s="136"/>
      <c r="E21" s="136"/>
      <c r="G21" s="136" t="s">
        <v>107</v>
      </c>
      <c r="H21" s="136"/>
      <c r="I21" s="137"/>
      <c r="J21" s="136"/>
    </row>
    <row r="22" spans="1:10" x14ac:dyDescent="0.25">
      <c r="A22" s="2" t="s">
        <v>62</v>
      </c>
      <c r="B22" s="2"/>
      <c r="C22" s="41">
        <f>SUM(C20:C21)</f>
        <v>38770</v>
      </c>
      <c r="D22" s="119">
        <v>7.0000000000000007E-2</v>
      </c>
      <c r="E22" s="37">
        <f>E20*D22</f>
        <v>2933.0000000000005</v>
      </c>
      <c r="F22" s="37"/>
      <c r="G22" s="136"/>
      <c r="H22" s="136"/>
      <c r="I22" s="137"/>
      <c r="J22" s="136"/>
    </row>
    <row r="23" spans="1:10" ht="16.5" x14ac:dyDescent="0.35">
      <c r="A23" s="39"/>
      <c r="B23" s="2"/>
      <c r="C23" s="67"/>
      <c r="D23" s="136"/>
      <c r="E23" s="136"/>
      <c r="G23" s="136"/>
      <c r="H23" s="136"/>
      <c r="I23" s="137"/>
      <c r="J23" s="136"/>
    </row>
    <row r="24" spans="1:10" x14ac:dyDescent="0.25">
      <c r="A24" s="45" t="s">
        <v>29</v>
      </c>
      <c r="B24" s="2"/>
      <c r="C24" s="38"/>
      <c r="D24" s="136"/>
      <c r="E24" s="136"/>
      <c r="G24" s="136"/>
      <c r="H24" s="136"/>
      <c r="I24" s="137"/>
      <c r="J24" s="136"/>
    </row>
    <row r="25" spans="1:10" x14ac:dyDescent="0.25">
      <c r="A25" s="2" t="s">
        <v>26</v>
      </c>
      <c r="B25" s="2"/>
      <c r="C25" s="40">
        <f>C20*D22</f>
        <v>2660.0000000000005</v>
      </c>
      <c r="D25" s="136"/>
      <c r="E25" s="2"/>
      <c r="F25" s="2"/>
      <c r="G25" s="137"/>
      <c r="H25" s="136"/>
      <c r="I25" s="137"/>
      <c r="J25" s="136"/>
    </row>
    <row r="26" spans="1:10" x14ac:dyDescent="0.25">
      <c r="A26" s="2" t="s">
        <v>151</v>
      </c>
      <c r="B26" s="2"/>
      <c r="C26" s="40">
        <v>30000</v>
      </c>
      <c r="D26" s="2"/>
      <c r="E26" s="2"/>
      <c r="F26" s="2"/>
      <c r="G26" s="137"/>
      <c r="H26" s="136"/>
      <c r="I26" s="137"/>
      <c r="J26" s="136"/>
    </row>
    <row r="27" spans="1:10" x14ac:dyDescent="0.25">
      <c r="A27" s="149" t="s">
        <v>56</v>
      </c>
      <c r="B27" s="149"/>
      <c r="C27" s="150">
        <f>SUM(C25:C26)</f>
        <v>32660</v>
      </c>
      <c r="D27" s="136"/>
      <c r="E27" s="2" t="s">
        <v>64</v>
      </c>
      <c r="F27" s="2"/>
      <c r="G27" s="136"/>
      <c r="H27" s="2"/>
      <c r="I27" s="137"/>
      <c r="J27" s="139"/>
    </row>
    <row r="28" spans="1:10" x14ac:dyDescent="0.25">
      <c r="A28" s="149" t="s">
        <v>157</v>
      </c>
      <c r="B28" s="149"/>
      <c r="C28" s="150">
        <f>C22-C27</f>
        <v>6110</v>
      </c>
      <c r="D28" s="136"/>
      <c r="E28" s="2"/>
      <c r="F28" s="2"/>
      <c r="G28" s="136"/>
      <c r="H28" s="2"/>
      <c r="I28" s="137"/>
      <c r="J28" s="140"/>
    </row>
    <row r="29" spans="1:10" x14ac:dyDescent="0.25">
      <c r="A29" s="154"/>
      <c r="B29" s="2"/>
      <c r="C29" s="40"/>
      <c r="D29" s="136"/>
      <c r="E29" s="2" t="s">
        <v>150</v>
      </c>
      <c r="F29" s="2"/>
      <c r="G29" s="136"/>
      <c r="H29" s="2" t="s">
        <v>72</v>
      </c>
      <c r="I29" s="2"/>
      <c r="J29" s="2" t="s">
        <v>73</v>
      </c>
    </row>
    <row r="30" spans="1:10" x14ac:dyDescent="0.25">
      <c r="A30" s="149"/>
      <c r="B30" s="149"/>
      <c r="C30" s="150"/>
      <c r="D30" s="136"/>
      <c r="E30" s="17" t="s">
        <v>23</v>
      </c>
      <c r="F30" s="17"/>
      <c r="G30" s="2" t="s">
        <v>69</v>
      </c>
      <c r="H30" s="2" t="s">
        <v>68</v>
      </c>
      <c r="I30" s="2"/>
      <c r="J30" s="2" t="s">
        <v>74</v>
      </c>
    </row>
    <row r="31" spans="1:10" x14ac:dyDescent="0.25">
      <c r="A31" s="136"/>
      <c r="B31" s="2"/>
      <c r="C31" s="42"/>
      <c r="D31" s="136"/>
      <c r="E31" s="135"/>
      <c r="F31" s="135"/>
      <c r="G31" s="136"/>
      <c r="H31" s="136"/>
      <c r="I31" s="136"/>
      <c r="J31" s="136"/>
    </row>
  </sheetData>
  <pageMargins left="0.7" right="0.7" top="0.75" bottom="0.75" header="0.3" footer="0.3"/>
  <pageSetup orientation="landscape" horizontalDpi="120" verticalDpi="7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A17" sqref="A17"/>
    </sheetView>
  </sheetViews>
  <sheetFormatPr defaultRowHeight="15" x14ac:dyDescent="0.25"/>
  <cols>
    <col min="1" max="1" width="20" bestFit="1" customWidth="1"/>
    <col min="3" max="3" width="11.28515625" bestFit="1" customWidth="1"/>
    <col min="4" max="4" width="9.5703125" style="136" customWidth="1"/>
    <col min="5" max="5" width="10.140625" customWidth="1"/>
    <col min="6" max="6" width="10.7109375" customWidth="1"/>
  </cols>
  <sheetData>
    <row r="2" spans="1:12" ht="18.75" x14ac:dyDescent="0.25">
      <c r="A2" s="13"/>
      <c r="B2" s="159"/>
      <c r="C2" s="160"/>
      <c r="D2" s="161" t="s">
        <v>4</v>
      </c>
      <c r="E2" s="161"/>
      <c r="F2" s="160"/>
      <c r="G2" s="162"/>
      <c r="K2" s="136"/>
    </row>
    <row r="3" spans="1:12" ht="15.75" x14ac:dyDescent="0.25">
      <c r="A3" s="95" t="s">
        <v>165</v>
      </c>
      <c r="B3" s="95"/>
      <c r="C3" s="66" t="s">
        <v>54</v>
      </c>
      <c r="D3" s="162"/>
      <c r="E3" s="162"/>
      <c r="F3" s="162"/>
      <c r="G3" s="44"/>
    </row>
    <row r="4" spans="1:12" x14ac:dyDescent="0.25">
      <c r="A4" s="28"/>
      <c r="B4" s="28"/>
      <c r="C4" s="163" t="s">
        <v>166</v>
      </c>
      <c r="D4" s="156"/>
      <c r="E4" s="156"/>
      <c r="F4" s="28"/>
    </row>
    <row r="5" spans="1:12" x14ac:dyDescent="0.25">
      <c r="A5" s="59" t="s">
        <v>0</v>
      </c>
      <c r="B5" s="72" t="s">
        <v>1</v>
      </c>
      <c r="C5" s="59" t="s">
        <v>159</v>
      </c>
      <c r="D5" s="59" t="s">
        <v>12</v>
      </c>
      <c r="E5" s="3" t="s">
        <v>162</v>
      </c>
      <c r="F5" s="59" t="s">
        <v>115</v>
      </c>
      <c r="G5" s="59" t="s">
        <v>156</v>
      </c>
      <c r="H5" s="59" t="s">
        <v>2</v>
      </c>
      <c r="I5" s="60" t="s">
        <v>13</v>
      </c>
      <c r="J5" s="59" t="s">
        <v>94</v>
      </c>
      <c r="K5" s="148" t="s">
        <v>143</v>
      </c>
    </row>
    <row r="6" spans="1:12" x14ac:dyDescent="0.25">
      <c r="A6" s="5" t="s">
        <v>75</v>
      </c>
      <c r="B6" s="5">
        <v>1</v>
      </c>
      <c r="C6" s="6" t="s">
        <v>89</v>
      </c>
      <c r="D6" s="74"/>
      <c r="E6" s="3"/>
      <c r="F6" s="74">
        <v>200</v>
      </c>
      <c r="G6" s="74">
        <v>200</v>
      </c>
      <c r="H6" s="33">
        <v>4000</v>
      </c>
      <c r="I6" s="155">
        <f>F6+G6+H6</f>
        <v>4400</v>
      </c>
      <c r="J6" s="134">
        <v>4500</v>
      </c>
      <c r="K6" s="147"/>
    </row>
    <row r="7" spans="1:12" x14ac:dyDescent="0.25">
      <c r="A7" s="5" t="s">
        <v>35</v>
      </c>
      <c r="B7" s="5">
        <v>2</v>
      </c>
      <c r="C7" s="147"/>
      <c r="D7" s="74">
        <v>7000</v>
      </c>
      <c r="E7" s="3"/>
      <c r="F7" s="74"/>
      <c r="G7" s="74"/>
      <c r="H7" s="33">
        <v>4000</v>
      </c>
      <c r="I7" s="155">
        <f t="shared" ref="I7:I19" si="0">F7+G7+H7</f>
        <v>4000</v>
      </c>
      <c r="J7" s="134"/>
      <c r="K7" s="147"/>
      <c r="L7">
        <v>400</v>
      </c>
    </row>
    <row r="8" spans="1:12" x14ac:dyDescent="0.25">
      <c r="A8" s="5" t="s">
        <v>155</v>
      </c>
      <c r="B8" s="5"/>
      <c r="C8" s="147">
        <v>2000</v>
      </c>
      <c r="D8" s="74"/>
      <c r="E8" s="3"/>
      <c r="F8" s="74">
        <v>300</v>
      </c>
      <c r="G8" s="74">
        <v>200</v>
      </c>
      <c r="H8" s="7">
        <v>4000</v>
      </c>
      <c r="I8" s="155">
        <f t="shared" si="0"/>
        <v>4500</v>
      </c>
      <c r="J8" s="134">
        <v>4500</v>
      </c>
      <c r="K8" s="147"/>
      <c r="L8">
        <v>200</v>
      </c>
    </row>
    <row r="9" spans="1:12" x14ac:dyDescent="0.25">
      <c r="A9" s="9" t="s">
        <v>37</v>
      </c>
      <c r="B9" s="5">
        <v>4</v>
      </c>
      <c r="C9" s="147"/>
      <c r="D9" s="74"/>
      <c r="E9" s="3"/>
      <c r="F9" s="77"/>
      <c r="G9" s="77"/>
      <c r="H9" s="7">
        <v>4000</v>
      </c>
      <c r="I9" s="155">
        <f t="shared" si="0"/>
        <v>4000</v>
      </c>
      <c r="J9" s="134"/>
      <c r="K9" s="147"/>
      <c r="L9">
        <v>200</v>
      </c>
    </row>
    <row r="10" spans="1:12" x14ac:dyDescent="0.25">
      <c r="A10" s="9" t="s">
        <v>47</v>
      </c>
      <c r="B10" s="9">
        <v>5</v>
      </c>
      <c r="C10" s="147"/>
      <c r="D10" s="74">
        <v>7000</v>
      </c>
      <c r="E10" s="3">
        <v>1500</v>
      </c>
      <c r="F10" s="74">
        <v>300</v>
      </c>
      <c r="G10" s="74">
        <v>200</v>
      </c>
      <c r="H10" s="7">
        <v>4000</v>
      </c>
      <c r="I10" s="155">
        <f t="shared" si="0"/>
        <v>4500</v>
      </c>
      <c r="J10" s="134">
        <v>4500</v>
      </c>
      <c r="K10" s="147"/>
      <c r="L10">
        <v>300</v>
      </c>
    </row>
    <row r="11" spans="1:12" x14ac:dyDescent="0.25">
      <c r="A11" s="9" t="s">
        <v>38</v>
      </c>
      <c r="B11" s="9">
        <v>6</v>
      </c>
      <c r="C11" s="147"/>
      <c r="D11" s="74"/>
      <c r="E11" s="3"/>
      <c r="F11" s="74"/>
      <c r="G11" s="74"/>
      <c r="H11" s="7">
        <v>4000</v>
      </c>
      <c r="I11" s="155">
        <f t="shared" si="0"/>
        <v>4000</v>
      </c>
      <c r="J11" s="134"/>
      <c r="K11" s="147"/>
      <c r="L11">
        <v>400</v>
      </c>
    </row>
    <row r="12" spans="1:12" x14ac:dyDescent="0.25">
      <c r="A12" s="5" t="s">
        <v>39</v>
      </c>
      <c r="B12" s="9">
        <v>7</v>
      </c>
      <c r="C12" s="147"/>
      <c r="D12" s="74"/>
      <c r="E12" s="3"/>
      <c r="F12" s="74"/>
      <c r="G12" s="74"/>
      <c r="H12" s="7">
        <v>4000</v>
      </c>
      <c r="I12" s="155">
        <f t="shared" si="0"/>
        <v>4000</v>
      </c>
      <c r="J12" s="134"/>
      <c r="K12" s="147"/>
      <c r="L12">
        <v>400</v>
      </c>
    </row>
    <row r="13" spans="1:12" x14ac:dyDescent="0.25">
      <c r="A13" s="9" t="s">
        <v>40</v>
      </c>
      <c r="B13" s="9">
        <v>8</v>
      </c>
      <c r="C13" s="147"/>
      <c r="D13" s="74"/>
      <c r="E13" s="3"/>
      <c r="F13" s="74">
        <v>300</v>
      </c>
      <c r="G13" s="74">
        <v>200</v>
      </c>
      <c r="H13" s="7">
        <v>4000</v>
      </c>
      <c r="I13" s="155">
        <f t="shared" si="0"/>
        <v>4500</v>
      </c>
      <c r="J13" s="134">
        <v>4500</v>
      </c>
      <c r="K13" s="147"/>
      <c r="L13">
        <v>300</v>
      </c>
    </row>
    <row r="14" spans="1:12" x14ac:dyDescent="0.25">
      <c r="A14" s="5" t="s">
        <v>160</v>
      </c>
      <c r="B14" s="5">
        <v>1</v>
      </c>
      <c r="C14" s="147"/>
      <c r="D14" s="74"/>
      <c r="E14" s="3"/>
      <c r="F14" s="74">
        <v>300</v>
      </c>
      <c r="G14" s="74">
        <v>200</v>
      </c>
      <c r="H14" s="7">
        <v>2500</v>
      </c>
      <c r="I14" s="155">
        <f t="shared" si="0"/>
        <v>3000</v>
      </c>
      <c r="J14" s="134">
        <v>2500</v>
      </c>
      <c r="K14" s="147"/>
      <c r="L14">
        <f>SUM(L7:L13)</f>
        <v>2200</v>
      </c>
    </row>
    <row r="15" spans="1:12" x14ac:dyDescent="0.25">
      <c r="A15" s="5" t="s">
        <v>116</v>
      </c>
      <c r="B15" s="5"/>
      <c r="C15" s="147"/>
      <c r="D15" s="74"/>
      <c r="E15" s="3"/>
      <c r="F15" s="74"/>
      <c r="G15" s="74"/>
      <c r="H15" s="7"/>
      <c r="I15" s="155">
        <f t="shared" si="0"/>
        <v>0</v>
      </c>
      <c r="J15" s="134"/>
      <c r="K15" s="147"/>
      <c r="L15" s="136" t="s">
        <v>169</v>
      </c>
    </row>
    <row r="16" spans="1:12" x14ac:dyDescent="0.25">
      <c r="A16" s="9" t="s">
        <v>57</v>
      </c>
      <c r="B16" s="5">
        <v>3</v>
      </c>
      <c r="C16" s="147"/>
      <c r="D16" s="74"/>
      <c r="E16" s="3"/>
      <c r="F16" s="74"/>
      <c r="G16" s="74"/>
      <c r="H16" s="7">
        <v>2500</v>
      </c>
      <c r="I16" s="155">
        <f t="shared" si="0"/>
        <v>2500</v>
      </c>
      <c r="J16" s="134"/>
      <c r="K16" s="147"/>
    </row>
    <row r="17" spans="1:11" x14ac:dyDescent="0.25">
      <c r="A17" s="5" t="s">
        <v>61</v>
      </c>
      <c r="B17" s="5">
        <v>4</v>
      </c>
      <c r="C17" s="147"/>
      <c r="D17" s="74"/>
      <c r="E17" s="3"/>
      <c r="F17" s="74"/>
      <c r="G17" s="74"/>
      <c r="H17" s="134">
        <v>2500</v>
      </c>
      <c r="I17" s="155">
        <f t="shared" si="0"/>
        <v>2500</v>
      </c>
      <c r="J17" s="134"/>
      <c r="K17" s="147"/>
    </row>
    <row r="18" spans="1:11" x14ac:dyDescent="0.25">
      <c r="A18" s="5"/>
      <c r="B18" s="5"/>
      <c r="C18" s="147"/>
      <c r="D18" s="74"/>
      <c r="E18" s="3"/>
      <c r="F18" s="74"/>
      <c r="G18" s="74"/>
      <c r="H18" s="7"/>
      <c r="I18" s="155">
        <f t="shared" si="0"/>
        <v>0</v>
      </c>
      <c r="J18" s="134">
        <f>F18+G18+H18</f>
        <v>0</v>
      </c>
      <c r="K18" s="147"/>
    </row>
    <row r="19" spans="1:11" x14ac:dyDescent="0.25">
      <c r="A19" s="69"/>
      <c r="B19" s="69"/>
      <c r="C19" s="147"/>
      <c r="D19" s="147"/>
      <c r="E19" s="71">
        <f>SUM(E6:E18)</f>
        <v>1500</v>
      </c>
      <c r="F19" s="71">
        <f>SUM(F6:F17)</f>
        <v>1400</v>
      </c>
      <c r="G19" s="71">
        <f>SUM(G6:G18)</f>
        <v>1000</v>
      </c>
      <c r="H19" s="71">
        <f>SUM(H6:H17)</f>
        <v>39500</v>
      </c>
      <c r="I19" s="155">
        <f t="shared" si="0"/>
        <v>41900</v>
      </c>
      <c r="J19" s="134">
        <f>SUM(J6:J18)</f>
        <v>20500</v>
      </c>
      <c r="K19" s="147"/>
    </row>
    <row r="20" spans="1:11" x14ac:dyDescent="0.25">
      <c r="A20" s="68" t="s">
        <v>30</v>
      </c>
      <c r="B20" s="136"/>
      <c r="C20" s="136"/>
      <c r="E20" s="136"/>
      <c r="F20" s="136"/>
      <c r="G20" s="136"/>
      <c r="H20" s="136"/>
      <c r="I20" s="37"/>
      <c r="J20" s="134">
        <f>F20+G20+H20</f>
        <v>0</v>
      </c>
      <c r="K20" s="136"/>
    </row>
    <row r="21" spans="1:11" x14ac:dyDescent="0.25">
      <c r="A21" s="2" t="s">
        <v>84</v>
      </c>
      <c r="B21" s="136"/>
      <c r="C21" s="36">
        <f>H19</f>
        <v>39500</v>
      </c>
      <c r="D21" s="36"/>
      <c r="E21" s="136"/>
      <c r="F21" s="37"/>
      <c r="G21" s="37"/>
      <c r="H21" s="136"/>
      <c r="I21" s="136"/>
      <c r="J21" s="137"/>
      <c r="K21" s="136"/>
    </row>
    <row r="22" spans="1:11" x14ac:dyDescent="0.25">
      <c r="A22" s="2" t="s">
        <v>147</v>
      </c>
      <c r="B22" s="2"/>
      <c r="C22" s="41"/>
      <c r="D22" s="41"/>
      <c r="E22" s="136"/>
      <c r="F22" s="136"/>
      <c r="G22" s="136"/>
      <c r="H22" s="136" t="s">
        <v>107</v>
      </c>
      <c r="I22" s="136"/>
      <c r="J22" s="137"/>
      <c r="K22" s="136"/>
    </row>
    <row r="23" spans="1:11" x14ac:dyDescent="0.25">
      <c r="A23" s="2" t="s">
        <v>158</v>
      </c>
      <c r="B23" s="2"/>
      <c r="C23" s="41">
        <v>2000</v>
      </c>
      <c r="D23" s="41"/>
      <c r="E23" s="119">
        <v>7.0000000000000007E-2</v>
      </c>
      <c r="F23" s="37">
        <f>F21*E23</f>
        <v>0</v>
      </c>
      <c r="G23" s="37"/>
      <c r="H23" s="136"/>
      <c r="I23" s="136"/>
      <c r="J23" s="137"/>
      <c r="K23" s="136"/>
    </row>
    <row r="24" spans="1:11" ht="16.5" x14ac:dyDescent="0.35">
      <c r="A24" s="39" t="s">
        <v>161</v>
      </c>
      <c r="B24" s="2"/>
      <c r="C24" s="67">
        <v>1500</v>
      </c>
      <c r="D24" s="67"/>
      <c r="E24" s="136"/>
      <c r="F24" s="136"/>
      <c r="G24" s="136"/>
      <c r="H24" s="136"/>
      <c r="I24" s="136"/>
      <c r="J24" s="137"/>
      <c r="K24" s="136"/>
    </row>
    <row r="25" spans="1:11" s="136" customFormat="1" ht="16.5" x14ac:dyDescent="0.35">
      <c r="A25" s="39"/>
      <c r="B25" s="2"/>
      <c r="C25" s="67">
        <f>SUM(C21:C24)</f>
        <v>43000</v>
      </c>
      <c r="D25" s="67"/>
      <c r="J25" s="137"/>
    </row>
    <row r="26" spans="1:11" s="136" customFormat="1" ht="16.5" x14ac:dyDescent="0.35">
      <c r="D26" s="67"/>
      <c r="J26" s="137"/>
    </row>
    <row r="27" spans="1:11" x14ac:dyDescent="0.25">
      <c r="A27" s="45" t="s">
        <v>29</v>
      </c>
      <c r="B27" s="2"/>
      <c r="C27" s="38"/>
      <c r="D27" s="38"/>
      <c r="E27" s="136"/>
      <c r="F27" s="136"/>
      <c r="G27" s="136"/>
      <c r="H27" s="136"/>
      <c r="I27" s="136"/>
      <c r="J27" s="137"/>
      <c r="K27" s="136"/>
    </row>
    <row r="28" spans="1:11" x14ac:dyDescent="0.25">
      <c r="A28" s="2" t="s">
        <v>26</v>
      </c>
      <c r="B28" s="2"/>
      <c r="C28" s="40">
        <f>C21*E23</f>
        <v>2765.0000000000005</v>
      </c>
      <c r="D28" s="40"/>
      <c r="E28" s="136"/>
      <c r="F28" s="2"/>
      <c r="G28" s="2"/>
      <c r="H28" s="137"/>
      <c r="I28" s="136"/>
      <c r="J28" s="137"/>
      <c r="K28" s="136"/>
    </row>
    <row r="29" spans="1:11" x14ac:dyDescent="0.25">
      <c r="A29" s="2" t="s">
        <v>151</v>
      </c>
      <c r="B29" s="2"/>
      <c r="C29" s="40">
        <v>36000</v>
      </c>
      <c r="D29" s="40"/>
      <c r="E29" s="2"/>
      <c r="F29" s="2"/>
      <c r="G29" s="2"/>
      <c r="H29" s="137"/>
      <c r="I29" s="136"/>
      <c r="J29" s="137"/>
      <c r="K29" s="136"/>
    </row>
    <row r="30" spans="1:11" ht="16.5" x14ac:dyDescent="0.35">
      <c r="A30" s="39" t="s">
        <v>163</v>
      </c>
      <c r="B30" s="2"/>
      <c r="C30" s="67">
        <f>2500</f>
        <v>2500</v>
      </c>
      <c r="D30" s="150"/>
      <c r="E30" s="136"/>
      <c r="F30" s="2" t="s">
        <v>64</v>
      </c>
      <c r="G30" s="2"/>
      <c r="H30" s="136"/>
      <c r="I30" s="2"/>
      <c r="J30" s="137"/>
      <c r="K30" s="139"/>
    </row>
    <row r="31" spans="1:11" x14ac:dyDescent="0.25">
      <c r="A31" s="167" t="s">
        <v>56</v>
      </c>
      <c r="B31" s="149"/>
      <c r="C31" s="150">
        <f>SUM(C28:C30)</f>
        <v>41265</v>
      </c>
      <c r="D31" s="150"/>
      <c r="E31" s="136"/>
      <c r="F31" s="2"/>
      <c r="G31" s="2"/>
      <c r="H31" s="136"/>
      <c r="I31" s="2"/>
      <c r="J31" s="137"/>
      <c r="K31" s="140"/>
    </row>
    <row r="32" spans="1:11" x14ac:dyDescent="0.25">
      <c r="A32" s="39" t="s">
        <v>27</v>
      </c>
      <c r="C32" s="37">
        <f>C25-C31</f>
        <v>1735</v>
      </c>
      <c r="D32" s="40"/>
      <c r="E32" s="136"/>
      <c r="F32" s="2" t="s">
        <v>150</v>
      </c>
      <c r="G32" s="2"/>
      <c r="H32" s="136"/>
      <c r="I32" s="2" t="s">
        <v>72</v>
      </c>
      <c r="J32" s="2"/>
      <c r="K32" s="2" t="s">
        <v>73</v>
      </c>
    </row>
    <row r="33" spans="4:11" x14ac:dyDescent="0.25">
      <c r="D33" s="150"/>
      <c r="E33" s="136"/>
      <c r="F33" s="17" t="s">
        <v>23</v>
      </c>
      <c r="G33" s="17"/>
      <c r="H33" s="2" t="s">
        <v>69</v>
      </c>
      <c r="I33" s="2" t="s">
        <v>68</v>
      </c>
      <c r="J33" s="2"/>
      <c r="K33" s="2" t="s">
        <v>74</v>
      </c>
    </row>
  </sheetData>
  <pageMargins left="0.7" right="0.7" top="0.75" bottom="0.75" header="0.3" footer="0.3"/>
  <pageSetup orientation="landscape" horizontalDpi="120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3" workbookViewId="0">
      <selection sqref="A1:I46"/>
    </sheetView>
  </sheetViews>
  <sheetFormatPr defaultRowHeight="15" x14ac:dyDescent="0.25"/>
  <cols>
    <col min="1" max="1" width="12.140625" customWidth="1"/>
    <col min="3" max="3" width="12.285156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180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59" t="s">
        <v>94</v>
      </c>
      <c r="K4" s="148" t="s">
        <v>143</v>
      </c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/>
      <c r="H5" s="33">
        <v>4000</v>
      </c>
      <c r="I5" s="155"/>
      <c r="J5" s="134"/>
      <c r="K5" s="147"/>
      <c r="L5" s="136"/>
    </row>
    <row r="6" spans="1:12" x14ac:dyDescent="0.25">
      <c r="A6" s="5" t="s">
        <v>35</v>
      </c>
      <c r="B6" s="5">
        <v>2</v>
      </c>
      <c r="C6" s="147"/>
      <c r="D6" s="74">
        <v>7000</v>
      </c>
      <c r="E6" s="3"/>
      <c r="F6" s="74">
        <v>200</v>
      </c>
      <c r="G6" s="74"/>
      <c r="H6" s="33">
        <v>4000</v>
      </c>
      <c r="I6" s="155"/>
      <c r="J6" s="134"/>
      <c r="K6" s="147"/>
      <c r="L6" s="136">
        <v>400</v>
      </c>
    </row>
    <row r="7" spans="1:12" x14ac:dyDescent="0.25">
      <c r="A7" s="5" t="s">
        <v>155</v>
      </c>
      <c r="B7" s="5"/>
      <c r="C7" s="147">
        <v>2000</v>
      </c>
      <c r="D7" s="74"/>
      <c r="E7" s="3"/>
      <c r="F7" s="74">
        <v>100</v>
      </c>
      <c r="G7" s="74"/>
      <c r="H7" s="7">
        <v>4000</v>
      </c>
      <c r="I7" s="155"/>
      <c r="J7" s="134"/>
      <c r="K7" s="147"/>
      <c r="L7" s="136">
        <v>200</v>
      </c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300</v>
      </c>
      <c r="G8" s="77"/>
      <c r="H8" s="7">
        <v>4000</v>
      </c>
      <c r="I8" s="155"/>
      <c r="J8" s="134"/>
      <c r="K8" s="147"/>
      <c r="L8" s="136">
        <v>200</v>
      </c>
    </row>
    <row r="9" spans="1:12" x14ac:dyDescent="0.25">
      <c r="A9" s="9" t="s">
        <v>47</v>
      </c>
      <c r="B9" s="9">
        <v>5</v>
      </c>
      <c r="C9" s="147"/>
      <c r="D9" s="74">
        <v>7000</v>
      </c>
      <c r="E9" s="3">
        <v>1500</v>
      </c>
      <c r="F9" s="74">
        <v>300</v>
      </c>
      <c r="G9" s="74"/>
      <c r="H9" s="7">
        <v>4000</v>
      </c>
      <c r="I9" s="155"/>
      <c r="J9" s="134"/>
      <c r="K9" s="147"/>
      <c r="L9" s="136">
        <v>300</v>
      </c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400</v>
      </c>
      <c r="G10" s="74"/>
      <c r="H10" s="7">
        <v>4000</v>
      </c>
      <c r="I10" s="155"/>
      <c r="J10" s="134"/>
      <c r="K10" s="147"/>
      <c r="L10" s="136">
        <v>400</v>
      </c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300</v>
      </c>
      <c r="G11" s="74"/>
      <c r="H11" s="7">
        <v>4000</v>
      </c>
      <c r="I11" s="155"/>
      <c r="J11" s="134"/>
      <c r="K11" s="147"/>
      <c r="L11" s="136">
        <v>400</v>
      </c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/>
      <c r="H12" s="7">
        <v>4000</v>
      </c>
      <c r="I12" s="155"/>
      <c r="J12" s="134"/>
      <c r="K12" s="147"/>
      <c r="L12" s="136">
        <v>300</v>
      </c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300</v>
      </c>
      <c r="G13" s="74"/>
      <c r="H13" s="7">
        <v>2500</v>
      </c>
      <c r="I13" s="155"/>
      <c r="J13" s="134"/>
      <c r="K13" s="147"/>
      <c r="L13" s="136">
        <f>SUM(L6:L12)</f>
        <v>2200</v>
      </c>
    </row>
    <row r="14" spans="1:12" x14ac:dyDescent="0.25">
      <c r="A14" s="5" t="s">
        <v>116</v>
      </c>
      <c r="B14" s="5"/>
      <c r="C14" s="147"/>
      <c r="D14" s="74"/>
      <c r="E14" s="3"/>
      <c r="F14" s="74"/>
      <c r="G14" s="74"/>
      <c r="H14" s="7"/>
      <c r="I14" s="155"/>
      <c r="J14" s="134"/>
      <c r="K14" s="147"/>
      <c r="L14" s="136" t="s">
        <v>169</v>
      </c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400</v>
      </c>
      <c r="G15" s="74"/>
      <c r="H15" s="7">
        <v>2500</v>
      </c>
      <c r="I15" s="155"/>
      <c r="J15" s="134"/>
      <c r="K15" s="147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/>
      <c r="H16" s="134">
        <v>2500</v>
      </c>
      <c r="I16" s="155"/>
      <c r="J16" s="134"/>
      <c r="K16" s="147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/>
      <c r="J17" s="134"/>
      <c r="K17" s="147"/>
      <c r="L17" s="136"/>
    </row>
    <row r="18" spans="1:12" x14ac:dyDescent="0.25">
      <c r="A18" s="69"/>
      <c r="B18" s="69"/>
      <c r="C18" s="147"/>
      <c r="D18" s="147"/>
      <c r="E18" s="71">
        <f>SUM(E5:E17)</f>
        <v>1500</v>
      </c>
      <c r="F18" s="71">
        <f>SUM(F5:F16)</f>
        <v>3000</v>
      </c>
      <c r="G18" s="71">
        <f>SUM(G5:G17)</f>
        <v>0</v>
      </c>
      <c r="H18" s="71">
        <f>SUM(H5:H16)</f>
        <v>39500</v>
      </c>
      <c r="I18" s="155"/>
      <c r="J18" s="134"/>
      <c r="K18" s="147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4">
        <f>F19+G19+H19</f>
        <v>0</v>
      </c>
      <c r="K19" s="136"/>
      <c r="L19" s="136"/>
    </row>
    <row r="20" spans="1:12" x14ac:dyDescent="0.25">
      <c r="A20" s="2" t="s">
        <v>84</v>
      </c>
      <c r="B20" s="136"/>
      <c r="C20" s="36">
        <f>H18</f>
        <v>39500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147</v>
      </c>
      <c r="B21" s="2"/>
      <c r="C21" s="41"/>
      <c r="D21" s="41"/>
      <c r="E21" s="136"/>
      <c r="F21" s="136"/>
      <c r="G21" s="136"/>
      <c r="H21" s="136" t="s">
        <v>107</v>
      </c>
      <c r="I21" s="136"/>
      <c r="J21" s="137"/>
      <c r="K21" s="136"/>
      <c r="L21" s="136"/>
    </row>
    <row r="22" spans="1:12" x14ac:dyDescent="0.25">
      <c r="A22" s="2"/>
      <c r="B22" s="2"/>
      <c r="C22" s="41"/>
      <c r="D22" s="41"/>
      <c r="E22" s="119">
        <v>7.0000000000000007E-2</v>
      </c>
      <c r="F22" s="37">
        <f>F20*E22</f>
        <v>0</v>
      </c>
      <c r="G22" s="37"/>
      <c r="H22" s="136"/>
      <c r="I22" s="136"/>
      <c r="J22" s="137"/>
      <c r="K22" s="136"/>
      <c r="L22" s="136"/>
    </row>
    <row r="23" spans="1:12" ht="16.5" x14ac:dyDescent="0.35">
      <c r="A23" s="39"/>
      <c r="B23" s="2"/>
      <c r="C23" s="67"/>
      <c r="D23" s="67"/>
      <c r="E23" s="136"/>
      <c r="F23" s="136"/>
      <c r="G23" s="136"/>
      <c r="H23" s="136"/>
      <c r="I23" s="136"/>
      <c r="J23" s="137"/>
      <c r="K23" s="136"/>
      <c r="L23" s="136"/>
    </row>
    <row r="24" spans="1:12" ht="16.5" x14ac:dyDescent="0.35">
      <c r="A24" s="39"/>
      <c r="B24" s="2"/>
      <c r="C24" s="67">
        <f>SUM(C20:C23)</f>
        <v>39500</v>
      </c>
      <c r="D24" s="67"/>
      <c r="E24" s="136"/>
      <c r="F24" s="136"/>
      <c r="G24" s="136"/>
      <c r="H24" s="136"/>
      <c r="I24" s="136"/>
      <c r="J24" s="137"/>
      <c r="K24" s="136"/>
      <c r="L24" s="136"/>
    </row>
    <row r="25" spans="1:12" ht="16.5" x14ac:dyDescent="0.35">
      <c r="A25" s="136"/>
      <c r="B25" s="136"/>
      <c r="C25" s="136"/>
      <c r="D25" s="67"/>
      <c r="E25" s="136"/>
      <c r="F25" s="136"/>
      <c r="G25" s="136"/>
      <c r="H25" s="136"/>
      <c r="I25" s="136"/>
      <c r="J25" s="137"/>
      <c r="K25" s="136"/>
      <c r="L25" s="136"/>
    </row>
    <row r="26" spans="1:12" x14ac:dyDescent="0.25">
      <c r="A26" s="45" t="s">
        <v>29</v>
      </c>
      <c r="B26" s="2"/>
      <c r="C26" s="38"/>
      <c r="D26" s="38"/>
      <c r="E26" s="136"/>
      <c r="F26" s="136"/>
      <c r="G26" s="136"/>
      <c r="H26" s="136"/>
      <c r="I26" s="136"/>
      <c r="J26" s="137"/>
      <c r="K26" s="136"/>
      <c r="L26" s="136"/>
    </row>
    <row r="27" spans="1:12" x14ac:dyDescent="0.25">
      <c r="A27" s="2" t="s">
        <v>26</v>
      </c>
      <c r="B27" s="2"/>
      <c r="C27" s="40">
        <f>C20*E22</f>
        <v>2765.0000000000005</v>
      </c>
      <c r="D27" s="40"/>
      <c r="E27" s="136"/>
      <c r="F27" s="2"/>
      <c r="G27" s="2"/>
      <c r="H27" s="137"/>
      <c r="I27" s="136"/>
      <c r="J27" s="137"/>
      <c r="K27" s="136"/>
      <c r="L27" s="136"/>
    </row>
    <row r="28" spans="1:12" x14ac:dyDescent="0.25">
      <c r="A28" s="2" t="s">
        <v>151</v>
      </c>
      <c r="B28" s="2"/>
      <c r="C28" s="40">
        <v>36000</v>
      </c>
      <c r="D28" s="40"/>
      <c r="E28" s="2" t="s">
        <v>64</v>
      </c>
      <c r="F28" s="2"/>
      <c r="G28" s="136"/>
      <c r="H28" s="2"/>
      <c r="I28" s="136"/>
      <c r="J28" s="137"/>
      <c r="K28" s="136"/>
      <c r="L28" s="136"/>
    </row>
    <row r="29" spans="1:12" ht="16.5" x14ac:dyDescent="0.35">
      <c r="A29" s="39"/>
      <c r="B29" s="2"/>
      <c r="C29" s="67"/>
      <c r="D29" s="150"/>
      <c r="E29" s="2"/>
      <c r="F29" s="2" t="s">
        <v>72</v>
      </c>
      <c r="G29" s="2"/>
      <c r="H29" s="2" t="s">
        <v>73</v>
      </c>
      <c r="J29" s="137"/>
      <c r="K29" s="139"/>
      <c r="L29" s="136"/>
    </row>
    <row r="30" spans="1:12" x14ac:dyDescent="0.25">
      <c r="A30" s="167" t="s">
        <v>56</v>
      </c>
      <c r="B30" s="149"/>
      <c r="C30" s="150">
        <f>SUM(C27:C29)</f>
        <v>38765</v>
      </c>
      <c r="D30" s="150"/>
      <c r="E30" s="2" t="s">
        <v>150</v>
      </c>
      <c r="F30" s="2" t="s">
        <v>68</v>
      </c>
      <c r="G30" s="2"/>
      <c r="H30" s="2" t="s">
        <v>74</v>
      </c>
      <c r="J30" s="136"/>
      <c r="K30" s="140"/>
      <c r="L30" s="136"/>
    </row>
    <row r="31" spans="1:12" x14ac:dyDescent="0.25">
      <c r="A31" s="39" t="s">
        <v>27</v>
      </c>
      <c r="B31" s="136"/>
      <c r="C31" s="37">
        <f>C24-C30</f>
        <v>735</v>
      </c>
      <c r="D31" s="40"/>
      <c r="E31" s="17" t="s">
        <v>23</v>
      </c>
      <c r="F31" s="17"/>
      <c r="G31" s="2" t="s">
        <v>69</v>
      </c>
      <c r="J31" s="136"/>
    </row>
    <row r="32" spans="1:12" x14ac:dyDescent="0.25">
      <c r="A32" s="136"/>
      <c r="B32" s="136"/>
      <c r="C32" s="136"/>
      <c r="D32" s="150"/>
      <c r="E32" s="136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8" sqref="L18"/>
    </sheetView>
  </sheetViews>
  <sheetFormatPr defaultRowHeight="15" x14ac:dyDescent="0.25"/>
  <cols>
    <col min="1" max="1" width="14.5703125" customWidth="1"/>
    <col min="3" max="3" width="10.425781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179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69"/>
      <c r="K4" s="170"/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>
        <v>0</v>
      </c>
      <c r="H5" s="33">
        <v>4000</v>
      </c>
      <c r="I5" s="155">
        <f>F5+G5+H5</f>
        <v>4200</v>
      </c>
      <c r="J5" s="171"/>
      <c r="K5" s="172"/>
      <c r="L5" s="136"/>
    </row>
    <row r="6" spans="1:12" x14ac:dyDescent="0.25">
      <c r="A6" s="5" t="s">
        <v>35</v>
      </c>
      <c r="B6" s="5">
        <v>2</v>
      </c>
      <c r="C6" s="147"/>
      <c r="D6" s="74"/>
      <c r="E6" s="3"/>
      <c r="F6" s="74">
        <v>500</v>
      </c>
      <c r="G6" s="74">
        <v>0</v>
      </c>
      <c r="H6" s="33">
        <v>4000</v>
      </c>
      <c r="I6" s="155">
        <f t="shared" ref="I6:I18" si="0">F6+G6+H6</f>
        <v>4500</v>
      </c>
      <c r="J6" s="171"/>
      <c r="K6" s="172"/>
      <c r="L6" s="136"/>
    </row>
    <row r="7" spans="1:12" x14ac:dyDescent="0.25">
      <c r="A7" s="5" t="s">
        <v>155</v>
      </c>
      <c r="B7" s="5">
        <v>3</v>
      </c>
      <c r="C7" s="147"/>
      <c r="D7" s="74"/>
      <c r="E7" s="3"/>
      <c r="F7" s="74">
        <v>200</v>
      </c>
      <c r="G7" s="74">
        <v>0</v>
      </c>
      <c r="H7" s="7">
        <v>4000</v>
      </c>
      <c r="I7" s="155">
        <f t="shared" si="0"/>
        <v>4200</v>
      </c>
      <c r="J7" s="171"/>
      <c r="K7" s="172"/>
      <c r="L7" s="136"/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200</v>
      </c>
      <c r="G8" s="77">
        <v>0</v>
      </c>
      <c r="H8" s="7">
        <v>4000</v>
      </c>
      <c r="I8" s="155">
        <f t="shared" si="0"/>
        <v>4200</v>
      </c>
      <c r="J8" s="171"/>
      <c r="K8" s="172"/>
      <c r="L8" s="136"/>
    </row>
    <row r="9" spans="1:12" x14ac:dyDescent="0.25">
      <c r="A9" s="9" t="s">
        <v>47</v>
      </c>
      <c r="B9" s="9">
        <v>5</v>
      </c>
      <c r="C9" s="147"/>
      <c r="D9" s="74"/>
      <c r="E9" s="3"/>
      <c r="F9" s="74">
        <v>400</v>
      </c>
      <c r="G9" s="74">
        <v>0</v>
      </c>
      <c r="H9" s="7">
        <v>4000</v>
      </c>
      <c r="I9" s="155">
        <f t="shared" si="0"/>
        <v>4400</v>
      </c>
      <c r="J9" s="171"/>
      <c r="K9" s="172"/>
      <c r="L9" s="136"/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500</v>
      </c>
      <c r="G10" s="74">
        <v>0</v>
      </c>
      <c r="H10" s="7">
        <v>4000</v>
      </c>
      <c r="I10" s="155">
        <f t="shared" si="0"/>
        <v>4500</v>
      </c>
      <c r="J10" s="171"/>
      <c r="K10" s="172"/>
      <c r="L10" s="136"/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200</v>
      </c>
      <c r="G11" s="74">
        <v>0</v>
      </c>
      <c r="H11" s="7">
        <v>4000</v>
      </c>
      <c r="I11" s="155">
        <f t="shared" si="0"/>
        <v>4200</v>
      </c>
      <c r="J11" s="171"/>
      <c r="K11" s="172"/>
      <c r="L11" s="136"/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>
        <v>0</v>
      </c>
      <c r="H12" s="7">
        <v>4000</v>
      </c>
      <c r="I12" s="155">
        <f t="shared" si="0"/>
        <v>4300</v>
      </c>
      <c r="J12" s="171"/>
      <c r="K12" s="172"/>
      <c r="L12" s="136"/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200</v>
      </c>
      <c r="G13" s="74">
        <v>0</v>
      </c>
      <c r="H13" s="7">
        <v>2500</v>
      </c>
      <c r="I13" s="155">
        <f t="shared" si="0"/>
        <v>2700</v>
      </c>
      <c r="J13" s="171"/>
      <c r="K13" s="172"/>
      <c r="L13" s="136"/>
    </row>
    <row r="14" spans="1:12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71"/>
      <c r="K14" s="172"/>
      <c r="L14" s="136"/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200</v>
      </c>
      <c r="G15" s="74">
        <v>0</v>
      </c>
      <c r="H15" s="7">
        <v>2500</v>
      </c>
      <c r="I15" s="155">
        <f t="shared" si="0"/>
        <v>2700</v>
      </c>
      <c r="J15" s="171"/>
      <c r="K15" s="172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>
        <v>0</v>
      </c>
      <c r="H16" s="134">
        <v>2500</v>
      </c>
      <c r="I16" s="155">
        <f t="shared" si="0"/>
        <v>2700</v>
      </c>
      <c r="J16" s="171"/>
      <c r="K16" s="172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71"/>
      <c r="K17" s="172"/>
      <c r="L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>
        <f>SUM(F5:F16)</f>
        <v>3100</v>
      </c>
      <c r="G18" s="71">
        <f>SUM(G5:G17)</f>
        <v>0</v>
      </c>
      <c r="H18" s="71">
        <f>SUM(H5:H16)</f>
        <v>42000</v>
      </c>
      <c r="I18" s="155">
        <f t="shared" si="0"/>
        <v>45100</v>
      </c>
      <c r="J18" s="171"/>
      <c r="K18" s="172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71">
        <f>F19+G19+H19</f>
        <v>0</v>
      </c>
      <c r="K19" s="54"/>
      <c r="L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175</v>
      </c>
      <c r="B21" s="2"/>
      <c r="C21" s="41">
        <v>735</v>
      </c>
      <c r="J21" s="136"/>
      <c r="K21" s="136"/>
      <c r="L21" s="136"/>
    </row>
    <row r="22" spans="1:12" ht="16.5" x14ac:dyDescent="0.35">
      <c r="A22" s="149" t="s">
        <v>176</v>
      </c>
      <c r="B22" s="149"/>
      <c r="C22" s="168">
        <f ca="1">SUM(C20:C22)</f>
        <v>696510286395</v>
      </c>
      <c r="J22" s="136"/>
      <c r="K22" s="97"/>
      <c r="L22" s="136"/>
    </row>
    <row r="23" spans="1:12" s="136" customFormat="1" ht="16.5" x14ac:dyDescent="0.35">
      <c r="A23" s="2" t="s">
        <v>174</v>
      </c>
      <c r="B23" s="2"/>
      <c r="C23" s="67">
        <f>F18</f>
        <v>3100</v>
      </c>
      <c r="D23" s="17"/>
      <c r="E23" s="2"/>
      <c r="F23"/>
      <c r="G23"/>
      <c r="H23"/>
    </row>
    <row r="24" spans="1:12" x14ac:dyDescent="0.25">
      <c r="A24" s="45" t="s">
        <v>29</v>
      </c>
      <c r="C24" s="38"/>
      <c r="E24" s="17"/>
      <c r="F24" s="2"/>
      <c r="J24" s="136"/>
      <c r="K24" s="136"/>
      <c r="L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K25" s="136"/>
      <c r="L25" s="136"/>
    </row>
    <row r="26" spans="1:12" x14ac:dyDescent="0.25">
      <c r="A26" s="2" t="s">
        <v>173</v>
      </c>
      <c r="B26" s="2"/>
      <c r="C26" s="40">
        <v>37300</v>
      </c>
      <c r="K26" s="136"/>
      <c r="L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7"/>
      <c r="K27" s="136"/>
      <c r="L27" s="136"/>
    </row>
    <row r="28" spans="1:12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  <c r="J28" s="137"/>
      <c r="K28" s="136"/>
      <c r="L28" s="136"/>
    </row>
    <row r="29" spans="1:12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  <c r="J29" s="137"/>
      <c r="K29" s="136"/>
      <c r="L29" s="136"/>
    </row>
    <row r="30" spans="1:12" x14ac:dyDescent="0.25">
      <c r="A30" s="136"/>
      <c r="B30" s="136"/>
      <c r="C30" s="136"/>
      <c r="D30" s="150"/>
      <c r="E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</row>
    <row r="32" spans="1:12" x14ac:dyDescent="0.25">
      <c r="A32" s="2" t="s">
        <v>178</v>
      </c>
      <c r="B32" s="2"/>
      <c r="C32" s="2" t="s">
        <v>68</v>
      </c>
      <c r="D32" s="2"/>
      <c r="E32" s="2" t="s">
        <v>74</v>
      </c>
      <c r="F32" s="140"/>
    </row>
    <row r="33" spans="4:5" x14ac:dyDescent="0.25">
      <c r="D33" s="150"/>
      <c r="E33" s="136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2" workbookViewId="0">
      <selection sqref="A1:I46"/>
    </sheetView>
  </sheetViews>
  <sheetFormatPr defaultRowHeight="15" x14ac:dyDescent="0.25"/>
  <cols>
    <col min="1" max="1" width="14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188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300</v>
      </c>
      <c r="H13" s="7">
        <v>2500</v>
      </c>
      <c r="I13" s="155">
        <f t="shared" si="0"/>
        <v>2800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K15">
        <v>77000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K16">
        <v>38000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K17">
        <f>K15-K16</f>
        <v>39000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3100</v>
      </c>
      <c r="H18" s="71">
        <f>SUM(H5:H16)</f>
        <v>42000</v>
      </c>
      <c r="I18" s="155">
        <f t="shared" si="0"/>
        <v>45100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175</v>
      </c>
      <c r="B21" s="2"/>
      <c r="C21" s="41">
        <v>735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 ca="1">SUM(C20:C22)</f>
        <v>696510286395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173</v>
      </c>
      <c r="B26" s="2"/>
      <c r="C26" s="40">
        <v>37300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</row>
    <row r="29" spans="1:11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</row>
    <row r="30" spans="1:11" x14ac:dyDescent="0.25">
      <c r="A30" s="136"/>
      <c r="B30" s="136"/>
      <c r="C30" s="136"/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2" sqref="G12"/>
    </sheetView>
  </sheetViews>
  <sheetFormatPr defaultRowHeight="15" x14ac:dyDescent="0.25"/>
  <cols>
    <col min="1" max="1" width="14.42578125" customWidth="1"/>
    <col min="3" max="3" width="9.5703125" bestFit="1" customWidth="1"/>
  </cols>
  <sheetData>
    <row r="1" spans="1:10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</row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</row>
    <row r="3" spans="1:10" x14ac:dyDescent="0.25">
      <c r="A3" s="28"/>
      <c r="B3" s="28"/>
      <c r="C3" s="163" t="s">
        <v>187</v>
      </c>
      <c r="D3" s="156"/>
      <c r="E3" s="156"/>
      <c r="F3" s="28"/>
      <c r="G3" s="136"/>
      <c r="H3" s="136"/>
      <c r="I3" s="136"/>
      <c r="J3" s="136"/>
    </row>
    <row r="4" spans="1:10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36"/>
    </row>
    <row r="5" spans="1:10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  <c r="J5" s="136"/>
    </row>
    <row r="6" spans="1:10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  <c r="J6" s="136"/>
    </row>
    <row r="7" spans="1:10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136"/>
    </row>
    <row r="8" spans="1:10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136"/>
    </row>
    <row r="9" spans="1:10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136"/>
    </row>
    <row r="10" spans="1:10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136"/>
    </row>
    <row r="11" spans="1:10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136"/>
    </row>
    <row r="12" spans="1:10" x14ac:dyDescent="0.25">
      <c r="A12" s="9" t="s">
        <v>40</v>
      </c>
      <c r="B12" s="9">
        <v>8</v>
      </c>
      <c r="C12" s="147"/>
      <c r="D12" s="74"/>
      <c r="E12" s="3"/>
      <c r="F12" s="74"/>
      <c r="G12" s="74">
        <v>0</v>
      </c>
      <c r="H12" s="7">
        <v>4000</v>
      </c>
      <c r="I12" s="155">
        <f t="shared" si="0"/>
        <v>4000</v>
      </c>
      <c r="J12" s="136"/>
    </row>
    <row r="13" spans="1:10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136"/>
    </row>
    <row r="14" spans="1:10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36"/>
    </row>
    <row r="15" spans="1:10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136"/>
    </row>
    <row r="16" spans="1:10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2600</v>
      </c>
      <c r="H18" s="71">
        <f>SUM(H5:H16)</f>
        <v>42000</v>
      </c>
      <c r="I18" s="155">
        <f t="shared" si="0"/>
        <v>44600</v>
      </c>
      <c r="J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6"/>
      <c r="L20">
        <v>42</v>
      </c>
    </row>
    <row r="21" spans="1:12" x14ac:dyDescent="0.25">
      <c r="A21" s="2"/>
      <c r="B21" s="2"/>
      <c r="C21" s="41"/>
      <c r="D21" s="136"/>
      <c r="E21" s="136"/>
      <c r="F21" s="136"/>
      <c r="G21" s="136"/>
      <c r="H21" s="136"/>
      <c r="I21" s="136"/>
      <c r="J21" s="136"/>
    </row>
    <row r="22" spans="1:12" ht="16.5" x14ac:dyDescent="0.35">
      <c r="A22" s="149" t="s">
        <v>176</v>
      </c>
      <c r="B22" s="149"/>
      <c r="C22" s="168">
        <f>C20</f>
        <v>42000</v>
      </c>
      <c r="D22" s="136"/>
      <c r="E22" s="136"/>
      <c r="F22" s="136"/>
      <c r="G22" s="136"/>
      <c r="H22" s="136"/>
      <c r="I22" s="136"/>
      <c r="J22" s="136"/>
      <c r="K22">
        <v>0</v>
      </c>
    </row>
    <row r="23" spans="1:12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</row>
    <row r="24" spans="1:12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>
        <v>735</v>
      </c>
      <c r="H25" s="136"/>
      <c r="I25" s="136"/>
      <c r="J25" s="136"/>
    </row>
    <row r="26" spans="1:12" x14ac:dyDescent="0.25">
      <c r="A26" s="2" t="s">
        <v>181</v>
      </c>
      <c r="B26" s="2"/>
      <c r="C26" s="40">
        <v>30000</v>
      </c>
      <c r="D26" s="136"/>
      <c r="E26" s="136"/>
      <c r="F26" s="136"/>
      <c r="G26" s="136">
        <v>735</v>
      </c>
      <c r="H26" s="136"/>
      <c r="I26" s="136"/>
      <c r="J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>
        <f>SUM(G25:G26)</f>
        <v>1470</v>
      </c>
      <c r="H27" s="136"/>
      <c r="I27" s="136"/>
      <c r="J27" s="136"/>
    </row>
    <row r="28" spans="1:12" x14ac:dyDescent="0.25">
      <c r="A28" s="39" t="s">
        <v>182</v>
      </c>
      <c r="C28">
        <v>1470</v>
      </c>
      <c r="D28" s="40"/>
      <c r="E28" s="136"/>
      <c r="F28" s="2"/>
      <c r="G28" s="2"/>
      <c r="H28" s="137"/>
      <c r="I28" s="136"/>
      <c r="J28" s="136"/>
    </row>
    <row r="29" spans="1:12" x14ac:dyDescent="0.25">
      <c r="A29" s="167" t="s">
        <v>56</v>
      </c>
      <c r="B29" s="149"/>
      <c r="C29" s="150">
        <f>SUM(C25:C28)</f>
        <v>36910</v>
      </c>
      <c r="D29" s="40"/>
      <c r="E29" s="2"/>
      <c r="F29" s="2"/>
      <c r="G29" s="2"/>
      <c r="H29" s="137"/>
      <c r="I29" s="136"/>
      <c r="J29" s="136"/>
    </row>
    <row r="30" spans="1:12" x14ac:dyDescent="0.25">
      <c r="A30" s="39" t="s">
        <v>27</v>
      </c>
      <c r="B30" s="136"/>
      <c r="C30" s="37">
        <f>C22-C29</f>
        <v>5090</v>
      </c>
      <c r="D30" s="150"/>
      <c r="E30" s="136"/>
      <c r="F30" s="136"/>
      <c r="G30" s="136"/>
      <c r="H30" s="136"/>
      <c r="I30" s="136"/>
      <c r="J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  <c r="J31" s="136"/>
    </row>
    <row r="32" spans="1:12" x14ac:dyDescent="0.25">
      <c r="A32" s="136"/>
      <c r="B32" s="136"/>
      <c r="C32" s="136"/>
      <c r="D32" s="136"/>
      <c r="E32" s="136"/>
      <c r="F32" s="136"/>
      <c r="G32" s="136"/>
      <c r="H32" s="136"/>
      <c r="I32" s="136"/>
      <c r="J32" s="136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5" workbookViewId="0">
      <selection sqref="A1:L34"/>
    </sheetView>
  </sheetViews>
  <sheetFormatPr defaultRowHeight="15" x14ac:dyDescent="0.25"/>
  <cols>
    <col min="1" max="1" width="12.42578125" customWidth="1"/>
    <col min="3" max="3" width="11.28515625" customWidth="1"/>
    <col min="11" max="11" width="10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si="0"/>
        <v>4300</v>
      </c>
      <c r="J6" s="3"/>
      <c r="K6" s="147">
        <f t="shared" ref="K6:K17" si="1">H6-J6</f>
        <v>4000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si="1"/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/>
      <c r="K10" s="147">
        <f t="shared" si="1"/>
        <v>4000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/>
      <c r="K11" s="147">
        <f t="shared" si="1"/>
        <v>4000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200</v>
      </c>
      <c r="H12" s="7">
        <v>4000</v>
      </c>
      <c r="I12" s="155">
        <f t="shared" si="0"/>
        <v>4200</v>
      </c>
      <c r="J12" s="3"/>
      <c r="K12" s="147">
        <f t="shared" si="1"/>
        <v>4000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2800</v>
      </c>
      <c r="H18" s="71">
        <f>SUM(H5:H16)</f>
        <v>42000</v>
      </c>
      <c r="I18" s="155">
        <f t="shared" si="0"/>
        <v>44800</v>
      </c>
      <c r="J18" s="3">
        <f>SUM(J5:J17)</f>
        <v>10500</v>
      </c>
      <c r="K18" s="147">
        <f>SUM(K5:K17)</f>
        <v>29000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183</v>
      </c>
      <c r="B20" s="136"/>
      <c r="C20" s="36">
        <v>10500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>SUM(C20:C21)</f>
        <v>15590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735.00000000000011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</row>
    <row r="29" spans="1:11" x14ac:dyDescent="0.25">
      <c r="A29" s="167" t="s">
        <v>56</v>
      </c>
      <c r="B29" s="149"/>
      <c r="C29" s="150">
        <f>SUM(C25:C28)</f>
        <v>19235</v>
      </c>
      <c r="D29" s="40"/>
      <c r="E29" s="2"/>
      <c r="F29" s="2"/>
      <c r="G29" s="2"/>
      <c r="H29" s="137"/>
      <c r="I29" s="136"/>
    </row>
    <row r="30" spans="1:11" x14ac:dyDescent="0.25">
      <c r="A30" s="39" t="s">
        <v>27</v>
      </c>
      <c r="B30" s="136"/>
      <c r="C30" s="37">
        <f>C22-C29</f>
        <v>-3645</v>
      </c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1" workbookViewId="0">
      <selection sqref="A1:L34"/>
    </sheetView>
  </sheetViews>
  <sheetFormatPr defaultRowHeight="15" x14ac:dyDescent="0.25"/>
  <cols>
    <col min="1" max="1" width="15.5703125" customWidth="1"/>
    <col min="3" max="3" width="10.85546875" customWidth="1"/>
    <col min="11" max="11" width="12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136"/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5300</v>
      </c>
      <c r="I6" s="155">
        <f t="shared" si="0"/>
        <v>5600</v>
      </c>
      <c r="J6" s="3">
        <v>4200</v>
      </c>
      <c r="K6" s="147"/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ref="K7:K17" si="1">H7-J7</f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>
        <v>4000</v>
      </c>
      <c r="K10" s="147">
        <f t="shared" si="1"/>
        <v>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>
        <v>4000</v>
      </c>
      <c r="K11" s="147">
        <f t="shared" si="1"/>
        <v>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  <c r="J12" s="3">
        <v>4000</v>
      </c>
      <c r="K12" s="147">
        <f t="shared" si="1"/>
        <v>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2900</v>
      </c>
      <c r="H18" s="71">
        <f>SUM(H5:H16)</f>
        <v>43300</v>
      </c>
      <c r="I18" s="155">
        <f t="shared" si="0"/>
        <v>46200</v>
      </c>
      <c r="J18" s="3">
        <f>SUM(J5:J17)</f>
        <v>26700</v>
      </c>
      <c r="K18" s="147">
        <f>SUM(K5:K17)</f>
        <v>13000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  <c r="K19" s="136"/>
    </row>
    <row r="20" spans="1:11" x14ac:dyDescent="0.25">
      <c r="A20" s="2" t="s">
        <v>183</v>
      </c>
      <c r="B20" s="136"/>
      <c r="C20" s="36">
        <f>J18</f>
        <v>26700</v>
      </c>
      <c r="D20" s="36"/>
      <c r="E20" s="136"/>
      <c r="F20" s="37"/>
      <c r="G20" s="37"/>
      <c r="H20" s="136"/>
      <c r="I20" s="136"/>
      <c r="J20" s="136"/>
      <c r="K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31790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C20*B25</f>
        <v>1869.0000000000002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6"/>
      <c r="K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  <c r="J28" s="136"/>
      <c r="K28" s="136"/>
    </row>
    <row r="29" spans="1:11" x14ac:dyDescent="0.25">
      <c r="A29" s="167" t="s">
        <v>56</v>
      </c>
      <c r="B29" s="149"/>
      <c r="C29" s="150">
        <f>SUM(C25:C28)</f>
        <v>20369</v>
      </c>
      <c r="D29" s="40"/>
      <c r="E29" s="2"/>
      <c r="F29" s="2"/>
      <c r="G29" s="2"/>
      <c r="H29" s="137"/>
      <c r="I29" s="136"/>
      <c r="J29" s="136"/>
      <c r="K29" s="136"/>
    </row>
    <row r="30" spans="1:11" x14ac:dyDescent="0.25">
      <c r="A30" s="39" t="s">
        <v>27</v>
      </c>
      <c r="B30" s="136"/>
      <c r="C30" s="37">
        <f>C22-C29</f>
        <v>11421</v>
      </c>
      <c r="D30" s="150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190</v>
      </c>
      <c r="C31">
        <v>735</v>
      </c>
      <c r="D31" s="2"/>
      <c r="E31" s="2"/>
      <c r="F31" s="139"/>
      <c r="G31" s="136"/>
      <c r="H31" s="136"/>
      <c r="I31" s="136"/>
      <c r="J31" s="136"/>
      <c r="K31" s="136"/>
    </row>
    <row r="32" spans="1:11" x14ac:dyDescent="0.25">
      <c r="A32" s="39" t="s">
        <v>189</v>
      </c>
      <c r="C32" s="37">
        <f>C30+C31</f>
        <v>12156</v>
      </c>
    </row>
    <row r="33" spans="1:3" x14ac:dyDescent="0.25">
      <c r="A33" s="2" t="s">
        <v>64</v>
      </c>
      <c r="B33" s="2"/>
      <c r="C33" s="2" t="s">
        <v>72</v>
      </c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E9" sqref="E9"/>
    </sheetView>
  </sheetViews>
  <sheetFormatPr defaultRowHeight="15" x14ac:dyDescent="0.25"/>
  <cols>
    <col min="1" max="1" width="12" customWidth="1"/>
    <col min="2" max="2" width="3.28515625" customWidth="1"/>
    <col min="3" max="3" width="6.85546875" customWidth="1"/>
    <col min="4" max="4" width="14" customWidth="1"/>
    <col min="5" max="5" width="8.140625" customWidth="1"/>
    <col min="7" max="7" width="10.28515625" customWidth="1"/>
    <col min="9" max="9" width="9.42578125" customWidth="1"/>
    <col min="11" max="11" width="12" style="1" customWidth="1"/>
    <col min="12" max="12" width="7.85546875" customWidth="1"/>
    <col min="13" max="13" width="10.85546875" customWidth="1"/>
  </cols>
  <sheetData>
    <row r="1" spans="1:14" ht="30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ht="14.25" customHeight="1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63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4" ht="14.1" customHeight="1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100</v>
      </c>
      <c r="K8" s="7">
        <v>4100</v>
      </c>
      <c r="L8" s="6"/>
      <c r="M8" s="7"/>
    </row>
    <row r="9" spans="1:14" ht="14.1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74" t="s">
        <v>103</v>
      </c>
      <c r="F9" s="74">
        <v>500</v>
      </c>
      <c r="G9" s="33">
        <v>4000</v>
      </c>
      <c r="H9" s="33">
        <f>SUM(E9:G9)</f>
        <v>4500</v>
      </c>
      <c r="I9" s="33">
        <v>4000</v>
      </c>
      <c r="J9" s="7">
        <v>500</v>
      </c>
      <c r="K9" s="7">
        <v>4500</v>
      </c>
      <c r="L9" s="6"/>
      <c r="M9" s="7">
        <f>SUM(H9-I9)</f>
        <v>500</v>
      </c>
    </row>
    <row r="10" spans="1:14" ht="14.1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74"/>
      <c r="F10" s="74">
        <v>300</v>
      </c>
      <c r="G10" s="7">
        <v>4000</v>
      </c>
      <c r="H10" s="7">
        <v>4300</v>
      </c>
      <c r="I10" s="7">
        <v>4000</v>
      </c>
      <c r="J10" s="7"/>
      <c r="K10" s="7">
        <v>4000</v>
      </c>
      <c r="L10" s="6"/>
      <c r="M10" s="7">
        <v>300</v>
      </c>
    </row>
    <row r="11" spans="1:14" ht="14.1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</row>
    <row r="12" spans="1:14" ht="14.1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4" ht="14.1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</row>
    <row r="14" spans="1:14" ht="14.1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>
        <v>4000</v>
      </c>
      <c r="J14" s="7"/>
      <c r="K14" s="7">
        <v>4000</v>
      </c>
      <c r="L14" s="62"/>
      <c r="M14" s="64">
        <f>SUM(H14-I14)</f>
        <v>8700</v>
      </c>
    </row>
    <row r="15" spans="1:14" ht="14.1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300</v>
      </c>
      <c r="G15" s="7">
        <v>4000</v>
      </c>
      <c r="H15" s="7">
        <f>SUM(E15:G15)</f>
        <v>9800</v>
      </c>
      <c r="I15" s="7">
        <v>4000</v>
      </c>
      <c r="J15" s="7"/>
      <c r="K15" s="7">
        <v>4000</v>
      </c>
      <c r="L15" s="10"/>
      <c r="M15" s="64">
        <f>SUM(H15-I15)</f>
        <v>5800</v>
      </c>
    </row>
    <row r="16" spans="1:14" ht="14.1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21" ht="14.1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21" ht="14.1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2700</v>
      </c>
      <c r="I18" s="7"/>
      <c r="J18" s="7"/>
      <c r="K18" s="7"/>
      <c r="L18" s="63"/>
      <c r="M18" s="62"/>
    </row>
    <row r="19" spans="1:21" ht="14.1" customHeight="1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</row>
    <row r="20" spans="1:21" ht="14.1" customHeight="1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62100</v>
      </c>
      <c r="I20" s="71">
        <f t="shared" si="0"/>
        <v>42000</v>
      </c>
      <c r="J20" s="78">
        <f t="shared" si="0"/>
        <v>2400</v>
      </c>
      <c r="K20" s="78">
        <f t="shared" si="0"/>
        <v>44400</v>
      </c>
      <c r="L20" s="69"/>
      <c r="M20" s="78">
        <f>SUM(M8:M19)</f>
        <v>15300</v>
      </c>
      <c r="N20" s="79"/>
    </row>
    <row r="21" spans="1:21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L21" s="1"/>
      <c r="M21" s="1"/>
      <c r="N21" s="1"/>
    </row>
    <row r="22" spans="1:21" x14ac:dyDescent="0.25">
      <c r="A22" s="2" t="s">
        <v>55</v>
      </c>
      <c r="B22" s="1"/>
      <c r="C22" s="1"/>
      <c r="D22" s="36">
        <v>42000</v>
      </c>
      <c r="F22" s="1"/>
      <c r="G22" s="1"/>
      <c r="H22" s="1"/>
      <c r="I22" s="1"/>
      <c r="J22" s="1"/>
      <c r="K22" s="37"/>
      <c r="L22" s="1"/>
      <c r="M22" s="1"/>
      <c r="N22" s="1"/>
    </row>
    <row r="23" spans="1:21" x14ac:dyDescent="0.25">
      <c r="A23" s="2" t="s">
        <v>77</v>
      </c>
      <c r="B23" s="2"/>
      <c r="C23" s="38"/>
      <c r="D23" s="41">
        <v>2400</v>
      </c>
      <c r="E23" s="1"/>
      <c r="F23" s="1"/>
      <c r="G23" s="1"/>
      <c r="H23" s="1"/>
      <c r="I23" s="1"/>
      <c r="J23" s="1"/>
      <c r="L23" s="1"/>
      <c r="M23" s="1"/>
      <c r="N23" s="54"/>
    </row>
    <row r="24" spans="1:21" ht="16.5" x14ac:dyDescent="0.35">
      <c r="A24" s="2" t="s">
        <v>52</v>
      </c>
      <c r="B24" s="2"/>
      <c r="C24" s="38"/>
      <c r="D24" s="67">
        <f>SUM(D22:D23)</f>
        <v>44400</v>
      </c>
      <c r="E24" s="1"/>
      <c r="F24" s="1"/>
      <c r="G24" s="1"/>
      <c r="H24" s="1"/>
      <c r="I24" s="1"/>
      <c r="J24" s="1"/>
      <c r="L24" s="1"/>
      <c r="M24" s="1"/>
      <c r="N24" s="54"/>
    </row>
    <row r="25" spans="1:21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L25" s="1"/>
      <c r="M25" s="1"/>
      <c r="N25" s="54"/>
    </row>
    <row r="26" spans="1:21" x14ac:dyDescent="0.25">
      <c r="A26" s="2" t="s">
        <v>26</v>
      </c>
      <c r="B26" s="2"/>
      <c r="C26" s="38"/>
      <c r="D26" s="40">
        <f>SUM(D22*7%)</f>
        <v>2940.0000000000005</v>
      </c>
      <c r="E26" s="1"/>
      <c r="F26" s="1"/>
      <c r="G26" s="53"/>
      <c r="H26" s="53"/>
      <c r="I26" s="1"/>
      <c r="J26" s="1"/>
      <c r="L26" s="1"/>
      <c r="M26" s="1"/>
      <c r="N26" s="1"/>
    </row>
    <row r="27" spans="1:21" s="1" customFormat="1" x14ac:dyDescent="0.25">
      <c r="A27" s="2" t="s">
        <v>81</v>
      </c>
      <c r="B27" s="2"/>
      <c r="C27" s="38"/>
      <c r="D27" s="40">
        <v>9460</v>
      </c>
      <c r="G27" s="53"/>
      <c r="H27" s="53"/>
    </row>
    <row r="28" spans="1:21" s="1" customFormat="1" x14ac:dyDescent="0.25">
      <c r="A28" s="2" t="s">
        <v>76</v>
      </c>
      <c r="B28" s="2"/>
      <c r="C28" s="38"/>
      <c r="D28" s="40">
        <v>32000</v>
      </c>
      <c r="G28" s="53"/>
      <c r="H28" s="53"/>
    </row>
    <row r="29" spans="1:21" x14ac:dyDescent="0.25">
      <c r="A29" s="2" t="s">
        <v>56</v>
      </c>
      <c r="B29" s="2"/>
      <c r="C29" s="38"/>
      <c r="D29" s="42">
        <f>SUM(D26:D28)</f>
        <v>44400</v>
      </c>
      <c r="E29" s="1"/>
      <c r="F29" s="1"/>
      <c r="G29" s="1"/>
      <c r="H29" s="1" t="s">
        <v>66</v>
      </c>
      <c r="I29" s="1"/>
      <c r="J29" s="1"/>
      <c r="L29" s="1"/>
      <c r="M29" s="1"/>
      <c r="N29" s="1"/>
    </row>
    <row r="30" spans="1:21" ht="15.75" x14ac:dyDescent="0.25">
      <c r="A30" s="55" t="s">
        <v>27</v>
      </c>
      <c r="B30" s="2"/>
      <c r="C30" s="2"/>
      <c r="D30" s="83">
        <f>SUM(D24-D29)</f>
        <v>0</v>
      </c>
      <c r="E30" s="1"/>
      <c r="F30" s="37" t="s">
        <v>65</v>
      </c>
      <c r="G30" s="37" t="s">
        <v>79</v>
      </c>
      <c r="H30" s="37" t="s">
        <v>65</v>
      </c>
      <c r="I30" s="37" t="s">
        <v>80</v>
      </c>
      <c r="J30" s="37"/>
      <c r="K30" s="37"/>
      <c r="L30" s="37" t="s">
        <v>78</v>
      </c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28"/>
      <c r="B31" s="29"/>
      <c r="C31" s="1"/>
      <c r="D31" s="1"/>
      <c r="E31" s="28"/>
      <c r="F31" s="28"/>
      <c r="G31" s="28"/>
      <c r="H31" s="28"/>
      <c r="I31" s="28"/>
      <c r="J31" s="1"/>
      <c r="L31" s="1"/>
      <c r="M31" s="1"/>
      <c r="N31" s="1"/>
      <c r="Q31" s="1"/>
      <c r="R31" s="1"/>
      <c r="S31" s="1"/>
    </row>
    <row r="32" spans="1:21" x14ac:dyDescent="0.25">
      <c r="A32" s="28"/>
      <c r="B32" s="29"/>
      <c r="C32" s="17"/>
      <c r="D32" s="17" t="s">
        <v>64</v>
      </c>
      <c r="E32" s="28"/>
      <c r="F32" s="28" t="s">
        <v>71</v>
      </c>
      <c r="G32" s="28"/>
      <c r="H32" s="28" t="s">
        <v>67</v>
      </c>
      <c r="I32" s="28"/>
      <c r="J32" s="1"/>
      <c r="L32" s="1"/>
      <c r="M32" s="1"/>
      <c r="N32" s="1"/>
    </row>
    <row r="33" spans="1:14" ht="36" customHeight="1" x14ac:dyDescent="0.25">
      <c r="A33" s="28"/>
      <c r="B33" s="28"/>
      <c r="C33" s="17"/>
      <c r="D33" s="17" t="s">
        <v>70</v>
      </c>
      <c r="E33" s="28"/>
      <c r="F33" s="28" t="s">
        <v>72</v>
      </c>
      <c r="G33" s="28"/>
      <c r="H33" s="28" t="s">
        <v>73</v>
      </c>
      <c r="I33" s="28"/>
      <c r="J33" s="1"/>
      <c r="L33" s="1"/>
      <c r="M33" s="1"/>
      <c r="N33" s="1"/>
    </row>
    <row r="34" spans="1:14" x14ac:dyDescent="0.25">
      <c r="A34" s="28"/>
      <c r="B34" s="28"/>
      <c r="C34" s="17" t="s">
        <v>23</v>
      </c>
      <c r="D34" s="17" t="s">
        <v>69</v>
      </c>
      <c r="E34" s="28"/>
      <c r="F34" s="28" t="s">
        <v>68</v>
      </c>
      <c r="G34" s="28"/>
      <c r="H34" s="28" t="s">
        <v>74</v>
      </c>
      <c r="I34" s="28"/>
      <c r="J34" s="1"/>
      <c r="L34" s="1"/>
      <c r="M34" s="1"/>
      <c r="N34" s="1"/>
    </row>
    <row r="35" spans="1:14" x14ac:dyDescent="0.25">
      <c r="A35" s="30"/>
      <c r="B35" s="28"/>
      <c r="C35" s="1"/>
      <c r="D35" s="1"/>
      <c r="E35" s="28"/>
      <c r="F35" s="28"/>
      <c r="G35" s="28"/>
      <c r="H35" s="28"/>
      <c r="I35" s="28"/>
      <c r="J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28"/>
      <c r="G36" s="28"/>
      <c r="H36" s="28"/>
      <c r="I36" s="28"/>
      <c r="J36" s="1"/>
      <c r="L36" s="1"/>
      <c r="M36" s="1"/>
      <c r="N36" s="1"/>
    </row>
    <row r="37" spans="1:14" ht="18" x14ac:dyDescent="0.4">
      <c r="A37" s="39"/>
      <c r="B37" s="2"/>
      <c r="C37" s="2"/>
      <c r="D37" s="2"/>
      <c r="E37" s="1"/>
      <c r="F37" s="43"/>
      <c r="G37" s="1"/>
      <c r="H37" s="1"/>
      <c r="I37" s="1"/>
      <c r="J37" s="1"/>
      <c r="L37" s="1"/>
      <c r="M37" s="1"/>
      <c r="N37" s="1"/>
    </row>
    <row r="38" spans="1:14" x14ac:dyDescent="0.25">
      <c r="A38" s="28"/>
      <c r="B38" s="28"/>
      <c r="C38" s="1"/>
      <c r="D38" s="1"/>
      <c r="E38" s="28"/>
      <c r="F38" s="28"/>
      <c r="G38" s="28"/>
      <c r="H38" s="28"/>
      <c r="I38" s="28"/>
      <c r="J38" s="1"/>
      <c r="L38" s="1"/>
      <c r="M38" s="1"/>
      <c r="N38" s="1"/>
    </row>
  </sheetData>
  <pageMargins left="0.7" right="0.7" top="0.75" bottom="0.75" header="0.3" footer="0.3"/>
  <pageSetup orientation="landscape" horizontalDpi="0" verticalDpi="0" r:id="rId1"/>
  <ignoredErrors>
    <ignoredError sqref="C8:D20 J15 J18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6" sqref="A26"/>
    </sheetView>
  </sheetViews>
  <sheetFormatPr defaultRowHeight="15" x14ac:dyDescent="0.25"/>
  <cols>
    <col min="1" max="1" width="13.42578125" customWidth="1"/>
    <col min="3" max="3" width="13" customWidth="1"/>
    <col min="10" max="10" width="11.28515625" customWidth="1"/>
  </cols>
  <sheetData>
    <row r="1" spans="1:11" ht="18.75" x14ac:dyDescent="0.25">
      <c r="A1" s="13"/>
      <c r="B1" s="159"/>
      <c r="C1" s="160"/>
      <c r="D1" s="161"/>
      <c r="E1" s="160"/>
      <c r="F1" s="162"/>
      <c r="G1" s="136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44"/>
      <c r="G2" s="136"/>
      <c r="H2" s="136"/>
      <c r="I2" s="136"/>
      <c r="J2" s="136"/>
      <c r="K2" s="136"/>
    </row>
    <row r="3" spans="1:11" x14ac:dyDescent="0.25">
      <c r="A3" s="28"/>
      <c r="B3" s="28"/>
      <c r="C3" s="163" t="s">
        <v>200</v>
      </c>
      <c r="D3" s="156"/>
      <c r="E3" s="28"/>
      <c r="F3" s="136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36"/>
    </row>
    <row r="5" spans="1:11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  <c r="K5" s="136"/>
    </row>
    <row r="6" spans="1:11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  <c r="K6" s="136"/>
    </row>
    <row r="7" spans="1:11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  <c r="K7" s="136"/>
    </row>
    <row r="8" spans="1:11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  <c r="K8" s="136"/>
    </row>
    <row r="9" spans="1:11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  <c r="K9" s="136"/>
    </row>
    <row r="10" spans="1:11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  <c r="K10" s="136"/>
    </row>
    <row r="11" spans="1:11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  <c r="K11" s="136"/>
    </row>
    <row r="12" spans="1:11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  <c r="K12" s="136"/>
    </row>
    <row r="13" spans="1:11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  <c r="K13" s="136"/>
    </row>
    <row r="14" spans="1:11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  <c r="K14" s="136"/>
    </row>
    <row r="15" spans="1:11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  <c r="K15" s="136"/>
    </row>
    <row r="16" spans="1:11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  <c r="K16" s="136"/>
    </row>
    <row r="17" spans="1:11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  <c r="K17" s="136"/>
    </row>
    <row r="18" spans="1:11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  <c r="K18" s="136"/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37"/>
      <c r="I19" s="136"/>
      <c r="J19" s="136"/>
      <c r="K19" s="136"/>
    </row>
    <row r="20" spans="1:11" x14ac:dyDescent="0.25">
      <c r="A20" s="2" t="s">
        <v>183</v>
      </c>
      <c r="B20" s="136"/>
      <c r="C20" s="36">
        <f>I18</f>
        <v>42000</v>
      </c>
      <c r="D20" s="136"/>
      <c r="E20" s="37"/>
      <c r="F20" s="37"/>
      <c r="G20" s="136"/>
      <c r="H20" s="136"/>
      <c r="I20" s="136"/>
      <c r="J20" s="136"/>
      <c r="K20" s="136"/>
    </row>
    <row r="21" spans="1:11" x14ac:dyDescent="0.25">
      <c r="A21" s="2" t="s">
        <v>192</v>
      </c>
      <c r="B21" s="2"/>
      <c r="C21" s="41">
        <f>E18</f>
        <v>13000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55000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/>
      <c r="B23" s="2"/>
      <c r="C23" s="67"/>
      <c r="D23" s="2"/>
      <c r="E23" s="136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7"/>
      <c r="E24" s="2"/>
      <c r="F24" s="136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B25*C22</f>
        <v>3850.0000000000005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136"/>
      <c r="E27" s="136"/>
      <c r="F27" s="136"/>
      <c r="G27" s="136"/>
      <c r="H27" s="136"/>
      <c r="I27" s="136"/>
      <c r="J27" s="136"/>
      <c r="K27" s="136"/>
    </row>
    <row r="28" spans="1:11" x14ac:dyDescent="0.25">
      <c r="A28" s="167" t="s">
        <v>56</v>
      </c>
      <c r="B28" s="149"/>
      <c r="C28" s="150">
        <f>SUM(C25:C27)</f>
        <v>6350</v>
      </c>
      <c r="D28" s="136"/>
      <c r="E28" s="2"/>
      <c r="F28" s="2"/>
      <c r="G28" s="137"/>
      <c r="H28" s="136"/>
      <c r="I28" s="136"/>
      <c r="J28" s="136"/>
      <c r="K28" s="136"/>
    </row>
    <row r="29" spans="1:11" x14ac:dyDescent="0.25">
      <c r="A29" s="39" t="s">
        <v>193</v>
      </c>
      <c r="B29" s="136"/>
      <c r="C29" s="37">
        <v>39350</v>
      </c>
      <c r="D29" s="2"/>
      <c r="E29" s="2"/>
      <c r="F29" s="2"/>
      <c r="G29" s="137"/>
      <c r="H29" s="136"/>
      <c r="I29" s="136"/>
      <c r="J29" s="136"/>
      <c r="K29" s="136"/>
    </row>
    <row r="30" spans="1:11" x14ac:dyDescent="0.25">
      <c r="A30" s="167" t="s">
        <v>56</v>
      </c>
      <c r="B30" s="91"/>
      <c r="C30" s="176">
        <f>SUM(C28:C29)</f>
        <v>45700</v>
      </c>
      <c r="D30" s="136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199</v>
      </c>
      <c r="C31" s="37">
        <f>C22-C30</f>
        <v>9300</v>
      </c>
      <c r="D31" s="174"/>
      <c r="E31" s="139"/>
      <c r="F31" s="136"/>
      <c r="G31" s="136"/>
      <c r="H31" s="136"/>
      <c r="I31" s="136"/>
      <c r="J31" s="136"/>
      <c r="K31" s="136"/>
    </row>
    <row r="32" spans="1:11" x14ac:dyDescent="0.25">
      <c r="A32" s="173"/>
      <c r="B32" s="174" t="s">
        <v>71</v>
      </c>
      <c r="C32" s="174"/>
      <c r="D32" s="174"/>
      <c r="E32" s="136"/>
      <c r="F32" s="136"/>
      <c r="G32" s="136"/>
      <c r="H32" s="136"/>
      <c r="I32" s="136"/>
      <c r="J32" s="136"/>
      <c r="K32" s="136"/>
    </row>
    <row r="33" spans="1:11" x14ac:dyDescent="0.25">
      <c r="A33" s="173"/>
      <c r="B33" s="174"/>
      <c r="C33" s="174"/>
      <c r="D33" s="173"/>
      <c r="E33" s="136"/>
      <c r="F33" s="136"/>
      <c r="G33" s="136"/>
      <c r="H33" s="136"/>
      <c r="I33" s="136"/>
      <c r="J33" s="136"/>
      <c r="K33" s="136"/>
    </row>
    <row r="34" spans="1:11" x14ac:dyDescent="0.25">
      <c r="A34" s="173" t="s">
        <v>141</v>
      </c>
      <c r="B34" s="174" t="s">
        <v>194</v>
      </c>
      <c r="C34" s="174" t="s">
        <v>198</v>
      </c>
      <c r="D34" s="173"/>
    </row>
    <row r="35" spans="1:11" x14ac:dyDescent="0.25">
      <c r="A35" s="174" t="s">
        <v>195</v>
      </c>
      <c r="B35" s="174" t="s">
        <v>196</v>
      </c>
      <c r="C35" s="175" t="s">
        <v>197</v>
      </c>
      <c r="D35" s="174"/>
    </row>
  </sheetData>
  <pageMargins left="0.7" right="0.7" top="0.75" bottom="0.75" header="0.3" footer="0.3"/>
  <pageSetup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G37" sqref="G37"/>
    </sheetView>
  </sheetViews>
  <sheetFormatPr defaultRowHeight="15" x14ac:dyDescent="0.25"/>
  <cols>
    <col min="1" max="1" width="19.28515625" customWidth="1"/>
    <col min="3" max="3" width="10.85546875" customWidth="1"/>
  </cols>
  <sheetData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44"/>
      <c r="G2" s="173"/>
      <c r="H2" s="173"/>
      <c r="I2" s="173"/>
      <c r="J2" s="173"/>
    </row>
    <row r="3" spans="1:10" x14ac:dyDescent="0.25">
      <c r="A3" s="28"/>
      <c r="B3" s="28"/>
      <c r="C3" s="163" t="s">
        <v>200</v>
      </c>
      <c r="D3" s="156"/>
      <c r="E3" s="28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</row>
    <row r="6" spans="1:10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</row>
    <row r="7" spans="1:10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</row>
    <row r="8" spans="1:10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</row>
    <row r="9" spans="1:10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</row>
    <row r="10" spans="1:10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</row>
    <row r="11" spans="1:10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</row>
    <row r="12" spans="1:10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</row>
    <row r="13" spans="1:10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</row>
    <row r="14" spans="1:10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</row>
    <row r="15" spans="1:10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</row>
    <row r="16" spans="1:10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</row>
    <row r="17" spans="1:10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</row>
    <row r="18" spans="1:10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</row>
    <row r="19" spans="1:10" x14ac:dyDescent="0.25">
      <c r="A19" s="68" t="s">
        <v>30</v>
      </c>
      <c r="B19" s="173"/>
      <c r="C19" s="173"/>
      <c r="D19" s="173"/>
      <c r="E19" s="173"/>
      <c r="F19" s="173"/>
      <c r="G19" s="173"/>
      <c r="H19" s="37"/>
      <c r="I19" s="173"/>
      <c r="J19" s="173"/>
    </row>
    <row r="20" spans="1:10" x14ac:dyDescent="0.25">
      <c r="A20" s="174" t="s">
        <v>183</v>
      </c>
      <c r="B20" s="173"/>
      <c r="C20" s="36">
        <f>I18</f>
        <v>42000</v>
      </c>
      <c r="D20" s="173"/>
      <c r="E20" s="37"/>
      <c r="F20" s="37"/>
      <c r="G20" s="173"/>
      <c r="H20" s="173"/>
      <c r="I20" s="173"/>
      <c r="J20" s="173"/>
    </row>
    <row r="21" spans="1:10" x14ac:dyDescent="0.25">
      <c r="A21" s="174" t="s">
        <v>201</v>
      </c>
      <c r="B21" s="174"/>
      <c r="C21" s="41">
        <v>9300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51300</v>
      </c>
      <c r="D22" s="173"/>
      <c r="E22" s="173"/>
      <c r="F22" s="173"/>
      <c r="G22" s="173"/>
      <c r="H22" s="173"/>
      <c r="I22" s="173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3"/>
      <c r="H23" s="173"/>
      <c r="I23" s="173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3"/>
      <c r="H24" s="173"/>
      <c r="I24" s="173"/>
      <c r="J24" s="173"/>
    </row>
    <row r="25" spans="1:10" x14ac:dyDescent="0.25">
      <c r="A25" s="174" t="s">
        <v>177</v>
      </c>
      <c r="B25" s="119">
        <v>7.0000000000000007E-2</v>
      </c>
      <c r="C25" s="40">
        <f>B25*C22</f>
        <v>3591.0000000000005</v>
      </c>
      <c r="D25" s="173"/>
      <c r="E25" s="173"/>
      <c r="F25" s="173"/>
      <c r="G25" s="173"/>
      <c r="H25" s="173"/>
      <c r="I25" s="173"/>
      <c r="J25" s="173"/>
    </row>
    <row r="26" spans="1:10" x14ac:dyDescent="0.25">
      <c r="A26" s="167" t="s">
        <v>56</v>
      </c>
      <c r="B26" s="149"/>
      <c r="C26" s="150">
        <f>SUM(C25:C25)</f>
        <v>3591.0000000000005</v>
      </c>
      <c r="D26" s="173"/>
      <c r="E26" s="173"/>
      <c r="F26" s="173"/>
      <c r="G26" s="173"/>
      <c r="H26" s="173"/>
      <c r="I26" s="173"/>
      <c r="J26" s="173"/>
    </row>
    <row r="27" spans="1:10" x14ac:dyDescent="0.25">
      <c r="A27" s="39" t="s">
        <v>193</v>
      </c>
      <c r="B27" s="173"/>
      <c r="C27" s="37">
        <v>40000</v>
      </c>
      <c r="D27" s="173"/>
      <c r="E27" s="174"/>
      <c r="F27" s="174"/>
      <c r="G27" s="137"/>
      <c r="H27" s="173"/>
      <c r="I27" s="173"/>
      <c r="J27" s="173"/>
    </row>
    <row r="28" spans="1:10" x14ac:dyDescent="0.25">
      <c r="A28" s="167" t="s">
        <v>56</v>
      </c>
      <c r="B28" s="91"/>
      <c r="C28" s="176">
        <f>SUM(C26:C27)</f>
        <v>43591</v>
      </c>
      <c r="D28" s="174"/>
      <c r="E28" s="174"/>
      <c r="F28" s="174"/>
      <c r="G28" s="137"/>
      <c r="H28" s="173"/>
      <c r="I28" s="173"/>
      <c r="J28" s="173"/>
    </row>
    <row r="29" spans="1:10" x14ac:dyDescent="0.25">
      <c r="A29" s="39" t="s">
        <v>199</v>
      </c>
      <c r="B29" s="173"/>
      <c r="C29" s="37">
        <f>C22-C28</f>
        <v>7709</v>
      </c>
      <c r="D29" s="173"/>
      <c r="E29" s="173"/>
      <c r="F29" s="173"/>
      <c r="G29" s="173"/>
      <c r="H29" s="173"/>
      <c r="I29" s="173"/>
      <c r="J29" s="173"/>
    </row>
    <row r="30" spans="1:10" x14ac:dyDescent="0.25">
      <c r="A30" s="173"/>
      <c r="B30" s="174" t="s">
        <v>71</v>
      </c>
      <c r="C30" s="174"/>
      <c r="D30" s="174"/>
      <c r="E30" s="139"/>
      <c r="F30" s="173"/>
      <c r="G30" s="173"/>
      <c r="H30" s="173"/>
      <c r="I30" s="173"/>
      <c r="J30" s="173"/>
    </row>
    <row r="31" spans="1:10" x14ac:dyDescent="0.25">
      <c r="A31" s="173"/>
      <c r="B31" s="174"/>
      <c r="C31" s="174"/>
      <c r="D31" s="174"/>
      <c r="E31" s="173"/>
      <c r="F31" s="173"/>
      <c r="G31" s="173"/>
      <c r="H31" s="173"/>
      <c r="I31" s="173"/>
      <c r="J31" s="173"/>
    </row>
    <row r="32" spans="1:10" x14ac:dyDescent="0.25">
      <c r="A32" s="173" t="s">
        <v>141</v>
      </c>
      <c r="B32" s="174" t="s">
        <v>194</v>
      </c>
      <c r="C32" s="174" t="s">
        <v>198</v>
      </c>
      <c r="D32" s="173"/>
      <c r="E32" s="173"/>
      <c r="F32" s="173"/>
      <c r="G32" s="173"/>
      <c r="H32" s="173"/>
      <c r="I32" s="173"/>
      <c r="J32" s="173"/>
    </row>
    <row r="33" spans="1:10" x14ac:dyDescent="0.25">
      <c r="A33" s="174" t="s">
        <v>195</v>
      </c>
      <c r="B33" s="174" t="s">
        <v>196</v>
      </c>
      <c r="C33" s="175" t="s">
        <v>197</v>
      </c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33" sqref="A1:M33"/>
    </sheetView>
  </sheetViews>
  <sheetFormatPr defaultRowHeight="15" x14ac:dyDescent="0.25"/>
  <cols>
    <col min="1" max="1" width="11.5703125" customWidth="1"/>
    <col min="2" max="2" width="11.42578125" customWidth="1"/>
    <col min="3" max="3" width="10.42578125" customWidth="1"/>
    <col min="10" max="10" width="11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213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</row>
    <row r="5" spans="1:11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5" si="0">E5+F5+G5</f>
        <v>4300</v>
      </c>
      <c r="I5" s="191">
        <v>4000</v>
      </c>
      <c r="J5" s="195">
        <f t="shared" ref="J5:J17" si="1">H5-I5</f>
        <v>300</v>
      </c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</row>
    <row r="15" spans="1:11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</row>
    <row r="16" spans="1:11" x14ac:dyDescent="0.25">
      <c r="A16" s="189"/>
      <c r="B16" s="189"/>
      <c r="C16" s="195"/>
      <c r="D16" s="191"/>
      <c r="E16" s="192"/>
      <c r="F16" s="192"/>
      <c r="G16" s="196"/>
      <c r="H16" s="194">
        <f>E16+F16+G16</f>
        <v>0</v>
      </c>
      <c r="I16" s="191"/>
      <c r="J16" s="195">
        <f t="shared" si="1"/>
        <v>0</v>
      </c>
      <c r="K16" s="173"/>
    </row>
    <row r="17" spans="1:11" x14ac:dyDescent="0.25">
      <c r="A17" s="69"/>
      <c r="B17" s="69"/>
      <c r="C17" s="147"/>
      <c r="D17" s="71">
        <f>SUM(D4:D16)</f>
        <v>0</v>
      </c>
      <c r="E17" s="71">
        <f>SUM(E4:E16)</f>
        <v>13000</v>
      </c>
      <c r="F17" s="71">
        <f>SUM(F4:F16)</f>
        <v>2350</v>
      </c>
      <c r="G17" s="71">
        <f>SUM(G4:G15)</f>
        <v>42000</v>
      </c>
      <c r="H17" s="155">
        <f>E17+F17+G17</f>
        <v>57350</v>
      </c>
      <c r="I17" s="3">
        <f>SUM(I4:I16)</f>
        <v>42000</v>
      </c>
      <c r="J17" s="147">
        <f t="shared" si="1"/>
        <v>15350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I17</f>
        <v>42000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202</v>
      </c>
      <c r="B20" s="174"/>
      <c r="C20" s="41">
        <v>7709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49709</v>
      </c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</row>
    <row r="24" spans="1:11" x14ac:dyDescent="0.25">
      <c r="A24" s="174" t="s">
        <v>177</v>
      </c>
      <c r="B24" s="119">
        <v>7.0000000000000007E-2</v>
      </c>
      <c r="C24" s="40">
        <f>B24*C21</f>
        <v>3479.63</v>
      </c>
      <c r="D24" s="173"/>
      <c r="E24" s="173"/>
      <c r="F24" s="173"/>
      <c r="G24" s="173"/>
      <c r="H24" s="173"/>
      <c r="I24" s="173"/>
      <c r="J24" s="173"/>
      <c r="K24" s="173"/>
    </row>
    <row r="25" spans="1:11" x14ac:dyDescent="0.25">
      <c r="A25" s="39" t="s">
        <v>203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</row>
    <row r="26" spans="1:11" x14ac:dyDescent="0.25">
      <c r="A26" s="39" t="s">
        <v>204</v>
      </c>
      <c r="C26" s="143">
        <v>10000</v>
      </c>
      <c r="E26" s="174"/>
      <c r="F26" s="174"/>
      <c r="G26" s="137"/>
      <c r="H26" s="173"/>
      <c r="I26" s="173"/>
      <c r="J26" s="173"/>
      <c r="K26" s="173"/>
    </row>
    <row r="27" spans="1:11" x14ac:dyDescent="0.25">
      <c r="A27" s="167" t="s">
        <v>56</v>
      </c>
      <c r="B27" s="91"/>
      <c r="C27" s="176">
        <f>SUM(C24:C26)</f>
        <v>45479.63</v>
      </c>
      <c r="D27" s="174"/>
      <c r="E27" s="174"/>
      <c r="F27" s="174"/>
      <c r="G27" s="137"/>
      <c r="H27" s="173"/>
      <c r="I27" s="173"/>
      <c r="J27" s="173"/>
      <c r="K27" s="173"/>
    </row>
    <row r="28" spans="1:11" x14ac:dyDescent="0.25">
      <c r="A28" s="39" t="s">
        <v>199</v>
      </c>
      <c r="B28" s="173"/>
      <c r="C28" s="37">
        <f>C21-C27</f>
        <v>4229.3700000000026</v>
      </c>
      <c r="D28" s="173"/>
      <c r="E28" s="173"/>
      <c r="F28" s="173"/>
      <c r="G28" s="173"/>
      <c r="H28" s="173"/>
      <c r="I28" s="173"/>
      <c r="J28" s="173"/>
      <c r="K28" s="173"/>
    </row>
    <row r="29" spans="1:11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</row>
    <row r="30" spans="1:11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</row>
    <row r="31" spans="1:11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</row>
    <row r="32" spans="1:11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</row>
    <row r="33" spans="5:11" x14ac:dyDescent="0.25">
      <c r="E33" s="173"/>
      <c r="F33" s="173"/>
      <c r="G33" s="173"/>
      <c r="H33" s="173"/>
      <c r="I33" s="173"/>
      <c r="J33" s="173"/>
      <c r="K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N33"/>
    </sheetView>
  </sheetViews>
  <sheetFormatPr defaultRowHeight="15" x14ac:dyDescent="0.25"/>
  <cols>
    <col min="3" max="3" width="11.28515625" customWidth="1"/>
    <col min="10" max="10" width="10.285156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214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4000</v>
      </c>
      <c r="J5" s="195">
        <f t="shared" ref="J5:J17" si="1">H5-I5</f>
        <v>300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  <c r="L14" s="173"/>
    </row>
    <row r="15" spans="1:12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13000</v>
      </c>
      <c r="F17" s="200">
        <f>SUM(F4:F16)</f>
        <v>2350</v>
      </c>
      <c r="G17" s="200">
        <f>SUM(G4:G16)</f>
        <v>44500</v>
      </c>
      <c r="H17" s="194">
        <f t="shared" si="0"/>
        <v>59850</v>
      </c>
      <c r="I17" s="191">
        <f>SUM(I4:I16)</f>
        <v>44500</v>
      </c>
      <c r="J17" s="195">
        <f t="shared" si="1"/>
        <v>15350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I17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205</v>
      </c>
      <c r="B20" s="174"/>
      <c r="C20" s="41">
        <v>4229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48729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3411.03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39" t="s">
        <v>206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167" t="s">
        <v>56</v>
      </c>
      <c r="B26" s="91"/>
      <c r="C26" s="176">
        <f ca="1">SUM(C24:C26)</f>
        <v>577141927443.31628</v>
      </c>
      <c r="D26" s="173"/>
      <c r="E26" s="174"/>
      <c r="F26" s="174"/>
      <c r="G26" s="137"/>
      <c r="I26" s="173"/>
      <c r="J26" s="173"/>
      <c r="K26" s="173"/>
      <c r="L26" s="173"/>
    </row>
    <row r="27" spans="1:12" x14ac:dyDescent="0.25">
      <c r="A27" s="39" t="s">
        <v>199</v>
      </c>
      <c r="B27" s="173"/>
      <c r="C27" s="37">
        <v>10993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 t="s">
        <v>207</v>
      </c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  <c r="K34" s="173"/>
      <c r="L34" s="173"/>
    </row>
    <row r="35" spans="1:12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1:12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33" sqref="A1:M33"/>
    </sheetView>
  </sheetViews>
  <sheetFormatPr defaultRowHeight="15" x14ac:dyDescent="0.25"/>
  <cols>
    <col min="1" max="1" width="12.5703125" customWidth="1"/>
    <col min="3" max="3" width="12.140625" customWidth="1"/>
    <col min="4" max="4" width="7" customWidth="1"/>
    <col min="5" max="5" width="8.28515625" customWidth="1"/>
    <col min="10" max="10" width="10.57031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215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</row>
    <row r="15" spans="1:12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174" t="s">
        <v>216</v>
      </c>
      <c r="C25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39" t="s">
        <v>209</v>
      </c>
      <c r="B26" s="173"/>
      <c r="C26" s="37">
        <v>35000</v>
      </c>
      <c r="D26" s="173"/>
      <c r="E26" s="174"/>
      <c r="F26" s="174"/>
      <c r="G26" s="137"/>
      <c r="H26" s="173"/>
      <c r="I26" s="173"/>
      <c r="J26" s="173"/>
      <c r="K26" s="176"/>
      <c r="L26" s="173"/>
    </row>
    <row r="27" spans="1:12" x14ac:dyDescent="0.25">
      <c r="A27" s="167" t="s">
        <v>56</v>
      </c>
      <c r="C27" s="37">
        <f>SUM(C24:C26)</f>
        <v>43984.51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A28" s="39" t="s">
        <v>199</v>
      </c>
      <c r="B28" s="91"/>
      <c r="C28" s="37">
        <f>C21-C27</f>
        <v>11508.489999999998</v>
      </c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D34" s="174"/>
      <c r="E34" s="173"/>
      <c r="F34" s="173"/>
      <c r="G34" s="173"/>
      <c r="H34" s="173"/>
      <c r="I34" s="173"/>
      <c r="J34" s="173"/>
      <c r="K34" s="173"/>
      <c r="L34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J33"/>
    </sheetView>
  </sheetViews>
  <sheetFormatPr defaultRowHeight="15" x14ac:dyDescent="0.25"/>
  <cols>
    <col min="3" max="3" width="10.28515625" customWidth="1"/>
    <col min="10" max="10" width="11.285156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236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  <c r="M12" s="173"/>
    </row>
    <row r="13" spans="1:13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  <c r="M24" s="173"/>
    </row>
    <row r="25" spans="1:13" x14ac:dyDescent="0.25">
      <c r="A25" s="174" t="s">
        <v>216</v>
      </c>
      <c r="B25" s="173"/>
      <c r="C25" s="173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  <c r="M25" s="173"/>
    </row>
    <row r="26" spans="1:13" x14ac:dyDescent="0.25">
      <c r="A26" s="39" t="s">
        <v>235</v>
      </c>
      <c r="B26" s="173"/>
      <c r="C26" s="37">
        <v>32500</v>
      </c>
      <c r="D26" s="173"/>
      <c r="E26" s="174"/>
      <c r="F26" s="174"/>
      <c r="G26" s="137"/>
      <c r="H26" s="173"/>
      <c r="I26" s="173"/>
      <c r="J26" s="173"/>
      <c r="K26" s="176"/>
      <c r="L26" s="173"/>
      <c r="M26" s="173"/>
    </row>
    <row r="27" spans="1:13" x14ac:dyDescent="0.25">
      <c r="A27" s="167" t="s">
        <v>56</v>
      </c>
      <c r="B27" s="173"/>
      <c r="C27" s="37">
        <f>SUM(C24:C26)</f>
        <v>41484.51</v>
      </c>
      <c r="D27" s="174"/>
      <c r="E27" s="174"/>
      <c r="F27" s="174"/>
      <c r="G27" s="137"/>
      <c r="H27" s="173"/>
      <c r="I27" s="173"/>
      <c r="J27" s="173"/>
      <c r="K27" s="173"/>
      <c r="L27" s="173"/>
      <c r="M27" s="173"/>
    </row>
    <row r="28" spans="1:13" x14ac:dyDescent="0.25">
      <c r="A28" s="39" t="s">
        <v>199</v>
      </c>
      <c r="B28" s="91"/>
      <c r="C28" s="37">
        <f>C21-C27</f>
        <v>14008.489999999998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29" spans="1:13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  <c r="M29" s="173"/>
    </row>
    <row r="30" spans="1:13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  <c r="M30" s="173"/>
    </row>
    <row r="31" spans="1:13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  <row r="33" spans="1:13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29" sqref="E29:H32"/>
    </sheetView>
  </sheetViews>
  <sheetFormatPr defaultRowHeight="15" x14ac:dyDescent="0.25"/>
  <cols>
    <col min="1" max="1" width="12.42578125" customWidth="1"/>
    <col min="3" max="3" width="11.7109375" customWidth="1"/>
    <col min="4" max="4" width="6.42578125" customWidth="1"/>
    <col min="5" max="5" width="11.42578125" customWidth="1"/>
    <col min="9" max="9" width="6.85546875" customWidth="1"/>
    <col min="10" max="10" width="10.42578125" customWidth="1"/>
    <col min="14" max="14" width="10" customWidth="1"/>
  </cols>
  <sheetData>
    <row r="1" spans="1:14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4" x14ac:dyDescent="0.25">
      <c r="A2" s="28"/>
      <c r="B2" s="28"/>
      <c r="C2" s="163" t="s">
        <v>217</v>
      </c>
      <c r="D2" s="156"/>
      <c r="E2" s="28"/>
      <c r="F2" s="173"/>
      <c r="G2" s="173"/>
      <c r="H2" s="173"/>
      <c r="I2" s="173"/>
      <c r="J2" s="173"/>
      <c r="K2" s="173"/>
    </row>
    <row r="3" spans="1:14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4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5" si="0">E4+F4+G4</f>
        <v>4200</v>
      </c>
      <c r="I4" s="3">
        <v>4200</v>
      </c>
      <c r="J4" s="147">
        <f>H4-I4</f>
        <v>0</v>
      </c>
      <c r="K4" s="173"/>
      <c r="M4" s="177">
        <v>4200</v>
      </c>
      <c r="N4" s="147">
        <f>L4-M4</f>
        <v>-4200</v>
      </c>
    </row>
    <row r="5" spans="1:14" x14ac:dyDescent="0.25">
      <c r="A5" s="5" t="s">
        <v>191</v>
      </c>
      <c r="B5" s="5">
        <v>2</v>
      </c>
      <c r="C5" s="147"/>
      <c r="D5" s="3"/>
      <c r="E5" s="74">
        <v>4300</v>
      </c>
      <c r="F5" s="74">
        <v>300</v>
      </c>
      <c r="G5" s="33">
        <v>4000</v>
      </c>
      <c r="H5" s="155">
        <f t="shared" si="0"/>
        <v>8600</v>
      </c>
      <c r="I5" s="3"/>
      <c r="J5" s="147">
        <f t="shared" ref="J5:J16" si="1">H5-I5</f>
        <v>8600</v>
      </c>
      <c r="K5" s="173"/>
      <c r="M5" s="177"/>
      <c r="N5" s="147">
        <f t="shared" ref="N5:N16" si="2">L5-M5</f>
        <v>0</v>
      </c>
    </row>
    <row r="6" spans="1:14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si="1"/>
        <v>0</v>
      </c>
      <c r="K6" s="173"/>
      <c r="M6" s="177">
        <v>4100</v>
      </c>
      <c r="N6" s="147">
        <f t="shared" si="2"/>
        <v>-4100</v>
      </c>
    </row>
    <row r="7" spans="1:14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  <c r="M7" s="178">
        <v>3500</v>
      </c>
      <c r="N7" s="147">
        <f t="shared" si="2"/>
        <v>-3500</v>
      </c>
    </row>
    <row r="8" spans="1:14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  <c r="M8" s="177">
        <v>4000</v>
      </c>
      <c r="N8" s="147">
        <f t="shared" si="2"/>
        <v>-4000</v>
      </c>
    </row>
    <row r="9" spans="1:14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  <c r="M9" s="177">
        <v>6700</v>
      </c>
      <c r="N9" s="147">
        <f t="shared" si="2"/>
        <v>-6700</v>
      </c>
    </row>
    <row r="10" spans="1:14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  <c r="M10" s="177">
        <v>4300</v>
      </c>
      <c r="N10" s="147">
        <f t="shared" si="2"/>
        <v>-4300</v>
      </c>
    </row>
    <row r="11" spans="1:14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  <c r="M11" s="177">
        <v>8400</v>
      </c>
      <c r="N11" s="147">
        <f t="shared" si="2"/>
        <v>-8400</v>
      </c>
    </row>
    <row r="12" spans="1:14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  <c r="M12" s="177">
        <v>3000</v>
      </c>
      <c r="N12" s="147">
        <f t="shared" si="2"/>
        <v>-3000</v>
      </c>
    </row>
    <row r="13" spans="1:14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  <c r="M13" s="177">
        <v>2500</v>
      </c>
      <c r="N13" s="147">
        <f t="shared" si="2"/>
        <v>-2500</v>
      </c>
    </row>
    <row r="14" spans="1:14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  <c r="M14" s="177">
        <v>2800</v>
      </c>
      <c r="N14" s="147">
        <f t="shared" si="2"/>
        <v>-2800</v>
      </c>
    </row>
    <row r="15" spans="1:14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  <c r="M15" s="178">
        <v>2500</v>
      </c>
      <c r="N15" s="147">
        <f t="shared" si="2"/>
        <v>-2500</v>
      </c>
    </row>
    <row r="16" spans="1:14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>E16+F16+G16</f>
        <v>2500</v>
      </c>
      <c r="I16" s="3">
        <v>2500</v>
      </c>
      <c r="J16" s="147">
        <f t="shared" si="1"/>
        <v>0</v>
      </c>
      <c r="K16" s="173"/>
      <c r="M16" s="177">
        <v>2500</v>
      </c>
      <c r="N16" s="147">
        <f t="shared" si="2"/>
        <v>-2500</v>
      </c>
    </row>
    <row r="17" spans="1:14" x14ac:dyDescent="0.25">
      <c r="A17" s="69"/>
      <c r="B17" s="69"/>
      <c r="C17" s="147"/>
      <c r="D17" s="71">
        <f t="shared" ref="D17:J17" si="3">SUM(D4:D16)</f>
        <v>0</v>
      </c>
      <c r="E17" s="71">
        <f t="shared" si="3"/>
        <v>19400</v>
      </c>
      <c r="F17" s="71">
        <f t="shared" si="3"/>
        <v>2350</v>
      </c>
      <c r="G17" s="71">
        <f t="shared" si="3"/>
        <v>44500</v>
      </c>
      <c r="H17" s="155">
        <f t="shared" si="3"/>
        <v>66250</v>
      </c>
      <c r="I17" s="3">
        <f t="shared" si="3"/>
        <v>48500</v>
      </c>
      <c r="J17" s="147">
        <f t="shared" si="3"/>
        <v>17600</v>
      </c>
      <c r="K17" s="173"/>
      <c r="M17" s="177">
        <f>SUM(M4:M16)</f>
        <v>48500</v>
      </c>
      <c r="N17" s="147">
        <f>SUM(N4:N16)</f>
        <v>-48500</v>
      </c>
    </row>
    <row r="18" spans="1:14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M18" s="173"/>
      <c r="N18" s="3"/>
    </row>
    <row r="19" spans="1:14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</row>
    <row r="20" spans="1:14" x14ac:dyDescent="0.25">
      <c r="A20" s="174" t="s">
        <v>219</v>
      </c>
      <c r="B20" s="174"/>
      <c r="C20" s="41">
        <v>14000</v>
      </c>
      <c r="D20" s="173"/>
      <c r="E20" s="173"/>
      <c r="F20" s="173"/>
      <c r="G20" s="173"/>
      <c r="H20" s="173"/>
      <c r="I20" s="173"/>
      <c r="J20" s="173"/>
      <c r="K20" s="173"/>
    </row>
    <row r="21" spans="1:14" ht="16.5" x14ac:dyDescent="0.35">
      <c r="A21" s="149" t="s">
        <v>176</v>
      </c>
      <c r="B21" s="149"/>
      <c r="C21" s="168">
        <f>SUM(C19:C20)</f>
        <v>58500</v>
      </c>
      <c r="D21" s="173"/>
      <c r="E21" s="173"/>
      <c r="F21" s="54"/>
      <c r="G21" s="61"/>
      <c r="H21" s="61"/>
      <c r="I21" s="179"/>
      <c r="J21" s="173"/>
      <c r="K21" s="173"/>
    </row>
    <row r="22" spans="1:14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4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4" x14ac:dyDescent="0.25">
      <c r="A24" s="174" t="s">
        <v>177</v>
      </c>
      <c r="B24" s="119">
        <v>7.0000000000000007E-2</v>
      </c>
      <c r="C24" s="40">
        <f>C19*B24</f>
        <v>3115.0000000000005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4" x14ac:dyDescent="0.25">
      <c r="A25" s="174" t="s">
        <v>218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4" x14ac:dyDescent="0.25">
      <c r="A26" s="39" t="s">
        <v>220</v>
      </c>
      <c r="B26" s="173"/>
      <c r="C26" s="37">
        <v>8600</v>
      </c>
      <c r="D26" s="173"/>
      <c r="E26" s="174"/>
      <c r="F26" s="38"/>
      <c r="G26" s="181"/>
      <c r="H26" s="185"/>
      <c r="I26" s="186"/>
      <c r="J26" s="184"/>
      <c r="K26" s="176"/>
    </row>
    <row r="27" spans="1:14" s="173" customFormat="1" x14ac:dyDescent="0.25">
      <c r="A27" s="39" t="s">
        <v>222</v>
      </c>
      <c r="C27" s="37">
        <v>2500</v>
      </c>
      <c r="E27" s="174"/>
      <c r="F27" s="38"/>
      <c r="G27" s="181"/>
      <c r="H27" s="185"/>
      <c r="I27" s="186"/>
      <c r="J27" s="184"/>
      <c r="K27" s="176"/>
    </row>
    <row r="28" spans="1:14" x14ac:dyDescent="0.25">
      <c r="A28" s="167" t="s">
        <v>56</v>
      </c>
      <c r="B28" s="173"/>
      <c r="C28" s="37">
        <f>SUM(C24:C27)</f>
        <v>49215</v>
      </c>
      <c r="D28" s="174"/>
      <c r="E28" s="173"/>
      <c r="F28" s="173"/>
      <c r="G28" s="173"/>
      <c r="H28" s="185"/>
      <c r="I28" s="186"/>
      <c r="J28" s="184"/>
      <c r="K28" s="173"/>
    </row>
    <row r="29" spans="1:14" x14ac:dyDescent="0.25">
      <c r="A29" s="39" t="s">
        <v>199</v>
      </c>
      <c r="B29" s="91"/>
      <c r="C29" s="37">
        <f>C21-C28</f>
        <v>9285</v>
      </c>
      <c r="D29" s="173"/>
      <c r="E29" s="173"/>
      <c r="F29" s="174" t="s">
        <v>71</v>
      </c>
      <c r="G29" s="174"/>
      <c r="H29" s="185"/>
      <c r="I29" s="186"/>
      <c r="J29" s="184"/>
      <c r="K29" s="173"/>
    </row>
    <row r="30" spans="1:14" x14ac:dyDescent="0.25">
      <c r="A30" s="173"/>
      <c r="B30" s="173"/>
      <c r="C30" s="37"/>
      <c r="D30" s="174"/>
      <c r="E30" s="173"/>
      <c r="F30" s="174"/>
      <c r="G30" s="174"/>
      <c r="H30" s="182"/>
      <c r="I30" s="186"/>
      <c r="J30" s="184"/>
      <c r="K30" s="173"/>
    </row>
    <row r="31" spans="1:14" x14ac:dyDescent="0.25">
      <c r="D31" s="174"/>
      <c r="E31" s="173" t="s">
        <v>141</v>
      </c>
      <c r="F31" s="174" t="s">
        <v>194</v>
      </c>
      <c r="G31" s="174" t="s">
        <v>198</v>
      </c>
      <c r="H31" s="182"/>
      <c r="I31" s="186"/>
      <c r="J31" s="184"/>
      <c r="K31" s="173"/>
    </row>
    <row r="32" spans="1:14" x14ac:dyDescent="0.25">
      <c r="D32" s="173"/>
      <c r="E32" s="174" t="s">
        <v>195</v>
      </c>
      <c r="F32" s="174" t="s">
        <v>196</v>
      </c>
      <c r="G32" s="175" t="s">
        <v>197</v>
      </c>
      <c r="H32" s="182"/>
      <c r="I32" s="186"/>
      <c r="J32" s="184"/>
      <c r="K32" s="173"/>
    </row>
    <row r="33" spans="4:11" x14ac:dyDescent="0.25">
      <c r="D33" s="173"/>
      <c r="E33" s="173"/>
      <c r="F33" s="173"/>
      <c r="G33" s="173"/>
      <c r="H33" s="182"/>
      <c r="I33" s="186"/>
      <c r="J33" s="184"/>
      <c r="K33" s="173"/>
    </row>
    <row r="34" spans="4:11" x14ac:dyDescent="0.25">
      <c r="D34" s="173"/>
      <c r="E34" s="173"/>
      <c r="F34" s="54"/>
      <c r="G34" s="61"/>
      <c r="H34" s="182"/>
      <c r="I34" s="186"/>
      <c r="J34" s="184"/>
      <c r="K34" s="173"/>
    </row>
    <row r="35" spans="4:11" x14ac:dyDescent="0.25">
      <c r="D35" s="174"/>
      <c r="E35" s="173"/>
      <c r="F35" s="173"/>
      <c r="G35" s="173"/>
      <c r="H35" s="184"/>
      <c r="I35" s="187"/>
      <c r="J35" s="184"/>
      <c r="K35" s="173"/>
    </row>
    <row r="36" spans="4:11" x14ac:dyDescent="0.25">
      <c r="D36" s="173"/>
      <c r="E36" s="173"/>
      <c r="F36" s="173"/>
      <c r="G36" s="173"/>
      <c r="H36" s="173"/>
      <c r="I36" s="173"/>
      <c r="J36" s="173"/>
      <c r="K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4" sqref="A4:J15"/>
    </sheetView>
  </sheetViews>
  <sheetFormatPr defaultRowHeight="15" x14ac:dyDescent="0.25"/>
  <cols>
    <col min="1" max="1" width="14.140625" customWidth="1"/>
    <col min="3" max="3" width="13.7109375" customWidth="1"/>
    <col min="10" max="10" width="10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221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6" si="0">E4+F4+G4</f>
        <v>4200</v>
      </c>
      <c r="I4" s="3">
        <v>4200</v>
      </c>
      <c r="J4" s="147">
        <f>H4-I4</f>
        <v>0</v>
      </c>
      <c r="K4" s="173"/>
    </row>
    <row r="5" spans="1:11" x14ac:dyDescent="0.25">
      <c r="A5" s="5" t="s">
        <v>191</v>
      </c>
      <c r="B5" s="5">
        <v>2</v>
      </c>
      <c r="C5" s="147"/>
      <c r="D5" s="3"/>
      <c r="E5" s="74"/>
      <c r="F5" s="74"/>
      <c r="G5" s="33"/>
      <c r="H5" s="155"/>
      <c r="I5" s="3"/>
      <c r="J5" s="147"/>
      <c r="K5" s="173"/>
    </row>
    <row r="6" spans="1:11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ref="J6:J16" si="1">H6-I6</f>
        <v>0</v>
      </c>
      <c r="K6" s="173"/>
    </row>
    <row r="7" spans="1:11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</row>
    <row r="8" spans="1:11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</row>
    <row r="9" spans="1:11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</row>
    <row r="10" spans="1:11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</row>
    <row r="11" spans="1:11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</row>
    <row r="12" spans="1:11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</row>
    <row r="13" spans="1:11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</row>
    <row r="14" spans="1:11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</row>
    <row r="15" spans="1:11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</row>
    <row r="16" spans="1:11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 t="shared" si="0"/>
        <v>2500</v>
      </c>
      <c r="I16" s="3">
        <v>2500</v>
      </c>
      <c r="J16" s="147">
        <f t="shared" si="1"/>
        <v>0</v>
      </c>
      <c r="K16" s="173"/>
    </row>
    <row r="17" spans="1:13" x14ac:dyDescent="0.25">
      <c r="A17" s="69"/>
      <c r="B17" s="69"/>
      <c r="C17" s="147"/>
      <c r="D17" s="71">
        <f t="shared" ref="D17:J17" si="2">SUM(D4:D16)</f>
        <v>0</v>
      </c>
      <c r="E17" s="71">
        <f t="shared" si="2"/>
        <v>15100</v>
      </c>
      <c r="F17" s="71">
        <f t="shared" si="2"/>
        <v>2050</v>
      </c>
      <c r="G17" s="71">
        <f t="shared" si="2"/>
        <v>40500</v>
      </c>
      <c r="H17" s="155">
        <f t="shared" si="2"/>
        <v>57650</v>
      </c>
      <c r="I17" s="3">
        <f t="shared" si="2"/>
        <v>48500</v>
      </c>
      <c r="J17" s="147">
        <f t="shared" si="2"/>
        <v>9000</v>
      </c>
      <c r="K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3" ht="16.5" x14ac:dyDescent="0.35">
      <c r="A20" s="174" t="s">
        <v>223</v>
      </c>
      <c r="B20" s="174"/>
      <c r="C20" s="168">
        <v>9285</v>
      </c>
      <c r="D20" s="173"/>
      <c r="E20" s="173"/>
      <c r="F20" s="173"/>
      <c r="G20" s="173"/>
      <c r="H20" s="173"/>
      <c r="I20" s="173"/>
      <c r="J20" s="173"/>
      <c r="K20" s="173"/>
    </row>
    <row r="21" spans="1:13" x14ac:dyDescent="0.25">
      <c r="A21" s="149" t="s">
        <v>176</v>
      </c>
      <c r="B21" s="149"/>
      <c r="C21" s="37">
        <f>SUM(C19:C20)</f>
        <v>49785</v>
      </c>
      <c r="D21" s="173"/>
      <c r="E21" s="173"/>
      <c r="F21" s="54"/>
      <c r="G21" s="61"/>
      <c r="H21" s="61"/>
      <c r="I21" s="179"/>
      <c r="J21" s="173"/>
      <c r="K21" s="173"/>
    </row>
    <row r="22" spans="1:13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3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3" x14ac:dyDescent="0.25">
      <c r="A25" s="174" t="s">
        <v>224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3" x14ac:dyDescent="0.25">
      <c r="A26" s="39" t="s">
        <v>225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3" x14ac:dyDescent="0.25">
      <c r="A27" s="167" t="s">
        <v>56</v>
      </c>
      <c r="B27" s="173"/>
      <c r="C27" s="37">
        <f>SUM(C24:C26)</f>
        <v>40335</v>
      </c>
      <c r="D27" s="174"/>
      <c r="E27" s="174"/>
      <c r="F27" s="38"/>
      <c r="G27" s="61"/>
      <c r="H27" s="185"/>
      <c r="I27" s="186"/>
      <c r="J27" s="184"/>
      <c r="K27" s="173"/>
      <c r="M27" s="119"/>
    </row>
    <row r="28" spans="1:13" x14ac:dyDescent="0.25">
      <c r="A28" s="39" t="s">
        <v>199</v>
      </c>
      <c r="B28" s="91"/>
      <c r="C28" s="37">
        <f>C21-C27</f>
        <v>9450</v>
      </c>
      <c r="D28" s="173"/>
      <c r="E28" s="173"/>
      <c r="F28" s="54"/>
      <c r="G28" s="181"/>
      <c r="H28" s="185"/>
      <c r="I28" s="186"/>
      <c r="J28" s="184"/>
      <c r="K28" s="173"/>
    </row>
    <row r="29" spans="1:13" x14ac:dyDescent="0.25">
      <c r="A29" s="173"/>
      <c r="B29" s="173"/>
      <c r="C29" s="37"/>
      <c r="D29" s="174"/>
      <c r="E29" s="139"/>
      <c r="F29" s="54"/>
      <c r="G29" s="61"/>
      <c r="H29" s="182">
        <v>9</v>
      </c>
      <c r="I29" s="186"/>
      <c r="J29" s="184"/>
      <c r="K29" s="173"/>
    </row>
    <row r="30" spans="1:13" x14ac:dyDescent="0.25">
      <c r="A30" s="173"/>
      <c r="B30" s="173"/>
      <c r="C30" s="173"/>
      <c r="D30" s="174"/>
      <c r="E30" s="173"/>
      <c r="F30" s="54"/>
      <c r="G30" s="61"/>
      <c r="H30" s="182"/>
      <c r="I30" s="186"/>
      <c r="J30" s="184"/>
      <c r="K30" s="173"/>
    </row>
    <row r="31" spans="1:13" x14ac:dyDescent="0.25">
      <c r="A31" s="173"/>
      <c r="B31" s="174" t="s">
        <v>71</v>
      </c>
      <c r="C31" s="174"/>
      <c r="D31" s="173"/>
      <c r="E31" s="173"/>
      <c r="F31" s="54"/>
      <c r="G31" s="181"/>
      <c r="H31" s="182"/>
      <c r="I31" s="186"/>
      <c r="J31" s="184"/>
      <c r="K31" s="173"/>
    </row>
    <row r="32" spans="1:13" x14ac:dyDescent="0.25">
      <c r="A32" s="173"/>
      <c r="B32" s="174"/>
      <c r="C32" s="174"/>
      <c r="D32" s="173"/>
      <c r="E32" s="173"/>
      <c r="F32" s="54"/>
      <c r="G32" s="61"/>
      <c r="H32" s="182"/>
      <c r="I32" s="186"/>
      <c r="J32" s="184"/>
      <c r="K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L33"/>
    </sheetView>
  </sheetViews>
  <sheetFormatPr defaultRowHeight="15" x14ac:dyDescent="0.25"/>
  <cols>
    <col min="1" max="1" width="26.28515625" bestFit="1" customWidth="1"/>
    <col min="3" max="3" width="11.5703125" customWidth="1"/>
    <col min="10" max="10" width="11.140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229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9550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50050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1" x14ac:dyDescent="0.25">
      <c r="A25" s="188">
        <v>42560</v>
      </c>
      <c r="B25" s="173"/>
      <c r="C25" s="143">
        <v>20000</v>
      </c>
      <c r="D25" s="173"/>
      <c r="E25" s="173"/>
      <c r="F25" s="54"/>
      <c r="G25" s="181"/>
      <c r="H25" s="185"/>
      <c r="I25" s="186"/>
      <c r="J25" s="184"/>
      <c r="K25" s="173"/>
    </row>
    <row r="26" spans="1:11" x14ac:dyDescent="0.25">
      <c r="A26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1" x14ac:dyDescent="0.25">
      <c r="A27" t="s">
        <v>228</v>
      </c>
      <c r="C27">
        <v>17000</v>
      </c>
      <c r="D27" s="174"/>
      <c r="E27" s="174"/>
      <c r="F27" s="38"/>
      <c r="G27" s="61"/>
      <c r="H27" s="185"/>
      <c r="I27" s="186"/>
      <c r="J27" s="184"/>
      <c r="K27" s="173"/>
    </row>
    <row r="28" spans="1:11" x14ac:dyDescent="0.25"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42335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7715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3" x14ac:dyDescent="0.25">
      <c r="A33" s="173"/>
      <c r="B33" s="174" t="s">
        <v>71</v>
      </c>
      <c r="C33" s="174"/>
    </row>
    <row r="34" spans="1:3" x14ac:dyDescent="0.25">
      <c r="A34" s="173"/>
      <c r="B34" s="174"/>
      <c r="C34" s="174"/>
    </row>
  </sheetData>
  <pageMargins left="0.7" right="0.7" top="0.75" bottom="0.75" header="0.3" footer="0.3"/>
  <pageSetup paperSize="9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33" sqref="A1:L33"/>
    </sheetView>
  </sheetViews>
  <sheetFormatPr defaultRowHeight="15" x14ac:dyDescent="0.25"/>
  <cols>
    <col min="1" max="1" width="20.140625" customWidth="1"/>
    <col min="3" max="3" width="11.7109375" customWidth="1"/>
    <col min="10" max="10" width="11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230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7715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48215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/>
      <c r="G24" s="174" t="s">
        <v>71</v>
      </c>
      <c r="H24" s="174"/>
      <c r="I24" s="185"/>
      <c r="J24" s="184"/>
      <c r="K24" s="173"/>
    </row>
    <row r="25" spans="1:11" x14ac:dyDescent="0.25">
      <c r="A25" s="188">
        <v>42561</v>
      </c>
      <c r="B25" s="173"/>
      <c r="C25" s="143">
        <v>20000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73" t="s">
        <v>227</v>
      </c>
      <c r="B26" s="173"/>
      <c r="C26" s="37">
        <v>2500</v>
      </c>
      <c r="D26" s="173"/>
      <c r="E26" s="174"/>
      <c r="F26" s="173" t="s">
        <v>141</v>
      </c>
      <c r="G26" s="174" t="s">
        <v>194</v>
      </c>
      <c r="H26" s="174" t="s">
        <v>198</v>
      </c>
      <c r="I26" s="182"/>
      <c r="J26" s="184"/>
      <c r="K26" s="176"/>
    </row>
    <row r="27" spans="1:11" x14ac:dyDescent="0.25">
      <c r="A27" s="173" t="s">
        <v>228</v>
      </c>
      <c r="B27" s="173"/>
      <c r="C27" s="173">
        <v>20110</v>
      </c>
      <c r="D27" s="174"/>
      <c r="E27" s="174"/>
      <c r="F27" s="174" t="s">
        <v>195</v>
      </c>
      <c r="G27" s="174" t="s">
        <v>196</v>
      </c>
      <c r="H27" s="175" t="s">
        <v>197</v>
      </c>
      <c r="I27" s="182"/>
      <c r="J27" s="184"/>
      <c r="K27" s="173"/>
    </row>
    <row r="28" spans="1:11" x14ac:dyDescent="0.25">
      <c r="A28" s="173"/>
      <c r="B28" s="173"/>
      <c r="C28" s="173"/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45445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2770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11" x14ac:dyDescent="0.25">
      <c r="A33" s="173"/>
      <c r="B33" s="174" t="s">
        <v>71</v>
      </c>
      <c r="C33" s="174"/>
      <c r="D33" s="173"/>
      <c r="E33" s="173"/>
      <c r="F33" s="173"/>
      <c r="G33" s="173"/>
      <c r="H33" s="173"/>
      <c r="I33" s="173"/>
      <c r="J33" s="173"/>
      <c r="K33" s="173"/>
    </row>
    <row r="34" spans="1:11" x14ac:dyDescent="0.25">
      <c r="A34" s="173"/>
      <c r="B34" s="174"/>
      <c r="C34" s="174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I14" sqref="I14"/>
    </sheetView>
  </sheetViews>
  <sheetFormatPr defaultRowHeight="15" x14ac:dyDescent="0.25"/>
  <cols>
    <col min="1" max="1" width="15" customWidth="1"/>
    <col min="2" max="2" width="3.28515625" customWidth="1"/>
    <col min="4" max="4" width="12.42578125" customWidth="1"/>
  </cols>
  <sheetData>
    <row r="1" spans="1:14" ht="27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14.25" customHeight="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17.25" customHeight="1" x14ac:dyDescent="0.25">
      <c r="A6" s="44"/>
      <c r="B6" s="44"/>
      <c r="C6" s="44"/>
      <c r="D6" s="46"/>
      <c r="E6" s="47" t="s">
        <v>82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500</v>
      </c>
      <c r="K8" s="7">
        <v>4300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300</v>
      </c>
      <c r="F10" s="74">
        <v>300</v>
      </c>
      <c r="G10" s="7">
        <v>4000</v>
      </c>
      <c r="H10" s="7">
        <f>SUM(E10:G10)</f>
        <v>4600</v>
      </c>
      <c r="I10" s="7">
        <v>4000</v>
      </c>
      <c r="J10" s="7"/>
      <c r="K10" s="7">
        <v>4000</v>
      </c>
      <c r="L10" s="6"/>
      <c r="M10" s="7">
        <v>600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100</v>
      </c>
      <c r="K12" s="7">
        <v>4100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/>
      <c r="J14" s="7"/>
      <c r="K14" s="7"/>
      <c r="L14" s="62"/>
      <c r="M14" s="64">
        <f>SUM(H14-I14)</f>
        <v>12700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/>
      <c r="K15" s="7">
        <v>4400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>
        <v>2700</v>
      </c>
      <c r="F18" s="74">
        <v>200</v>
      </c>
      <c r="G18" s="7">
        <v>2500</v>
      </c>
      <c r="H18" s="7">
        <f>SUM(E18+F18+G18)</f>
        <v>5400</v>
      </c>
      <c r="I18" s="7">
        <v>5000</v>
      </c>
      <c r="J18" s="7"/>
      <c r="K18" s="7">
        <v>5000</v>
      </c>
      <c r="L18" s="63"/>
      <c r="M18" s="62">
        <v>400</v>
      </c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73600</v>
      </c>
      <c r="I20" s="71">
        <f t="shared" si="0"/>
        <v>43000</v>
      </c>
      <c r="J20" s="78">
        <f t="shared" si="0"/>
        <v>2700</v>
      </c>
      <c r="K20" s="78">
        <f t="shared" si="0"/>
        <v>45900</v>
      </c>
      <c r="L20" s="69"/>
      <c r="M20" s="78">
        <f>SUM(M8:M19)</f>
        <v>28000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55</v>
      </c>
      <c r="B22" s="1"/>
      <c r="C22" s="1"/>
      <c r="D22" s="36">
        <v>44500</v>
      </c>
      <c r="E22" s="1"/>
      <c r="F22" s="1"/>
      <c r="M22" s="1"/>
      <c r="N22" s="1"/>
    </row>
    <row r="23" spans="1:14" x14ac:dyDescent="0.25">
      <c r="A23" s="2" t="s">
        <v>77</v>
      </c>
      <c r="B23" s="2"/>
      <c r="C23" s="38"/>
      <c r="D23" s="41">
        <v>2600</v>
      </c>
      <c r="E23" s="1"/>
      <c r="F23" s="1"/>
      <c r="M23" s="1"/>
      <c r="N23" s="54"/>
    </row>
    <row r="24" spans="1:14" ht="16.5" x14ac:dyDescent="0.35">
      <c r="A24" s="2" t="s">
        <v>52</v>
      </c>
      <c r="B24" s="2"/>
      <c r="C24" s="38"/>
      <c r="D24" s="67">
        <f>SUM(D22:D23)</f>
        <v>47100</v>
      </c>
      <c r="E24" s="1"/>
      <c r="F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3115.0000000000005</v>
      </c>
      <c r="E26" s="1"/>
      <c r="F26" s="1"/>
      <c r="M26" s="1"/>
      <c r="N26" s="1"/>
    </row>
    <row r="27" spans="1:14" x14ac:dyDescent="0.25">
      <c r="A27" s="2"/>
      <c r="B27" s="2"/>
      <c r="C27" s="38"/>
      <c r="D27" s="40">
        <v>4700</v>
      </c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/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7815</v>
      </c>
      <c r="E29" s="1"/>
      <c r="M29" s="1"/>
      <c r="N29" s="1"/>
    </row>
    <row r="30" spans="1:14" ht="15.75" x14ac:dyDescent="0.25">
      <c r="A30" s="55" t="s">
        <v>27</v>
      </c>
      <c r="B30" s="2"/>
      <c r="C30" s="2"/>
      <c r="D30" s="83">
        <f>SUM(D24-D29)</f>
        <v>39285</v>
      </c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x14ac:dyDescent="0.25">
      <c r="A31" s="28"/>
      <c r="B31" s="29"/>
      <c r="C31" s="1"/>
      <c r="D31" s="1"/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J33" s="1"/>
      <c r="K33" s="1"/>
      <c r="L33" s="1"/>
      <c r="M33" s="1"/>
      <c r="N33" s="1"/>
    </row>
    <row r="34" spans="1:14" x14ac:dyDescent="0.25">
      <c r="A34" s="28"/>
      <c r="B34" s="28"/>
      <c r="J34" s="1"/>
      <c r="K34" s="1"/>
      <c r="L34" s="1"/>
      <c r="M34" s="1"/>
      <c r="N34" s="1"/>
    </row>
    <row r="35" spans="1:14" x14ac:dyDescent="0.25">
      <c r="A35" s="30"/>
      <c r="B35" s="28"/>
      <c r="F35" s="1"/>
      <c r="G35" s="1"/>
      <c r="H35" s="1"/>
      <c r="I35" s="1"/>
      <c r="J35" s="37"/>
      <c r="K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39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F38" s="52"/>
      <c r="G38" s="1"/>
      <c r="H38" s="53"/>
      <c r="I38" s="1"/>
      <c r="J38" s="1"/>
      <c r="K38" s="1"/>
    </row>
    <row r="39" spans="1:14" x14ac:dyDescent="0.25">
      <c r="F39" s="53"/>
      <c r="G39" s="53"/>
      <c r="H39" s="1"/>
      <c r="I39" s="1"/>
      <c r="J39" s="1"/>
      <c r="K39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33" sqref="A1:M33"/>
    </sheetView>
  </sheetViews>
  <sheetFormatPr defaultRowHeight="15" x14ac:dyDescent="0.25"/>
  <cols>
    <col min="3" max="3" width="13.28515625" customWidth="1"/>
    <col min="4" max="4" width="9.85546875" customWidth="1"/>
    <col min="10" max="10" width="10.140625" customWidth="1"/>
  </cols>
  <sheetData>
    <row r="1" spans="1:10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</row>
    <row r="2" spans="1:10" x14ac:dyDescent="0.25">
      <c r="A2" s="28"/>
      <c r="B2" s="28"/>
      <c r="C2" s="163" t="s">
        <v>234</v>
      </c>
      <c r="D2" s="156"/>
      <c r="E2" s="28"/>
      <c r="F2" s="173"/>
      <c r="G2" s="173"/>
      <c r="H2" s="173"/>
      <c r="I2" s="173"/>
      <c r="J2" s="173"/>
    </row>
    <row r="3" spans="1:10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</row>
    <row r="4" spans="1:10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</row>
    <row r="5" spans="1:10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</row>
    <row r="6" spans="1:10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</row>
    <row r="7" spans="1:10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</row>
    <row r="8" spans="1:10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</row>
    <row r="9" spans="1:10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</row>
    <row r="10" spans="1:10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</row>
    <row r="11" spans="1:10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</row>
    <row r="12" spans="1:10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</row>
    <row r="13" spans="1:10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</row>
    <row r="14" spans="1:10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</row>
    <row r="15" spans="1:10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</row>
    <row r="16" spans="1:10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</row>
    <row r="17" spans="1:10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</row>
    <row r="18" spans="1:10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</row>
    <row r="19" spans="1:10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</row>
    <row r="20" spans="1:10" x14ac:dyDescent="0.25">
      <c r="A20" s="174" t="s">
        <v>231</v>
      </c>
      <c r="B20" s="174"/>
      <c r="C20" s="41">
        <v>2770</v>
      </c>
      <c r="D20" s="173"/>
      <c r="E20" s="173"/>
      <c r="F20" s="173"/>
      <c r="G20" s="173"/>
      <c r="H20" s="173"/>
      <c r="I20" s="173"/>
      <c r="J20" s="173"/>
    </row>
    <row r="21" spans="1:10" ht="16.5" x14ac:dyDescent="0.35">
      <c r="A21" s="149" t="s">
        <v>176</v>
      </c>
      <c r="B21" s="149"/>
      <c r="C21" s="168">
        <f>SUM(C19:C20)</f>
        <v>43270</v>
      </c>
      <c r="D21" s="173"/>
      <c r="E21" s="173"/>
      <c r="F21" s="54"/>
      <c r="G21" s="61"/>
      <c r="H21" s="61"/>
      <c r="I21" s="179"/>
      <c r="J21" s="173"/>
    </row>
    <row r="22" spans="1:10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</row>
    <row r="23" spans="1:10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</row>
    <row r="24" spans="1:10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</row>
    <row r="25" spans="1:10" x14ac:dyDescent="0.25">
      <c r="A25" s="188" t="s">
        <v>232</v>
      </c>
      <c r="B25" s="173"/>
      <c r="C25" s="143">
        <v>23000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</row>
    <row r="26" spans="1:10" x14ac:dyDescent="0.25">
      <c r="A26" s="173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</row>
    <row r="27" spans="1:10" x14ac:dyDescent="0.25">
      <c r="A27" s="173" t="s">
        <v>233</v>
      </c>
      <c r="B27" s="173"/>
      <c r="C27" s="173">
        <v>13110</v>
      </c>
      <c r="D27" s="173"/>
      <c r="E27" s="173"/>
      <c r="F27" s="54"/>
      <c r="G27" s="181"/>
      <c r="H27" s="185"/>
      <c r="I27" s="186"/>
      <c r="J27" s="184"/>
    </row>
    <row r="28" spans="1:10" x14ac:dyDescent="0.25">
      <c r="A28" s="167" t="s">
        <v>56</v>
      </c>
      <c r="B28" s="173"/>
      <c r="C28" s="37">
        <f>SUM(C24:C27)</f>
        <v>41445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39" t="s">
        <v>199</v>
      </c>
      <c r="B29" s="91"/>
      <c r="C29" s="37">
        <f>C21-C28</f>
        <v>1825</v>
      </c>
      <c r="D29" s="174"/>
      <c r="E29" s="173"/>
      <c r="F29" s="54"/>
      <c r="G29" s="61"/>
      <c r="H29" s="182"/>
      <c r="I29" s="186"/>
      <c r="J29" s="184"/>
    </row>
    <row r="30" spans="1:10" x14ac:dyDescent="0.25">
      <c r="A30" s="173"/>
      <c r="B30" s="173"/>
      <c r="C30" s="37"/>
      <c r="D30" s="173"/>
      <c r="E30" s="173"/>
      <c r="F30" s="54"/>
      <c r="G30" s="181"/>
      <c r="H30" s="182"/>
      <c r="I30" s="186"/>
      <c r="J30" s="184"/>
    </row>
    <row r="31" spans="1:10" x14ac:dyDescent="0.25">
      <c r="A31" s="173"/>
      <c r="B31" s="173"/>
      <c r="C31" s="173"/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4"/>
      <c r="C32" s="174"/>
      <c r="D32" s="173"/>
      <c r="E32" s="173"/>
      <c r="F32" s="173"/>
      <c r="G32" s="173"/>
      <c r="H32" s="17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31" sqref="J31"/>
    </sheetView>
  </sheetViews>
  <sheetFormatPr defaultRowHeight="15" x14ac:dyDescent="0.25"/>
  <cols>
    <col min="1" max="1" width="13.28515625" customWidth="1"/>
    <col min="3" max="3" width="11.42578125" customWidth="1"/>
    <col min="10" max="10" width="10.425781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239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  <c r="L12" s="173"/>
      <c r="M12" s="173"/>
    </row>
    <row r="13" spans="1:13" x14ac:dyDescent="0.25">
      <c r="A13" s="189" t="s">
        <v>212</v>
      </c>
      <c r="B13" s="189">
        <v>2</v>
      </c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>
        <v>5</v>
      </c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>SUM(G4:G16)</f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237</v>
      </c>
      <c r="B20" s="174"/>
      <c r="C20" s="41">
        <v>1825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42325</v>
      </c>
      <c r="D21" s="173"/>
      <c r="E21" s="173"/>
      <c r="F21" s="54"/>
      <c r="G21" s="61"/>
      <c r="H21" s="61"/>
      <c r="I21" s="179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  <c r="K24" s="173"/>
      <c r="L24" s="173"/>
      <c r="M24" s="173"/>
    </row>
    <row r="25" spans="1:13" x14ac:dyDescent="0.25">
      <c r="A25" s="188" t="s">
        <v>238</v>
      </c>
      <c r="B25" s="173"/>
      <c r="C25" s="143">
        <v>17000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  <c r="K25" s="173"/>
      <c r="L25" s="173"/>
      <c r="M25" s="173"/>
    </row>
    <row r="26" spans="1:13" x14ac:dyDescent="0.25">
      <c r="A26" t="s">
        <v>240</v>
      </c>
      <c r="C26" s="143">
        <v>10000</v>
      </c>
      <c r="D26" s="173"/>
      <c r="E26" s="174"/>
      <c r="F26" s="38"/>
      <c r="G26" s="181"/>
      <c r="H26" s="185"/>
      <c r="I26" s="186"/>
      <c r="J26" s="184"/>
      <c r="K26" s="173"/>
      <c r="L26" s="173"/>
      <c r="M26" s="173"/>
    </row>
    <row r="27" spans="1:13" x14ac:dyDescent="0.25">
      <c r="A27" s="173" t="s">
        <v>227</v>
      </c>
      <c r="B27" s="173"/>
      <c r="C27" s="37">
        <v>2500</v>
      </c>
      <c r="D27" s="174"/>
      <c r="E27" s="139"/>
      <c r="F27" s="54"/>
      <c r="G27" s="61"/>
      <c r="H27" s="182"/>
      <c r="I27" s="186"/>
      <c r="J27" s="184"/>
      <c r="K27" s="173"/>
      <c r="L27" s="173"/>
      <c r="M27" s="173"/>
    </row>
    <row r="28" spans="1:13" x14ac:dyDescent="0.25">
      <c r="A28" s="167" t="s">
        <v>56</v>
      </c>
      <c r="B28" s="173"/>
      <c r="C28" s="37">
        <f>SUM(C24:C27)</f>
        <v>32335</v>
      </c>
      <c r="D28" s="174"/>
      <c r="E28" s="173"/>
      <c r="F28" s="54"/>
      <c r="G28" s="61"/>
      <c r="H28" s="182"/>
      <c r="I28" s="186"/>
      <c r="J28" s="184"/>
      <c r="K28" s="173"/>
      <c r="L28" s="173"/>
      <c r="M28" s="173"/>
    </row>
    <row r="29" spans="1:13" x14ac:dyDescent="0.25">
      <c r="D29" s="173"/>
      <c r="E29" s="173"/>
      <c r="F29" s="54"/>
      <c r="G29" s="181"/>
      <c r="H29" s="182"/>
      <c r="I29" s="186"/>
      <c r="J29" s="184"/>
      <c r="K29" s="173"/>
      <c r="L29" s="173"/>
      <c r="M29" s="173"/>
    </row>
    <row r="30" spans="1:13" x14ac:dyDescent="0.25">
      <c r="A30" s="39" t="s">
        <v>199</v>
      </c>
      <c r="B30" s="91"/>
      <c r="C30" s="37">
        <f>C21-C28</f>
        <v>9990</v>
      </c>
      <c r="D30" s="173"/>
      <c r="E30" s="173"/>
      <c r="F30" s="54"/>
      <c r="G30" s="61"/>
      <c r="H30" s="182"/>
      <c r="I30" s="186"/>
      <c r="J30" s="184"/>
      <c r="K30" s="173"/>
      <c r="L30" s="173"/>
      <c r="M30" s="173"/>
    </row>
    <row r="31" spans="1:13" x14ac:dyDescent="0.25">
      <c r="A31" s="173"/>
      <c r="B31" s="173"/>
      <c r="C31" s="37"/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6" workbookViewId="0">
      <selection activeCell="A40" sqref="A40:E43"/>
    </sheetView>
  </sheetViews>
  <sheetFormatPr defaultRowHeight="15" x14ac:dyDescent="0.25"/>
  <cols>
    <col min="1" max="1" width="14.42578125" customWidth="1"/>
    <col min="2" max="2" width="9.28515625" bestFit="1" customWidth="1"/>
    <col min="3" max="3" width="11.140625" customWidth="1"/>
    <col min="4" max="4" width="6.85546875" customWidth="1"/>
    <col min="5" max="5" width="7.5703125" customWidth="1"/>
    <col min="6" max="6" width="9.28515625" bestFit="1" customWidth="1"/>
    <col min="7" max="7" width="10" bestFit="1" customWidth="1"/>
    <col min="8" max="9" width="9.28515625" bestFit="1" customWidth="1"/>
    <col min="10" max="10" width="10.42578125" customWidth="1"/>
  </cols>
  <sheetData>
    <row r="1" spans="1:12" s="173" customFormat="1" x14ac:dyDescent="0.25"/>
    <row r="2" spans="1:12" s="173" customFormat="1" x14ac:dyDescent="0.25"/>
    <row r="3" spans="1:12" s="173" customFormat="1" x14ac:dyDescent="0.25"/>
    <row r="4" spans="1:12" s="173" customFormat="1" x14ac:dyDescent="0.25"/>
    <row r="5" spans="1:12" s="173" customFormat="1" x14ac:dyDescent="0.25"/>
    <row r="6" spans="1:12" ht="15.75" x14ac:dyDescent="0.25">
      <c r="A6" s="173"/>
      <c r="B6" s="173"/>
      <c r="C6" s="318" t="s">
        <v>319</v>
      </c>
      <c r="D6" s="318"/>
      <c r="E6" s="318"/>
      <c r="F6" s="173"/>
      <c r="G6" s="173"/>
      <c r="H6" s="173"/>
      <c r="I6" s="173"/>
      <c r="J6" s="173"/>
      <c r="K6" s="173"/>
      <c r="L6" s="173"/>
    </row>
    <row r="7" spans="1:12" ht="15.75" x14ac:dyDescent="0.25">
      <c r="C7" s="319" t="s">
        <v>293</v>
      </c>
      <c r="D7" s="319"/>
      <c r="E7" s="318"/>
      <c r="G7" s="173"/>
      <c r="H7" s="173"/>
      <c r="I7" s="173"/>
      <c r="J7" s="173"/>
      <c r="K7" s="173"/>
      <c r="L7" s="173"/>
    </row>
    <row r="8" spans="1:12" ht="15.75" x14ac:dyDescent="0.25">
      <c r="C8" s="319" t="s">
        <v>320</v>
      </c>
      <c r="D8" s="319"/>
      <c r="E8" s="319"/>
      <c r="H8" s="173"/>
      <c r="I8" s="173"/>
      <c r="J8" s="173"/>
      <c r="K8" s="173"/>
      <c r="L8" s="173"/>
    </row>
    <row r="9" spans="1:12" x14ac:dyDescent="0.25">
      <c r="A9" s="59" t="s">
        <v>155</v>
      </c>
      <c r="B9" s="72" t="s">
        <v>1</v>
      </c>
      <c r="C9" s="59" t="s">
        <v>159</v>
      </c>
      <c r="D9" s="3" t="s">
        <v>162</v>
      </c>
      <c r="E9" s="59" t="s">
        <v>12</v>
      </c>
      <c r="F9" s="59" t="s">
        <v>115</v>
      </c>
      <c r="G9" s="59" t="s">
        <v>2</v>
      </c>
      <c r="H9" s="60" t="s">
        <v>13</v>
      </c>
      <c r="I9" s="60" t="s">
        <v>3</v>
      </c>
      <c r="J9" s="60" t="s">
        <v>27</v>
      </c>
      <c r="K9" s="173"/>
      <c r="L9" s="173"/>
    </row>
    <row r="10" spans="1:12" x14ac:dyDescent="0.25">
      <c r="A10" s="310" t="s">
        <v>75</v>
      </c>
      <c r="B10" s="8">
        <v>1</v>
      </c>
      <c r="C10" s="311" t="s">
        <v>89</v>
      </c>
      <c r="D10" s="201"/>
      <c r="E10" s="277"/>
      <c r="F10" s="277">
        <v>200</v>
      </c>
      <c r="G10" s="312">
        <v>4000</v>
      </c>
      <c r="H10" s="313">
        <f t="shared" ref="H10:H22" si="0">E10+F10+G10</f>
        <v>4200</v>
      </c>
      <c r="I10" s="201">
        <v>4200</v>
      </c>
      <c r="J10" s="204">
        <f>H10-I10</f>
        <v>0</v>
      </c>
      <c r="K10" s="173"/>
      <c r="L10" s="173"/>
    </row>
    <row r="11" spans="1:12" x14ac:dyDescent="0.25">
      <c r="A11" s="310" t="s">
        <v>243</v>
      </c>
      <c r="B11" s="8"/>
      <c r="C11" s="204"/>
      <c r="D11" s="201"/>
      <c r="E11" s="277"/>
      <c r="F11" s="277"/>
      <c r="G11" s="312">
        <v>4000</v>
      </c>
      <c r="H11" s="313"/>
      <c r="I11" s="201"/>
      <c r="J11" s="204"/>
      <c r="K11" s="173"/>
      <c r="L11" s="173"/>
    </row>
    <row r="12" spans="1:12" x14ac:dyDescent="0.25">
      <c r="A12" s="310" t="s">
        <v>155</v>
      </c>
      <c r="B12" s="8">
        <v>3</v>
      </c>
      <c r="C12" s="204"/>
      <c r="D12" s="201"/>
      <c r="E12" s="277"/>
      <c r="F12" s="277">
        <v>100</v>
      </c>
      <c r="G12" s="34">
        <v>4000</v>
      </c>
      <c r="H12" s="313">
        <f t="shared" si="0"/>
        <v>4100</v>
      </c>
      <c r="I12" s="201">
        <v>4100</v>
      </c>
      <c r="J12" s="204">
        <f t="shared" ref="J12:J22" si="1">H12-I12</f>
        <v>0</v>
      </c>
      <c r="K12" s="173"/>
      <c r="L12" s="173"/>
    </row>
    <row r="13" spans="1:12" x14ac:dyDescent="0.25">
      <c r="A13" s="314" t="s">
        <v>37</v>
      </c>
      <c r="B13" s="8">
        <v>4</v>
      </c>
      <c r="C13" s="204"/>
      <c r="D13" s="201"/>
      <c r="E13" s="315"/>
      <c r="F13" s="315">
        <v>300</v>
      </c>
      <c r="G13" s="34">
        <v>4000</v>
      </c>
      <c r="H13" s="313">
        <f t="shared" si="0"/>
        <v>4300</v>
      </c>
      <c r="I13" s="201">
        <v>4000</v>
      </c>
      <c r="J13" s="204">
        <f t="shared" si="1"/>
        <v>300</v>
      </c>
      <c r="K13" s="173"/>
      <c r="L13" s="173"/>
    </row>
    <row r="14" spans="1:12" x14ac:dyDescent="0.25">
      <c r="A14" s="314" t="s">
        <v>47</v>
      </c>
      <c r="B14" s="57">
        <v>5</v>
      </c>
      <c r="C14" s="204"/>
      <c r="D14" s="201"/>
      <c r="E14" s="277"/>
      <c r="F14" s="277">
        <v>300</v>
      </c>
      <c r="G14" s="34">
        <v>4000</v>
      </c>
      <c r="H14" s="313">
        <f t="shared" si="0"/>
        <v>4300</v>
      </c>
      <c r="I14" s="201"/>
      <c r="J14" s="204">
        <f t="shared" si="1"/>
        <v>4300</v>
      </c>
      <c r="K14" s="173"/>
      <c r="L14" s="173"/>
    </row>
    <row r="15" spans="1:12" x14ac:dyDescent="0.25">
      <c r="A15" s="314" t="s">
        <v>38</v>
      </c>
      <c r="B15" s="57">
        <v>6</v>
      </c>
      <c r="C15" s="204"/>
      <c r="D15" s="201"/>
      <c r="E15" s="277"/>
      <c r="F15" s="277">
        <v>200</v>
      </c>
      <c r="G15" s="34">
        <v>4000</v>
      </c>
      <c r="H15" s="313">
        <f t="shared" si="0"/>
        <v>4200</v>
      </c>
      <c r="I15" s="201">
        <v>4200</v>
      </c>
      <c r="J15" s="204">
        <f t="shared" si="1"/>
        <v>0</v>
      </c>
      <c r="K15" s="173"/>
      <c r="L15" s="173"/>
    </row>
    <row r="16" spans="1:12" x14ac:dyDescent="0.25">
      <c r="A16" s="310" t="s">
        <v>39</v>
      </c>
      <c r="B16" s="57">
        <v>7</v>
      </c>
      <c r="C16" s="204"/>
      <c r="D16" s="201"/>
      <c r="E16" s="277"/>
      <c r="F16" s="277">
        <v>200</v>
      </c>
      <c r="G16" s="34">
        <v>4000</v>
      </c>
      <c r="H16" s="313">
        <f t="shared" si="0"/>
        <v>4200</v>
      </c>
      <c r="I16" s="201">
        <v>4200</v>
      </c>
      <c r="J16" s="204">
        <f t="shared" si="1"/>
        <v>0</v>
      </c>
      <c r="K16" s="173"/>
      <c r="L16" s="173"/>
    </row>
    <row r="17" spans="1:12" x14ac:dyDescent="0.25">
      <c r="A17" s="314" t="s">
        <v>40</v>
      </c>
      <c r="B17" s="57">
        <v>8</v>
      </c>
      <c r="C17" s="204"/>
      <c r="D17" s="201"/>
      <c r="E17" s="277"/>
      <c r="F17" s="277">
        <v>200</v>
      </c>
      <c r="G17" s="34">
        <v>4000</v>
      </c>
      <c r="H17" s="313">
        <f t="shared" si="0"/>
        <v>4200</v>
      </c>
      <c r="I17" s="201">
        <v>4200</v>
      </c>
      <c r="J17" s="204">
        <f t="shared" si="1"/>
        <v>0</v>
      </c>
      <c r="K17" s="173"/>
      <c r="L17" s="173"/>
    </row>
    <row r="18" spans="1:12" x14ac:dyDescent="0.25">
      <c r="A18" s="310" t="s">
        <v>160</v>
      </c>
      <c r="B18" s="8">
        <v>1</v>
      </c>
      <c r="C18" s="204"/>
      <c r="D18" s="201"/>
      <c r="E18" s="277"/>
      <c r="F18" s="277">
        <v>100</v>
      </c>
      <c r="G18" s="34">
        <v>2500</v>
      </c>
      <c r="H18" s="313">
        <f t="shared" si="0"/>
        <v>2600</v>
      </c>
      <c r="I18" s="201">
        <v>2600</v>
      </c>
      <c r="J18" s="204">
        <f t="shared" si="1"/>
        <v>0</v>
      </c>
      <c r="K18" s="173"/>
      <c r="L18" s="173"/>
    </row>
    <row r="19" spans="1:12" x14ac:dyDescent="0.25">
      <c r="A19" s="310" t="s">
        <v>212</v>
      </c>
      <c r="B19" s="8">
        <v>2</v>
      </c>
      <c r="C19" s="204"/>
      <c r="D19" s="201"/>
      <c r="E19" s="277"/>
      <c r="F19" s="277"/>
      <c r="G19" s="34">
        <v>2500</v>
      </c>
      <c r="H19" s="313">
        <f t="shared" si="0"/>
        <v>2500</v>
      </c>
      <c r="I19" s="201">
        <v>2500</v>
      </c>
      <c r="J19" s="204">
        <f t="shared" si="1"/>
        <v>0</v>
      </c>
      <c r="K19" s="173"/>
      <c r="L19" s="173"/>
    </row>
    <row r="20" spans="1:12" x14ac:dyDescent="0.25">
      <c r="A20" s="314" t="s">
        <v>116</v>
      </c>
      <c r="B20" s="8"/>
      <c r="C20" s="204"/>
      <c r="D20" s="201"/>
      <c r="E20" s="277"/>
      <c r="F20" s="277"/>
      <c r="G20" s="34"/>
      <c r="H20" s="313"/>
      <c r="I20" s="201"/>
      <c r="J20" s="204"/>
      <c r="K20" s="173"/>
      <c r="L20" s="173"/>
    </row>
    <row r="21" spans="1:12" x14ac:dyDescent="0.25">
      <c r="A21" s="310" t="s">
        <v>210</v>
      </c>
      <c r="B21" s="8">
        <v>4</v>
      </c>
      <c r="C21" s="204"/>
      <c r="D21" s="201"/>
      <c r="E21" s="277"/>
      <c r="F21" s="277">
        <v>150</v>
      </c>
      <c r="G21" s="34">
        <v>2500</v>
      </c>
      <c r="H21" s="313">
        <f t="shared" si="0"/>
        <v>2650</v>
      </c>
      <c r="I21" s="201">
        <v>2500</v>
      </c>
      <c r="J21" s="204">
        <v>0</v>
      </c>
      <c r="K21" s="173"/>
      <c r="L21" s="173"/>
    </row>
    <row r="22" spans="1:12" x14ac:dyDescent="0.25">
      <c r="A22" s="310" t="s">
        <v>211</v>
      </c>
      <c r="B22" s="8">
        <v>5</v>
      </c>
      <c r="C22" s="204"/>
      <c r="D22" s="201"/>
      <c r="E22" s="277"/>
      <c r="F22" s="277"/>
      <c r="G22" s="34">
        <v>2500</v>
      </c>
      <c r="H22" s="313">
        <f t="shared" si="0"/>
        <v>2500</v>
      </c>
      <c r="I22" s="201">
        <v>2500</v>
      </c>
      <c r="J22" s="204">
        <f t="shared" si="1"/>
        <v>0</v>
      </c>
      <c r="K22" s="173"/>
      <c r="L22" s="173"/>
    </row>
    <row r="23" spans="1:12" x14ac:dyDescent="0.25">
      <c r="A23" s="316"/>
      <c r="B23" s="316"/>
      <c r="C23" s="204"/>
      <c r="D23" s="317">
        <f t="shared" ref="D23:J23" si="2">SUM(D10:D22)</f>
        <v>0</v>
      </c>
      <c r="E23" s="317">
        <f t="shared" si="2"/>
        <v>0</v>
      </c>
      <c r="F23" s="317">
        <f t="shared" si="2"/>
        <v>1750</v>
      </c>
      <c r="G23" s="317">
        <f>SUM(G10:G22)</f>
        <v>42000</v>
      </c>
      <c r="H23" s="313">
        <f t="shared" si="2"/>
        <v>39750</v>
      </c>
      <c r="I23" s="201">
        <f t="shared" si="2"/>
        <v>35000</v>
      </c>
      <c r="J23" s="204">
        <f t="shared" si="2"/>
        <v>4600</v>
      </c>
      <c r="K23" s="173"/>
      <c r="L23" s="173"/>
    </row>
    <row r="24" spans="1:12" x14ac:dyDescent="0.25">
      <c r="A24" s="68" t="s">
        <v>30</v>
      </c>
      <c r="B24" s="164"/>
      <c r="C24" s="164"/>
      <c r="D24" s="164"/>
      <c r="E24" s="164"/>
      <c r="F24" s="164"/>
      <c r="G24" s="164"/>
      <c r="H24" s="207"/>
      <c r="I24" s="164"/>
      <c r="J24" s="164"/>
      <c r="K24" s="173"/>
      <c r="L24" s="173"/>
    </row>
    <row r="25" spans="1:12" x14ac:dyDescent="0.25">
      <c r="A25" s="174" t="s">
        <v>183</v>
      </c>
      <c r="B25" s="164"/>
      <c r="C25" s="36">
        <f>G23</f>
        <v>42000</v>
      </c>
      <c r="D25" s="164"/>
      <c r="E25" s="207"/>
      <c r="F25" s="207"/>
      <c r="G25" s="164"/>
      <c r="H25" s="164"/>
      <c r="I25" s="164"/>
      <c r="J25" s="164"/>
      <c r="K25" s="173"/>
      <c r="L25" s="173"/>
    </row>
    <row r="26" spans="1:12" x14ac:dyDescent="0.25">
      <c r="A26" s="174" t="s">
        <v>241</v>
      </c>
      <c r="B26" s="174"/>
      <c r="C26" s="41">
        <v>9990</v>
      </c>
      <c r="D26" s="173"/>
      <c r="E26" s="173"/>
      <c r="F26" s="173"/>
      <c r="G26" s="173"/>
      <c r="H26" s="173"/>
      <c r="I26" s="173"/>
      <c r="J26" s="173"/>
      <c r="K26" s="173"/>
      <c r="L26" s="173"/>
    </row>
    <row r="27" spans="1:12" ht="16.5" x14ac:dyDescent="0.35">
      <c r="A27" s="149" t="s">
        <v>176</v>
      </c>
      <c r="B27" s="149"/>
      <c r="C27" s="168">
        <f>SUM(C25:C26)</f>
        <v>51990</v>
      </c>
      <c r="D27" s="173"/>
      <c r="E27" s="173"/>
      <c r="F27" s="54"/>
      <c r="G27" s="61"/>
      <c r="H27" s="61"/>
      <c r="I27" s="179"/>
      <c r="J27" s="173"/>
      <c r="K27" s="173"/>
      <c r="L27" s="173"/>
    </row>
    <row r="28" spans="1:12" ht="16.5" x14ac:dyDescent="0.35">
      <c r="A28" s="174"/>
      <c r="B28" s="174"/>
      <c r="C28" s="67"/>
      <c r="D28" s="174"/>
      <c r="E28" s="173"/>
      <c r="F28" s="173"/>
      <c r="G28" s="174"/>
      <c r="H28" s="174"/>
      <c r="I28" s="185"/>
      <c r="J28" s="173"/>
      <c r="K28" s="173"/>
      <c r="L28" s="173"/>
    </row>
    <row r="29" spans="1:12" x14ac:dyDescent="0.25">
      <c r="A29" s="45" t="s">
        <v>29</v>
      </c>
      <c r="B29" s="173"/>
      <c r="C29" s="38"/>
      <c r="D29" s="17"/>
      <c r="E29" s="174"/>
      <c r="F29" s="173"/>
      <c r="G29" s="174"/>
      <c r="H29" s="174"/>
      <c r="I29" s="182"/>
      <c r="J29" s="184"/>
      <c r="K29" s="173"/>
      <c r="L29" s="173"/>
    </row>
    <row r="30" spans="1:12" x14ac:dyDescent="0.25">
      <c r="A30" s="174" t="s">
        <v>177</v>
      </c>
      <c r="B30" s="119">
        <v>7.0000000000000007E-2</v>
      </c>
      <c r="C30" s="40">
        <f>C25*B30</f>
        <v>2940.0000000000005</v>
      </c>
      <c r="D30" s="17"/>
      <c r="E30" s="173"/>
      <c r="F30" s="173"/>
      <c r="G30" s="174"/>
      <c r="H30" s="174"/>
      <c r="I30" s="182"/>
      <c r="J30" s="184"/>
      <c r="K30" s="173"/>
      <c r="L30" s="173"/>
    </row>
    <row r="31" spans="1:12" x14ac:dyDescent="0.25">
      <c r="A31" s="188">
        <v>43009</v>
      </c>
      <c r="B31" s="173"/>
      <c r="C31" s="143">
        <v>20210</v>
      </c>
      <c r="D31" s="17"/>
      <c r="E31" s="173"/>
      <c r="F31" s="174"/>
      <c r="G31" s="174"/>
      <c r="H31" s="175"/>
      <c r="I31" s="182"/>
      <c r="J31" s="184"/>
    </row>
    <row r="32" spans="1:12" x14ac:dyDescent="0.25">
      <c r="A32" s="173" t="s">
        <v>242</v>
      </c>
      <c r="B32" s="173"/>
      <c r="C32" s="143">
        <v>20210</v>
      </c>
      <c r="D32" s="17"/>
      <c r="E32" s="174"/>
      <c r="F32" s="38"/>
      <c r="G32" s="181"/>
      <c r="H32" s="185"/>
      <c r="I32" s="186"/>
      <c r="J32" s="184"/>
    </row>
    <row r="33" spans="1:10" x14ac:dyDescent="0.25">
      <c r="A33" s="173" t="s">
        <v>244</v>
      </c>
      <c r="B33" s="173"/>
      <c r="C33" s="37">
        <v>6500</v>
      </c>
      <c r="D33" s="17"/>
      <c r="E33" s="139"/>
      <c r="F33" s="54"/>
      <c r="G33" s="61"/>
      <c r="H33" s="182"/>
      <c r="I33" s="186"/>
      <c r="J33" s="184"/>
    </row>
    <row r="34" spans="1:10" x14ac:dyDescent="0.25">
      <c r="A34" s="167" t="s">
        <v>56</v>
      </c>
      <c r="B34" s="173"/>
      <c r="C34" s="37">
        <f>SUM(C30:C33)</f>
        <v>49860</v>
      </c>
      <c r="D34" s="17"/>
      <c r="E34" s="37"/>
      <c r="F34" s="54"/>
      <c r="G34" s="61"/>
      <c r="H34" s="182"/>
      <c r="I34" s="186"/>
      <c r="J34" s="184"/>
    </row>
    <row r="35" spans="1:10" x14ac:dyDescent="0.25">
      <c r="A35" s="173"/>
      <c r="B35" s="173"/>
      <c r="C35" s="173"/>
      <c r="D35" s="17"/>
      <c r="E35" s="173"/>
      <c r="F35" s="54"/>
      <c r="G35" s="181"/>
      <c r="H35" s="182"/>
      <c r="I35" s="186"/>
      <c r="J35" s="184"/>
    </row>
    <row r="36" spans="1:10" x14ac:dyDescent="0.25">
      <c r="A36" s="39" t="s">
        <v>199</v>
      </c>
      <c r="B36" s="91"/>
      <c r="C36" s="37">
        <f>C27-C34</f>
        <v>2130</v>
      </c>
      <c r="D36" s="173"/>
      <c r="E36" s="173"/>
      <c r="F36" s="54"/>
      <c r="G36" s="61"/>
      <c r="H36" s="182"/>
      <c r="I36" s="186"/>
      <c r="J36" s="184"/>
    </row>
    <row r="37" spans="1:10" s="173" customFormat="1" x14ac:dyDescent="0.25">
      <c r="A37" s="39"/>
      <c r="B37" s="91"/>
      <c r="C37" s="37"/>
      <c r="F37" s="54"/>
      <c r="G37" s="61"/>
      <c r="H37" s="182"/>
      <c r="I37" s="186"/>
      <c r="J37" s="184"/>
    </row>
    <row r="38" spans="1:10" s="173" customFormat="1" x14ac:dyDescent="0.25">
      <c r="A38" s="39"/>
      <c r="B38" s="91"/>
      <c r="C38" s="37"/>
      <c r="F38" s="54"/>
      <c r="G38" s="61"/>
      <c r="H38" s="182"/>
      <c r="I38" s="186"/>
      <c r="J38" s="184"/>
    </row>
    <row r="39" spans="1:10" x14ac:dyDescent="0.25">
      <c r="A39" s="173"/>
      <c r="B39" s="173"/>
      <c r="C39" s="37"/>
      <c r="D39" s="173"/>
      <c r="E39" s="173"/>
      <c r="F39" s="173"/>
      <c r="G39" s="173"/>
      <c r="H39" s="173"/>
      <c r="I39" s="173"/>
      <c r="J39" s="173"/>
    </row>
    <row r="40" spans="1:10" x14ac:dyDescent="0.25">
      <c r="A40" s="173" t="s">
        <v>321</v>
      </c>
      <c r="B40" s="173"/>
      <c r="C40" s="173"/>
      <c r="D40" s="173" t="s">
        <v>309</v>
      </c>
      <c r="E40" s="173"/>
      <c r="F40" s="173"/>
      <c r="G40" s="173"/>
      <c r="H40" s="173"/>
      <c r="I40" s="173"/>
      <c r="J40" s="173"/>
    </row>
    <row r="41" spans="1:10" x14ac:dyDescent="0.25">
      <c r="A41" s="173"/>
      <c r="B41" s="173"/>
      <c r="C41" s="173"/>
      <c r="D41" s="173"/>
      <c r="E41" s="173"/>
      <c r="F41" s="173"/>
      <c r="G41" s="173"/>
      <c r="H41" s="173"/>
      <c r="I41" s="173"/>
      <c r="J41" s="173"/>
    </row>
    <row r="42" spans="1:10" x14ac:dyDescent="0.25">
      <c r="A42" t="s">
        <v>141</v>
      </c>
      <c r="D42" t="s">
        <v>322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11" sqref="D11"/>
    </sheetView>
  </sheetViews>
  <sheetFormatPr defaultRowHeight="15" x14ac:dyDescent="0.25"/>
  <cols>
    <col min="1" max="1" width="11.85546875" customWidth="1"/>
    <col min="3" max="3" width="13.5703125" customWidth="1"/>
    <col min="5" max="8" width="9.28515625" bestFit="1" customWidth="1"/>
    <col min="9" max="9" width="9.5703125" bestFit="1" customWidth="1"/>
    <col min="10" max="10" width="11.425781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173"/>
      <c r="G2" s="173"/>
      <c r="H2" s="173"/>
      <c r="I2" s="173"/>
      <c r="J2" s="173"/>
    </row>
    <row r="3" spans="1:10" ht="15.75" x14ac:dyDescent="0.25">
      <c r="A3" s="28"/>
      <c r="B3" s="28"/>
      <c r="C3" s="319" t="s">
        <v>323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285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243</v>
      </c>
      <c r="B5" s="5">
        <v>1</v>
      </c>
      <c r="C5" s="6" t="s">
        <v>89</v>
      </c>
      <c r="D5" s="201"/>
      <c r="E5" s="322"/>
      <c r="F5" s="322"/>
      <c r="G5" s="226">
        <v>4000</v>
      </c>
      <c r="H5" s="226">
        <f t="shared" ref="H5:H17" si="0">E5+F5+G5</f>
        <v>4000</v>
      </c>
      <c r="I5" s="321">
        <v>4200</v>
      </c>
      <c r="J5" s="321">
        <f>H5-I5</f>
        <v>-200</v>
      </c>
    </row>
    <row r="6" spans="1:10" x14ac:dyDescent="0.25">
      <c r="A6" s="208" t="s">
        <v>243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>
        <v>300</v>
      </c>
      <c r="G8" s="323">
        <v>4000</v>
      </c>
      <c r="H8" s="226">
        <f t="shared" si="0"/>
        <v>4300</v>
      </c>
      <c r="I8" s="321">
        <v>4000</v>
      </c>
      <c r="J8" s="321">
        <f t="shared" si="1"/>
        <v>300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/>
      <c r="H9" s="226">
        <f t="shared" si="0"/>
        <v>8900</v>
      </c>
      <c r="I9" s="321">
        <v>5000</v>
      </c>
      <c r="J9" s="321">
        <f t="shared" si="1"/>
        <v>3900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116</v>
      </c>
      <c r="B15" s="5"/>
      <c r="C15" s="204"/>
      <c r="D15" s="201"/>
      <c r="E15" s="322"/>
      <c r="F15" s="322"/>
      <c r="G15" s="323"/>
      <c r="H15" s="226"/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 t="shared" si="2"/>
        <v>1550</v>
      </c>
      <c r="G18" s="320">
        <f>SUM(G5:G17)</f>
        <v>38000</v>
      </c>
      <c r="H18" s="226">
        <f t="shared" si="2"/>
        <v>44150</v>
      </c>
      <c r="I18" s="321">
        <f t="shared" si="2"/>
        <v>40000</v>
      </c>
      <c r="J18" s="321">
        <f t="shared" si="2"/>
        <v>4000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38000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246</v>
      </c>
      <c r="B21" s="174"/>
      <c r="C21" s="41">
        <v>2130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40130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ht="18.75" customHeight="1" x14ac:dyDescent="0.25">
      <c r="A25" s="174" t="s">
        <v>177</v>
      </c>
      <c r="B25" s="119">
        <v>7.0000000000000007E-2</v>
      </c>
      <c r="C25" s="40">
        <f>C20*B25</f>
        <v>2660.0000000000005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94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251</v>
      </c>
      <c r="B28" s="173"/>
      <c r="C28" s="37">
        <v>9760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40130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252</v>
      </c>
      <c r="B31" s="91"/>
      <c r="C31" s="37">
        <v>0</v>
      </c>
      <c r="D31" s="173"/>
      <c r="E31" s="173"/>
      <c r="F31" s="54"/>
      <c r="G31" s="61"/>
      <c r="H31" s="182"/>
      <c r="I31" s="186"/>
      <c r="J31" s="184"/>
    </row>
    <row r="32" spans="1:10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0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0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</row>
    <row r="37" spans="1:10" x14ac:dyDescent="0.25">
      <c r="A37" s="173" t="s">
        <v>141</v>
      </c>
      <c r="B37" s="173"/>
      <c r="C37" s="173"/>
      <c r="D37" s="173" t="s">
        <v>322</v>
      </c>
      <c r="E37" s="173"/>
    </row>
    <row r="38" spans="1:10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A34" sqref="A34:E38"/>
    </sheetView>
  </sheetViews>
  <sheetFormatPr defaultRowHeight="15" x14ac:dyDescent="0.25"/>
  <cols>
    <col min="1" max="1" width="15.5703125" customWidth="1"/>
    <col min="3" max="3" width="10.85546875" customWidth="1"/>
    <col min="6" max="6" width="10.5703125" bestFit="1" customWidth="1"/>
    <col min="10" max="10" width="11.85546875" customWidth="1"/>
  </cols>
  <sheetData>
    <row r="1" spans="1:11" s="173" customFormat="1" ht="15.75" x14ac:dyDescent="0.25">
      <c r="B1" s="318" t="s">
        <v>319</v>
      </c>
      <c r="C1" s="318"/>
      <c r="D1" s="318"/>
    </row>
    <row r="2" spans="1:11" ht="15.75" x14ac:dyDescent="0.25">
      <c r="A2" s="95"/>
      <c r="B2" s="319" t="s">
        <v>293</v>
      </c>
      <c r="C2" s="319"/>
      <c r="D2" s="318"/>
      <c r="E2" s="173"/>
      <c r="F2" s="44"/>
      <c r="G2" s="173"/>
      <c r="H2" s="173"/>
      <c r="I2" s="173"/>
      <c r="J2" s="173"/>
      <c r="K2" s="173"/>
    </row>
    <row r="3" spans="1:11" ht="15.75" x14ac:dyDescent="0.25">
      <c r="A3" s="28"/>
      <c r="B3" s="319" t="s">
        <v>324</v>
      </c>
      <c r="C3" s="319"/>
      <c r="D3" s="319"/>
      <c r="E3" s="173"/>
      <c r="F3" s="173"/>
      <c r="G3" s="173"/>
      <c r="H3" s="173"/>
      <c r="I3" s="173"/>
      <c r="J3" s="173"/>
      <c r="K3" s="173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73"/>
    </row>
    <row r="5" spans="1:11" x14ac:dyDescent="0.25">
      <c r="A5" s="208" t="s">
        <v>248</v>
      </c>
      <c r="B5" s="5">
        <v>1</v>
      </c>
      <c r="C5" s="6" t="s">
        <v>89</v>
      </c>
      <c r="D5" s="201"/>
      <c r="E5" s="74"/>
      <c r="F5" s="74"/>
      <c r="G5" s="202">
        <v>4000</v>
      </c>
      <c r="H5" s="203">
        <f t="shared" ref="H5:H17" si="0">E5+F5+G5</f>
        <v>4000</v>
      </c>
      <c r="I5" s="201">
        <v>4200</v>
      </c>
      <c r="J5" s="204">
        <f>H5-I5</f>
        <v>-200</v>
      </c>
      <c r="K5" s="173"/>
    </row>
    <row r="6" spans="1:11" x14ac:dyDescent="0.25">
      <c r="A6" s="208" t="s">
        <v>249</v>
      </c>
      <c r="B6" s="5">
        <v>2</v>
      </c>
      <c r="C6" s="204"/>
      <c r="D6" s="201"/>
      <c r="E6" s="74"/>
      <c r="F6" s="74"/>
      <c r="G6" s="202">
        <v>4000</v>
      </c>
      <c r="H6" s="203"/>
      <c r="I6" s="201"/>
      <c r="J6" s="204"/>
      <c r="K6" s="173"/>
    </row>
    <row r="7" spans="1:11" x14ac:dyDescent="0.25">
      <c r="A7" s="208" t="s">
        <v>155</v>
      </c>
      <c r="B7" s="5">
        <v>3</v>
      </c>
      <c r="C7" s="204"/>
      <c r="D7" s="201"/>
      <c r="E7" s="74"/>
      <c r="F7" s="74">
        <v>100</v>
      </c>
      <c r="G7" s="7">
        <v>4000</v>
      </c>
      <c r="H7" s="203">
        <f t="shared" si="0"/>
        <v>4100</v>
      </c>
      <c r="I7" s="201">
        <v>4100</v>
      </c>
      <c r="J7" s="204">
        <f t="shared" ref="J7:J17" si="1">H7-I7</f>
        <v>0</v>
      </c>
      <c r="K7" s="173"/>
    </row>
    <row r="8" spans="1:11" x14ac:dyDescent="0.25">
      <c r="A8" s="209" t="s">
        <v>116</v>
      </c>
      <c r="B8" s="5">
        <v>4</v>
      </c>
      <c r="C8" s="204"/>
      <c r="D8" s="201"/>
      <c r="E8" s="77"/>
      <c r="F8" s="77"/>
      <c r="G8" s="7"/>
      <c r="H8" s="203"/>
      <c r="I8" s="201"/>
      <c r="J8" s="204"/>
      <c r="K8" s="173"/>
    </row>
    <row r="9" spans="1:11" x14ac:dyDescent="0.25">
      <c r="A9" s="209" t="s">
        <v>47</v>
      </c>
      <c r="B9" s="9">
        <v>5</v>
      </c>
      <c r="C9" s="204"/>
      <c r="D9" s="201"/>
      <c r="E9" s="74">
        <v>8600</v>
      </c>
      <c r="F9" s="74">
        <v>300</v>
      </c>
      <c r="G9" s="7">
        <v>4000</v>
      </c>
      <c r="H9" s="203">
        <f t="shared" si="0"/>
        <v>12900</v>
      </c>
      <c r="I9" s="201">
        <v>5000</v>
      </c>
      <c r="J9" s="204">
        <f t="shared" si="1"/>
        <v>7900</v>
      </c>
      <c r="K9" s="173"/>
    </row>
    <row r="10" spans="1:11" x14ac:dyDescent="0.25">
      <c r="A10" s="209" t="s">
        <v>38</v>
      </c>
      <c r="B10" s="9">
        <v>6</v>
      </c>
      <c r="C10" s="204"/>
      <c r="D10" s="201"/>
      <c r="E10" s="74"/>
      <c r="F10" s="74">
        <v>200</v>
      </c>
      <c r="G10" s="7">
        <v>4000</v>
      </c>
      <c r="H10" s="203">
        <f t="shared" si="0"/>
        <v>4200</v>
      </c>
      <c r="I10" s="201">
        <v>4200</v>
      </c>
      <c r="J10" s="204">
        <f t="shared" si="1"/>
        <v>0</v>
      </c>
      <c r="K10" s="173"/>
    </row>
    <row r="11" spans="1:11" x14ac:dyDescent="0.25">
      <c r="A11" s="208" t="s">
        <v>39</v>
      </c>
      <c r="B11" s="9">
        <v>7</v>
      </c>
      <c r="C11" s="204"/>
      <c r="D11" s="201"/>
      <c r="E11" s="74"/>
      <c r="F11" s="74">
        <v>200</v>
      </c>
      <c r="G11" s="7">
        <v>4000</v>
      </c>
      <c r="H11" s="203">
        <f t="shared" si="0"/>
        <v>4200</v>
      </c>
      <c r="I11" s="201">
        <v>4200</v>
      </c>
      <c r="J11" s="204">
        <f t="shared" si="1"/>
        <v>0</v>
      </c>
      <c r="K11" s="173"/>
    </row>
    <row r="12" spans="1:11" x14ac:dyDescent="0.25">
      <c r="A12" s="209" t="s">
        <v>40</v>
      </c>
      <c r="B12" s="9">
        <v>8</v>
      </c>
      <c r="C12" s="204"/>
      <c r="D12" s="201"/>
      <c r="E12" s="74"/>
      <c r="F12" s="74">
        <v>200</v>
      </c>
      <c r="G12" s="7">
        <v>4000</v>
      </c>
      <c r="H12" s="203">
        <f t="shared" si="0"/>
        <v>4200</v>
      </c>
      <c r="I12" s="201">
        <v>4200</v>
      </c>
      <c r="J12" s="204">
        <f t="shared" si="1"/>
        <v>0</v>
      </c>
      <c r="K12" s="173"/>
    </row>
    <row r="13" spans="1:11" x14ac:dyDescent="0.25">
      <c r="A13" s="208" t="s">
        <v>160</v>
      </c>
      <c r="B13" s="5">
        <v>1</v>
      </c>
      <c r="C13" s="204"/>
      <c r="D13" s="201"/>
      <c r="E13" s="74"/>
      <c r="F13" s="74">
        <v>100</v>
      </c>
      <c r="G13" s="7">
        <v>2500</v>
      </c>
      <c r="H13" s="203">
        <f t="shared" si="0"/>
        <v>2600</v>
      </c>
      <c r="I13" s="201">
        <v>2600</v>
      </c>
      <c r="J13" s="204">
        <f t="shared" si="1"/>
        <v>0</v>
      </c>
      <c r="K13" s="173"/>
    </row>
    <row r="14" spans="1:11" x14ac:dyDescent="0.25">
      <c r="A14" s="208" t="s">
        <v>212</v>
      </c>
      <c r="B14" s="5">
        <v>2</v>
      </c>
      <c r="C14" s="204"/>
      <c r="D14" s="201"/>
      <c r="E14" s="74"/>
      <c r="F14" s="74"/>
      <c r="G14" s="7">
        <v>2500</v>
      </c>
      <c r="H14" s="203">
        <f t="shared" si="0"/>
        <v>2500</v>
      </c>
      <c r="I14" s="201">
        <v>2500</v>
      </c>
      <c r="J14" s="204">
        <f t="shared" si="1"/>
        <v>0</v>
      </c>
      <c r="K14" s="173"/>
    </row>
    <row r="15" spans="1:11" x14ac:dyDescent="0.25">
      <c r="A15" s="209" t="s">
        <v>247</v>
      </c>
      <c r="B15" s="5"/>
      <c r="C15" s="204"/>
      <c r="D15" s="201"/>
      <c r="E15" s="74"/>
      <c r="F15" s="74"/>
      <c r="G15" s="7">
        <v>3000</v>
      </c>
      <c r="H15" s="203">
        <f t="shared" si="0"/>
        <v>3000</v>
      </c>
      <c r="I15" s="201"/>
      <c r="J15" s="204"/>
      <c r="K15" s="173"/>
    </row>
    <row r="16" spans="1:11" x14ac:dyDescent="0.25">
      <c r="A16" s="208" t="s">
        <v>210</v>
      </c>
      <c r="B16" s="5">
        <v>4</v>
      </c>
      <c r="C16" s="204"/>
      <c r="D16" s="201"/>
      <c r="E16" s="74"/>
      <c r="F16" s="74">
        <v>150</v>
      </c>
      <c r="G16" s="7">
        <v>2500</v>
      </c>
      <c r="H16" s="203">
        <f t="shared" si="0"/>
        <v>2650</v>
      </c>
      <c r="I16" s="201">
        <v>2500</v>
      </c>
      <c r="J16" s="204">
        <v>0</v>
      </c>
      <c r="K16" s="173"/>
    </row>
    <row r="17" spans="1:11" x14ac:dyDescent="0.25">
      <c r="A17" s="208" t="s">
        <v>211</v>
      </c>
      <c r="B17" s="5">
        <v>5</v>
      </c>
      <c r="C17" s="204"/>
      <c r="D17" s="201"/>
      <c r="E17" s="74"/>
      <c r="F17" s="74"/>
      <c r="G17" s="7">
        <v>2500</v>
      </c>
      <c r="H17" s="203">
        <f t="shared" si="0"/>
        <v>2500</v>
      </c>
      <c r="I17" s="201">
        <v>2500</v>
      </c>
      <c r="J17" s="204">
        <f t="shared" si="1"/>
        <v>0</v>
      </c>
      <c r="K17" s="173"/>
    </row>
    <row r="18" spans="1:11" x14ac:dyDescent="0.25">
      <c r="A18" s="205"/>
      <c r="B18" s="205"/>
      <c r="C18" s="204"/>
      <c r="D18" s="206">
        <f t="shared" ref="D18:J18" si="2">SUM(D5:D17)</f>
        <v>0</v>
      </c>
      <c r="E18" s="206">
        <f t="shared" si="2"/>
        <v>8600</v>
      </c>
      <c r="F18" s="206">
        <f t="shared" si="2"/>
        <v>1250</v>
      </c>
      <c r="G18" s="206">
        <f>SUM(G5:G17)</f>
        <v>41000</v>
      </c>
      <c r="H18" s="203">
        <f t="shared" si="2"/>
        <v>46850</v>
      </c>
      <c r="I18" s="201">
        <f t="shared" si="2"/>
        <v>36000</v>
      </c>
      <c r="J18" s="204">
        <f t="shared" si="2"/>
        <v>7700</v>
      </c>
      <c r="K18" s="173"/>
    </row>
    <row r="19" spans="1:11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  <c r="K19" s="173"/>
    </row>
    <row r="20" spans="1:11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  <c r="K20" s="173"/>
    </row>
    <row r="21" spans="1:11" x14ac:dyDescent="0.25">
      <c r="A21" s="174" t="s">
        <v>250</v>
      </c>
      <c r="B21" s="174"/>
      <c r="C21" s="41"/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49" t="s">
        <v>176</v>
      </c>
      <c r="B22" s="149"/>
      <c r="C22" s="168">
        <f>SUM(C20:C21)</f>
        <v>41000</v>
      </c>
      <c r="D22" s="173"/>
      <c r="E22" s="173"/>
      <c r="F22" s="172"/>
      <c r="G22" s="61"/>
      <c r="H22" s="61"/>
      <c r="I22" s="179"/>
      <c r="J22" s="173"/>
      <c r="K22" s="173"/>
    </row>
    <row r="23" spans="1:11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  <c r="K23" s="173"/>
    </row>
    <row r="24" spans="1:11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  <c r="K24" s="173"/>
    </row>
    <row r="25" spans="1:11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  <c r="K26" s="173"/>
    </row>
    <row r="27" spans="1:11" x14ac:dyDescent="0.25">
      <c r="A27" s="173" t="s">
        <v>253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  <c r="K27" s="173"/>
    </row>
    <row r="28" spans="1:11" x14ac:dyDescent="0.25">
      <c r="A28" s="173" t="s">
        <v>254</v>
      </c>
      <c r="B28" s="173"/>
      <c r="C28" s="37">
        <v>14500</v>
      </c>
      <c r="D28" s="53"/>
      <c r="E28" s="139"/>
      <c r="F28" s="54"/>
      <c r="G28" s="61"/>
      <c r="H28" s="182"/>
      <c r="I28" s="186"/>
      <c r="J28" s="184"/>
      <c r="K28" s="173"/>
    </row>
    <row r="29" spans="1:11" x14ac:dyDescent="0.25">
      <c r="A29" s="167" t="s">
        <v>56</v>
      </c>
      <c r="B29" s="173"/>
      <c r="C29" s="37">
        <f>SUM(C25:C28)</f>
        <v>45080</v>
      </c>
      <c r="D29" s="174"/>
      <c r="E29" s="37"/>
      <c r="F29" s="54"/>
      <c r="G29" s="61"/>
      <c r="H29" s="182"/>
      <c r="I29" s="186"/>
      <c r="J29" s="184"/>
      <c r="K29" s="173"/>
    </row>
    <row r="30" spans="1:11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  <c r="K30" s="173"/>
    </row>
    <row r="31" spans="1:11" x14ac:dyDescent="0.25">
      <c r="A31" s="39" t="s">
        <v>199</v>
      </c>
      <c r="B31" s="91"/>
      <c r="C31" s="37">
        <f>C22-C29</f>
        <v>-4080</v>
      </c>
      <c r="D31" s="173"/>
      <c r="E31" s="173"/>
      <c r="F31" s="54"/>
      <c r="G31" s="61"/>
      <c r="H31" s="182"/>
      <c r="I31" s="186"/>
      <c r="J31" s="184"/>
      <c r="K31" s="173"/>
    </row>
    <row r="32" spans="1:11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1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1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  <c r="K35" s="173"/>
    </row>
    <row r="36" spans="1:11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x14ac:dyDescent="0.25">
      <c r="A37" s="173" t="s">
        <v>141</v>
      </c>
      <c r="B37" s="173"/>
      <c r="C37" s="173"/>
      <c r="D37" s="173" t="s">
        <v>322</v>
      </c>
      <c r="E37" s="173"/>
      <c r="F37" s="173"/>
      <c r="G37" s="173"/>
      <c r="H37" s="173"/>
      <c r="I37" s="173"/>
      <c r="J37" s="173"/>
      <c r="K37" s="173"/>
    </row>
    <row r="38" spans="1:11" x14ac:dyDescent="0.25">
      <c r="A38" s="173"/>
      <c r="B38" s="173"/>
      <c r="C38" s="173"/>
      <c r="D38" s="173"/>
      <c r="E38" s="173"/>
    </row>
  </sheetData>
  <pageMargins left="0" right="0" top="0" bottom="0" header="0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8" sqref="D8"/>
    </sheetView>
  </sheetViews>
  <sheetFormatPr defaultRowHeight="15" x14ac:dyDescent="0.25"/>
  <cols>
    <col min="1" max="1" width="14.5703125" customWidth="1"/>
    <col min="3" max="3" width="10.7109375" customWidth="1"/>
    <col min="5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B1" s="318" t="s">
        <v>319</v>
      </c>
      <c r="C1" s="318"/>
      <c r="D1" s="318"/>
    </row>
    <row r="2" spans="1:10" s="173" customFormat="1" ht="15.75" x14ac:dyDescent="0.25">
      <c r="B2" s="319" t="s">
        <v>293</v>
      </c>
      <c r="C2" s="319"/>
      <c r="D2" s="318"/>
    </row>
    <row r="3" spans="1:10" ht="15.75" x14ac:dyDescent="0.25">
      <c r="A3" s="95"/>
      <c r="B3" s="319" t="s">
        <v>325</v>
      </c>
      <c r="C3" s="319"/>
      <c r="D3" s="319"/>
      <c r="E3" s="173"/>
      <c r="F3" s="44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-4080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36920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255</v>
      </c>
      <c r="B27" s="173"/>
      <c r="C27" s="143">
        <v>30600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256</v>
      </c>
      <c r="B28" s="173"/>
      <c r="C28" s="37">
        <v>10310</v>
      </c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46280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-9360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37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/>
      <c r="B34" s="173"/>
      <c r="C34" s="37"/>
      <c r="D34" s="173"/>
      <c r="E34" s="173"/>
    </row>
    <row r="35" spans="1:5" x14ac:dyDescent="0.25">
      <c r="A35" s="173" t="s">
        <v>321</v>
      </c>
      <c r="B35" s="173"/>
      <c r="C35" s="173"/>
      <c r="D35" s="173" t="s">
        <v>309</v>
      </c>
      <c r="E35" s="173"/>
    </row>
    <row r="36" spans="1:5" x14ac:dyDescent="0.25">
      <c r="A36" s="173"/>
      <c r="B36" s="173"/>
      <c r="C36" s="173"/>
      <c r="D36" s="173"/>
      <c r="E36" s="173"/>
    </row>
    <row r="37" spans="1:5" x14ac:dyDescent="0.25">
      <c r="A37" s="173" t="s">
        <v>141</v>
      </c>
      <c r="B37" s="173"/>
      <c r="C37" s="173"/>
      <c r="D37" s="173" t="s">
        <v>322</v>
      </c>
      <c r="E37" s="173"/>
    </row>
    <row r="38" spans="1:5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7" sqref="C7"/>
    </sheetView>
  </sheetViews>
  <sheetFormatPr defaultRowHeight="15" x14ac:dyDescent="0.25"/>
  <cols>
    <col min="1" max="1" width="15.28515625" customWidth="1"/>
    <col min="3" max="3" width="11.7109375" customWidth="1"/>
    <col min="5" max="8" width="9.28515625" bestFit="1" customWidth="1"/>
    <col min="9" max="9" width="9.5703125" bestFit="1" customWidth="1"/>
    <col min="10" max="10" width="10.5703125" customWidth="1"/>
  </cols>
  <sheetData>
    <row r="1" spans="1:10" ht="15.75" x14ac:dyDescent="0.25">
      <c r="A1" s="95"/>
      <c r="B1" s="318" t="s">
        <v>319</v>
      </c>
      <c r="C1" s="318"/>
      <c r="D1" s="318"/>
      <c r="E1" s="173"/>
      <c r="F1" s="44"/>
      <c r="G1" s="173"/>
      <c r="H1" s="173"/>
      <c r="I1" s="173"/>
      <c r="J1" s="173"/>
    </row>
    <row r="2" spans="1:10" ht="15.75" x14ac:dyDescent="0.25">
      <c r="A2" s="28"/>
      <c r="B2" s="319" t="s">
        <v>293</v>
      </c>
      <c r="C2" s="319"/>
      <c r="D2" s="318"/>
      <c r="E2" s="173"/>
      <c r="F2" s="173"/>
      <c r="G2" s="173"/>
      <c r="H2" s="173"/>
      <c r="I2" s="173"/>
      <c r="J2" s="173"/>
    </row>
    <row r="3" spans="1:10" ht="15.75" x14ac:dyDescent="0.25">
      <c r="B3" s="319" t="s">
        <v>326</v>
      </c>
      <c r="C3" s="319"/>
      <c r="D3" s="319"/>
      <c r="E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-9360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31640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257</v>
      </c>
      <c r="B27" s="173"/>
      <c r="C27" s="143">
        <v>25000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30370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1270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</sheetData>
  <pageMargins left="0" right="0" top="0" bottom="0" header="0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7" sqref="D7"/>
    </sheetView>
  </sheetViews>
  <sheetFormatPr defaultRowHeight="15" x14ac:dyDescent="0.25"/>
  <cols>
    <col min="3" max="3" width="10.42578125" customWidth="1"/>
    <col min="5" max="5" width="10.7109375" bestFit="1" customWidth="1"/>
    <col min="6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44"/>
      <c r="G2" s="173"/>
      <c r="H2" s="173"/>
      <c r="I2" s="173"/>
      <c r="J2" s="173"/>
    </row>
    <row r="3" spans="1:10" ht="15.75" x14ac:dyDescent="0.25">
      <c r="A3" s="28"/>
      <c r="B3" s="28"/>
      <c r="C3" s="319" t="s">
        <v>327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/>
      <c r="J5" s="321">
        <f>H5-I5</f>
        <v>4200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>
        <v>4000</v>
      </c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4200</v>
      </c>
      <c r="J7" s="321">
        <f t="shared" ref="J7:J17" si="1">H7-I7</f>
        <v>-100</v>
      </c>
    </row>
    <row r="8" spans="1:10" x14ac:dyDescent="0.25">
      <c r="A8" s="209" t="s">
        <v>258</v>
      </c>
      <c r="B8" s="5">
        <v>4</v>
      </c>
      <c r="C8" s="204"/>
      <c r="D8" s="201"/>
      <c r="E8" s="324"/>
      <c r="F8" s="324"/>
      <c r="G8" s="323">
        <v>4000</v>
      </c>
      <c r="H8" s="226">
        <v>4000</v>
      </c>
      <c r="I8" s="321">
        <v>4000</v>
      </c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4500</v>
      </c>
      <c r="J9" s="321">
        <f t="shared" si="1"/>
        <v>8400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4600</v>
      </c>
      <c r="J10" s="321">
        <f t="shared" si="1"/>
        <v>-400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/>
      <c r="J11" s="321">
        <f t="shared" si="1"/>
        <v>4200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/>
      <c r="J13" s="321">
        <f t="shared" si="1"/>
        <v>2600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2700</v>
      </c>
      <c r="J14" s="321">
        <f t="shared" si="1"/>
        <v>-200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2600</v>
      </c>
      <c r="J16" s="321"/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45000</v>
      </c>
      <c r="H18" s="226">
        <f t="shared" si="2"/>
        <v>51050</v>
      </c>
      <c r="I18" s="321">
        <f t="shared" si="2"/>
        <v>33300</v>
      </c>
      <c r="J18" s="321">
        <f t="shared" si="2"/>
        <v>18700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I18</f>
        <v>33300</v>
      </c>
      <c r="D20" s="164"/>
      <c r="E20" s="207">
        <v>45000</v>
      </c>
      <c r="F20" s="207"/>
      <c r="G20" s="173"/>
      <c r="H20" s="174"/>
      <c r="I20" s="174"/>
      <c r="J20" s="185"/>
    </row>
    <row r="21" spans="1:10" x14ac:dyDescent="0.25">
      <c r="A21" s="174" t="s">
        <v>147</v>
      </c>
      <c r="B21" s="174"/>
      <c r="C21" s="41">
        <v>10360</v>
      </c>
      <c r="D21" s="173"/>
      <c r="E21" s="173">
        <v>1270</v>
      </c>
      <c r="F21" s="173"/>
      <c r="G21" s="173"/>
      <c r="H21" s="174"/>
      <c r="I21" s="174"/>
      <c r="J21" s="182"/>
    </row>
    <row r="22" spans="1:10" ht="16.5" x14ac:dyDescent="0.35">
      <c r="A22" s="149" t="s">
        <v>176</v>
      </c>
      <c r="B22" s="149"/>
      <c r="C22" s="168">
        <f>SUM(C20:C21)</f>
        <v>43660</v>
      </c>
      <c r="D22" s="173"/>
      <c r="E22" s="37">
        <f>SUM(E20:E21)</f>
        <v>46270</v>
      </c>
      <c r="F22" s="54"/>
      <c r="G22" s="173"/>
      <c r="H22" s="174"/>
      <c r="I22" s="174"/>
      <c r="J22" s="182"/>
    </row>
    <row r="23" spans="1:10" ht="16.5" x14ac:dyDescent="0.35">
      <c r="A23" s="174"/>
      <c r="B23" s="174"/>
      <c r="C23" s="67"/>
      <c r="D23" s="174"/>
      <c r="E23" s="173"/>
      <c r="G23" s="174"/>
      <c r="H23" s="174"/>
      <c r="I23" s="175"/>
      <c r="J23" s="182"/>
    </row>
    <row r="24" spans="1:10" x14ac:dyDescent="0.25">
      <c r="A24" s="45" t="s">
        <v>29</v>
      </c>
      <c r="B24" s="173"/>
      <c r="C24" s="38"/>
      <c r="D24" s="17"/>
      <c r="E24" s="174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2331</v>
      </c>
      <c r="D25" s="173"/>
      <c r="E25" s="37">
        <f>B25*E22</f>
        <v>3238.9</v>
      </c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>
        <v>2500</v>
      </c>
      <c r="J26" s="184"/>
    </row>
    <row r="27" spans="1:10" x14ac:dyDescent="0.25">
      <c r="A27" s="173" t="s">
        <v>259</v>
      </c>
      <c r="B27" s="173"/>
      <c r="C27" s="143">
        <v>25810</v>
      </c>
      <c r="D27" s="173"/>
      <c r="E27" s="174">
        <v>25810</v>
      </c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30641</v>
      </c>
      <c r="D29" s="174"/>
      <c r="E29" s="37">
        <f>SUM(E25:E28)</f>
        <v>31548.9</v>
      </c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13019</v>
      </c>
      <c r="D31" s="173"/>
      <c r="E31" s="37">
        <f>E22-E29</f>
        <v>14721.099999999999</v>
      </c>
      <c r="F31" s="54"/>
      <c r="G31" s="61"/>
      <c r="H31" s="182"/>
      <c r="I31" s="186"/>
      <c r="J31" s="184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  <row r="37" spans="1:5" x14ac:dyDescent="0.25">
      <c r="A37" s="173"/>
      <c r="B37" s="173"/>
      <c r="C37" s="173"/>
      <c r="D37" s="173"/>
      <c r="E37" s="173"/>
    </row>
  </sheetData>
  <pageMargins left="0" right="0" top="0" bottom="0" header="0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:D3"/>
    </sheetView>
  </sheetViews>
  <sheetFormatPr defaultRowHeight="15" x14ac:dyDescent="0.25"/>
  <cols>
    <col min="1" max="1" width="14.85546875" customWidth="1"/>
    <col min="2" max="2" width="11.140625" customWidth="1"/>
    <col min="3" max="3" width="10.85546875" customWidth="1"/>
    <col min="4" max="4" width="9.42578125" customWidth="1"/>
    <col min="5" max="5" width="10.5703125" bestFit="1" customWidth="1"/>
    <col min="7" max="7" width="10" bestFit="1" customWidth="1"/>
    <col min="8" max="8" width="12.85546875" customWidth="1"/>
    <col min="9" max="9" width="10.42578125" customWidth="1"/>
    <col min="10" max="10" width="11.28515625" customWidth="1"/>
    <col min="11" max="11" width="10.5703125" bestFit="1" customWidth="1"/>
  </cols>
  <sheetData>
    <row r="1" spans="1:11" s="173" customFormat="1" ht="15.75" x14ac:dyDescent="0.25">
      <c r="B1" s="318" t="s">
        <v>319</v>
      </c>
      <c r="C1" s="318"/>
    </row>
    <row r="2" spans="1:11" ht="15.75" x14ac:dyDescent="0.25">
      <c r="A2" s="95"/>
      <c r="B2" s="319" t="s">
        <v>293</v>
      </c>
      <c r="C2" s="319"/>
      <c r="D2" s="162"/>
      <c r="E2" s="44"/>
      <c r="F2" s="173"/>
      <c r="G2" s="173"/>
      <c r="H2" s="173"/>
      <c r="I2" s="173"/>
    </row>
    <row r="3" spans="1:11" ht="15.75" x14ac:dyDescent="0.25">
      <c r="A3" s="28"/>
      <c r="B3" s="319" t="s">
        <v>328</v>
      </c>
      <c r="C3" s="319"/>
      <c r="D3" s="28"/>
      <c r="E3" s="173"/>
      <c r="F3" s="173"/>
      <c r="G3" s="173"/>
      <c r="H3" s="173"/>
      <c r="I3" s="173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11" x14ac:dyDescent="0.25">
      <c r="A5" s="208" t="s">
        <v>248</v>
      </c>
      <c r="B5" s="5">
        <v>1</v>
      </c>
      <c r="C5" s="6" t="s">
        <v>89</v>
      </c>
      <c r="D5" s="322">
        <v>4200</v>
      </c>
      <c r="E5" s="322">
        <v>200</v>
      </c>
      <c r="F5" s="226">
        <v>4000</v>
      </c>
      <c r="G5" s="226">
        <f t="shared" ref="G5:G17" si="0">D5+E5+F5</f>
        <v>8400</v>
      </c>
      <c r="H5" s="321">
        <v>2000</v>
      </c>
      <c r="I5" s="321">
        <f>G5-H5</f>
        <v>6400</v>
      </c>
    </row>
    <row r="6" spans="1:11" x14ac:dyDescent="0.25">
      <c r="A6" s="208" t="s">
        <v>249</v>
      </c>
      <c r="B6" s="5">
        <v>2</v>
      </c>
      <c r="C6" s="204"/>
      <c r="D6" s="322"/>
      <c r="E6" s="322">
        <v>100</v>
      </c>
      <c r="F6" s="226">
        <v>4000</v>
      </c>
      <c r="G6" s="226">
        <f t="shared" si="0"/>
        <v>4100</v>
      </c>
      <c r="H6" s="321">
        <v>4100</v>
      </c>
      <c r="I6" s="321">
        <f>G6-H6</f>
        <v>0</v>
      </c>
    </row>
    <row r="7" spans="1:11" x14ac:dyDescent="0.25">
      <c r="A7" s="208" t="s">
        <v>155</v>
      </c>
      <c r="B7" s="5">
        <v>3</v>
      </c>
      <c r="C7" s="204"/>
      <c r="D7" s="322"/>
      <c r="E7" s="322">
        <v>100</v>
      </c>
      <c r="F7" s="323">
        <v>4000</v>
      </c>
      <c r="G7" s="226">
        <f t="shared" si="0"/>
        <v>4100</v>
      </c>
      <c r="H7" s="321">
        <v>4200</v>
      </c>
      <c r="I7" s="321">
        <f t="shared" ref="I7:I17" si="1">G7-H7</f>
        <v>-100</v>
      </c>
    </row>
    <row r="8" spans="1:11" x14ac:dyDescent="0.25">
      <c r="A8" s="209" t="s">
        <v>258</v>
      </c>
      <c r="B8" s="5">
        <v>4</v>
      </c>
      <c r="C8" s="204"/>
      <c r="D8" s="324"/>
      <c r="E8" s="324"/>
      <c r="F8" s="323">
        <v>4000</v>
      </c>
      <c r="G8" s="226">
        <v>4000</v>
      </c>
      <c r="H8" s="321">
        <v>3000</v>
      </c>
      <c r="I8" s="321">
        <f t="shared" si="1"/>
        <v>1000</v>
      </c>
    </row>
    <row r="9" spans="1:11" x14ac:dyDescent="0.25">
      <c r="A9" s="209" t="s">
        <v>47</v>
      </c>
      <c r="B9" s="9">
        <v>5</v>
      </c>
      <c r="C9" s="204"/>
      <c r="D9" s="322">
        <v>8600</v>
      </c>
      <c r="E9" s="322">
        <v>300</v>
      </c>
      <c r="F9" s="323">
        <v>4000</v>
      </c>
      <c r="G9" s="226">
        <f t="shared" si="0"/>
        <v>12900</v>
      </c>
      <c r="H9" s="321">
        <f>4000+1000</f>
        <v>5000</v>
      </c>
      <c r="I9" s="321">
        <f t="shared" si="1"/>
        <v>7900</v>
      </c>
    </row>
    <row r="10" spans="1:11" x14ac:dyDescent="0.25">
      <c r="A10" s="209" t="s">
        <v>38</v>
      </c>
      <c r="B10" s="9">
        <v>6</v>
      </c>
      <c r="C10" s="204"/>
      <c r="D10" s="322"/>
      <c r="E10" s="322">
        <v>300</v>
      </c>
      <c r="F10" s="323">
        <v>4000</v>
      </c>
      <c r="G10" s="226">
        <f t="shared" si="0"/>
        <v>4300</v>
      </c>
      <c r="H10" s="321">
        <v>4300</v>
      </c>
      <c r="I10" s="321">
        <f t="shared" si="1"/>
        <v>0</v>
      </c>
    </row>
    <row r="11" spans="1:11" x14ac:dyDescent="0.25">
      <c r="A11" s="208" t="s">
        <v>39</v>
      </c>
      <c r="B11" s="9">
        <v>7</v>
      </c>
      <c r="C11" s="204"/>
      <c r="D11" s="322"/>
      <c r="E11" s="322">
        <v>300</v>
      </c>
      <c r="F11" s="323">
        <v>4000</v>
      </c>
      <c r="G11" s="226">
        <f t="shared" si="0"/>
        <v>4300</v>
      </c>
      <c r="H11" s="321">
        <v>4300</v>
      </c>
      <c r="I11" s="321">
        <f t="shared" si="1"/>
        <v>0</v>
      </c>
    </row>
    <row r="12" spans="1:11" x14ac:dyDescent="0.25">
      <c r="A12" s="209" t="s">
        <v>40</v>
      </c>
      <c r="B12" s="9">
        <v>8</v>
      </c>
      <c r="C12" s="204"/>
      <c r="D12" s="322"/>
      <c r="E12" s="322">
        <v>200</v>
      </c>
      <c r="F12" s="323">
        <v>4000</v>
      </c>
      <c r="G12" s="226">
        <f t="shared" si="0"/>
        <v>4200</v>
      </c>
      <c r="H12" s="321">
        <v>0</v>
      </c>
      <c r="I12" s="321">
        <f t="shared" si="1"/>
        <v>4200</v>
      </c>
    </row>
    <row r="13" spans="1:11" x14ac:dyDescent="0.25">
      <c r="A13" s="208" t="s">
        <v>160</v>
      </c>
      <c r="B13" s="5">
        <v>1</v>
      </c>
      <c r="C13" s="204"/>
      <c r="D13" s="322"/>
      <c r="E13" s="322">
        <v>100</v>
      </c>
      <c r="F13" s="323">
        <v>2500</v>
      </c>
      <c r="G13" s="226">
        <f t="shared" si="0"/>
        <v>2600</v>
      </c>
      <c r="H13" s="321">
        <v>4000</v>
      </c>
      <c r="I13" s="321">
        <f t="shared" si="1"/>
        <v>-1400</v>
      </c>
    </row>
    <row r="14" spans="1:11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2700</v>
      </c>
      <c r="I14" s="321">
        <f t="shared" si="1"/>
        <v>0</v>
      </c>
      <c r="K14">
        <f>H18+4300</f>
        <v>46000</v>
      </c>
    </row>
    <row r="15" spans="1:11" x14ac:dyDescent="0.25">
      <c r="A15" s="209" t="s">
        <v>247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3100</v>
      </c>
      <c r="I15" s="321">
        <f>G15-H15</f>
        <v>0</v>
      </c>
    </row>
    <row r="16" spans="1:11" x14ac:dyDescent="0.25">
      <c r="A16" s="208" t="s">
        <v>210</v>
      </c>
      <c r="B16" s="5">
        <v>4</v>
      </c>
      <c r="C16" s="204"/>
      <c r="D16" s="322"/>
      <c r="E16" s="322">
        <v>150</v>
      </c>
      <c r="F16" s="323">
        <v>2500</v>
      </c>
      <c r="G16" s="226">
        <f t="shared" si="0"/>
        <v>2650</v>
      </c>
      <c r="H16" s="321">
        <v>2500</v>
      </c>
      <c r="I16" s="321">
        <f>G16-H16</f>
        <v>150</v>
      </c>
    </row>
    <row r="17" spans="1:11" x14ac:dyDescent="0.25">
      <c r="A17" s="208" t="s">
        <v>211</v>
      </c>
      <c r="B17" s="5">
        <v>5</v>
      </c>
      <c r="C17" s="204"/>
      <c r="D17" s="322"/>
      <c r="E17" s="322"/>
      <c r="F17" s="323">
        <v>2500</v>
      </c>
      <c r="G17" s="226">
        <f t="shared" si="0"/>
        <v>2500</v>
      </c>
      <c r="H17" s="321">
        <v>2500</v>
      </c>
      <c r="I17" s="321">
        <f t="shared" si="1"/>
        <v>0</v>
      </c>
      <c r="J17" t="s">
        <v>142</v>
      </c>
    </row>
    <row r="18" spans="1:11" x14ac:dyDescent="0.25">
      <c r="A18" s="205"/>
      <c r="B18" s="205"/>
      <c r="C18" s="204"/>
      <c r="D18" s="320">
        <f t="shared" ref="D18:I18" si="2">SUM(D5:D17)</f>
        <v>12800</v>
      </c>
      <c r="E18" s="320">
        <f>SUM(E5:E17)</f>
        <v>2050</v>
      </c>
      <c r="F18" s="320">
        <f>SUM(F5:F17)</f>
        <v>45000</v>
      </c>
      <c r="G18" s="226">
        <f t="shared" si="2"/>
        <v>59850</v>
      </c>
      <c r="H18" s="321">
        <f t="shared" si="2"/>
        <v>41700</v>
      </c>
      <c r="I18" s="321">
        <f t="shared" si="2"/>
        <v>18150</v>
      </c>
    </row>
    <row r="19" spans="1:11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  <c r="J19" s="164"/>
      <c r="K19" s="164"/>
    </row>
    <row r="20" spans="1:11" x14ac:dyDescent="0.25">
      <c r="A20" s="174" t="s">
        <v>260</v>
      </c>
      <c r="B20" s="164"/>
      <c r="C20" s="325">
        <f>F18</f>
        <v>45000</v>
      </c>
      <c r="D20" s="326"/>
      <c r="E20" s="326"/>
      <c r="F20" s="256" t="s">
        <v>183</v>
      </c>
      <c r="G20" s="326"/>
      <c r="H20" s="325">
        <f>H18</f>
        <v>41700</v>
      </c>
      <c r="I20" s="326"/>
      <c r="J20" s="207"/>
      <c r="K20" s="207"/>
    </row>
    <row r="21" spans="1:11" x14ac:dyDescent="0.25">
      <c r="A21" s="174" t="s">
        <v>147</v>
      </c>
      <c r="B21" s="174"/>
      <c r="C21" s="327">
        <v>14721</v>
      </c>
      <c r="D21" s="243"/>
      <c r="E21" s="243"/>
      <c r="F21" s="256" t="s">
        <v>147</v>
      </c>
      <c r="G21" s="256"/>
      <c r="H21" s="327">
        <v>14721</v>
      </c>
      <c r="I21" s="243"/>
      <c r="J21" s="173"/>
      <c r="K21" s="173"/>
    </row>
    <row r="22" spans="1:11" ht="16.5" x14ac:dyDescent="0.35">
      <c r="A22" s="149" t="s">
        <v>176</v>
      </c>
      <c r="B22" s="149"/>
      <c r="C22" s="328">
        <f>SUM(C20:C21)</f>
        <v>59721</v>
      </c>
      <c r="D22" s="243"/>
      <c r="E22" s="246"/>
      <c r="F22" s="329" t="s">
        <v>176</v>
      </c>
      <c r="G22" s="329"/>
      <c r="H22" s="328">
        <f>SUM(H20:H21)</f>
        <v>56421</v>
      </c>
      <c r="I22" s="243"/>
      <c r="J22" s="37"/>
      <c r="K22" s="54"/>
    </row>
    <row r="23" spans="1:11" ht="16.5" x14ac:dyDescent="0.35">
      <c r="A23" s="174"/>
      <c r="B23" s="174"/>
      <c r="C23" s="330"/>
      <c r="D23" s="243"/>
      <c r="E23" s="243"/>
      <c r="F23" s="256"/>
      <c r="G23" s="256"/>
      <c r="H23" s="330"/>
      <c r="I23" s="256"/>
      <c r="J23" s="173"/>
      <c r="K23" s="173"/>
    </row>
    <row r="24" spans="1:11" x14ac:dyDescent="0.25">
      <c r="A24" s="45" t="s">
        <v>29</v>
      </c>
      <c r="B24" s="173"/>
      <c r="C24" s="331"/>
      <c r="D24" s="256"/>
      <c r="E24" s="243"/>
      <c r="F24" s="332" t="s">
        <v>29</v>
      </c>
      <c r="G24" s="243"/>
      <c r="H24" s="331"/>
      <c r="I24" s="339"/>
      <c r="J24" s="174"/>
      <c r="K24" s="173"/>
    </row>
    <row r="25" spans="1:11" x14ac:dyDescent="0.25">
      <c r="A25" s="174" t="s">
        <v>177</v>
      </c>
      <c r="B25" s="119">
        <v>7.0000000000000007E-2</v>
      </c>
      <c r="C25" s="333">
        <v>3150</v>
      </c>
      <c r="D25" s="243"/>
      <c r="E25" s="243"/>
      <c r="F25" s="256" t="s">
        <v>177</v>
      </c>
      <c r="G25" s="340">
        <v>7.0000000000000007E-2</v>
      </c>
      <c r="H25" s="333">
        <f>H20*G25</f>
        <v>2919.0000000000005</v>
      </c>
      <c r="I25" s="243"/>
      <c r="J25" s="37"/>
      <c r="K25" s="173"/>
    </row>
    <row r="26" spans="1:11" x14ac:dyDescent="0.25">
      <c r="A26" s="188" t="s">
        <v>245</v>
      </c>
      <c r="B26" s="173"/>
      <c r="C26" s="334">
        <v>2500</v>
      </c>
      <c r="D26" s="243"/>
      <c r="E26" s="243"/>
      <c r="F26" s="335" t="s">
        <v>245</v>
      </c>
      <c r="G26" s="243"/>
      <c r="H26" s="334">
        <v>2500</v>
      </c>
      <c r="I26" s="243"/>
      <c r="J26" s="173"/>
      <c r="K26" s="173"/>
    </row>
    <row r="27" spans="1:11" x14ac:dyDescent="0.25">
      <c r="A27" s="173" t="s">
        <v>261</v>
      </c>
      <c r="B27" s="173"/>
      <c r="C27" s="334">
        <v>25150</v>
      </c>
      <c r="D27" s="256"/>
      <c r="E27" s="331"/>
      <c r="F27" s="243" t="s">
        <v>261</v>
      </c>
      <c r="G27" s="243"/>
      <c r="H27" s="334">
        <v>25150</v>
      </c>
      <c r="I27" s="243"/>
      <c r="J27" s="174"/>
      <c r="K27" s="38"/>
    </row>
    <row r="28" spans="1:11" x14ac:dyDescent="0.25">
      <c r="A28" s="173" t="s">
        <v>262</v>
      </c>
      <c r="B28" s="173"/>
      <c r="C28" s="243">
        <v>11000</v>
      </c>
      <c r="D28" s="336"/>
      <c r="E28" s="246"/>
      <c r="F28" s="243" t="s">
        <v>266</v>
      </c>
      <c r="G28" s="243"/>
      <c r="H28" s="243">
        <v>11000</v>
      </c>
      <c r="I28" s="256"/>
      <c r="J28" s="139"/>
      <c r="K28" s="54"/>
    </row>
    <row r="29" spans="1:11" x14ac:dyDescent="0.25">
      <c r="A29" s="167" t="s">
        <v>56</v>
      </c>
      <c r="B29" s="173"/>
      <c r="C29" s="243">
        <f>SUM(C25:C28)</f>
        <v>41800</v>
      </c>
      <c r="D29" s="243"/>
      <c r="E29" s="246"/>
      <c r="F29" s="337" t="s">
        <v>56</v>
      </c>
      <c r="G29" s="243"/>
      <c r="H29" s="243">
        <f>SUM(H25:H28)</f>
        <v>41569</v>
      </c>
      <c r="I29" s="256"/>
      <c r="J29" s="37"/>
      <c r="K29" s="54"/>
    </row>
    <row r="30" spans="1:11" x14ac:dyDescent="0.25">
      <c r="A30" s="173"/>
      <c r="B30" s="173"/>
      <c r="C30" s="243"/>
      <c r="D30" s="243"/>
      <c r="E30" s="246"/>
      <c r="F30" s="243"/>
      <c r="G30" s="243"/>
      <c r="H30" s="243"/>
      <c r="I30" s="243"/>
      <c r="J30" s="173"/>
      <c r="K30" s="54"/>
    </row>
    <row r="31" spans="1:11" x14ac:dyDescent="0.25">
      <c r="A31" s="39" t="s">
        <v>199</v>
      </c>
      <c r="B31" s="91"/>
      <c r="C31" s="243">
        <f>C22-C29</f>
        <v>17921</v>
      </c>
      <c r="D31" s="243"/>
      <c r="E31" s="246"/>
      <c r="F31" s="335"/>
      <c r="G31" s="338"/>
      <c r="H31" s="243">
        <f>H22-H29</f>
        <v>14852</v>
      </c>
      <c r="I31" s="246"/>
      <c r="J31" s="37"/>
      <c r="K31" s="172"/>
    </row>
    <row r="32" spans="1:11" x14ac:dyDescent="0.25">
      <c r="A32" s="173"/>
      <c r="B32" s="173"/>
      <c r="C32" s="243"/>
      <c r="D32" s="243"/>
      <c r="E32" s="243"/>
      <c r="F32" s="243"/>
      <c r="G32" s="243"/>
      <c r="H32" s="243"/>
      <c r="I32" s="246"/>
      <c r="J32" s="173"/>
      <c r="K32" s="173"/>
    </row>
    <row r="33" spans="1:11" x14ac:dyDescent="0.25">
      <c r="A33" s="173"/>
      <c r="B33" s="174"/>
      <c r="C33" s="256"/>
      <c r="D33" s="243"/>
      <c r="E33" s="243"/>
      <c r="F33" s="243"/>
      <c r="G33" s="256"/>
      <c r="H33" s="256"/>
      <c r="I33" s="185"/>
      <c r="J33" s="173"/>
      <c r="K33" s="173"/>
    </row>
    <row r="34" spans="1:11" x14ac:dyDescent="0.25">
      <c r="A34" s="173"/>
      <c r="B34" s="174"/>
      <c r="C34" s="174"/>
      <c r="F34" s="173"/>
      <c r="G34" s="174"/>
      <c r="H34" s="174"/>
      <c r="I34" s="182"/>
      <c r="J34" s="173"/>
      <c r="K34" s="173"/>
    </row>
    <row r="35" spans="1:11" x14ac:dyDescent="0.25">
      <c r="A35" s="173"/>
      <c r="B35" s="174"/>
      <c r="C35" s="174"/>
      <c r="F35" s="173"/>
      <c r="G35" s="174"/>
      <c r="H35" s="174"/>
      <c r="I35" s="182"/>
      <c r="J35" s="173"/>
      <c r="K35" s="173"/>
    </row>
    <row r="36" spans="1:11" x14ac:dyDescent="0.25">
      <c r="A36" s="173" t="s">
        <v>321</v>
      </c>
      <c r="B36" s="173"/>
      <c r="C36" s="173"/>
      <c r="D36" s="173" t="s">
        <v>309</v>
      </c>
      <c r="E36" s="173"/>
      <c r="F36" s="174"/>
      <c r="G36" s="174"/>
      <c r="H36" s="175"/>
      <c r="I36" s="182"/>
      <c r="J36" s="173"/>
      <c r="K36" s="173"/>
    </row>
    <row r="37" spans="1:11" x14ac:dyDescent="0.25">
      <c r="A37" s="173"/>
      <c r="B37" s="173"/>
      <c r="C37" s="173"/>
      <c r="D37" s="173"/>
      <c r="E37" s="173"/>
    </row>
    <row r="38" spans="1:11" x14ac:dyDescent="0.25">
      <c r="A38" s="173" t="s">
        <v>141</v>
      </c>
      <c r="B38" s="173"/>
      <c r="C38" s="173"/>
      <c r="D38" s="173" t="s">
        <v>322</v>
      </c>
      <c r="E38" s="173"/>
    </row>
    <row r="39" spans="1:11" x14ac:dyDescent="0.25">
      <c r="A39" s="173"/>
      <c r="B39" s="173"/>
      <c r="C39" s="173"/>
      <c r="D39" s="173"/>
      <c r="E39" s="173"/>
    </row>
    <row r="40" spans="1:11" x14ac:dyDescent="0.25">
      <c r="D40" s="173"/>
    </row>
    <row r="41" spans="1:11" x14ac:dyDescent="0.25">
      <c r="D41" s="173"/>
    </row>
    <row r="42" spans="1:11" x14ac:dyDescent="0.25">
      <c r="D42" s="173"/>
    </row>
    <row r="43" spans="1:11" x14ac:dyDescent="0.25">
      <c r="D43" s="173"/>
    </row>
  </sheetData>
  <pageMargins left="0" right="0" top="0" bottom="0" header="0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52"/>
  <sheetViews>
    <sheetView workbookViewId="0">
      <selection activeCell="B13" sqref="B13:E15"/>
    </sheetView>
  </sheetViews>
  <sheetFormatPr defaultRowHeight="12.75" customHeight="1" x14ac:dyDescent="0.25"/>
  <cols>
    <col min="1" max="1" width="14.140625" style="48" customWidth="1"/>
    <col min="2" max="2" width="9.140625" style="48"/>
    <col min="3" max="3" width="10.5703125" style="48" customWidth="1"/>
    <col min="4" max="7" width="9.140625" style="48"/>
    <col min="8" max="8" width="11.42578125" style="48" customWidth="1"/>
    <col min="9" max="9" width="12.28515625" style="48" customWidth="1"/>
    <col min="10" max="16384" width="9.140625" style="48"/>
  </cols>
  <sheetData>
    <row r="13" spans="1:10" ht="12.75" customHeight="1" x14ac:dyDescent="0.25">
      <c r="B13" s="318" t="s">
        <v>319</v>
      </c>
      <c r="C13" s="318"/>
      <c r="D13" s="173"/>
    </row>
    <row r="14" spans="1:10" ht="12.75" customHeight="1" x14ac:dyDescent="0.25">
      <c r="A14" s="95"/>
      <c r="B14" s="319" t="s">
        <v>293</v>
      </c>
      <c r="C14" s="319"/>
      <c r="D14" s="162"/>
      <c r="E14" s="44"/>
      <c r="F14" s="173"/>
      <c r="G14" s="173"/>
      <c r="H14" s="173"/>
      <c r="I14" s="173"/>
      <c r="J14" s="173"/>
    </row>
    <row r="15" spans="1:10" ht="12.75" customHeight="1" x14ac:dyDescent="0.25">
      <c r="A15" s="28"/>
      <c r="B15" s="319" t="s">
        <v>329</v>
      </c>
      <c r="C15" s="319"/>
      <c r="D15" s="28"/>
      <c r="E15" s="173"/>
      <c r="F15" s="173"/>
      <c r="G15" s="173"/>
      <c r="H15" s="173"/>
      <c r="I15" s="173"/>
      <c r="J15" s="173"/>
    </row>
    <row r="16" spans="1:10" ht="12.75" customHeight="1" x14ac:dyDescent="0.25">
      <c r="A16" s="59" t="s">
        <v>0</v>
      </c>
      <c r="B16" s="72" t="s">
        <v>1</v>
      </c>
      <c r="C16" s="59" t="s">
        <v>159</v>
      </c>
      <c r="D16" s="59" t="s">
        <v>12</v>
      </c>
      <c r="E16" s="59" t="s">
        <v>115</v>
      </c>
      <c r="F16" s="59" t="s">
        <v>2</v>
      </c>
      <c r="G16" s="60" t="s">
        <v>13</v>
      </c>
      <c r="H16" s="60" t="s">
        <v>3</v>
      </c>
      <c r="I16" s="60" t="s">
        <v>27</v>
      </c>
      <c r="J16" s="173"/>
    </row>
    <row r="17" spans="1:10" ht="12.75" customHeight="1" x14ac:dyDescent="0.25">
      <c r="A17" s="208" t="s">
        <v>248</v>
      </c>
      <c r="B17" s="5">
        <v>1</v>
      </c>
      <c r="C17" s="6" t="s">
        <v>89</v>
      </c>
      <c r="D17" s="322">
        <v>6400</v>
      </c>
      <c r="E17" s="322">
        <v>200</v>
      </c>
      <c r="F17" s="226"/>
      <c r="G17" s="226">
        <f>SUM(D17:F17)</f>
        <v>6600</v>
      </c>
      <c r="H17" s="321"/>
      <c r="I17" s="321">
        <f>G17-H17</f>
        <v>6600</v>
      </c>
      <c r="J17" s="173"/>
    </row>
    <row r="18" spans="1:10" ht="12.75" customHeight="1" x14ac:dyDescent="0.25">
      <c r="A18" s="208" t="s">
        <v>249</v>
      </c>
      <c r="B18" s="5">
        <v>2</v>
      </c>
      <c r="C18" s="204"/>
      <c r="D18" s="322"/>
      <c r="E18" s="322">
        <v>100</v>
      </c>
      <c r="F18" s="226">
        <v>4000</v>
      </c>
      <c r="G18" s="226">
        <f t="shared" ref="G18:G29" si="0">SUM(D18:F18)</f>
        <v>4100</v>
      </c>
      <c r="H18" s="321">
        <v>4100</v>
      </c>
      <c r="I18" s="321">
        <f>G18-H18</f>
        <v>0</v>
      </c>
      <c r="J18" s="173"/>
    </row>
    <row r="19" spans="1:10" ht="12.75" customHeight="1" x14ac:dyDescent="0.25">
      <c r="A19" s="208" t="s">
        <v>155</v>
      </c>
      <c r="B19" s="5">
        <v>3</v>
      </c>
      <c r="C19" s="204"/>
      <c r="D19" s="322"/>
      <c r="E19" s="322">
        <v>100</v>
      </c>
      <c r="F19" s="323">
        <v>4000</v>
      </c>
      <c r="G19" s="226">
        <f t="shared" si="0"/>
        <v>4100</v>
      </c>
      <c r="H19" s="321">
        <v>4200</v>
      </c>
      <c r="I19" s="321"/>
      <c r="J19" s="173"/>
    </row>
    <row r="20" spans="1:10" ht="12.75" customHeight="1" x14ac:dyDescent="0.25">
      <c r="A20" s="209" t="s">
        <v>258</v>
      </c>
      <c r="B20" s="5">
        <v>4</v>
      </c>
      <c r="C20" s="204"/>
      <c r="D20" s="324">
        <v>1000</v>
      </c>
      <c r="E20" s="324">
        <v>100</v>
      </c>
      <c r="F20" s="323">
        <v>4000</v>
      </c>
      <c r="G20" s="226">
        <f t="shared" si="0"/>
        <v>5100</v>
      </c>
      <c r="H20" s="321">
        <v>2800</v>
      </c>
      <c r="I20" s="321">
        <f t="shared" ref="I20:I29" si="1">G20-H20</f>
        <v>2300</v>
      </c>
      <c r="J20" s="173"/>
    </row>
    <row r="21" spans="1:10" ht="12.75" customHeight="1" x14ac:dyDescent="0.25">
      <c r="A21" s="209" t="s">
        <v>47</v>
      </c>
      <c r="B21" s="9">
        <v>5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4000</v>
      </c>
      <c r="I21" s="321">
        <f t="shared" si="1"/>
        <v>300</v>
      </c>
      <c r="J21" s="173"/>
    </row>
    <row r="22" spans="1:10" ht="12.75" customHeight="1" x14ac:dyDescent="0.25">
      <c r="A22" s="209" t="s">
        <v>38</v>
      </c>
      <c r="B22" s="9">
        <v>6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  <c r="J22" s="173"/>
    </row>
    <row r="23" spans="1:10" ht="12.75" customHeight="1" x14ac:dyDescent="0.25">
      <c r="A23" s="208" t="s">
        <v>39</v>
      </c>
      <c r="B23" s="9">
        <v>7</v>
      </c>
      <c r="C23" s="204"/>
      <c r="D23" s="322"/>
      <c r="E23" s="322">
        <v>300</v>
      </c>
      <c r="F23" s="323">
        <v>4000</v>
      </c>
      <c r="G23" s="226">
        <f t="shared" si="0"/>
        <v>4300</v>
      </c>
      <c r="H23" s="321">
        <v>4300</v>
      </c>
      <c r="I23" s="321" t="s">
        <v>89</v>
      </c>
      <c r="J23" s="173"/>
    </row>
    <row r="24" spans="1:10" ht="12.75" customHeight="1" x14ac:dyDescent="0.25">
      <c r="A24" s="209" t="s">
        <v>40</v>
      </c>
      <c r="B24" s="9">
        <v>8</v>
      </c>
      <c r="C24" s="204"/>
      <c r="D24" s="322"/>
      <c r="E24" s="322">
        <v>200</v>
      </c>
      <c r="F24" s="323">
        <v>4000</v>
      </c>
      <c r="G24" s="226">
        <f t="shared" si="0"/>
        <v>4200</v>
      </c>
      <c r="H24" s="321">
        <v>4200</v>
      </c>
      <c r="I24" s="321">
        <f t="shared" si="1"/>
        <v>0</v>
      </c>
      <c r="J24" s="173"/>
    </row>
    <row r="25" spans="1:10" ht="12.75" customHeight="1" x14ac:dyDescent="0.25">
      <c r="A25" s="208" t="s">
        <v>160</v>
      </c>
      <c r="B25" s="5">
        <v>1</v>
      </c>
      <c r="C25" s="204"/>
      <c r="D25" s="322"/>
      <c r="E25" s="322">
        <v>100</v>
      </c>
      <c r="F25" s="323">
        <v>2500</v>
      </c>
      <c r="G25" s="226">
        <f t="shared" si="0"/>
        <v>2600</v>
      </c>
      <c r="H25" s="321"/>
      <c r="I25" s="321">
        <f t="shared" si="1"/>
        <v>2600</v>
      </c>
      <c r="J25" s="173"/>
    </row>
    <row r="26" spans="1:10" ht="12.75" customHeight="1" x14ac:dyDescent="0.25">
      <c r="A26" s="208" t="s">
        <v>212</v>
      </c>
      <c r="B26" s="5">
        <v>2</v>
      </c>
      <c r="C26" s="204"/>
      <c r="D26" s="322"/>
      <c r="E26" s="322">
        <v>200</v>
      </c>
      <c r="F26" s="323">
        <v>2500</v>
      </c>
      <c r="G26" s="226">
        <f t="shared" si="0"/>
        <v>2700</v>
      </c>
      <c r="H26" s="321">
        <v>2700</v>
      </c>
      <c r="I26" s="321">
        <f t="shared" si="1"/>
        <v>0</v>
      </c>
      <c r="J26" s="173"/>
    </row>
    <row r="27" spans="1:10" ht="12.75" customHeight="1" x14ac:dyDescent="0.25">
      <c r="A27" s="209" t="s">
        <v>247</v>
      </c>
      <c r="B27" s="5"/>
      <c r="C27" s="204"/>
      <c r="D27" s="322"/>
      <c r="E27" s="322">
        <v>100</v>
      </c>
      <c r="F27" s="323">
        <v>3000</v>
      </c>
      <c r="G27" s="226">
        <f t="shared" si="0"/>
        <v>3100</v>
      </c>
      <c r="H27" s="321">
        <v>3000</v>
      </c>
      <c r="I27" s="321">
        <f>G27-H27</f>
        <v>100</v>
      </c>
      <c r="J27" s="173"/>
    </row>
    <row r="28" spans="1:10" ht="12.75" customHeight="1" x14ac:dyDescent="0.25">
      <c r="A28" s="208" t="s">
        <v>210</v>
      </c>
      <c r="B28" s="5">
        <v>4</v>
      </c>
      <c r="C28" s="204"/>
      <c r="D28" s="322"/>
      <c r="E28" s="322">
        <v>150</v>
      </c>
      <c r="F28" s="323">
        <v>2500</v>
      </c>
      <c r="G28" s="226">
        <f t="shared" si="0"/>
        <v>2650</v>
      </c>
      <c r="H28" s="321">
        <v>2500</v>
      </c>
      <c r="I28" s="321">
        <f>G28-H28</f>
        <v>150</v>
      </c>
      <c r="J28" s="173"/>
    </row>
    <row r="29" spans="1:10" ht="12.75" customHeight="1" x14ac:dyDescent="0.25">
      <c r="A29" s="208" t="s">
        <v>211</v>
      </c>
      <c r="B29" s="5">
        <v>5</v>
      </c>
      <c r="C29" s="204"/>
      <c r="D29" s="322"/>
      <c r="E29" s="322"/>
      <c r="F29" s="323">
        <v>2500</v>
      </c>
      <c r="G29" s="226">
        <f t="shared" si="0"/>
        <v>2500</v>
      </c>
      <c r="H29" s="321">
        <v>2500</v>
      </c>
      <c r="I29" s="321">
        <f t="shared" si="1"/>
        <v>0</v>
      </c>
      <c r="J29" s="173" t="s">
        <v>142</v>
      </c>
    </row>
    <row r="30" spans="1:10" ht="12.75" customHeight="1" x14ac:dyDescent="0.25">
      <c r="A30" s="205"/>
      <c r="B30" s="205"/>
      <c r="C30" s="204"/>
      <c r="D30" s="320">
        <f t="shared" ref="D30:I30" si="2">SUM(D17:D29)</f>
        <v>7400</v>
      </c>
      <c r="E30" s="320">
        <f>SUM(E17:E29)</f>
        <v>2150</v>
      </c>
      <c r="F30" s="320">
        <f>SUM(F17:F29)</f>
        <v>41000</v>
      </c>
      <c r="G30" s="226">
        <f t="shared" si="2"/>
        <v>50550</v>
      </c>
      <c r="H30" s="321">
        <f>SUM(H17:H29)</f>
        <v>38600</v>
      </c>
      <c r="I30" s="321">
        <f t="shared" si="2"/>
        <v>12050</v>
      </c>
      <c r="J30" s="173"/>
    </row>
    <row r="31" spans="1:10" ht="12.75" customHeight="1" x14ac:dyDescent="0.25">
      <c r="A31" s="68" t="s">
        <v>30</v>
      </c>
      <c r="B31" s="164"/>
      <c r="C31" s="164"/>
      <c r="D31" s="164"/>
      <c r="E31" s="164"/>
      <c r="F31" s="68" t="s">
        <v>30</v>
      </c>
      <c r="G31" s="164"/>
      <c r="H31" s="164"/>
      <c r="I31" s="164"/>
      <c r="J31" s="164"/>
    </row>
    <row r="32" spans="1:10" ht="12.75" customHeight="1" x14ac:dyDescent="0.25">
      <c r="A32" s="174" t="s">
        <v>260</v>
      </c>
      <c r="B32" s="164"/>
      <c r="C32" s="36">
        <f>F30</f>
        <v>41000</v>
      </c>
      <c r="D32" s="207"/>
      <c r="E32" s="207"/>
      <c r="F32" s="174" t="s">
        <v>183</v>
      </c>
      <c r="G32" s="164"/>
      <c r="H32" s="36">
        <f>H30</f>
        <v>38600</v>
      </c>
      <c r="I32" s="164"/>
      <c r="J32" s="207"/>
    </row>
    <row r="33" spans="1:10" ht="12.75" customHeight="1" x14ac:dyDescent="0.25">
      <c r="A33" s="174" t="s">
        <v>147</v>
      </c>
      <c r="B33" s="174"/>
      <c r="C33" s="41">
        <f>'JULY 2017'!C31</f>
        <v>17921</v>
      </c>
      <c r="D33" s="173"/>
      <c r="E33" s="173"/>
      <c r="F33" s="174" t="s">
        <v>147</v>
      </c>
      <c r="G33" s="174"/>
      <c r="H33" s="41">
        <f>'JULY 2017'!H31</f>
        <v>14852</v>
      </c>
      <c r="I33" s="173"/>
      <c r="J33" s="173"/>
    </row>
    <row r="34" spans="1:10" ht="12.75" customHeight="1" x14ac:dyDescent="0.35">
      <c r="A34" s="149" t="s">
        <v>176</v>
      </c>
      <c r="B34" s="149"/>
      <c r="C34" s="168">
        <f>SUM(C32:C33)</f>
        <v>58921</v>
      </c>
      <c r="D34" s="37"/>
      <c r="E34" s="54"/>
      <c r="F34" s="149" t="s">
        <v>176</v>
      </c>
      <c r="G34" s="149"/>
      <c r="H34" s="168">
        <f>SUM(H32:H33)</f>
        <v>53452</v>
      </c>
      <c r="I34" s="173"/>
      <c r="J34" s="37"/>
    </row>
    <row r="35" spans="1:10" ht="12.75" customHeight="1" x14ac:dyDescent="0.35">
      <c r="A35" s="174"/>
      <c r="B35" s="174"/>
      <c r="C35" s="67"/>
      <c r="D35" s="173"/>
      <c r="E35" s="173"/>
      <c r="F35" s="174"/>
      <c r="G35" s="174"/>
      <c r="H35" s="67"/>
      <c r="I35" s="174"/>
      <c r="J35" s="173"/>
    </row>
    <row r="36" spans="1:10" ht="12.75" customHeight="1" x14ac:dyDescent="0.25">
      <c r="A36" s="45" t="s">
        <v>29</v>
      </c>
      <c r="B36" s="173"/>
      <c r="C36" s="38"/>
      <c r="D36" s="174"/>
      <c r="E36" s="173"/>
      <c r="F36" s="45" t="s">
        <v>29</v>
      </c>
      <c r="G36" s="173"/>
      <c r="H36" s="38"/>
      <c r="I36" s="17"/>
      <c r="J36" s="174"/>
    </row>
    <row r="37" spans="1:10" ht="12.75" customHeight="1" x14ac:dyDescent="0.25">
      <c r="A37" s="174" t="s">
        <v>177</v>
      </c>
      <c r="B37" s="119">
        <v>7.0000000000000007E-2</v>
      </c>
      <c r="C37" s="333">
        <f>C32*B37</f>
        <v>2870.0000000000005</v>
      </c>
      <c r="D37" s="37"/>
      <c r="E37" s="173"/>
      <c r="F37" s="174" t="s">
        <v>177</v>
      </c>
      <c r="G37" s="119">
        <v>7.0000000000000007E-2</v>
      </c>
      <c r="H37" s="333">
        <f>H32*G37</f>
        <v>2702.0000000000005</v>
      </c>
      <c r="I37" s="173"/>
      <c r="J37" s="37"/>
    </row>
    <row r="38" spans="1:10" ht="12.75" customHeight="1" x14ac:dyDescent="0.25">
      <c r="A38" s="188" t="s">
        <v>245</v>
      </c>
      <c r="B38" s="173"/>
      <c r="C38" s="334">
        <v>2500</v>
      </c>
      <c r="D38" s="173"/>
      <c r="E38" s="173"/>
      <c r="F38" s="188" t="s">
        <v>245</v>
      </c>
      <c r="G38" s="173"/>
      <c r="H38" s="334">
        <v>2500</v>
      </c>
      <c r="I38" s="173"/>
      <c r="J38" s="173"/>
    </row>
    <row r="39" spans="1:10" ht="12.75" customHeight="1" x14ac:dyDescent="0.25">
      <c r="A39" s="173" t="s">
        <v>263</v>
      </c>
      <c r="B39" s="173"/>
      <c r="C39" s="334">
        <v>15310</v>
      </c>
      <c r="D39" s="174"/>
      <c r="E39" s="38"/>
      <c r="F39" s="173" t="s">
        <v>263</v>
      </c>
      <c r="G39" s="173"/>
      <c r="H39" s="334">
        <v>15310</v>
      </c>
      <c r="I39" s="173"/>
      <c r="J39" s="174"/>
    </row>
    <row r="40" spans="1:10" ht="12.75" customHeight="1" x14ac:dyDescent="0.25">
      <c r="A40" s="173" t="s">
        <v>264</v>
      </c>
      <c r="B40" s="173"/>
      <c r="C40" s="243">
        <v>17610</v>
      </c>
      <c r="D40" s="139"/>
      <c r="E40" s="54"/>
      <c r="F40" s="173" t="s">
        <v>264</v>
      </c>
      <c r="G40" s="173"/>
      <c r="H40" s="243">
        <v>17610</v>
      </c>
      <c r="I40" s="53"/>
      <c r="J40" s="139"/>
    </row>
    <row r="41" spans="1:10" ht="12.75" customHeight="1" x14ac:dyDescent="0.25">
      <c r="A41" s="173" t="s">
        <v>265</v>
      </c>
      <c r="B41" s="173"/>
      <c r="C41" s="243">
        <v>20000</v>
      </c>
      <c r="D41" s="139"/>
      <c r="E41" s="54"/>
      <c r="F41" s="173" t="s">
        <v>265</v>
      </c>
      <c r="G41" s="173"/>
      <c r="H41" s="243">
        <v>20000</v>
      </c>
      <c r="I41" s="53"/>
      <c r="J41" s="139"/>
    </row>
    <row r="42" spans="1:10" ht="12.75" customHeight="1" x14ac:dyDescent="0.25">
      <c r="A42" s="167"/>
      <c r="B42" s="173"/>
      <c r="C42" s="243">
        <f>SUM(C38:C41)</f>
        <v>55420</v>
      </c>
      <c r="D42" s="37"/>
      <c r="E42" s="54"/>
      <c r="F42" s="167"/>
      <c r="G42" s="173"/>
      <c r="H42" s="243">
        <f>SUM(H37:H41)</f>
        <v>58122</v>
      </c>
      <c r="I42" s="53"/>
      <c r="J42" s="37"/>
    </row>
    <row r="43" spans="1:10" ht="12.75" customHeight="1" x14ac:dyDescent="0.25">
      <c r="A43" s="173"/>
      <c r="B43" s="173"/>
      <c r="C43" s="173"/>
      <c r="D43" s="173"/>
      <c r="E43" s="54"/>
      <c r="F43" s="173"/>
      <c r="G43" s="173"/>
      <c r="H43" s="243"/>
      <c r="I43" s="173"/>
      <c r="J43" s="173"/>
    </row>
    <row r="44" spans="1:10" ht="12.75" customHeight="1" x14ac:dyDescent="0.25">
      <c r="A44" s="39" t="s">
        <v>199</v>
      </c>
      <c r="B44" s="91"/>
      <c r="C44" s="37">
        <f>C34-C42</f>
        <v>3501</v>
      </c>
      <c r="D44" s="37"/>
      <c r="E44" s="172"/>
      <c r="F44" s="39"/>
      <c r="G44" s="91"/>
      <c r="H44" s="37"/>
      <c r="I44" s="54"/>
      <c r="J44" s="37"/>
    </row>
    <row r="45" spans="1:10" ht="12.75" customHeight="1" x14ac:dyDescent="0.25">
      <c r="A45" s="173"/>
      <c r="B45" s="173"/>
      <c r="C45" s="173"/>
      <c r="D45" s="173"/>
      <c r="E45" s="173"/>
      <c r="F45" s="173"/>
      <c r="G45" s="173"/>
      <c r="H45" s="173"/>
      <c r="I45" s="172"/>
      <c r="J45" s="173"/>
    </row>
    <row r="46" spans="1:10" ht="12.75" customHeight="1" x14ac:dyDescent="0.25">
      <c r="E46" s="173"/>
      <c r="F46" s="173"/>
      <c r="G46" s="174"/>
      <c r="H46" s="174"/>
      <c r="I46" s="185"/>
      <c r="J46" s="173"/>
    </row>
    <row r="47" spans="1:10" ht="12.75" customHeight="1" x14ac:dyDescent="0.25">
      <c r="G47" s="174"/>
      <c r="H47" s="174"/>
      <c r="I47" s="182"/>
      <c r="J47" s="173"/>
    </row>
    <row r="48" spans="1:10" ht="12.75" customHeight="1" x14ac:dyDescent="0.25">
      <c r="A48" s="173" t="s">
        <v>321</v>
      </c>
      <c r="B48" s="173"/>
      <c r="C48" s="173"/>
      <c r="D48" s="173" t="s">
        <v>309</v>
      </c>
      <c r="E48" s="173"/>
      <c r="G48" s="174"/>
      <c r="H48" s="174"/>
      <c r="I48" s="182"/>
      <c r="J48" s="173"/>
    </row>
    <row r="49" spans="1:10" ht="12.75" customHeight="1" x14ac:dyDescent="0.25">
      <c r="A49" s="173"/>
      <c r="B49" s="173"/>
      <c r="C49" s="173"/>
      <c r="D49" s="173"/>
      <c r="E49" s="173"/>
      <c r="G49" s="174"/>
      <c r="H49" s="175"/>
      <c r="I49" s="182"/>
      <c r="J49" s="173"/>
    </row>
    <row r="50" spans="1:10" ht="12.75" customHeight="1" x14ac:dyDescent="0.25">
      <c r="A50" s="173" t="s">
        <v>141</v>
      </c>
      <c r="B50" s="173"/>
      <c r="C50" s="173"/>
      <c r="D50" s="173" t="s">
        <v>322</v>
      </c>
      <c r="E50" s="173"/>
      <c r="G50" s="173"/>
      <c r="H50" s="173"/>
      <c r="I50" s="173"/>
      <c r="J50" s="173"/>
    </row>
    <row r="51" spans="1:10" ht="12.75" customHeight="1" x14ac:dyDescent="0.25">
      <c r="A51" s="173"/>
      <c r="B51" s="173"/>
      <c r="C51" s="173"/>
      <c r="E51" s="173"/>
      <c r="F51" s="173"/>
      <c r="G51" s="173"/>
      <c r="H51" s="173"/>
      <c r="I51" s="173"/>
      <c r="J51" s="173"/>
    </row>
    <row r="52" spans="1:10" ht="12.75" customHeight="1" x14ac:dyDescent="0.25">
      <c r="A52" s="173"/>
      <c r="B52" s="173"/>
      <c r="C52" s="173"/>
      <c r="D52" s="173"/>
      <c r="E52" s="173"/>
      <c r="F52" s="173"/>
      <c r="G52" s="173"/>
      <c r="H52" s="173"/>
      <c r="I52" s="173"/>
      <c r="J52" s="173"/>
    </row>
  </sheetData>
  <pageMargins left="0" right="0" top="0" bottom="0" header="0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14" sqref="I14"/>
    </sheetView>
  </sheetViews>
  <sheetFormatPr defaultRowHeight="15" x14ac:dyDescent="0.25"/>
  <cols>
    <col min="1" max="1" width="14" customWidth="1"/>
    <col min="2" max="2" width="3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83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500</v>
      </c>
      <c r="K8" s="7">
        <v>4500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600</v>
      </c>
      <c r="F10" s="74">
        <v>300</v>
      </c>
      <c r="G10" s="7">
        <v>4000</v>
      </c>
      <c r="H10" s="7">
        <f>SUM(E10:G10)</f>
        <v>4900</v>
      </c>
      <c r="I10" s="7">
        <v>4000</v>
      </c>
      <c r="J10" s="7"/>
      <c r="K10" s="7">
        <v>4000</v>
      </c>
      <c r="L10" s="6"/>
      <c r="M10" s="7">
        <v>900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300</v>
      </c>
      <c r="G12" s="7">
        <v>4000</v>
      </c>
      <c r="H12" s="7">
        <v>4300</v>
      </c>
      <c r="I12" s="7">
        <v>4000</v>
      </c>
      <c r="J12" s="7">
        <v>300</v>
      </c>
      <c r="K12" s="7">
        <v>4300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300</v>
      </c>
      <c r="K13" s="7">
        <v>4000</v>
      </c>
      <c r="L13" s="10"/>
      <c r="M13" s="5">
        <v>500</v>
      </c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12700</v>
      </c>
      <c r="F14" s="74"/>
      <c r="G14" s="7">
        <v>4000</v>
      </c>
      <c r="H14" s="7">
        <f>SUM(E14:G14)</f>
        <v>16700</v>
      </c>
      <c r="I14" s="7"/>
      <c r="J14" s="7"/>
      <c r="K14" s="7"/>
      <c r="L14" s="62"/>
      <c r="M14" s="64">
        <f>SUM(H14-I14)</f>
        <v>16700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>
        <v>200</v>
      </c>
      <c r="K15" s="7">
        <v>4200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200</v>
      </c>
      <c r="K17" s="7">
        <v>5200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200</v>
      </c>
      <c r="K18" s="7">
        <v>3300</v>
      </c>
      <c r="L18" s="63"/>
      <c r="M18" s="62"/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500</v>
      </c>
      <c r="K19" s="7">
        <v>3000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75400</v>
      </c>
      <c r="I20" s="71">
        <f t="shared" si="0"/>
        <v>40500</v>
      </c>
      <c r="J20" s="78">
        <f t="shared" si="0"/>
        <v>3300</v>
      </c>
      <c r="K20" s="78">
        <f t="shared" si="0"/>
        <v>44100</v>
      </c>
      <c r="L20" s="69"/>
      <c r="M20" s="78">
        <f>SUM(M8:M19)</f>
        <v>32400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>
        <f>SUM(G8:G19)</f>
        <v>44500</v>
      </c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84</v>
      </c>
      <c r="B22" s="1"/>
      <c r="C22" s="1"/>
      <c r="D22" s="36">
        <v>36500</v>
      </c>
      <c r="E22" s="1"/>
      <c r="F22" s="1"/>
      <c r="G22" s="1"/>
      <c r="H22" s="1"/>
      <c r="I22" s="1"/>
      <c r="J22" s="1"/>
      <c r="K22" s="37"/>
      <c r="L22" s="1"/>
      <c r="M22" s="1"/>
      <c r="N22" s="1"/>
    </row>
    <row r="23" spans="1:14" x14ac:dyDescent="0.25">
      <c r="A23" s="2" t="s">
        <v>77</v>
      </c>
      <c r="B23" s="2"/>
      <c r="C23" s="38"/>
      <c r="D23" s="41">
        <v>3100</v>
      </c>
      <c r="E23" s="1"/>
      <c r="F23" s="1"/>
      <c r="G23" s="1"/>
      <c r="H23" s="1"/>
      <c r="I23" s="1"/>
      <c r="J23" s="1"/>
      <c r="K23" s="1"/>
      <c r="L23" s="1"/>
      <c r="M23" s="1"/>
      <c r="N23" s="54"/>
    </row>
    <row r="24" spans="1:14" ht="16.5" x14ac:dyDescent="0.35">
      <c r="A24" s="2" t="s">
        <v>62</v>
      </c>
      <c r="B24" s="2"/>
      <c r="C24" s="38"/>
      <c r="D24" s="67">
        <f>SUM(D22:D23)</f>
        <v>39600</v>
      </c>
      <c r="E24" s="1"/>
      <c r="F24" s="1"/>
      <c r="G24" s="1"/>
      <c r="H24" s="1"/>
      <c r="I24" s="1"/>
      <c r="J24" s="1"/>
      <c r="K24" s="1"/>
      <c r="L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2555.0000000000005</v>
      </c>
      <c r="E26" s="1"/>
      <c r="F26" s="1"/>
      <c r="G26" s="53"/>
      <c r="H26" s="53"/>
      <c r="I26" s="1"/>
      <c r="J26" s="1"/>
      <c r="K26" s="1"/>
      <c r="L26" s="1"/>
      <c r="M26" s="1"/>
      <c r="N26" s="1"/>
    </row>
    <row r="27" spans="1:14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 t="s">
        <v>76</v>
      </c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2555.0000000000005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ht="15.75" x14ac:dyDescent="0.25">
      <c r="A31" s="55" t="s">
        <v>27</v>
      </c>
      <c r="B31" s="2"/>
      <c r="C31" s="2"/>
      <c r="D31" s="84">
        <f>SUM(D24-D29)</f>
        <v>37045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28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2" sqref="C12:F14"/>
    </sheetView>
  </sheetViews>
  <sheetFormatPr defaultRowHeight="15" x14ac:dyDescent="0.25"/>
  <cols>
    <col min="1" max="1" width="14" customWidth="1"/>
    <col min="3" max="3" width="12.42578125" customWidth="1"/>
    <col min="8" max="8" width="11.140625" customWidth="1"/>
    <col min="9" max="9" width="10.28515625" customWidth="1"/>
  </cols>
  <sheetData>
    <row r="1" spans="1:9" s="173" customFormat="1" x14ac:dyDescent="0.25"/>
    <row r="2" spans="1:9" s="173" customFormat="1" x14ac:dyDescent="0.25"/>
    <row r="3" spans="1:9" s="173" customFormat="1" x14ac:dyDescent="0.25"/>
    <row r="4" spans="1:9" s="173" customFormat="1" x14ac:dyDescent="0.25"/>
    <row r="5" spans="1:9" s="173" customFormat="1" x14ac:dyDescent="0.25"/>
    <row r="6" spans="1:9" s="173" customFormat="1" x14ac:dyDescent="0.25"/>
    <row r="7" spans="1:9" s="173" customFormat="1" x14ac:dyDescent="0.25"/>
    <row r="8" spans="1:9" s="173" customFormat="1" x14ac:dyDescent="0.25"/>
    <row r="9" spans="1:9" s="173" customFormat="1" x14ac:dyDescent="0.25"/>
    <row r="10" spans="1:9" s="173" customFormat="1" x14ac:dyDescent="0.25"/>
    <row r="11" spans="1:9" s="173" customFormat="1" x14ac:dyDescent="0.25"/>
    <row r="12" spans="1:9" s="173" customFormat="1" ht="15.75" x14ac:dyDescent="0.25">
      <c r="C12" s="318" t="s">
        <v>319</v>
      </c>
      <c r="D12" s="318"/>
      <c r="F12" s="48"/>
    </row>
    <row r="13" spans="1:9" ht="15.75" x14ac:dyDescent="0.25">
      <c r="A13" s="95"/>
      <c r="B13" s="95"/>
      <c r="C13" s="319" t="s">
        <v>293</v>
      </c>
      <c r="D13" s="319"/>
      <c r="E13" s="162"/>
      <c r="F13" s="44"/>
      <c r="G13" s="173"/>
      <c r="H13" s="173"/>
      <c r="I13" s="173"/>
    </row>
    <row r="14" spans="1:9" ht="15.75" x14ac:dyDescent="0.25">
      <c r="A14" s="28"/>
      <c r="B14" s="28"/>
      <c r="C14" s="319" t="s">
        <v>330</v>
      </c>
      <c r="D14" s="319"/>
      <c r="E14" s="28"/>
      <c r="F14" s="173"/>
      <c r="G14" s="173"/>
      <c r="H14" s="173"/>
      <c r="I14" s="173"/>
    </row>
    <row r="15" spans="1:9" x14ac:dyDescent="0.25">
      <c r="A15" s="59" t="s">
        <v>0</v>
      </c>
      <c r="B15" s="72" t="s">
        <v>1</v>
      </c>
      <c r="C15" s="59" t="s">
        <v>284</v>
      </c>
      <c r="D15" s="59" t="s">
        <v>12</v>
      </c>
      <c r="E15" s="59" t="s">
        <v>115</v>
      </c>
      <c r="F15" s="59" t="s">
        <v>2</v>
      </c>
      <c r="G15" s="60" t="s">
        <v>13</v>
      </c>
      <c r="H15" s="60" t="s">
        <v>3</v>
      </c>
      <c r="I15" s="60" t="s">
        <v>27</v>
      </c>
    </row>
    <row r="16" spans="1:9" x14ac:dyDescent="0.25">
      <c r="A16" s="208" t="s">
        <v>248</v>
      </c>
      <c r="B16" s="5">
        <v>1</v>
      </c>
      <c r="C16" s="6" t="s">
        <v>89</v>
      </c>
      <c r="D16" s="322">
        <v>10600</v>
      </c>
      <c r="E16" s="322"/>
      <c r="F16" s="226"/>
      <c r="G16" s="226">
        <f>SUM(D16:F16)</f>
        <v>10600</v>
      </c>
      <c r="H16" s="321"/>
      <c r="I16" s="321">
        <f>G16-H16</f>
        <v>10600</v>
      </c>
    </row>
    <row r="17" spans="1:9" x14ac:dyDescent="0.25">
      <c r="A17" s="208" t="s">
        <v>249</v>
      </c>
      <c r="B17" s="5">
        <v>2</v>
      </c>
      <c r="C17" s="204"/>
      <c r="D17" s="322"/>
      <c r="E17" s="322">
        <v>100</v>
      </c>
      <c r="F17" s="226">
        <v>4000</v>
      </c>
      <c r="G17" s="226">
        <f t="shared" ref="G17:G28" si="0">SUM(D17:F17)</f>
        <v>4100</v>
      </c>
      <c r="H17" s="321">
        <v>4100</v>
      </c>
      <c r="I17" s="321">
        <f>G17-H17</f>
        <v>0</v>
      </c>
    </row>
    <row r="18" spans="1:9" x14ac:dyDescent="0.25">
      <c r="A18" s="208" t="s">
        <v>155</v>
      </c>
      <c r="B18" s="5">
        <v>3</v>
      </c>
      <c r="C18" s="204"/>
      <c r="D18" s="322"/>
      <c r="E18" s="322">
        <v>200</v>
      </c>
      <c r="F18" s="323">
        <v>4000</v>
      </c>
      <c r="G18" s="226">
        <f t="shared" si="0"/>
        <v>4200</v>
      </c>
      <c r="H18" s="321">
        <v>4200</v>
      </c>
      <c r="I18" s="321">
        <f t="shared" ref="I18:I28" si="1">G18-H18</f>
        <v>0</v>
      </c>
    </row>
    <row r="19" spans="1:9" x14ac:dyDescent="0.25">
      <c r="A19" s="209" t="s">
        <v>258</v>
      </c>
      <c r="B19" s="5">
        <v>4</v>
      </c>
      <c r="C19" s="204"/>
      <c r="D19" s="324">
        <v>2300</v>
      </c>
      <c r="E19" s="324"/>
      <c r="F19" s="323">
        <v>4000</v>
      </c>
      <c r="G19" s="226">
        <f t="shared" si="0"/>
        <v>6300</v>
      </c>
      <c r="H19" s="321">
        <v>2000</v>
      </c>
      <c r="I19" s="321">
        <f t="shared" si="1"/>
        <v>4300</v>
      </c>
    </row>
    <row r="20" spans="1:9" x14ac:dyDescent="0.25">
      <c r="A20" s="209" t="s">
        <v>47</v>
      </c>
      <c r="B20" s="9">
        <v>5</v>
      </c>
      <c r="C20" s="204"/>
      <c r="D20" s="322"/>
      <c r="E20" s="322"/>
      <c r="F20" s="323"/>
      <c r="G20" s="226">
        <f t="shared" si="0"/>
        <v>0</v>
      </c>
      <c r="H20" s="321"/>
      <c r="I20" s="321">
        <f t="shared" si="1"/>
        <v>0</v>
      </c>
    </row>
    <row r="21" spans="1:9" x14ac:dyDescent="0.25">
      <c r="A21" s="209" t="s">
        <v>38</v>
      </c>
      <c r="B21" s="9">
        <v>6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4300</v>
      </c>
      <c r="I21" s="321">
        <f t="shared" si="1"/>
        <v>0</v>
      </c>
    </row>
    <row r="22" spans="1:9" x14ac:dyDescent="0.25">
      <c r="A22" s="208" t="s">
        <v>39</v>
      </c>
      <c r="B22" s="9">
        <v>7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</row>
    <row r="23" spans="1:9" x14ac:dyDescent="0.25">
      <c r="A23" s="209" t="s">
        <v>40</v>
      </c>
      <c r="B23" s="9">
        <v>8</v>
      </c>
      <c r="C23" s="204"/>
      <c r="D23" s="322"/>
      <c r="E23" s="322">
        <v>200</v>
      </c>
      <c r="F23" s="323">
        <v>4000</v>
      </c>
      <c r="G23" s="226">
        <f t="shared" si="0"/>
        <v>4200</v>
      </c>
      <c r="H23" s="321">
        <v>4200</v>
      </c>
      <c r="I23" s="321">
        <f t="shared" si="1"/>
        <v>0</v>
      </c>
    </row>
    <row r="24" spans="1:9" x14ac:dyDescent="0.25">
      <c r="A24" s="208" t="s">
        <v>160</v>
      </c>
      <c r="B24" s="5">
        <v>1</v>
      </c>
      <c r="C24" s="204"/>
      <c r="D24" s="322">
        <v>5000</v>
      </c>
      <c r="E24" s="322">
        <v>100</v>
      </c>
      <c r="F24" s="323">
        <v>2500</v>
      </c>
      <c r="G24" s="226">
        <f t="shared" si="0"/>
        <v>7600</v>
      </c>
      <c r="H24" s="321"/>
      <c r="I24" s="321">
        <f t="shared" si="1"/>
        <v>7600</v>
      </c>
    </row>
    <row r="25" spans="1:9" x14ac:dyDescent="0.25">
      <c r="A25" s="208" t="s">
        <v>212</v>
      </c>
      <c r="B25" s="5">
        <v>2</v>
      </c>
      <c r="C25" s="204"/>
      <c r="D25" s="322"/>
      <c r="E25" s="322">
        <v>200</v>
      </c>
      <c r="F25" s="323">
        <v>2500</v>
      </c>
      <c r="G25" s="226">
        <f t="shared" si="0"/>
        <v>2700</v>
      </c>
      <c r="H25" s="321">
        <v>2700</v>
      </c>
      <c r="I25" s="321">
        <f t="shared" si="1"/>
        <v>0</v>
      </c>
    </row>
    <row r="26" spans="1:9" x14ac:dyDescent="0.25">
      <c r="A26" s="209" t="s">
        <v>247</v>
      </c>
      <c r="B26" s="5"/>
      <c r="C26" s="204"/>
      <c r="D26" s="322"/>
      <c r="E26" s="322"/>
      <c r="F26" s="323">
        <v>3000</v>
      </c>
      <c r="G26" s="226">
        <f t="shared" si="0"/>
        <v>3000</v>
      </c>
      <c r="H26" s="321">
        <v>3000</v>
      </c>
      <c r="I26" s="321">
        <f>G26-H26</f>
        <v>0</v>
      </c>
    </row>
    <row r="27" spans="1:9" x14ac:dyDescent="0.25">
      <c r="A27" s="208" t="s">
        <v>210</v>
      </c>
      <c r="B27" s="5">
        <v>4</v>
      </c>
      <c r="C27" s="204"/>
      <c r="D27" s="322"/>
      <c r="E27" s="322"/>
      <c r="F27" s="323">
        <v>2500</v>
      </c>
      <c r="G27" s="226">
        <f t="shared" si="0"/>
        <v>2500</v>
      </c>
      <c r="H27" s="321">
        <v>2500</v>
      </c>
      <c r="I27" s="321">
        <f>G27-H27</f>
        <v>0</v>
      </c>
    </row>
    <row r="28" spans="1:9" x14ac:dyDescent="0.25">
      <c r="A28" s="208" t="s">
        <v>211</v>
      </c>
      <c r="B28" s="5">
        <v>5</v>
      </c>
      <c r="C28" s="204"/>
      <c r="D28" s="322"/>
      <c r="E28" s="322"/>
      <c r="F28" s="323">
        <v>2500</v>
      </c>
      <c r="G28" s="226">
        <f t="shared" si="0"/>
        <v>2500</v>
      </c>
      <c r="H28" s="321">
        <v>2500</v>
      </c>
      <c r="I28" s="321">
        <f t="shared" si="1"/>
        <v>0</v>
      </c>
    </row>
    <row r="29" spans="1:9" x14ac:dyDescent="0.25">
      <c r="A29" s="205"/>
      <c r="B29" s="205"/>
      <c r="C29" s="204"/>
      <c r="D29" s="320">
        <f t="shared" ref="D29:I29" si="2">SUM(D16:D28)</f>
        <v>17900</v>
      </c>
      <c r="E29" s="320">
        <f>SUM(E16:E28)</f>
        <v>1400</v>
      </c>
      <c r="F29" s="320">
        <f>SUM(F16:F28)</f>
        <v>37000</v>
      </c>
      <c r="G29" s="226">
        <f t="shared" si="2"/>
        <v>56300</v>
      </c>
      <c r="H29" s="321">
        <f>SUM(H16:H28)</f>
        <v>33800</v>
      </c>
      <c r="I29" s="321">
        <f t="shared" si="2"/>
        <v>22500</v>
      </c>
    </row>
    <row r="30" spans="1:9" x14ac:dyDescent="0.25">
      <c r="A30" s="68" t="s">
        <v>30</v>
      </c>
      <c r="B30" s="164"/>
      <c r="C30" s="164"/>
      <c r="D30" s="164"/>
      <c r="E30" s="164"/>
      <c r="F30" s="68" t="s">
        <v>30</v>
      </c>
      <c r="G30" s="164"/>
      <c r="H30" s="164"/>
      <c r="I30" s="164"/>
    </row>
    <row r="31" spans="1:9" x14ac:dyDescent="0.25">
      <c r="A31" s="174" t="s">
        <v>260</v>
      </c>
      <c r="B31" s="164"/>
      <c r="C31" s="36">
        <f>F29</f>
        <v>37000</v>
      </c>
      <c r="D31" s="207"/>
      <c r="E31" s="207"/>
      <c r="F31" s="174" t="s">
        <v>183</v>
      </c>
      <c r="G31" s="164"/>
      <c r="H31" s="36">
        <f>H29</f>
        <v>33800</v>
      </c>
      <c r="I31" s="164"/>
    </row>
    <row r="32" spans="1:9" x14ac:dyDescent="0.25">
      <c r="A32" s="174" t="s">
        <v>147</v>
      </c>
      <c r="B32" s="174"/>
      <c r="C32" s="41">
        <v>2200</v>
      </c>
      <c r="D32" s="173"/>
      <c r="E32" s="173"/>
      <c r="F32" s="174" t="s">
        <v>147</v>
      </c>
      <c r="G32" s="174"/>
      <c r="H32" s="41">
        <f>OCTOMBER!H31</f>
        <v>0</v>
      </c>
      <c r="I32" s="173"/>
    </row>
    <row r="33" spans="1:9" ht="16.5" x14ac:dyDescent="0.35">
      <c r="A33" s="149" t="s">
        <v>176</v>
      </c>
      <c r="B33" s="149"/>
      <c r="C33" s="168">
        <f>SUM(C31:C32)</f>
        <v>39200</v>
      </c>
      <c r="D33" s="37"/>
      <c r="E33" s="54"/>
      <c r="F33" s="149" t="s">
        <v>176</v>
      </c>
      <c r="G33" s="149"/>
      <c r="H33" s="168">
        <f>SUM(H31:H32)</f>
        <v>33800</v>
      </c>
      <c r="I33" s="173"/>
    </row>
    <row r="34" spans="1:9" ht="16.5" x14ac:dyDescent="0.35">
      <c r="A34" s="174"/>
      <c r="B34" s="174"/>
      <c r="C34" s="67"/>
      <c r="D34" s="173"/>
      <c r="E34" s="173"/>
      <c r="F34" s="174"/>
      <c r="G34" s="174"/>
      <c r="H34" s="67"/>
      <c r="I34" s="174"/>
    </row>
    <row r="35" spans="1:9" x14ac:dyDescent="0.25">
      <c r="A35" s="45" t="s">
        <v>29</v>
      </c>
      <c r="B35" s="173"/>
      <c r="C35" s="38"/>
      <c r="D35" s="174"/>
      <c r="E35" s="173"/>
      <c r="F35" s="45" t="s">
        <v>29</v>
      </c>
      <c r="G35" s="173"/>
      <c r="H35" s="38"/>
      <c r="I35" s="17"/>
    </row>
    <row r="36" spans="1:9" x14ac:dyDescent="0.25">
      <c r="A36" s="174" t="s">
        <v>177</v>
      </c>
      <c r="B36" s="119">
        <v>7.0000000000000007E-2</v>
      </c>
      <c r="C36" s="40">
        <f>C31*B36</f>
        <v>2590.0000000000005</v>
      </c>
      <c r="D36" s="37"/>
      <c r="E36" s="173"/>
      <c r="F36" s="174" t="s">
        <v>177</v>
      </c>
      <c r="G36" s="119">
        <v>7.0000000000000007E-2</v>
      </c>
      <c r="H36" s="40">
        <f>H31*G36</f>
        <v>2366</v>
      </c>
      <c r="I36" s="173"/>
    </row>
    <row r="37" spans="1:9" x14ac:dyDescent="0.25">
      <c r="A37" s="188" t="s">
        <v>245</v>
      </c>
      <c r="B37" s="173"/>
      <c r="C37" s="143">
        <v>2500</v>
      </c>
      <c r="D37" s="173"/>
      <c r="E37" s="173"/>
      <c r="F37" s="188" t="s">
        <v>245</v>
      </c>
      <c r="G37" s="173"/>
      <c r="H37" s="143">
        <v>2500</v>
      </c>
      <c r="I37" s="173"/>
    </row>
    <row r="38" spans="1:9" x14ac:dyDescent="0.25">
      <c r="A38" s="210">
        <v>42955</v>
      </c>
      <c r="B38" s="173"/>
      <c r="C38" s="143">
        <v>15110</v>
      </c>
      <c r="D38" s="174"/>
      <c r="E38" s="38"/>
      <c r="F38" s="210">
        <v>42955</v>
      </c>
      <c r="G38" s="173"/>
      <c r="H38" s="143">
        <v>15110</v>
      </c>
      <c r="I38" s="173"/>
    </row>
    <row r="39" spans="1:9" x14ac:dyDescent="0.25">
      <c r="A39" s="173" t="s">
        <v>267</v>
      </c>
      <c r="B39" s="173"/>
      <c r="C39" s="37">
        <v>15000</v>
      </c>
      <c r="D39" s="139"/>
      <c r="E39" s="54"/>
      <c r="F39" s="173" t="s">
        <v>267</v>
      </c>
      <c r="G39" s="173"/>
      <c r="H39" s="37">
        <v>15000</v>
      </c>
      <c r="I39" s="53"/>
    </row>
    <row r="40" spans="1:9" x14ac:dyDescent="0.25">
      <c r="A40" s="173" t="s">
        <v>268</v>
      </c>
      <c r="B40" s="173"/>
      <c r="C40" s="37">
        <v>19800</v>
      </c>
      <c r="D40" s="139"/>
      <c r="E40" s="54"/>
      <c r="F40" s="173" t="s">
        <v>268</v>
      </c>
      <c r="G40" s="173"/>
      <c r="H40" s="37">
        <v>19800</v>
      </c>
      <c r="I40" s="53"/>
    </row>
    <row r="41" spans="1:9" x14ac:dyDescent="0.25">
      <c r="A41" s="167"/>
      <c r="B41" s="173"/>
      <c r="C41" s="37">
        <f>SUM(C36:C40)</f>
        <v>55000</v>
      </c>
      <c r="D41" s="37"/>
      <c r="E41" s="54"/>
      <c r="F41" s="167"/>
      <c r="G41" s="173"/>
      <c r="H41" s="37"/>
      <c r="I41" s="53"/>
    </row>
    <row r="42" spans="1:9" s="173" customFormat="1" x14ac:dyDescent="0.25">
      <c r="A42" s="167"/>
      <c r="C42" s="37"/>
      <c r="D42" s="37"/>
      <c r="E42" s="54"/>
      <c r="F42" s="167"/>
      <c r="H42" s="37">
        <f>SUM(H36:H41)</f>
        <v>54776</v>
      </c>
      <c r="I42" s="53"/>
    </row>
    <row r="43" spans="1:9" x14ac:dyDescent="0.25">
      <c r="A43" s="173" t="s">
        <v>269</v>
      </c>
      <c r="B43" s="37"/>
      <c r="C43" s="37">
        <f>C33-C41</f>
        <v>-15800</v>
      </c>
      <c r="D43" s="173"/>
      <c r="E43" s="54"/>
      <c r="F43" s="173" t="s">
        <v>269</v>
      </c>
      <c r="G43" s="37"/>
      <c r="H43" s="37">
        <f>H33-H42</f>
        <v>-20976</v>
      </c>
      <c r="I43" s="173"/>
    </row>
    <row r="44" spans="1:9" x14ac:dyDescent="0.25">
      <c r="A44" s="39" t="s">
        <v>199</v>
      </c>
      <c r="B44" s="91"/>
      <c r="C44" s="37"/>
      <c r="D44" s="37"/>
      <c r="E44" s="172"/>
      <c r="F44" s="39" t="s">
        <v>199</v>
      </c>
      <c r="G44" s="91"/>
      <c r="H44" s="37"/>
      <c r="I44" s="54"/>
    </row>
    <row r="45" spans="1:9" x14ac:dyDescent="0.25">
      <c r="A45" s="173"/>
      <c r="B45" s="173"/>
      <c r="C45" s="173"/>
      <c r="D45" s="173"/>
      <c r="E45" s="173"/>
      <c r="F45" s="173"/>
      <c r="G45" s="173"/>
      <c r="H45" s="173"/>
      <c r="I45" s="172"/>
    </row>
    <row r="46" spans="1:9" x14ac:dyDescent="0.25">
      <c r="F46" s="173"/>
      <c r="G46" s="174"/>
      <c r="H46" s="174"/>
      <c r="I46" s="185"/>
    </row>
    <row r="47" spans="1:9" x14ac:dyDescent="0.25">
      <c r="A47" s="173" t="s">
        <v>321</v>
      </c>
      <c r="B47" s="173"/>
      <c r="C47" s="173"/>
      <c r="D47" s="173" t="s">
        <v>309</v>
      </c>
      <c r="E47" s="173"/>
      <c r="F47" s="173"/>
      <c r="G47" s="174"/>
      <c r="H47" s="174"/>
      <c r="I47" s="182"/>
    </row>
    <row r="48" spans="1:9" x14ac:dyDescent="0.25">
      <c r="A48" s="173"/>
      <c r="B48" s="173"/>
      <c r="C48" s="173"/>
      <c r="D48" s="173"/>
      <c r="E48" s="173"/>
      <c r="F48" s="173"/>
      <c r="G48" s="174"/>
      <c r="H48" s="174"/>
      <c r="I48" s="182"/>
    </row>
    <row r="49" spans="1:9" x14ac:dyDescent="0.25">
      <c r="A49" s="173" t="s">
        <v>141</v>
      </c>
      <c r="B49" s="173"/>
      <c r="C49" s="173"/>
      <c r="D49" s="173" t="s">
        <v>322</v>
      </c>
      <c r="E49" s="173"/>
      <c r="F49" s="174"/>
      <c r="G49" s="174"/>
      <c r="H49" s="175"/>
      <c r="I49" s="182"/>
    </row>
    <row r="51" spans="1:9" x14ac:dyDescent="0.25">
      <c r="A51" s="173"/>
      <c r="B51" s="173"/>
      <c r="C51" s="173"/>
      <c r="D51" s="48"/>
      <c r="E51" s="173"/>
    </row>
  </sheetData>
  <pageMargins left="0" right="0" top="0" bottom="0" header="0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A35" sqref="A35:E38"/>
    </sheetView>
  </sheetViews>
  <sheetFormatPr defaultRowHeight="15" x14ac:dyDescent="0.25"/>
  <cols>
    <col min="1" max="1" width="14.28515625" customWidth="1"/>
    <col min="2" max="2" width="11.42578125" customWidth="1"/>
    <col min="3" max="3" width="11.5703125" customWidth="1"/>
    <col min="8" max="8" width="12.85546875" customWidth="1"/>
    <col min="9" max="9" width="13.28515625" customWidth="1"/>
  </cols>
  <sheetData>
    <row r="1" spans="1:9" s="173" customFormat="1" ht="15.75" x14ac:dyDescent="0.25">
      <c r="C1" s="318" t="s">
        <v>319</v>
      </c>
      <c r="D1" s="318"/>
      <c r="F1" s="48"/>
    </row>
    <row r="2" spans="1:9" s="173" customFormat="1" ht="15.75" x14ac:dyDescent="0.25">
      <c r="C2" s="319" t="s">
        <v>293</v>
      </c>
      <c r="D2" s="319"/>
      <c r="E2" s="162"/>
      <c r="F2" s="44"/>
    </row>
    <row r="3" spans="1:9" ht="15.75" x14ac:dyDescent="0.25">
      <c r="A3" s="95"/>
      <c r="B3" s="95"/>
      <c r="C3" s="319" t="s">
        <v>331</v>
      </c>
      <c r="D3" s="319"/>
      <c r="E3" s="28"/>
      <c r="F3" s="173"/>
      <c r="G3" s="173"/>
      <c r="H3" s="173"/>
      <c r="I3" s="173"/>
    </row>
    <row r="4" spans="1:9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16002</v>
      </c>
      <c r="E5" s="322">
        <v>0</v>
      </c>
      <c r="F5" s="226"/>
      <c r="G5" s="226">
        <f>SUM(D5:F5)</f>
        <v>16002</v>
      </c>
      <c r="H5" s="321"/>
      <c r="I5" s="321">
        <f>G5-H5</f>
        <v>16002</v>
      </c>
    </row>
    <row r="6" spans="1:9" x14ac:dyDescent="0.25">
      <c r="A6" s="208" t="s">
        <v>249</v>
      </c>
      <c r="B6" s="5">
        <v>2</v>
      </c>
      <c r="C6" s="204"/>
      <c r="D6" s="322">
        <v>5500</v>
      </c>
      <c r="E6" s="322">
        <v>200</v>
      </c>
      <c r="F6" s="226">
        <v>4000</v>
      </c>
      <c r="G6" s="226">
        <f t="shared" ref="G6:G17" si="0">SUM(D6:F6)</f>
        <v>9700</v>
      </c>
      <c r="H6" s="321">
        <v>4000</v>
      </c>
      <c r="I6" s="321">
        <f>G6-H6</f>
        <v>5700</v>
      </c>
    </row>
    <row r="7" spans="1:9" x14ac:dyDescent="0.25">
      <c r="A7" s="208" t="s">
        <v>155</v>
      </c>
      <c r="B7" s="5">
        <v>3</v>
      </c>
      <c r="C7" s="204"/>
      <c r="D7" s="322">
        <v>-400</v>
      </c>
      <c r="E7" s="322">
        <v>200</v>
      </c>
      <c r="F7" s="323">
        <v>4000</v>
      </c>
      <c r="G7" s="226">
        <f>SUM(D7:F7)</f>
        <v>3800</v>
      </c>
      <c r="H7" s="321">
        <v>4000</v>
      </c>
      <c r="I7" s="321">
        <f t="shared" ref="I7:I17" si="1">G7-H7</f>
        <v>-200</v>
      </c>
    </row>
    <row r="8" spans="1:9" x14ac:dyDescent="0.25">
      <c r="A8" s="209" t="s">
        <v>258</v>
      </c>
      <c r="B8" s="5">
        <v>4</v>
      </c>
      <c r="C8" s="204"/>
      <c r="D8" s="324">
        <v>-1800</v>
      </c>
      <c r="E8" s="324">
        <v>0</v>
      </c>
      <c r="F8" s="323">
        <v>4000</v>
      </c>
      <c r="G8" s="226">
        <f t="shared" si="0"/>
        <v>2200</v>
      </c>
      <c r="H8" s="321">
        <v>4000</v>
      </c>
      <c r="I8" s="321">
        <f t="shared" si="1"/>
        <v>-1800</v>
      </c>
    </row>
    <row r="9" spans="1:9" x14ac:dyDescent="0.25">
      <c r="A9" s="209" t="s">
        <v>47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>
        <v>-2248</v>
      </c>
      <c r="E10" s="322">
        <v>300</v>
      </c>
      <c r="F10" s="323">
        <v>4000</v>
      </c>
      <c r="G10" s="226">
        <f t="shared" si="0"/>
        <v>2052</v>
      </c>
      <c r="H10" s="321">
        <v>4000</v>
      </c>
      <c r="I10" s="321">
        <f t="shared" si="1"/>
        <v>-1948</v>
      </c>
    </row>
    <row r="11" spans="1:9" x14ac:dyDescent="0.25">
      <c r="A11" s="208" t="s">
        <v>39</v>
      </c>
      <c r="B11" s="9">
        <v>7</v>
      </c>
      <c r="C11" s="204"/>
      <c r="D11" s="322">
        <v>7502</v>
      </c>
      <c r="E11" s="322">
        <v>300</v>
      </c>
      <c r="F11" s="323">
        <v>4000</v>
      </c>
      <c r="G11" s="226">
        <f t="shared" si="0"/>
        <v>11802</v>
      </c>
      <c r="H11" s="321">
        <v>4000</v>
      </c>
      <c r="I11" s="321">
        <f t="shared" si="1"/>
        <v>7802</v>
      </c>
    </row>
    <row r="12" spans="1:9" x14ac:dyDescent="0.25">
      <c r="A12" s="209" t="s">
        <v>40</v>
      </c>
      <c r="B12" s="9">
        <v>8</v>
      </c>
      <c r="C12" s="204"/>
      <c r="D12" s="322">
        <v>6602</v>
      </c>
      <c r="E12" s="322">
        <v>200</v>
      </c>
      <c r="F12" s="323">
        <v>4000</v>
      </c>
      <c r="G12" s="226">
        <f t="shared" si="0"/>
        <v>10802</v>
      </c>
      <c r="H12" s="321">
        <v>4000</v>
      </c>
      <c r="I12" s="321">
        <f t="shared" si="1"/>
        <v>6802</v>
      </c>
    </row>
    <row r="13" spans="1:9" x14ac:dyDescent="0.25">
      <c r="A13" s="208" t="s">
        <v>160</v>
      </c>
      <c r="B13" s="5">
        <v>1</v>
      </c>
      <c r="C13" s="204"/>
      <c r="D13" s="322">
        <v>4501</v>
      </c>
      <c r="E13" s="322">
        <v>0</v>
      </c>
      <c r="F13" s="323">
        <v>2500</v>
      </c>
      <c r="G13" s="226">
        <f t="shared" si="0"/>
        <v>7001</v>
      </c>
      <c r="H13" s="321"/>
      <c r="I13" s="321">
        <f t="shared" si="1"/>
        <v>7001</v>
      </c>
    </row>
    <row r="14" spans="1:9" x14ac:dyDescent="0.25">
      <c r="A14" s="208" t="s">
        <v>212</v>
      </c>
      <c r="B14" s="5">
        <v>2</v>
      </c>
      <c r="C14" s="204"/>
      <c r="D14" s="322">
        <v>-4929</v>
      </c>
      <c r="E14" s="322">
        <v>0</v>
      </c>
      <c r="F14" s="323">
        <v>2500</v>
      </c>
      <c r="G14" s="226">
        <f t="shared" si="0"/>
        <v>-2429</v>
      </c>
      <c r="H14" s="321">
        <v>2500</v>
      </c>
      <c r="I14" s="321">
        <f t="shared" si="1"/>
        <v>-4929</v>
      </c>
    </row>
    <row r="15" spans="1:9" x14ac:dyDescent="0.25">
      <c r="A15" s="209" t="s">
        <v>247</v>
      </c>
      <c r="B15" s="5"/>
      <c r="C15" s="204"/>
      <c r="D15" s="322">
        <v>-198</v>
      </c>
      <c r="E15" s="322">
        <v>100</v>
      </c>
      <c r="F15" s="323">
        <v>3000</v>
      </c>
      <c r="G15" s="226">
        <f t="shared" si="0"/>
        <v>2902</v>
      </c>
      <c r="H15" s="321">
        <v>3000</v>
      </c>
      <c r="I15" s="321">
        <f>G15-H15</f>
        <v>-98</v>
      </c>
    </row>
    <row r="16" spans="1:9" x14ac:dyDescent="0.25">
      <c r="A16" s="208" t="s">
        <v>210</v>
      </c>
      <c r="B16" s="5">
        <v>4</v>
      </c>
      <c r="C16" s="204"/>
      <c r="D16" s="322">
        <v>-2898</v>
      </c>
      <c r="E16" s="322">
        <v>100</v>
      </c>
      <c r="F16" s="323">
        <v>2500</v>
      </c>
      <c r="G16" s="226">
        <f t="shared" si="0"/>
        <v>-298</v>
      </c>
      <c r="H16" s="321">
        <v>2000</v>
      </c>
      <c r="I16" s="321">
        <f>G16-H16</f>
        <v>-2298</v>
      </c>
    </row>
    <row r="17" spans="1:10" x14ac:dyDescent="0.25">
      <c r="A17" s="208" t="s">
        <v>211</v>
      </c>
      <c r="B17" s="5">
        <v>5</v>
      </c>
      <c r="C17" s="204"/>
      <c r="D17" s="322">
        <v>12502</v>
      </c>
      <c r="E17" s="322"/>
      <c r="F17" s="323">
        <v>2500</v>
      </c>
      <c r="G17" s="226">
        <f t="shared" si="0"/>
        <v>15002</v>
      </c>
      <c r="H17" s="321">
        <v>2500</v>
      </c>
      <c r="I17" s="321">
        <f t="shared" si="1"/>
        <v>12502</v>
      </c>
    </row>
    <row r="18" spans="1:10" x14ac:dyDescent="0.25">
      <c r="A18" s="205"/>
      <c r="B18" s="205"/>
      <c r="C18" s="204"/>
      <c r="D18" s="320">
        <f t="shared" ref="D18:I18" si="2">SUM(D5:D17)</f>
        <v>40136</v>
      </c>
      <c r="E18" s="320">
        <f>SUM(E5:E17)</f>
        <v>1400</v>
      </c>
      <c r="F18" s="320">
        <f>SUM(F5:F17)</f>
        <v>37000</v>
      </c>
      <c r="G18" s="226">
        <f t="shared" si="2"/>
        <v>78536</v>
      </c>
      <c r="H18" s="321">
        <f>SUM(H5:H17)</f>
        <v>34000</v>
      </c>
      <c r="I18" s="321">
        <f t="shared" si="2"/>
        <v>44536</v>
      </c>
    </row>
    <row r="19" spans="1:10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</row>
    <row r="20" spans="1:10" x14ac:dyDescent="0.25">
      <c r="A20" s="174" t="s">
        <v>260</v>
      </c>
      <c r="B20" s="164"/>
      <c r="C20" s="36">
        <f>F18</f>
        <v>37000</v>
      </c>
      <c r="D20" s="207"/>
      <c r="E20" s="207"/>
      <c r="F20" s="174" t="s">
        <v>183</v>
      </c>
      <c r="G20" s="164"/>
      <c r="H20" s="36">
        <f>H18</f>
        <v>34000</v>
      </c>
      <c r="I20" s="164"/>
    </row>
    <row r="21" spans="1:10" x14ac:dyDescent="0.25">
      <c r="A21" s="174" t="s">
        <v>147</v>
      </c>
      <c r="B21" s="174"/>
      <c r="C21" s="41">
        <v>-15800</v>
      </c>
      <c r="D21" s="173"/>
      <c r="E21" s="173"/>
      <c r="F21" s="174" t="s">
        <v>147</v>
      </c>
      <c r="G21" s="174"/>
      <c r="H21" s="41">
        <f>SEPT!H43</f>
        <v>-20976</v>
      </c>
      <c r="I21" s="173"/>
    </row>
    <row r="22" spans="1:10" ht="16.5" x14ac:dyDescent="0.35">
      <c r="A22" s="149" t="s">
        <v>176</v>
      </c>
      <c r="B22" s="149"/>
      <c r="C22" s="168">
        <f>SUM(C20:C21)</f>
        <v>21200</v>
      </c>
      <c r="D22" s="37"/>
      <c r="E22" s="54"/>
      <c r="F22" s="149" t="s">
        <v>176</v>
      </c>
      <c r="G22" s="149"/>
      <c r="H22" s="168">
        <f>SUM(H20:H21)</f>
        <v>13024</v>
      </c>
      <c r="I22" s="173"/>
    </row>
    <row r="23" spans="1:10" ht="16.5" x14ac:dyDescent="0.35">
      <c r="A23" s="174"/>
      <c r="B23" s="174"/>
      <c r="C23" s="67"/>
      <c r="D23" s="173"/>
      <c r="E23" s="173"/>
      <c r="F23" s="174"/>
      <c r="G23" s="174"/>
      <c r="H23" s="67"/>
      <c r="I23" s="174"/>
    </row>
    <row r="24" spans="1:10" x14ac:dyDescent="0.25">
      <c r="A24" s="45" t="s">
        <v>29</v>
      </c>
      <c r="B24" s="173"/>
      <c r="C24" s="38"/>
      <c r="D24" s="174"/>
      <c r="E24" s="173"/>
      <c r="F24" s="45" t="s">
        <v>29</v>
      </c>
      <c r="G24" s="173"/>
      <c r="H24" s="38"/>
      <c r="I24" s="17"/>
    </row>
    <row r="25" spans="1:10" x14ac:dyDescent="0.25">
      <c r="A25" s="174" t="s">
        <v>177</v>
      </c>
      <c r="B25" s="119">
        <v>7.0000000000000007E-2</v>
      </c>
      <c r="C25" s="40">
        <f>C20*B25</f>
        <v>2590.0000000000005</v>
      </c>
      <c r="D25" s="37"/>
      <c r="E25" s="173"/>
      <c r="F25" s="174" t="s">
        <v>177</v>
      </c>
      <c r="G25" s="119">
        <v>7.0000000000000007E-2</v>
      </c>
      <c r="H25" s="40">
        <f>H20*G25</f>
        <v>2380</v>
      </c>
      <c r="I25" s="173"/>
    </row>
    <row r="26" spans="1:10" x14ac:dyDescent="0.25">
      <c r="A26" s="188" t="s">
        <v>270</v>
      </c>
      <c r="B26" s="173"/>
      <c r="C26" s="143">
        <v>20200</v>
      </c>
      <c r="D26" s="173"/>
      <c r="E26" s="173"/>
      <c r="F26" s="188" t="s">
        <v>270</v>
      </c>
      <c r="G26" s="173"/>
      <c r="H26" s="143">
        <v>20200</v>
      </c>
      <c r="I26" s="173"/>
      <c r="J26" s="37"/>
    </row>
    <row r="27" spans="1:10" x14ac:dyDescent="0.25">
      <c r="A27" s="210" t="s">
        <v>272</v>
      </c>
      <c r="B27" s="173"/>
      <c r="C27" s="143">
        <f>F17</f>
        <v>2500</v>
      </c>
      <c r="D27" s="174"/>
      <c r="E27" s="38"/>
      <c r="F27" s="210" t="s">
        <v>271</v>
      </c>
      <c r="G27" s="173"/>
      <c r="H27" s="143">
        <f>H17</f>
        <v>2500</v>
      </c>
      <c r="I27" s="173"/>
    </row>
    <row r="28" spans="1:10" x14ac:dyDescent="0.25">
      <c r="A28" s="173" t="s">
        <v>62</v>
      </c>
      <c r="B28" s="173"/>
      <c r="C28" s="37">
        <f>SUM(C25:C27)</f>
        <v>25290</v>
      </c>
      <c r="D28" s="139"/>
      <c r="E28" s="54"/>
      <c r="F28" s="173" t="s">
        <v>115</v>
      </c>
      <c r="G28" s="173"/>
      <c r="H28" s="37"/>
      <c r="I28" s="53"/>
    </row>
    <row r="29" spans="1:10" x14ac:dyDescent="0.25">
      <c r="A29" s="173"/>
      <c r="B29" s="173"/>
      <c r="C29" s="37"/>
      <c r="D29" s="139"/>
      <c r="E29" s="54"/>
      <c r="H29" s="37">
        <f>SUM(H25:H28)</f>
        <v>25080</v>
      </c>
      <c r="I29" s="53"/>
    </row>
    <row r="30" spans="1:10" x14ac:dyDescent="0.25">
      <c r="A30" s="167" t="s">
        <v>252</v>
      </c>
      <c r="B30" s="173"/>
      <c r="C30" s="37">
        <f>C22-C28</f>
        <v>-4090</v>
      </c>
      <c r="D30" s="37"/>
      <c r="E30" s="54"/>
      <c r="F30" s="167" t="s">
        <v>252</v>
      </c>
      <c r="G30" s="173"/>
      <c r="H30" s="37">
        <f>H22-H29</f>
        <v>-12056</v>
      </c>
      <c r="I30" s="53"/>
    </row>
    <row r="31" spans="1:10" x14ac:dyDescent="0.25">
      <c r="A31" s="173"/>
      <c r="B31" s="37"/>
      <c r="C31" s="37"/>
      <c r="D31" s="173"/>
      <c r="E31" s="54"/>
      <c r="F31" s="173"/>
      <c r="G31" s="37"/>
      <c r="H31" s="37"/>
      <c r="I31" s="173"/>
    </row>
    <row r="32" spans="1:10" x14ac:dyDescent="0.25">
      <c r="A32" s="39"/>
      <c r="B32" s="91"/>
      <c r="C32" s="37"/>
      <c r="D32" s="37"/>
      <c r="E32" s="172"/>
      <c r="F32" s="39"/>
      <c r="G32" s="91"/>
      <c r="H32" s="37"/>
      <c r="I32" s="54"/>
    </row>
    <row r="33" spans="1:9" x14ac:dyDescent="0.25">
      <c r="A33" s="173"/>
      <c r="B33" s="173"/>
      <c r="C33" s="173"/>
      <c r="D33" s="173"/>
      <c r="E33" s="173"/>
      <c r="F33" s="173"/>
      <c r="G33" s="173"/>
      <c r="H33" s="173"/>
      <c r="I33" s="172"/>
    </row>
    <row r="34" spans="1:9" x14ac:dyDescent="0.25">
      <c r="A34" s="173"/>
      <c r="B34" s="173"/>
      <c r="C34" s="173"/>
      <c r="D34" s="173"/>
      <c r="E34" s="173"/>
      <c r="F34" s="173"/>
      <c r="G34" s="174"/>
      <c r="H34" s="174"/>
      <c r="I34" s="185"/>
    </row>
    <row r="35" spans="1:9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4"/>
      <c r="H35" s="174"/>
      <c r="I35" s="182"/>
    </row>
    <row r="36" spans="1:9" x14ac:dyDescent="0.25">
      <c r="A36" s="173"/>
      <c r="B36" s="173"/>
      <c r="C36" s="173"/>
      <c r="D36" s="173"/>
      <c r="E36" s="173"/>
      <c r="F36" s="173"/>
      <c r="G36" s="174"/>
      <c r="H36" s="174"/>
      <c r="I36" s="182"/>
    </row>
    <row r="37" spans="1:9" x14ac:dyDescent="0.25">
      <c r="A37" s="173" t="s">
        <v>141</v>
      </c>
      <c r="B37" s="173"/>
      <c r="C37" s="173"/>
      <c r="D37" s="173" t="s">
        <v>322</v>
      </c>
      <c r="E37" s="173"/>
      <c r="F37" s="174"/>
      <c r="G37" s="174"/>
      <c r="H37" s="175"/>
      <c r="I37" s="182"/>
    </row>
    <row r="38" spans="1:9" x14ac:dyDescent="0.25">
      <c r="A38" s="173"/>
      <c r="B38" s="173"/>
      <c r="C38" s="173"/>
      <c r="D38" s="173"/>
      <c r="E38" s="173"/>
      <c r="F38" s="173"/>
      <c r="G38" s="173"/>
      <c r="H38" s="173"/>
      <c r="I38" s="173"/>
    </row>
    <row r="39" spans="1:9" x14ac:dyDescent="0.25">
      <c r="A39" s="173"/>
      <c r="B39" s="173"/>
      <c r="C39" s="173"/>
      <c r="D39" s="48"/>
      <c r="E39" s="173"/>
      <c r="F39" s="173"/>
      <c r="G39" s="173"/>
      <c r="H39" s="173"/>
      <c r="I39" s="173"/>
    </row>
  </sheetData>
  <pageMargins left="0" right="0" top="0" bottom="0" header="0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workbookViewId="0">
      <selection activeCell="A33" sqref="A33:E36"/>
    </sheetView>
  </sheetViews>
  <sheetFormatPr defaultRowHeight="15" x14ac:dyDescent="0.25"/>
  <cols>
    <col min="1" max="1" width="15" customWidth="1"/>
    <col min="3" max="3" width="11.42578125" customWidth="1"/>
    <col min="6" max="7" width="10.85546875" customWidth="1"/>
    <col min="8" max="8" width="11.28515625" customWidth="1"/>
    <col min="9" max="9" width="10.5703125" customWidth="1"/>
  </cols>
  <sheetData>
    <row r="1" spans="1:9" s="173" customFormat="1" ht="15.75" x14ac:dyDescent="0.25">
      <c r="B1" s="318" t="s">
        <v>319</v>
      </c>
      <c r="C1" s="318"/>
      <c r="E1" s="48"/>
    </row>
    <row r="2" spans="1:9" ht="15.75" x14ac:dyDescent="0.25">
      <c r="A2" s="95"/>
      <c r="B2" s="319" t="s">
        <v>293</v>
      </c>
      <c r="C2" s="319"/>
      <c r="D2" s="162"/>
      <c r="E2" s="44"/>
      <c r="F2" s="173"/>
      <c r="G2" s="211"/>
      <c r="H2" s="173"/>
    </row>
    <row r="3" spans="1:9" ht="15.75" x14ac:dyDescent="0.25">
      <c r="A3" s="28"/>
      <c r="B3" s="319" t="s">
        <v>332</v>
      </c>
      <c r="C3" s="319"/>
      <c r="D3" s="28"/>
      <c r="E3" s="173"/>
      <c r="F3" s="173"/>
      <c r="G3" s="173"/>
      <c r="H3" s="173"/>
    </row>
    <row r="4" spans="1:9" x14ac:dyDescent="0.25">
      <c r="A4" s="59" t="s">
        <v>0</v>
      </c>
      <c r="B4" s="72" t="s">
        <v>1</v>
      </c>
      <c r="C4" s="59" t="s">
        <v>284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18000</v>
      </c>
      <c r="E5" s="322">
        <v>0</v>
      </c>
      <c r="F5" s="226"/>
      <c r="G5" s="226">
        <f>SUM(D5:F5)</f>
        <v>18000</v>
      </c>
      <c r="H5" s="321"/>
      <c r="I5" s="321">
        <f>G5-H5</f>
        <v>18000</v>
      </c>
    </row>
    <row r="6" spans="1:9" x14ac:dyDescent="0.25">
      <c r="A6" s="208" t="s">
        <v>249</v>
      </c>
      <c r="B6" s="5">
        <v>2</v>
      </c>
      <c r="C6" s="204"/>
      <c r="D6" s="322">
        <v>5700</v>
      </c>
      <c r="E6" s="322">
        <v>100</v>
      </c>
      <c r="F6" s="226">
        <v>4000</v>
      </c>
      <c r="G6" s="226">
        <f t="shared" ref="G6:G17" si="0">SUM(D6:F6)</f>
        <v>9800</v>
      </c>
      <c r="H6" s="321">
        <v>4000</v>
      </c>
      <c r="I6" s="321">
        <f>G6-H6</f>
        <v>5800</v>
      </c>
    </row>
    <row r="7" spans="1:9" x14ac:dyDescent="0.25">
      <c r="A7" s="208" t="s">
        <v>155</v>
      </c>
      <c r="B7" s="5">
        <v>3</v>
      </c>
      <c r="C7" s="204"/>
      <c r="D7" s="322"/>
      <c r="E7" s="322">
        <v>3000</v>
      </c>
      <c r="F7" s="323">
        <v>4000</v>
      </c>
      <c r="G7" s="226">
        <f>SUM(D7:F7)</f>
        <v>7000</v>
      </c>
      <c r="H7" s="321">
        <v>4000</v>
      </c>
      <c r="I7" s="321">
        <f>G7-H7</f>
        <v>3000</v>
      </c>
    </row>
    <row r="8" spans="1:9" x14ac:dyDescent="0.25">
      <c r="A8" s="209" t="s">
        <v>258</v>
      </c>
      <c r="B8" s="5">
        <v>4</v>
      </c>
      <c r="C8" s="204"/>
      <c r="D8" s="324"/>
      <c r="E8" s="324">
        <v>200</v>
      </c>
      <c r="F8" s="323">
        <v>4000</v>
      </c>
      <c r="G8" s="226">
        <f t="shared" si="0"/>
        <v>4200</v>
      </c>
      <c r="H8" s="321">
        <v>4000</v>
      </c>
      <c r="I8" s="321">
        <f>G8-H8</f>
        <v>200</v>
      </c>
    </row>
    <row r="9" spans="1:9" x14ac:dyDescent="0.25">
      <c r="A9" s="209" t="s">
        <v>274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/>
      <c r="E10" s="322">
        <v>700</v>
      </c>
      <c r="F10" s="323">
        <v>4000</v>
      </c>
      <c r="G10" s="226">
        <f t="shared" si="0"/>
        <v>4700</v>
      </c>
      <c r="H10" s="321">
        <v>4000</v>
      </c>
      <c r="I10" s="321">
        <f t="shared" ref="I10:I17" si="1">G10-H10</f>
        <v>700</v>
      </c>
    </row>
    <row r="11" spans="1:9" x14ac:dyDescent="0.25">
      <c r="A11" s="208" t="s">
        <v>39</v>
      </c>
      <c r="B11" s="9">
        <v>7</v>
      </c>
      <c r="C11" s="204"/>
      <c r="D11" s="322">
        <v>7000</v>
      </c>
      <c r="E11" s="322">
        <v>500</v>
      </c>
      <c r="F11" s="323">
        <v>4000</v>
      </c>
      <c r="G11" s="226">
        <f t="shared" si="0"/>
        <v>11500</v>
      </c>
      <c r="H11" s="321">
        <v>4000</v>
      </c>
      <c r="I11" s="321">
        <f t="shared" si="1"/>
        <v>7500</v>
      </c>
    </row>
    <row r="12" spans="1:9" x14ac:dyDescent="0.25">
      <c r="A12" s="209" t="s">
        <v>40</v>
      </c>
      <c r="B12" s="9">
        <v>8</v>
      </c>
      <c r="C12" s="204"/>
      <c r="D12" s="322">
        <v>6400</v>
      </c>
      <c r="E12" s="322"/>
      <c r="F12" s="323">
        <v>4000</v>
      </c>
      <c r="G12" s="226">
        <f t="shared" si="0"/>
        <v>10400</v>
      </c>
      <c r="H12" s="321">
        <v>4000</v>
      </c>
      <c r="I12" s="321">
        <f t="shared" si="1"/>
        <v>6400</v>
      </c>
    </row>
    <row r="13" spans="1:9" x14ac:dyDescent="0.25">
      <c r="A13" s="208" t="s">
        <v>160</v>
      </c>
      <c r="B13" s="5">
        <v>1</v>
      </c>
      <c r="C13" s="204"/>
      <c r="D13" s="322">
        <v>7000</v>
      </c>
      <c r="E13" s="322">
        <v>0</v>
      </c>
      <c r="F13" s="323">
        <v>2500</v>
      </c>
      <c r="G13" s="226">
        <f t="shared" si="0"/>
        <v>9500</v>
      </c>
      <c r="H13" s="321">
        <v>2500</v>
      </c>
      <c r="I13" s="321">
        <f t="shared" si="1"/>
        <v>7000</v>
      </c>
    </row>
    <row r="14" spans="1:9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2500</v>
      </c>
      <c r="I14" s="321">
        <f t="shared" si="1"/>
        <v>200</v>
      </c>
    </row>
    <row r="15" spans="1:9" x14ac:dyDescent="0.25">
      <c r="A15" s="209" t="s">
        <v>275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3000</v>
      </c>
      <c r="I15" s="321">
        <f t="shared" si="1"/>
        <v>100</v>
      </c>
    </row>
    <row r="16" spans="1:9" x14ac:dyDescent="0.25">
      <c r="A16" s="208" t="s">
        <v>276</v>
      </c>
      <c r="B16" s="5">
        <v>4</v>
      </c>
      <c r="C16" s="204"/>
      <c r="D16" s="322"/>
      <c r="E16" s="322">
        <v>100</v>
      </c>
      <c r="F16" s="323">
        <v>2500</v>
      </c>
      <c r="G16" s="226">
        <f t="shared" si="0"/>
        <v>2600</v>
      </c>
      <c r="H16" s="321">
        <v>2500</v>
      </c>
      <c r="I16" s="321">
        <f t="shared" si="1"/>
        <v>100</v>
      </c>
    </row>
    <row r="17" spans="1:9" x14ac:dyDescent="0.25">
      <c r="A17" s="208" t="s">
        <v>211</v>
      </c>
      <c r="B17" s="5">
        <v>5</v>
      </c>
      <c r="C17" s="204"/>
      <c r="D17" s="322">
        <v>15000</v>
      </c>
      <c r="E17" s="322"/>
      <c r="F17" s="323">
        <v>2500</v>
      </c>
      <c r="G17" s="226">
        <f t="shared" si="0"/>
        <v>17500</v>
      </c>
      <c r="H17" s="321">
        <v>2500</v>
      </c>
      <c r="I17" s="321">
        <f t="shared" si="1"/>
        <v>15000</v>
      </c>
    </row>
    <row r="18" spans="1:9" x14ac:dyDescent="0.25">
      <c r="A18" s="205"/>
      <c r="B18" s="205"/>
      <c r="C18" s="204"/>
      <c r="D18" s="320">
        <f t="shared" ref="D18:I18" si="2">SUM(D5:D17)</f>
        <v>59100</v>
      </c>
      <c r="E18" s="320">
        <f t="shared" si="2"/>
        <v>4900</v>
      </c>
      <c r="F18" s="320">
        <f t="shared" si="2"/>
        <v>37000</v>
      </c>
      <c r="G18" s="226">
        <f t="shared" si="2"/>
        <v>101000</v>
      </c>
      <c r="H18" s="321">
        <f t="shared" si="2"/>
        <v>37000</v>
      </c>
      <c r="I18" s="321">
        <f t="shared" si="2"/>
        <v>64000</v>
      </c>
    </row>
    <row r="19" spans="1:9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</row>
    <row r="20" spans="1:9" x14ac:dyDescent="0.25">
      <c r="A20" s="174" t="s">
        <v>260</v>
      </c>
      <c r="B20" s="164"/>
      <c r="C20" s="325">
        <f>F18</f>
        <v>37000</v>
      </c>
      <c r="D20" s="207"/>
      <c r="E20" s="207"/>
      <c r="F20" s="174" t="s">
        <v>183</v>
      </c>
      <c r="G20" s="164"/>
      <c r="H20" s="325">
        <f>H18</f>
        <v>37000</v>
      </c>
    </row>
    <row r="21" spans="1:9" x14ac:dyDescent="0.25">
      <c r="A21" s="174" t="s">
        <v>147</v>
      </c>
      <c r="B21" s="174"/>
      <c r="C21" s="327">
        <f>OCTOMBER!C30</f>
        <v>-4090</v>
      </c>
      <c r="D21" s="173"/>
      <c r="E21" s="173"/>
      <c r="F21" s="174" t="s">
        <v>147</v>
      </c>
      <c r="G21" s="174"/>
      <c r="H21" s="327">
        <f>OCTOMBER!H30</f>
        <v>-12056</v>
      </c>
    </row>
    <row r="22" spans="1:9" ht="16.5" x14ac:dyDescent="0.35">
      <c r="A22" s="149" t="s">
        <v>176</v>
      </c>
      <c r="B22" s="149"/>
      <c r="C22" s="328">
        <f>SUM(C20:C21)</f>
        <v>32910</v>
      </c>
      <c r="D22" s="37"/>
      <c r="E22" s="54"/>
      <c r="F22" s="149" t="s">
        <v>176</v>
      </c>
      <c r="G22" s="149"/>
      <c r="H22" s="328">
        <f>SUM(H20:H21)</f>
        <v>24944</v>
      </c>
    </row>
    <row r="23" spans="1:9" x14ac:dyDescent="0.25">
      <c r="A23" s="45" t="s">
        <v>29</v>
      </c>
      <c r="B23" s="173"/>
      <c r="C23" s="331"/>
      <c r="D23" s="174"/>
      <c r="E23" s="173"/>
      <c r="F23" s="45" t="s">
        <v>29</v>
      </c>
      <c r="G23" s="173"/>
      <c r="H23" s="331"/>
    </row>
    <row r="24" spans="1:9" x14ac:dyDescent="0.25">
      <c r="A24" s="174" t="s">
        <v>177</v>
      </c>
      <c r="B24" s="119">
        <v>7.0000000000000007E-2</v>
      </c>
      <c r="C24" s="333">
        <f>C20*B24</f>
        <v>2590.0000000000005</v>
      </c>
      <c r="D24" s="37"/>
      <c r="E24" s="173"/>
      <c r="F24" s="174" t="s">
        <v>177</v>
      </c>
      <c r="G24" s="119">
        <v>7.0000000000000007E-2</v>
      </c>
      <c r="H24" s="333">
        <f>H20*G24</f>
        <v>2590.0000000000005</v>
      </c>
    </row>
    <row r="25" spans="1:9" x14ac:dyDescent="0.25">
      <c r="A25" s="188" t="s">
        <v>277</v>
      </c>
      <c r="B25" s="173"/>
      <c r="C25" s="334">
        <v>20000</v>
      </c>
      <c r="D25" s="173"/>
      <c r="E25" s="173"/>
      <c r="F25" s="188" t="s">
        <v>277</v>
      </c>
      <c r="G25" s="173"/>
      <c r="H25" s="334">
        <v>20000</v>
      </c>
    </row>
    <row r="26" spans="1:9" x14ac:dyDescent="0.25">
      <c r="A26" s="210">
        <v>43052</v>
      </c>
      <c r="B26" s="173"/>
      <c r="C26" s="334">
        <v>7580</v>
      </c>
      <c r="D26" s="174"/>
      <c r="E26" s="38"/>
      <c r="F26" s="210">
        <v>43052</v>
      </c>
      <c r="G26" s="173"/>
      <c r="H26" s="334">
        <v>7580</v>
      </c>
    </row>
    <row r="27" spans="1:9" x14ac:dyDescent="0.25">
      <c r="A27" s="173" t="s">
        <v>142</v>
      </c>
      <c r="B27" s="173"/>
      <c r="C27" s="243">
        <v>2500</v>
      </c>
      <c r="D27" s="139"/>
      <c r="E27" s="54"/>
      <c r="F27" s="173" t="s">
        <v>278</v>
      </c>
      <c r="G27" s="173"/>
      <c r="H27" s="243">
        <v>12000</v>
      </c>
    </row>
    <row r="28" spans="1:9" x14ac:dyDescent="0.25">
      <c r="A28" s="173" t="s">
        <v>62</v>
      </c>
      <c r="B28" s="173"/>
      <c r="C28" s="243">
        <f>SUM(C24:C27)</f>
        <v>32670</v>
      </c>
      <c r="D28" s="139"/>
      <c r="E28" s="54"/>
      <c r="F28" t="s">
        <v>142</v>
      </c>
      <c r="H28" s="243">
        <v>2500</v>
      </c>
    </row>
    <row r="29" spans="1:9" x14ac:dyDescent="0.25">
      <c r="C29" s="243"/>
      <c r="D29" s="37"/>
      <c r="E29" s="54"/>
      <c r="F29" s="173" t="s">
        <v>318</v>
      </c>
      <c r="G29" s="173"/>
      <c r="H29" s="243">
        <f>SUM(H24:H28)</f>
        <v>44670</v>
      </c>
    </row>
    <row r="30" spans="1:9" x14ac:dyDescent="0.25">
      <c r="A30" s="167" t="s">
        <v>252</v>
      </c>
      <c r="B30" s="173"/>
      <c r="C30" s="243">
        <f>C22-C28</f>
        <v>240</v>
      </c>
      <c r="D30" s="173"/>
      <c r="E30" s="173"/>
      <c r="F30" s="167" t="s">
        <v>252</v>
      </c>
      <c r="G30" s="173"/>
      <c r="H30" s="243">
        <f>H22-H29</f>
        <v>-19726</v>
      </c>
    </row>
    <row r="31" spans="1:9" x14ac:dyDescent="0.25">
      <c r="A31" s="173"/>
      <c r="B31" s="174"/>
      <c r="C31" s="174"/>
      <c r="D31" s="173"/>
      <c r="E31" s="173"/>
    </row>
    <row r="32" spans="1:9" x14ac:dyDescent="0.25">
      <c r="A32" s="173"/>
      <c r="B32" s="174"/>
      <c r="C32" s="174"/>
      <c r="D32" s="173"/>
      <c r="E32" s="173"/>
      <c r="F32" s="173"/>
      <c r="G32" s="174"/>
      <c r="H32" s="174"/>
    </row>
    <row r="33" spans="1:8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</row>
    <row r="34" spans="1:8" x14ac:dyDescent="0.25">
      <c r="A34" s="173"/>
      <c r="B34" s="173"/>
      <c r="C34" s="173"/>
      <c r="D34" s="173"/>
      <c r="E34" s="173"/>
      <c r="F34" s="173"/>
      <c r="G34" s="174"/>
      <c r="H34" s="174"/>
    </row>
    <row r="35" spans="1:8" x14ac:dyDescent="0.25">
      <c r="A35" s="173" t="s">
        <v>141</v>
      </c>
      <c r="B35" s="173"/>
      <c r="C35" s="173"/>
      <c r="D35" s="173" t="s">
        <v>322</v>
      </c>
      <c r="E35" s="173"/>
      <c r="F35" s="174"/>
      <c r="G35" s="174"/>
      <c r="H35" s="175"/>
    </row>
    <row r="36" spans="1:8" x14ac:dyDescent="0.25">
      <c r="A36" s="173"/>
      <c r="B36" s="173"/>
      <c r="C36" s="173"/>
      <c r="D36" s="173"/>
      <c r="E36" s="173"/>
    </row>
  </sheetData>
  <pageMargins left="0" right="0" top="0" bottom="0" header="0" footer="0.3"/>
  <pageSetup paperSize="9" orientation="portrait" horizontalDpi="203" verticalDpi="20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D9" sqref="D9"/>
    </sheetView>
  </sheetViews>
  <sheetFormatPr defaultRowHeight="15" x14ac:dyDescent="0.25"/>
  <cols>
    <col min="1" max="1" width="14.140625" customWidth="1"/>
    <col min="2" max="2" width="4" customWidth="1"/>
    <col min="3" max="3" width="9" customWidth="1"/>
    <col min="4" max="4" width="11.85546875" customWidth="1"/>
    <col min="5" max="5" width="8.28515625" customWidth="1"/>
    <col min="6" max="6" width="12" customWidth="1"/>
    <col min="7" max="7" width="8.85546875" customWidth="1"/>
    <col min="8" max="8" width="9" customWidth="1"/>
    <col min="9" max="9" width="9.85546875" customWidth="1"/>
  </cols>
  <sheetData>
    <row r="1" spans="1:10" ht="15.75" x14ac:dyDescent="0.25">
      <c r="B1" s="95"/>
      <c r="C1" s="318" t="s">
        <v>319</v>
      </c>
      <c r="D1" s="318"/>
      <c r="E1" s="173"/>
      <c r="F1" s="48"/>
      <c r="J1" s="173"/>
    </row>
    <row r="2" spans="1:10" ht="15.75" x14ac:dyDescent="0.25">
      <c r="B2" s="28"/>
      <c r="C2" s="319" t="s">
        <v>293</v>
      </c>
      <c r="D2" s="319"/>
      <c r="E2" s="162"/>
      <c r="F2" s="44"/>
      <c r="J2" s="173"/>
    </row>
    <row r="3" spans="1:10" s="173" customFormat="1" ht="15.75" x14ac:dyDescent="0.25">
      <c r="A3" s="66"/>
      <c r="C3" s="319" t="s">
        <v>333</v>
      </c>
      <c r="D3" s="319"/>
      <c r="E3" s="28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288</v>
      </c>
      <c r="B5" s="5">
        <v>1</v>
      </c>
      <c r="C5" s="6" t="s">
        <v>89</v>
      </c>
      <c r="D5" s="216"/>
      <c r="E5" s="216">
        <v>0</v>
      </c>
      <c r="F5" s="202">
        <v>4000</v>
      </c>
      <c r="G5" s="203">
        <f>F5+D5</f>
        <v>4000</v>
      </c>
      <c r="H5" s="85">
        <v>4000</v>
      </c>
      <c r="I5" s="217">
        <f>G5-H5</f>
        <v>0</v>
      </c>
      <c r="J5" s="173"/>
    </row>
    <row r="6" spans="1:10" x14ac:dyDescent="0.25">
      <c r="A6" s="208" t="s">
        <v>249</v>
      </c>
      <c r="B6" s="5">
        <v>2</v>
      </c>
      <c r="C6" s="217"/>
      <c r="D6" s="216"/>
      <c r="E6" s="216">
        <v>100</v>
      </c>
      <c r="F6" s="202">
        <v>4000</v>
      </c>
      <c r="G6" s="203">
        <f t="shared" ref="G6:G17" si="0">F6+D6</f>
        <v>4000</v>
      </c>
      <c r="H6" s="85">
        <v>4000</v>
      </c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16">
        <v>300</v>
      </c>
      <c r="F7" s="7">
        <v>4000</v>
      </c>
      <c r="G7" s="203">
        <f t="shared" si="0"/>
        <v>4000</v>
      </c>
      <c r="H7" s="85">
        <v>4000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02">
        <v>200</v>
      </c>
      <c r="F8" s="7">
        <v>4000</v>
      </c>
      <c r="G8" s="203">
        <f t="shared" si="0"/>
        <v>4000</v>
      </c>
      <c r="H8" s="85">
        <v>4000</v>
      </c>
      <c r="I8" s="217">
        <f>G8-H8</f>
        <v>0</v>
      </c>
      <c r="J8" s="173"/>
    </row>
    <row r="9" spans="1:10" x14ac:dyDescent="0.25">
      <c r="A9" s="209" t="s">
        <v>274</v>
      </c>
      <c r="B9" s="9">
        <v>5</v>
      </c>
      <c r="C9" s="217"/>
      <c r="D9" s="216"/>
      <c r="E9" s="216">
        <v>0</v>
      </c>
      <c r="F9" s="7"/>
      <c r="G9" s="203">
        <f t="shared" si="0"/>
        <v>0</v>
      </c>
      <c r="H9" s="85"/>
      <c r="I9" s="217"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16">
        <v>300</v>
      </c>
      <c r="F10" s="7">
        <v>4000</v>
      </c>
      <c r="G10" s="203">
        <f t="shared" si="0"/>
        <v>4000</v>
      </c>
      <c r="H10" s="85">
        <v>4000</v>
      </c>
      <c r="I10" s="217">
        <f t="shared" ref="I10:I17" si="1">G10-H10</f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16">
        <v>300</v>
      </c>
      <c r="F11" s="7">
        <v>4000</v>
      </c>
      <c r="G11" s="203">
        <f t="shared" si="0"/>
        <v>4000</v>
      </c>
      <c r="H11" s="85">
        <v>4000</v>
      </c>
      <c r="I11" s="217">
        <f t="shared" si="1"/>
        <v>0</v>
      </c>
      <c r="J11" s="173"/>
    </row>
    <row r="12" spans="1:10" x14ac:dyDescent="0.25">
      <c r="A12" s="209" t="s">
        <v>282</v>
      </c>
      <c r="B12" s="9">
        <v>8</v>
      </c>
      <c r="C12" s="217"/>
      <c r="D12" s="216"/>
      <c r="E12" s="216"/>
      <c r="F12" s="7">
        <v>4000</v>
      </c>
      <c r="G12" s="203">
        <f t="shared" si="0"/>
        <v>4000</v>
      </c>
      <c r="H12" s="85">
        <v>4000</v>
      </c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16">
        <v>0</v>
      </c>
      <c r="F13" s="7">
        <v>2500</v>
      </c>
      <c r="G13" s="203">
        <f t="shared" si="0"/>
        <v>2500</v>
      </c>
      <c r="H13" s="85">
        <v>2500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16">
        <v>200</v>
      </c>
      <c r="F14" s="7">
        <v>2500</v>
      </c>
      <c r="G14" s="203">
        <f t="shared" si="0"/>
        <v>2500</v>
      </c>
      <c r="H14" s="85">
        <v>2500</v>
      </c>
      <c r="I14" s="217">
        <f t="shared" si="1"/>
        <v>0</v>
      </c>
      <c r="J14" s="173"/>
    </row>
    <row r="15" spans="1:10" x14ac:dyDescent="0.25">
      <c r="A15" s="209" t="s">
        <v>274</v>
      </c>
      <c r="B15" s="5">
        <v>3</v>
      </c>
      <c r="C15" s="217"/>
      <c r="D15" s="216"/>
      <c r="E15" s="216"/>
      <c r="F15" s="7"/>
      <c r="G15" s="203">
        <f t="shared" si="0"/>
        <v>0</v>
      </c>
      <c r="H15" s="85"/>
      <c r="I15" s="217">
        <f t="shared" si="1"/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16">
        <v>100</v>
      </c>
      <c r="F16" s="7">
        <v>2500</v>
      </c>
      <c r="G16" s="203">
        <f t="shared" si="0"/>
        <v>2500</v>
      </c>
      <c r="H16" s="85">
        <v>2500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7">
        <v>2500</v>
      </c>
      <c r="G17" s="203">
        <f t="shared" si="0"/>
        <v>2500</v>
      </c>
      <c r="H17" s="85">
        <v>2500</v>
      </c>
      <c r="I17" s="217">
        <f t="shared" si="1"/>
        <v>0</v>
      </c>
      <c r="J17" s="173"/>
    </row>
    <row r="18" spans="1:10" x14ac:dyDescent="0.25">
      <c r="A18" s="62"/>
      <c r="B18" s="62"/>
      <c r="C18" s="217"/>
      <c r="D18" s="216">
        <f t="shared" ref="D18:I18" si="2">SUM(D5:D17)</f>
        <v>0</v>
      </c>
      <c r="E18" s="216">
        <f t="shared" si="2"/>
        <v>1500</v>
      </c>
      <c r="F18" s="216">
        <f t="shared" si="2"/>
        <v>38000</v>
      </c>
      <c r="G18" s="203">
        <f t="shared" si="2"/>
        <v>38000</v>
      </c>
      <c r="H18" s="85">
        <f t="shared" si="2"/>
        <v>38000</v>
      </c>
      <c r="I18" s="217">
        <f t="shared" si="2"/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36">
        <f>F18</f>
        <v>38000</v>
      </c>
      <c r="D20" s="53"/>
      <c r="E20" s="53"/>
      <c r="F20" s="174" t="s">
        <v>183</v>
      </c>
      <c r="G20" s="174"/>
      <c r="H20" s="36">
        <f>H18</f>
        <v>38000</v>
      </c>
      <c r="I20" s="174"/>
      <c r="J20" s="173"/>
    </row>
    <row r="21" spans="1:10" x14ac:dyDescent="0.25">
      <c r="A21" s="174" t="s">
        <v>147</v>
      </c>
      <c r="B21" s="174"/>
      <c r="C21" s="41">
        <f>H21</f>
        <v>-19726</v>
      </c>
      <c r="D21" s="174"/>
      <c r="E21" s="174"/>
      <c r="F21" s="174" t="s">
        <v>147</v>
      </c>
      <c r="G21" s="174"/>
      <c r="H21" s="41">
        <f>'NOV 17'!H30</f>
        <v>-19726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18274</v>
      </c>
      <c r="D22" s="53"/>
      <c r="E22" s="38"/>
      <c r="F22" s="149" t="s">
        <v>176</v>
      </c>
      <c r="G22" s="149"/>
      <c r="H22" s="168">
        <f>SUM(H20:H21)</f>
        <v>18274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2660.0000000000005</v>
      </c>
      <c r="D24" s="53"/>
      <c r="E24" s="174"/>
      <c r="F24" s="174" t="s">
        <v>177</v>
      </c>
      <c r="G24" s="220">
        <v>7.0000000000000007E-2</v>
      </c>
      <c r="H24" s="40">
        <f>H20*G24</f>
        <v>2660.0000000000005</v>
      </c>
      <c r="I24" s="174"/>
      <c r="J24" s="173"/>
    </row>
    <row r="25" spans="1:10" x14ac:dyDescent="0.25">
      <c r="A25" s="188" t="s">
        <v>67</v>
      </c>
      <c r="B25" s="174"/>
      <c r="C25" s="40">
        <v>2500</v>
      </c>
      <c r="D25" s="174"/>
      <c r="E25" s="174"/>
      <c r="F25" s="188" t="s">
        <v>67</v>
      </c>
      <c r="G25" s="174"/>
      <c r="H25" s="40">
        <v>2500</v>
      </c>
      <c r="I25" s="174"/>
      <c r="J25" s="173"/>
    </row>
    <row r="26" spans="1:10" x14ac:dyDescent="0.25">
      <c r="A26" s="154">
        <v>43052</v>
      </c>
      <c r="B26" s="174"/>
      <c r="C26" s="40">
        <v>18110</v>
      </c>
      <c r="D26" s="174"/>
      <c r="E26" s="38"/>
      <c r="F26" s="154">
        <v>43052</v>
      </c>
      <c r="G26" s="174"/>
      <c r="H26" s="40">
        <v>18110</v>
      </c>
      <c r="I26" s="174"/>
      <c r="J26" s="173"/>
    </row>
    <row r="27" spans="1:10" x14ac:dyDescent="0.25">
      <c r="A27" s="154">
        <v>43084</v>
      </c>
      <c r="B27" s="174"/>
      <c r="C27" s="174">
        <v>10610</v>
      </c>
      <c r="D27" s="139"/>
      <c r="E27" s="38"/>
      <c r="F27" s="154">
        <v>43084</v>
      </c>
      <c r="G27" s="174"/>
      <c r="H27" s="174">
        <v>10610</v>
      </c>
      <c r="I27" s="174"/>
      <c r="J27" s="173"/>
    </row>
    <row r="28" spans="1:10" x14ac:dyDescent="0.25">
      <c r="A28" s="174" t="s">
        <v>40</v>
      </c>
      <c r="B28" s="174"/>
      <c r="C28" s="174">
        <v>4000</v>
      </c>
      <c r="D28" s="53"/>
      <c r="E28" s="174"/>
      <c r="F28" s="174" t="s">
        <v>279</v>
      </c>
      <c r="G28" s="174"/>
      <c r="H28" s="174">
        <v>4000</v>
      </c>
      <c r="I28" s="174"/>
      <c r="J28" s="173"/>
    </row>
    <row r="29" spans="1:10" x14ac:dyDescent="0.25">
      <c r="A29" s="174" t="s">
        <v>62</v>
      </c>
      <c r="B29" s="174"/>
      <c r="C29" s="53">
        <f>SUM(C24:C28)</f>
        <v>37880</v>
      </c>
      <c r="D29" s="139"/>
      <c r="E29" s="38"/>
      <c r="F29" s="167" t="s">
        <v>252</v>
      </c>
      <c r="G29" s="174"/>
      <c r="H29" s="53">
        <f>SUM(H24:H28)</f>
        <v>37880</v>
      </c>
      <c r="I29" s="174"/>
      <c r="J29" s="173"/>
    </row>
    <row r="30" spans="1:10" x14ac:dyDescent="0.25">
      <c r="A30" s="167" t="s">
        <v>252</v>
      </c>
      <c r="B30" s="174"/>
      <c r="C30" s="53">
        <f>C22-C29</f>
        <v>-19606</v>
      </c>
      <c r="D30" s="53"/>
      <c r="E30" s="38"/>
      <c r="F30" s="174"/>
      <c r="G30" s="174"/>
      <c r="H30" s="53">
        <f>H22-H29</f>
        <v>-19606</v>
      </c>
      <c r="I30" s="174"/>
      <c r="J30" s="173"/>
    </row>
    <row r="31" spans="1:10" s="173" customFormat="1" x14ac:dyDescent="0.25">
      <c r="A31" s="167"/>
      <c r="B31" s="174"/>
      <c r="C31" s="53"/>
      <c r="D31" s="53"/>
      <c r="E31" s="38"/>
      <c r="F31" s="174"/>
      <c r="G31" s="174"/>
      <c r="H31" s="53"/>
      <c r="I31" s="174"/>
    </row>
    <row r="32" spans="1:10" s="173" customFormat="1" x14ac:dyDescent="0.25">
      <c r="A32" s="167"/>
      <c r="B32" s="174"/>
      <c r="C32" s="53"/>
      <c r="D32" s="53"/>
      <c r="E32" s="38"/>
      <c r="F32" s="174"/>
      <c r="G32" s="174"/>
      <c r="H32" s="53"/>
      <c r="I32" s="174"/>
    </row>
    <row r="33" spans="1:10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141</v>
      </c>
      <c r="B35" s="173"/>
      <c r="C35" s="173"/>
      <c r="D35" s="173" t="s">
        <v>322</v>
      </c>
      <c r="E35" s="173"/>
      <c r="F35" s="173"/>
      <c r="G35" s="174"/>
      <c r="H35" s="174"/>
      <c r="I35" s="173"/>
      <c r="J35" s="173"/>
    </row>
    <row r="36" spans="1:10" x14ac:dyDescent="0.25">
      <c r="A36" s="173"/>
      <c r="B36" s="173"/>
      <c r="C36" s="173"/>
      <c r="D36" s="173"/>
      <c r="E36" s="173"/>
      <c r="F36" s="174"/>
      <c r="G36" s="174"/>
      <c r="H36" s="175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</row>
  </sheetData>
  <pageMargins left="0" right="0" top="0" bottom="0" header="0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13" sqref="F13"/>
    </sheetView>
  </sheetViews>
  <sheetFormatPr defaultRowHeight="15" x14ac:dyDescent="0.25"/>
  <cols>
    <col min="1" max="1" width="15" customWidth="1"/>
    <col min="2" max="2" width="4.28515625" customWidth="1"/>
    <col min="3" max="3" width="9.5703125" bestFit="1" customWidth="1"/>
    <col min="4" max="4" width="8.5703125" customWidth="1"/>
    <col min="5" max="5" width="7.7109375" customWidth="1"/>
    <col min="6" max="6" width="7" customWidth="1"/>
    <col min="9" max="9" width="9.5703125" bestFit="1" customWidth="1"/>
  </cols>
  <sheetData>
    <row r="1" spans="1:15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5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5" ht="18.75" x14ac:dyDescent="0.3">
      <c r="A3" s="66"/>
      <c r="B3" s="173"/>
      <c r="C3" s="215" t="s">
        <v>287</v>
      </c>
      <c r="D3" s="160"/>
      <c r="E3" s="214"/>
      <c r="F3" s="214"/>
      <c r="G3" s="214"/>
      <c r="H3" s="173"/>
      <c r="I3" s="173"/>
      <c r="J3" s="173"/>
      <c r="M3" s="119">
        <v>0.4</v>
      </c>
      <c r="N3">
        <v>4000</v>
      </c>
      <c r="O3">
        <f>M3*N3</f>
        <v>1600</v>
      </c>
    </row>
    <row r="4" spans="1:15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5" x14ac:dyDescent="0.25">
      <c r="A5" s="208" t="s">
        <v>289</v>
      </c>
      <c r="B5" s="5">
        <v>1</v>
      </c>
      <c r="C5" s="6" t="s">
        <v>89</v>
      </c>
      <c r="D5" s="85"/>
      <c r="E5" s="216"/>
      <c r="F5" s="227">
        <v>0</v>
      </c>
      <c r="G5" s="226">
        <v>4500</v>
      </c>
      <c r="H5" s="226">
        <f>G5+E5</f>
        <v>4500</v>
      </c>
      <c r="I5" s="341">
        <v>4500</v>
      </c>
      <c r="J5" s="341">
        <f>H5-I5</f>
        <v>0</v>
      </c>
    </row>
    <row r="6" spans="1:15" x14ac:dyDescent="0.25">
      <c r="A6" s="208" t="s">
        <v>274</v>
      </c>
      <c r="B6" s="5">
        <v>2</v>
      </c>
      <c r="C6" s="217"/>
      <c r="D6" s="85"/>
      <c r="E6" s="216"/>
      <c r="F6" s="227"/>
      <c r="G6" s="226"/>
      <c r="H6" s="226">
        <f t="shared" ref="H6:H17" si="0">G6+E6</f>
        <v>0</v>
      </c>
      <c r="I6" s="341"/>
      <c r="J6" s="341">
        <f>H6-I6</f>
        <v>0</v>
      </c>
    </row>
    <row r="7" spans="1:15" x14ac:dyDescent="0.25">
      <c r="A7" s="208" t="s">
        <v>155</v>
      </c>
      <c r="B7" s="5">
        <v>3</v>
      </c>
      <c r="C7" s="217"/>
      <c r="D7" s="85"/>
      <c r="E7" s="216"/>
      <c r="F7" s="227">
        <v>200</v>
      </c>
      <c r="G7" s="226">
        <v>4500</v>
      </c>
      <c r="H7" s="226">
        <f t="shared" si="0"/>
        <v>4500</v>
      </c>
      <c r="I7" s="341">
        <v>4500</v>
      </c>
      <c r="J7" s="341">
        <f>H7-I7</f>
        <v>0</v>
      </c>
    </row>
    <row r="8" spans="1:15" x14ac:dyDescent="0.25">
      <c r="A8" s="209" t="s">
        <v>258</v>
      </c>
      <c r="B8" s="5">
        <v>4</v>
      </c>
      <c r="C8" s="217"/>
      <c r="D8" s="85"/>
      <c r="E8" s="202"/>
      <c r="F8" s="226"/>
      <c r="G8" s="226">
        <v>4500</v>
      </c>
      <c r="H8" s="226">
        <f t="shared" si="0"/>
        <v>4500</v>
      </c>
      <c r="I8" s="341">
        <v>4500</v>
      </c>
      <c r="J8" s="341">
        <f>H8-I8</f>
        <v>0</v>
      </c>
    </row>
    <row r="9" spans="1:15" x14ac:dyDescent="0.25">
      <c r="A9" s="209" t="s">
        <v>274</v>
      </c>
      <c r="B9" s="9">
        <v>5</v>
      </c>
      <c r="C9" s="217"/>
      <c r="D9" s="85"/>
      <c r="E9" s="216"/>
      <c r="F9" s="227">
        <v>0</v>
      </c>
      <c r="G9" s="226"/>
      <c r="H9" s="226">
        <f t="shared" si="0"/>
        <v>0</v>
      </c>
      <c r="I9" s="341"/>
      <c r="J9" s="341">
        <v>0</v>
      </c>
    </row>
    <row r="10" spans="1:15" x14ac:dyDescent="0.25">
      <c r="A10" s="209" t="s">
        <v>281</v>
      </c>
      <c r="B10" s="9">
        <v>6</v>
      </c>
      <c r="C10" s="217"/>
      <c r="D10" s="85"/>
      <c r="E10" s="216"/>
      <c r="F10" s="227">
        <v>300</v>
      </c>
      <c r="G10" s="226">
        <v>4500</v>
      </c>
      <c r="H10" s="226">
        <f t="shared" si="0"/>
        <v>4500</v>
      </c>
      <c r="I10" s="341">
        <v>4500</v>
      </c>
      <c r="J10" s="341">
        <f t="shared" ref="J10:J17" si="1">H10-I10</f>
        <v>0</v>
      </c>
    </row>
    <row r="11" spans="1:15" x14ac:dyDescent="0.25">
      <c r="A11" s="208" t="s">
        <v>280</v>
      </c>
      <c r="B11" s="9">
        <v>7</v>
      </c>
      <c r="C11" s="217"/>
      <c r="D11" s="85"/>
      <c r="E11" s="216"/>
      <c r="F11" s="227"/>
      <c r="G11" s="226">
        <v>4500</v>
      </c>
      <c r="H11" s="226">
        <f t="shared" si="0"/>
        <v>4500</v>
      </c>
      <c r="I11" s="341">
        <v>4500</v>
      </c>
      <c r="J11" s="341">
        <f t="shared" si="1"/>
        <v>0</v>
      </c>
    </row>
    <row r="12" spans="1:15" x14ac:dyDescent="0.25">
      <c r="A12" s="209" t="s">
        <v>291</v>
      </c>
      <c r="B12" s="9">
        <v>8</v>
      </c>
      <c r="C12" s="217"/>
      <c r="D12" s="85"/>
      <c r="E12" s="216"/>
      <c r="F12" s="227"/>
      <c r="G12" s="226"/>
      <c r="H12" s="226">
        <f t="shared" si="0"/>
        <v>0</v>
      </c>
      <c r="I12" s="341"/>
      <c r="J12" s="341">
        <f t="shared" si="1"/>
        <v>0</v>
      </c>
    </row>
    <row r="13" spans="1:15" x14ac:dyDescent="0.25">
      <c r="A13" s="208" t="s">
        <v>283</v>
      </c>
      <c r="B13" s="5">
        <v>1</v>
      </c>
      <c r="C13" s="217"/>
      <c r="D13" s="85"/>
      <c r="E13" s="216"/>
      <c r="F13" s="227">
        <v>0</v>
      </c>
      <c r="G13" s="226">
        <v>3000</v>
      </c>
      <c r="H13" s="226">
        <f t="shared" si="0"/>
        <v>3000</v>
      </c>
      <c r="I13" s="341">
        <v>3000</v>
      </c>
      <c r="J13" s="341">
        <f t="shared" si="1"/>
        <v>0</v>
      </c>
    </row>
    <row r="14" spans="1:15" x14ac:dyDescent="0.25">
      <c r="A14" s="208" t="s">
        <v>212</v>
      </c>
      <c r="B14" s="5">
        <v>2</v>
      </c>
      <c r="C14" s="217"/>
      <c r="D14" s="85"/>
      <c r="E14" s="216"/>
      <c r="F14" s="227">
        <v>200</v>
      </c>
      <c r="G14" s="226">
        <v>3000</v>
      </c>
      <c r="H14" s="226">
        <f t="shared" si="0"/>
        <v>3000</v>
      </c>
      <c r="I14" s="341">
        <v>3000</v>
      </c>
      <c r="J14" s="341">
        <f t="shared" si="1"/>
        <v>0</v>
      </c>
    </row>
    <row r="15" spans="1:15" x14ac:dyDescent="0.25">
      <c r="A15" s="209" t="s">
        <v>249</v>
      </c>
      <c r="B15" s="5">
        <v>3</v>
      </c>
      <c r="C15" s="217"/>
      <c r="D15" s="85"/>
      <c r="E15" s="216"/>
      <c r="F15" s="227"/>
      <c r="G15" s="226">
        <v>3000</v>
      </c>
      <c r="H15" s="226">
        <f t="shared" si="0"/>
        <v>3000</v>
      </c>
      <c r="I15" s="341">
        <v>3000</v>
      </c>
      <c r="J15" s="341">
        <f t="shared" si="1"/>
        <v>0</v>
      </c>
      <c r="K15" t="s">
        <v>142</v>
      </c>
    </row>
    <row r="16" spans="1:15" x14ac:dyDescent="0.25">
      <c r="A16" s="208" t="s">
        <v>276</v>
      </c>
      <c r="B16" s="5">
        <v>4</v>
      </c>
      <c r="C16" s="217"/>
      <c r="D16" s="85"/>
      <c r="E16" s="216"/>
      <c r="F16" s="227"/>
      <c r="G16" s="226">
        <v>3000</v>
      </c>
      <c r="H16" s="226">
        <f t="shared" si="0"/>
        <v>3000</v>
      </c>
      <c r="I16" s="341">
        <v>3000</v>
      </c>
      <c r="J16" s="341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27"/>
      <c r="G17" s="226">
        <v>3000</v>
      </c>
      <c r="H17" s="226">
        <f t="shared" si="0"/>
        <v>3000</v>
      </c>
      <c r="I17" s="341">
        <v>3000</v>
      </c>
      <c r="J17" s="341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27">
        <f t="shared" si="2"/>
        <v>700</v>
      </c>
      <c r="G18" s="227">
        <f t="shared" si="2"/>
        <v>37500</v>
      </c>
      <c r="H18" s="226">
        <f t="shared" si="2"/>
        <v>37500</v>
      </c>
      <c r="I18" s="341">
        <f t="shared" si="2"/>
        <v>37500</v>
      </c>
      <c r="J18" s="341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25">
        <f>G18</f>
        <v>37500</v>
      </c>
      <c r="D20" s="174"/>
      <c r="E20" s="53"/>
      <c r="F20" s="53"/>
      <c r="G20" s="174" t="s">
        <v>183</v>
      </c>
      <c r="H20" s="174"/>
      <c r="I20" s="325">
        <f>I18</f>
        <v>37500</v>
      </c>
      <c r="J20" s="174"/>
    </row>
    <row r="21" spans="1:11" x14ac:dyDescent="0.25">
      <c r="A21" s="174" t="s">
        <v>147</v>
      </c>
      <c r="B21" s="174"/>
      <c r="C21" s="327">
        <f>'DEC STATMENT'!C30</f>
        <v>-19606</v>
      </c>
      <c r="D21" s="174"/>
      <c r="E21" s="174"/>
      <c r="F21" s="174"/>
      <c r="G21" s="174" t="s">
        <v>147</v>
      </c>
      <c r="H21" s="174"/>
      <c r="I21" s="327">
        <f>'DEC STATMENT'!H30</f>
        <v>-19606</v>
      </c>
      <c r="J21" s="174"/>
    </row>
    <row r="22" spans="1:11" ht="16.5" x14ac:dyDescent="0.35">
      <c r="A22" s="149" t="s">
        <v>176</v>
      </c>
      <c r="B22" s="149"/>
      <c r="C22" s="328">
        <f>SUM(C20:C21)</f>
        <v>17894</v>
      </c>
      <c r="D22" s="174"/>
      <c r="E22" s="53"/>
      <c r="F22" s="38"/>
      <c r="G22" s="149" t="s">
        <v>176</v>
      </c>
      <c r="H22" s="149"/>
      <c r="I22" s="328">
        <f>SUM(I20:I21)</f>
        <v>17894</v>
      </c>
      <c r="J22" s="174"/>
    </row>
    <row r="23" spans="1:11" x14ac:dyDescent="0.25">
      <c r="A23" s="219" t="s">
        <v>29</v>
      </c>
      <c r="B23" s="174"/>
      <c r="C23" s="331"/>
      <c r="D23" s="174"/>
      <c r="E23" s="174"/>
      <c r="F23" s="174"/>
      <c r="G23" s="219" t="s">
        <v>29</v>
      </c>
      <c r="H23" s="174"/>
      <c r="I23" s="331"/>
      <c r="J23" s="174"/>
    </row>
    <row r="24" spans="1:11" x14ac:dyDescent="0.25">
      <c r="A24" s="174" t="s">
        <v>177</v>
      </c>
      <c r="B24" s="220">
        <v>7.0000000000000007E-2</v>
      </c>
      <c r="C24" s="333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333">
        <f>H24*C20</f>
        <v>2625.0000000000005</v>
      </c>
      <c r="J24" s="174"/>
    </row>
    <row r="25" spans="1:11" x14ac:dyDescent="0.25">
      <c r="A25" s="154">
        <v>43102</v>
      </c>
      <c r="B25" s="174"/>
      <c r="C25" s="333">
        <v>3000</v>
      </c>
      <c r="D25" s="174"/>
      <c r="E25" s="174"/>
      <c r="F25" s="38"/>
      <c r="G25" s="154">
        <v>43102</v>
      </c>
      <c r="H25" s="174"/>
      <c r="I25" s="333">
        <v>3000</v>
      </c>
      <c r="J25" s="174"/>
    </row>
    <row r="26" spans="1:11" x14ac:dyDescent="0.25">
      <c r="A26" s="154" t="s">
        <v>286</v>
      </c>
      <c r="B26" s="174"/>
      <c r="C26" s="256">
        <v>13095</v>
      </c>
      <c r="D26" s="53"/>
      <c r="E26" s="139"/>
      <c r="F26" s="38"/>
      <c r="G26" s="154" t="s">
        <v>286</v>
      </c>
      <c r="H26" s="174"/>
      <c r="I26" s="256">
        <v>13095</v>
      </c>
      <c r="J26" s="174"/>
    </row>
    <row r="27" spans="1:11" x14ac:dyDescent="0.25">
      <c r="A27" s="154">
        <v>43109</v>
      </c>
      <c r="B27" s="174"/>
      <c r="C27" s="256">
        <v>15000</v>
      </c>
      <c r="D27" s="53"/>
      <c r="E27" s="174"/>
      <c r="F27" s="174"/>
      <c r="G27" s="154">
        <v>43109</v>
      </c>
      <c r="H27" s="174"/>
      <c r="I27" s="256">
        <v>15000</v>
      </c>
      <c r="J27" s="174"/>
    </row>
    <row r="28" spans="1:11" x14ac:dyDescent="0.25">
      <c r="A28" t="s">
        <v>272</v>
      </c>
      <c r="C28" s="333">
        <f>I15+I17</f>
        <v>6000</v>
      </c>
      <c r="G28" s="173" t="s">
        <v>272</v>
      </c>
      <c r="I28" s="333">
        <f>C28</f>
        <v>6000</v>
      </c>
      <c r="J28" s="174"/>
    </row>
    <row r="29" spans="1:11" x14ac:dyDescent="0.25">
      <c r="C29" s="243"/>
      <c r="I29" s="243"/>
      <c r="J29" s="174"/>
    </row>
    <row r="30" spans="1:11" x14ac:dyDescent="0.25">
      <c r="A30" s="174" t="s">
        <v>62</v>
      </c>
      <c r="B30" s="174"/>
      <c r="C30" s="256">
        <f>SUM(C24:C28)</f>
        <v>39720</v>
      </c>
      <c r="D30" s="53"/>
      <c r="E30" s="139"/>
      <c r="F30" s="38"/>
      <c r="G30" s="225" t="s">
        <v>62</v>
      </c>
      <c r="H30" s="174"/>
      <c r="I30" s="256">
        <f>SUM(I24:I28)</f>
        <v>39720</v>
      </c>
      <c r="J30" s="174"/>
    </row>
    <row r="31" spans="1:11" x14ac:dyDescent="0.25">
      <c r="A31" s="167" t="s">
        <v>252</v>
      </c>
      <c r="B31" s="174"/>
      <c r="C31" s="256">
        <f>C22-C30</f>
        <v>-21826</v>
      </c>
      <c r="D31" s="174"/>
      <c r="E31" s="53"/>
      <c r="F31" s="38"/>
      <c r="G31" s="149" t="s">
        <v>252</v>
      </c>
      <c r="H31" s="174"/>
      <c r="I31" s="256">
        <f>I22-I30</f>
        <v>-21826</v>
      </c>
      <c r="J31" s="174"/>
    </row>
    <row r="32" spans="1:11" x14ac:dyDescent="0.25">
      <c r="A32" s="167"/>
      <c r="B32" s="174"/>
      <c r="C32" s="53"/>
      <c r="D32" s="174"/>
      <c r="E32" s="53"/>
      <c r="F32" s="38"/>
      <c r="G32" s="174"/>
      <c r="H32" s="174"/>
      <c r="I32" s="53"/>
      <c r="J32" s="173"/>
    </row>
    <row r="33" spans="1:10" x14ac:dyDescent="0.25">
      <c r="A33" s="173" t="s">
        <v>306</v>
      </c>
      <c r="C33" s="164" t="s">
        <v>308</v>
      </c>
      <c r="D33" s="182"/>
      <c r="F33" s="164" t="s">
        <v>309</v>
      </c>
      <c r="G33" s="173"/>
      <c r="H33" s="174"/>
      <c r="I33" s="174"/>
      <c r="J33" s="173"/>
    </row>
    <row r="34" spans="1:10" x14ac:dyDescent="0.25">
      <c r="A34" s="174"/>
      <c r="C34" s="175"/>
      <c r="D34" s="182"/>
      <c r="E34" s="174"/>
      <c r="F34" s="173"/>
      <c r="G34" s="174"/>
      <c r="H34" s="174"/>
      <c r="I34" s="174"/>
      <c r="J34" s="173"/>
    </row>
    <row r="35" spans="1:10" x14ac:dyDescent="0.25">
      <c r="A35" s="173" t="s">
        <v>307</v>
      </c>
      <c r="B35" s="173"/>
      <c r="C35" s="173" t="s">
        <v>141</v>
      </c>
      <c r="D35" s="173"/>
      <c r="E35" s="173"/>
      <c r="F35" s="173" t="s">
        <v>198</v>
      </c>
      <c r="G35" s="173"/>
      <c r="H35" s="174"/>
      <c r="I35" s="175"/>
      <c r="J35" s="173"/>
    </row>
    <row r="36" spans="1:10" x14ac:dyDescent="0.25"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  <c r="I39" s="173"/>
      <c r="J39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9" sqref="D9"/>
    </sheetView>
  </sheetViews>
  <sheetFormatPr defaultRowHeight="15" x14ac:dyDescent="0.25"/>
  <cols>
    <col min="1" max="1" width="14.5703125" customWidth="1"/>
  </cols>
  <sheetData>
    <row r="1" spans="1:10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0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0" ht="18.75" x14ac:dyDescent="0.3">
      <c r="A3" s="66"/>
      <c r="B3" s="173"/>
      <c r="C3" s="215" t="s">
        <v>290</v>
      </c>
      <c r="D3" s="160"/>
      <c r="E3" s="214"/>
      <c r="F3" s="214"/>
      <c r="G3" s="214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0" x14ac:dyDescent="0.25">
      <c r="A5" s="208" t="s">
        <v>274</v>
      </c>
      <c r="B5" s="5">
        <v>1</v>
      </c>
      <c r="C5" s="6" t="s">
        <v>89</v>
      </c>
      <c r="D5" s="85"/>
      <c r="E5" s="216"/>
      <c r="F5" s="216">
        <v>0</v>
      </c>
      <c r="G5" s="202"/>
      <c r="H5" s="203"/>
      <c r="I5" s="85"/>
      <c r="J5" s="217">
        <f>H5-I5</f>
        <v>0</v>
      </c>
    </row>
    <row r="6" spans="1:10" x14ac:dyDescent="0.25">
      <c r="A6" s="208" t="s">
        <v>274</v>
      </c>
      <c r="B6" s="5">
        <v>2</v>
      </c>
      <c r="C6" s="217"/>
      <c r="D6" s="85"/>
      <c r="E6" s="216"/>
      <c r="F6" s="216"/>
      <c r="G6" s="202"/>
      <c r="H6" s="203"/>
      <c r="I6" s="85"/>
      <c r="J6" s="217">
        <f>H6-I6</f>
        <v>0</v>
      </c>
    </row>
    <row r="7" spans="1:10" x14ac:dyDescent="0.25">
      <c r="A7" s="208" t="s">
        <v>155</v>
      </c>
      <c r="B7" s="5">
        <v>3</v>
      </c>
      <c r="C7" s="217"/>
      <c r="D7" s="85"/>
      <c r="E7" s="216"/>
      <c r="F7" s="216">
        <v>200</v>
      </c>
      <c r="G7" s="226">
        <v>4500</v>
      </c>
      <c r="H7" s="226">
        <f>G7+E7</f>
        <v>4500</v>
      </c>
      <c r="I7" s="85">
        <v>4500</v>
      </c>
      <c r="J7" s="217">
        <f>H7-I7</f>
        <v>0</v>
      </c>
    </row>
    <row r="8" spans="1:10" x14ac:dyDescent="0.25">
      <c r="A8" s="209" t="s">
        <v>258</v>
      </c>
      <c r="B8" s="5">
        <v>4</v>
      </c>
      <c r="C8" s="217"/>
      <c r="D8" s="85"/>
      <c r="E8" s="202"/>
      <c r="F8" s="202">
        <v>200</v>
      </c>
      <c r="G8" s="226">
        <v>4500</v>
      </c>
      <c r="H8" s="226">
        <f t="shared" ref="H8:H17" si="0">G8+E8</f>
        <v>4500</v>
      </c>
      <c r="I8" s="85">
        <v>4500</v>
      </c>
      <c r="J8" s="217">
        <f t="shared" ref="J8:J17" si="1">H8-I8</f>
        <v>0</v>
      </c>
    </row>
    <row r="9" spans="1:10" x14ac:dyDescent="0.25">
      <c r="A9" s="209" t="s">
        <v>289</v>
      </c>
      <c r="B9" s="9">
        <v>5</v>
      </c>
      <c r="C9" s="217"/>
      <c r="D9" s="85"/>
      <c r="E9" s="216"/>
      <c r="F9" s="216"/>
      <c r="G9" s="226">
        <v>4500</v>
      </c>
      <c r="H9" s="226">
        <f t="shared" si="0"/>
        <v>4500</v>
      </c>
      <c r="I9" s="85">
        <v>4500</v>
      </c>
      <c r="J9" s="21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85"/>
      <c r="E10" s="216"/>
      <c r="F10" s="216">
        <v>500</v>
      </c>
      <c r="G10" s="226">
        <v>4500</v>
      </c>
      <c r="H10" s="226">
        <f t="shared" si="0"/>
        <v>4500</v>
      </c>
      <c r="I10" s="85">
        <v>4500</v>
      </c>
      <c r="J10" s="21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85"/>
      <c r="E11" s="216"/>
      <c r="F11" s="216">
        <v>500</v>
      </c>
      <c r="G11" s="226">
        <v>4500</v>
      </c>
      <c r="H11" s="226">
        <f t="shared" si="0"/>
        <v>4500</v>
      </c>
      <c r="I11" s="85">
        <v>4500</v>
      </c>
      <c r="J11" s="217">
        <f t="shared" si="1"/>
        <v>0</v>
      </c>
    </row>
    <row r="12" spans="1:10" x14ac:dyDescent="0.25">
      <c r="A12" s="209" t="s">
        <v>274</v>
      </c>
      <c r="B12" s="9">
        <v>8</v>
      </c>
      <c r="C12" s="217"/>
      <c r="D12" s="85"/>
      <c r="E12" s="216"/>
      <c r="F12" s="216"/>
      <c r="G12" s="226"/>
      <c r="H12" s="226">
        <f t="shared" si="0"/>
        <v>0</v>
      </c>
      <c r="I12" s="85"/>
      <c r="J12" s="217">
        <f>H12-I12</f>
        <v>0</v>
      </c>
    </row>
    <row r="13" spans="1:10" x14ac:dyDescent="0.25">
      <c r="A13" s="208" t="s">
        <v>283</v>
      </c>
      <c r="B13" s="5">
        <v>1</v>
      </c>
      <c r="C13" s="217"/>
      <c r="D13" s="85"/>
      <c r="E13" s="216"/>
      <c r="F13" s="216"/>
      <c r="G13" s="226">
        <v>3000</v>
      </c>
      <c r="H13" s="226">
        <f t="shared" si="0"/>
        <v>3000</v>
      </c>
      <c r="I13" s="85">
        <v>3000</v>
      </c>
      <c r="J13" s="217">
        <f>H13-I13</f>
        <v>0</v>
      </c>
    </row>
    <row r="14" spans="1:10" x14ac:dyDescent="0.25">
      <c r="A14" s="208" t="s">
        <v>212</v>
      </c>
      <c r="B14" s="5">
        <v>2</v>
      </c>
      <c r="C14" s="217"/>
      <c r="D14" s="85"/>
      <c r="E14" s="216"/>
      <c r="F14" s="216">
        <v>200</v>
      </c>
      <c r="G14" s="226">
        <v>3000</v>
      </c>
      <c r="H14" s="226">
        <f t="shared" si="0"/>
        <v>3000</v>
      </c>
      <c r="I14" s="85">
        <v>3000</v>
      </c>
      <c r="J14" s="21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85"/>
      <c r="E15" s="216"/>
      <c r="F15" s="216">
        <v>400</v>
      </c>
      <c r="G15" s="226">
        <v>3000</v>
      </c>
      <c r="H15" s="226">
        <f t="shared" si="0"/>
        <v>3000</v>
      </c>
      <c r="I15" s="85">
        <v>3000</v>
      </c>
      <c r="J15" s="217">
        <f t="shared" si="1"/>
        <v>0</v>
      </c>
    </row>
    <row r="16" spans="1:10" x14ac:dyDescent="0.25">
      <c r="A16" s="208" t="s">
        <v>276</v>
      </c>
      <c r="B16" s="5">
        <v>4</v>
      </c>
      <c r="C16" s="217"/>
      <c r="D16" s="85"/>
      <c r="E16" s="216"/>
      <c r="F16" s="216"/>
      <c r="G16" s="226">
        <v>3000</v>
      </c>
      <c r="H16" s="226">
        <f t="shared" si="0"/>
        <v>3000</v>
      </c>
      <c r="I16" s="85">
        <v>3000</v>
      </c>
      <c r="J16" s="217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16"/>
      <c r="G17" s="226">
        <v>3000</v>
      </c>
      <c r="H17" s="226">
        <f t="shared" si="0"/>
        <v>3000</v>
      </c>
      <c r="I17" s="85">
        <v>3000</v>
      </c>
      <c r="J17" s="217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16">
        <f t="shared" si="2"/>
        <v>2000</v>
      </c>
      <c r="G18" s="227">
        <f t="shared" si="2"/>
        <v>37500</v>
      </c>
      <c r="H18" s="226">
        <f t="shared" si="2"/>
        <v>37500</v>
      </c>
      <c r="I18" s="85">
        <f t="shared" si="2"/>
        <v>37500</v>
      </c>
      <c r="J18" s="217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6">
        <f>G18</f>
        <v>37500</v>
      </c>
      <c r="D20" s="174"/>
      <c r="E20" s="53"/>
      <c r="F20" s="53"/>
      <c r="G20" s="174" t="s">
        <v>183</v>
      </c>
      <c r="H20" s="174"/>
      <c r="I20" s="36">
        <f>I18</f>
        <v>37500</v>
      </c>
      <c r="J20" s="174"/>
    </row>
    <row r="21" spans="1:11" x14ac:dyDescent="0.25">
      <c r="A21" s="174" t="s">
        <v>147</v>
      </c>
      <c r="B21" s="174"/>
      <c r="C21" s="41">
        <f>JAN!C31</f>
        <v>-21826</v>
      </c>
      <c r="D21" s="174"/>
      <c r="E21" s="174"/>
      <c r="F21" s="174"/>
      <c r="G21" s="174" t="s">
        <v>147</v>
      </c>
      <c r="H21" s="174"/>
      <c r="I21" s="41">
        <f>JAN!I31</f>
        <v>-21826</v>
      </c>
      <c r="J21" s="174"/>
    </row>
    <row r="22" spans="1:11" ht="16.5" x14ac:dyDescent="0.35">
      <c r="A22" s="149" t="s">
        <v>176</v>
      </c>
      <c r="B22" s="149"/>
      <c r="C22" s="168">
        <f>SUM(C20:C21)</f>
        <v>15674</v>
      </c>
      <c r="D22" s="174"/>
      <c r="E22" s="53"/>
      <c r="F22" s="38"/>
      <c r="G22" s="149" t="s">
        <v>176</v>
      </c>
      <c r="H22" s="149"/>
      <c r="I22" s="168">
        <f>SUM(I20:I21)</f>
        <v>15674</v>
      </c>
      <c r="J22" s="174"/>
    </row>
    <row r="23" spans="1:11" x14ac:dyDescent="0.25">
      <c r="A23" s="219" t="s">
        <v>29</v>
      </c>
      <c r="B23" s="174"/>
      <c r="C23" s="38"/>
      <c r="D23" s="174"/>
      <c r="E23" s="174"/>
      <c r="F23" s="174"/>
      <c r="G23" s="219" t="s">
        <v>29</v>
      </c>
      <c r="H23" s="174"/>
      <c r="I23" s="38"/>
      <c r="J23" s="174"/>
    </row>
    <row r="24" spans="1:11" x14ac:dyDescent="0.25">
      <c r="A24" s="174" t="s">
        <v>177</v>
      </c>
      <c r="B24" s="220">
        <v>7.0000000000000007E-2</v>
      </c>
      <c r="C24" s="40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40">
        <f>H24*C20</f>
        <v>2625.0000000000005</v>
      </c>
      <c r="J24" s="174"/>
    </row>
    <row r="25" spans="1:11" x14ac:dyDescent="0.25">
      <c r="A25" s="188">
        <v>43141</v>
      </c>
      <c r="B25" s="174"/>
      <c r="C25" s="40">
        <v>20100</v>
      </c>
      <c r="D25" s="174"/>
      <c r="E25" s="174"/>
      <c r="F25" s="174"/>
      <c r="G25" s="188">
        <v>43141</v>
      </c>
      <c r="H25" s="174"/>
      <c r="I25" s="40">
        <v>20100</v>
      </c>
      <c r="J25" s="174"/>
    </row>
    <row r="26" spans="1:11" x14ac:dyDescent="0.25">
      <c r="A26" s="154">
        <v>43151</v>
      </c>
      <c r="B26" s="174"/>
      <c r="C26" s="40">
        <v>5060</v>
      </c>
      <c r="D26" s="174"/>
      <c r="E26" s="174"/>
      <c r="F26" s="38"/>
      <c r="G26" s="154">
        <v>43151</v>
      </c>
      <c r="H26" s="174"/>
      <c r="I26" s="40">
        <v>5060</v>
      </c>
      <c r="J26" s="174"/>
    </row>
    <row r="27" spans="1:11" x14ac:dyDescent="0.25">
      <c r="A27" s="154"/>
      <c r="B27" s="174"/>
      <c r="C27" s="174"/>
      <c r="D27" s="53"/>
      <c r="E27" s="139"/>
      <c r="F27" s="38"/>
      <c r="G27" s="154"/>
      <c r="H27" s="174"/>
      <c r="I27" s="174"/>
      <c r="J27" s="174"/>
    </row>
    <row r="28" spans="1:11" x14ac:dyDescent="0.25">
      <c r="A28" s="154"/>
      <c r="B28" s="174"/>
      <c r="C28" s="174"/>
      <c r="D28" s="174"/>
      <c r="E28" s="174"/>
      <c r="F28" s="174"/>
      <c r="G28" s="154"/>
      <c r="H28" s="174"/>
      <c r="I28" s="174"/>
      <c r="J28" s="174"/>
    </row>
    <row r="29" spans="1:11" x14ac:dyDescent="0.25">
      <c r="A29" s="173" t="s">
        <v>272</v>
      </c>
      <c r="B29" s="173"/>
      <c r="C29" s="40">
        <v>3000</v>
      </c>
      <c r="D29" s="173"/>
      <c r="E29" s="173"/>
      <c r="F29" s="173"/>
      <c r="G29" s="173" t="s">
        <v>272</v>
      </c>
      <c r="H29" s="173"/>
      <c r="I29" s="40">
        <f>C29</f>
        <v>3000</v>
      </c>
      <c r="J29" s="174"/>
    </row>
    <row r="30" spans="1:11" x14ac:dyDescent="0.25">
      <c r="A30" s="173"/>
      <c r="B30" s="173"/>
      <c r="C30" s="173"/>
      <c r="D30" s="173"/>
      <c r="E30" s="173"/>
      <c r="F30" s="173"/>
      <c r="G30" s="173"/>
      <c r="H30" s="173"/>
      <c r="I30" s="173"/>
      <c r="J30" s="174"/>
    </row>
    <row r="31" spans="1:11" x14ac:dyDescent="0.25">
      <c r="A31" s="174" t="s">
        <v>62</v>
      </c>
      <c r="B31" s="174"/>
      <c r="C31" s="53">
        <f>SUM(C24:C29)</f>
        <v>30785</v>
      </c>
      <c r="D31" s="53"/>
      <c r="E31" s="139"/>
      <c r="F31" s="38"/>
      <c r="G31" s="225" t="s">
        <v>62</v>
      </c>
      <c r="H31" s="174"/>
      <c r="I31" s="53">
        <f>SUM(I24:I29)</f>
        <v>30785</v>
      </c>
      <c r="J31" s="174"/>
    </row>
    <row r="32" spans="1:11" x14ac:dyDescent="0.25">
      <c r="A32" s="167" t="s">
        <v>252</v>
      </c>
      <c r="B32" s="174"/>
      <c r="C32" s="53">
        <f>C22-C31</f>
        <v>-15111</v>
      </c>
      <c r="D32" s="174"/>
      <c r="E32" s="53"/>
      <c r="F32" s="38"/>
      <c r="G32" s="149" t="s">
        <v>252</v>
      </c>
      <c r="H32" s="174"/>
      <c r="I32" s="53">
        <f>I22-I31</f>
        <v>-15111</v>
      </c>
      <c r="J32" s="174"/>
    </row>
    <row r="33" spans="1:10" x14ac:dyDescent="0.25">
      <c r="A33" s="167"/>
      <c r="B33" s="174"/>
      <c r="C33" s="53"/>
      <c r="D33" s="174"/>
      <c r="E33" s="53"/>
      <c r="F33" s="38"/>
      <c r="G33" s="174"/>
      <c r="H33" s="174"/>
      <c r="I33" s="53"/>
      <c r="J33" s="173"/>
    </row>
    <row r="34" spans="1:10" x14ac:dyDescent="0.25">
      <c r="A34" s="173"/>
      <c r="B34" s="174"/>
      <c r="C34" s="174"/>
      <c r="D34" s="182"/>
      <c r="E34" s="173"/>
      <c r="F34" s="173"/>
      <c r="G34" s="173"/>
      <c r="H34" s="174"/>
      <c r="I34" s="174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4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4"/>
      <c r="I36" s="175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0" sqref="G20"/>
    </sheetView>
  </sheetViews>
  <sheetFormatPr defaultRowHeight="15" x14ac:dyDescent="0.25"/>
  <cols>
    <col min="1" max="1" width="15.140625" style="173" customWidth="1"/>
    <col min="2" max="16384" width="9.140625" style="173"/>
  </cols>
  <sheetData>
    <row r="1" spans="1:9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9" ht="18.75" x14ac:dyDescent="0.3">
      <c r="A2" s="66"/>
      <c r="C2" s="163" t="s">
        <v>293</v>
      </c>
      <c r="D2" s="164"/>
      <c r="E2" s="164"/>
      <c r="F2" s="214"/>
    </row>
    <row r="3" spans="1:9" ht="18.75" x14ac:dyDescent="0.3">
      <c r="C3" s="66" t="s">
        <v>294</v>
      </c>
      <c r="D3" s="164"/>
      <c r="E3" s="164"/>
      <c r="F3" s="214"/>
    </row>
    <row r="4" spans="1:9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9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</row>
    <row r="6" spans="1:9" x14ac:dyDescent="0.25">
      <c r="A6" s="208" t="s">
        <v>274</v>
      </c>
      <c r="B6" s="5">
        <v>2</v>
      </c>
      <c r="C6" s="217"/>
      <c r="D6" s="216"/>
      <c r="E6" s="216"/>
      <c r="F6" s="202"/>
      <c r="G6" s="203"/>
      <c r="H6" s="85"/>
      <c r="I6" s="217">
        <f>G6-H6</f>
        <v>0</v>
      </c>
    </row>
    <row r="7" spans="1:9" x14ac:dyDescent="0.25">
      <c r="A7" s="208" t="s">
        <v>155</v>
      </c>
      <c r="B7" s="5">
        <v>3</v>
      </c>
      <c r="C7" s="217"/>
      <c r="D7" s="216"/>
      <c r="E7" s="216">
        <v>200</v>
      </c>
      <c r="F7" s="226">
        <v>4500</v>
      </c>
      <c r="G7" s="226">
        <f>F7+D7</f>
        <v>4500</v>
      </c>
      <c r="H7" s="85">
        <v>4500</v>
      </c>
      <c r="I7" s="217">
        <f>G7-H7</f>
        <v>0</v>
      </c>
    </row>
    <row r="8" spans="1:9" x14ac:dyDescent="0.25">
      <c r="A8" s="209" t="s">
        <v>258</v>
      </c>
      <c r="B8" s="5">
        <v>4</v>
      </c>
      <c r="C8" s="217"/>
      <c r="D8" s="202"/>
      <c r="E8" s="202"/>
      <c r="F8" s="226">
        <v>4500</v>
      </c>
      <c r="G8" s="226">
        <f t="shared" ref="G8:G17" si="0">F8+D8</f>
        <v>4500</v>
      </c>
      <c r="H8" s="85">
        <v>4500</v>
      </c>
      <c r="I8" s="217">
        <f t="shared" ref="I8:I17" si="1">G8-H8</f>
        <v>0</v>
      </c>
    </row>
    <row r="9" spans="1:9" x14ac:dyDescent="0.25">
      <c r="A9" s="209" t="s">
        <v>289</v>
      </c>
      <c r="B9" s="9">
        <v>5</v>
      </c>
      <c r="C9" s="217"/>
      <c r="D9" s="216"/>
      <c r="E9" s="216">
        <v>200</v>
      </c>
      <c r="F9" s="226">
        <v>4500</v>
      </c>
      <c r="G9" s="226">
        <f t="shared" si="0"/>
        <v>4500</v>
      </c>
      <c r="H9" s="85">
        <v>4500</v>
      </c>
      <c r="I9" s="217">
        <f t="shared" si="1"/>
        <v>0</v>
      </c>
    </row>
    <row r="10" spans="1:9" x14ac:dyDescent="0.25">
      <c r="A10" s="209" t="s">
        <v>281</v>
      </c>
      <c r="B10" s="9">
        <v>6</v>
      </c>
      <c r="C10" s="217"/>
      <c r="D10" s="216"/>
      <c r="E10" s="216">
        <v>300</v>
      </c>
      <c r="F10" s="226">
        <v>4500</v>
      </c>
      <c r="G10" s="226">
        <f t="shared" si="0"/>
        <v>4500</v>
      </c>
      <c r="H10" s="85">
        <v>4500</v>
      </c>
      <c r="I10" s="217">
        <f t="shared" si="1"/>
        <v>0</v>
      </c>
    </row>
    <row r="11" spans="1:9" x14ac:dyDescent="0.25">
      <c r="A11" s="208" t="s">
        <v>280</v>
      </c>
      <c r="B11" s="9">
        <v>7</v>
      </c>
      <c r="C11" s="217"/>
      <c r="D11" s="216"/>
      <c r="E11" s="216">
        <v>500</v>
      </c>
      <c r="F11" s="226">
        <v>4500</v>
      </c>
      <c r="G11" s="226">
        <f t="shared" si="0"/>
        <v>4500</v>
      </c>
      <c r="H11" s="85">
        <v>4500</v>
      </c>
      <c r="I11" s="217">
        <f t="shared" si="1"/>
        <v>0</v>
      </c>
    </row>
    <row r="12" spans="1:9" x14ac:dyDescent="0.25">
      <c r="A12" s="209" t="s">
        <v>274</v>
      </c>
      <c r="B12" s="9">
        <v>8</v>
      </c>
      <c r="C12" s="217"/>
      <c r="D12" s="216"/>
      <c r="E12" s="216"/>
      <c r="F12" s="226"/>
      <c r="G12" s="226">
        <f t="shared" si="0"/>
        <v>0</v>
      </c>
      <c r="H12" s="85"/>
      <c r="I12" s="217">
        <f t="shared" si="1"/>
        <v>0</v>
      </c>
    </row>
    <row r="13" spans="1:9" x14ac:dyDescent="0.25">
      <c r="A13" s="208" t="s">
        <v>283</v>
      </c>
      <c r="B13" s="5">
        <v>1</v>
      </c>
      <c r="C13" s="217"/>
      <c r="D13" s="216"/>
      <c r="E13" s="216">
        <v>200</v>
      </c>
      <c r="F13" s="226">
        <v>3000</v>
      </c>
      <c r="G13" s="226">
        <f t="shared" si="0"/>
        <v>3000</v>
      </c>
      <c r="H13" s="85">
        <v>3000</v>
      </c>
      <c r="I13" s="217">
        <f t="shared" si="1"/>
        <v>0</v>
      </c>
    </row>
    <row r="14" spans="1:9" x14ac:dyDescent="0.25">
      <c r="A14" s="208" t="s">
        <v>212</v>
      </c>
      <c r="B14" s="5">
        <v>2</v>
      </c>
      <c r="C14" s="217"/>
      <c r="D14" s="216"/>
      <c r="E14" s="216">
        <v>200</v>
      </c>
      <c r="F14" s="226">
        <v>3000</v>
      </c>
      <c r="G14" s="226">
        <f t="shared" si="0"/>
        <v>3000</v>
      </c>
      <c r="H14" s="85">
        <v>3000</v>
      </c>
      <c r="I14" s="217">
        <f t="shared" si="1"/>
        <v>0</v>
      </c>
    </row>
    <row r="15" spans="1:9" x14ac:dyDescent="0.25">
      <c r="A15" s="209" t="s">
        <v>249</v>
      </c>
      <c r="B15" s="5">
        <v>3</v>
      </c>
      <c r="C15" s="217"/>
      <c r="D15" s="216"/>
      <c r="E15" s="216">
        <v>100</v>
      </c>
      <c r="F15" s="226">
        <v>3000</v>
      </c>
      <c r="G15" s="226">
        <f t="shared" si="0"/>
        <v>3000</v>
      </c>
      <c r="H15" s="85">
        <v>3000</v>
      </c>
      <c r="I15" s="217">
        <f t="shared" si="1"/>
        <v>0</v>
      </c>
    </row>
    <row r="16" spans="1:9" x14ac:dyDescent="0.25">
      <c r="A16" s="208" t="s">
        <v>276</v>
      </c>
      <c r="B16" s="5">
        <v>4</v>
      </c>
      <c r="C16" s="217"/>
      <c r="D16" s="216"/>
      <c r="E16" s="216"/>
      <c r="F16" s="226">
        <v>3000</v>
      </c>
      <c r="G16" s="226">
        <f t="shared" si="0"/>
        <v>3000</v>
      </c>
      <c r="H16" s="85">
        <v>3000</v>
      </c>
      <c r="I16" s="21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226">
        <v>3000</v>
      </c>
      <c r="G17" s="226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62"/>
      <c r="B18" s="62"/>
      <c r="C18" s="217"/>
      <c r="D18" s="216">
        <f>SUM(D5:D17)</f>
        <v>0</v>
      </c>
      <c r="E18" s="216">
        <f>SUM(E6:E17)</f>
        <v>1700</v>
      </c>
      <c r="F18" s="227">
        <f>SUM(F5:F17)</f>
        <v>37500</v>
      </c>
      <c r="G18" s="226">
        <f>SUM(G5:G17)</f>
        <v>37500</v>
      </c>
      <c r="H18" s="85">
        <f>SUM(H5:H17)</f>
        <v>37500</v>
      </c>
      <c r="I18" s="217">
        <f>SUM(I5:I17)</f>
        <v>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37500</v>
      </c>
      <c r="D20" s="53"/>
      <c r="E20" s="53"/>
      <c r="F20" s="174" t="s">
        <v>183</v>
      </c>
      <c r="G20" s="174"/>
      <c r="H20" s="228">
        <f>H18</f>
        <v>37500</v>
      </c>
      <c r="I20" s="174"/>
    </row>
    <row r="21" spans="1:10" x14ac:dyDescent="0.25">
      <c r="A21" s="174" t="s">
        <v>147</v>
      </c>
      <c r="B21" s="174"/>
      <c r="C21" s="41">
        <f>'FEB18'!C32</f>
        <v>-15111</v>
      </c>
      <c r="D21" s="174"/>
      <c r="E21" s="174"/>
      <c r="F21" s="174" t="s">
        <v>147</v>
      </c>
      <c r="G21" s="174"/>
      <c r="H21" s="41">
        <f>'FEB18'!I32</f>
        <v>-15111</v>
      </c>
      <c r="I21" s="174"/>
    </row>
    <row r="22" spans="1:10" ht="16.5" x14ac:dyDescent="0.35">
      <c r="A22" s="149" t="s">
        <v>176</v>
      </c>
      <c r="B22" s="149"/>
      <c r="C22" s="168">
        <f>SUM(C20:C21)</f>
        <v>22389</v>
      </c>
      <c r="D22" s="53"/>
      <c r="E22" s="38"/>
      <c r="F22" s="149" t="s">
        <v>176</v>
      </c>
      <c r="G22" s="149"/>
      <c r="H22" s="168">
        <f>SUM(H20:H21)</f>
        <v>22389</v>
      </c>
      <c r="I22" s="174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0" x14ac:dyDescent="0.25">
      <c r="A24" s="174" t="s">
        <v>177</v>
      </c>
      <c r="B24" s="220">
        <v>7.0000000000000007E-2</v>
      </c>
      <c r="C24" s="40">
        <f>C20*B24</f>
        <v>2625.0000000000005</v>
      </c>
      <c r="D24" s="53"/>
      <c r="E24" s="174"/>
      <c r="F24" s="174" t="s">
        <v>177</v>
      </c>
      <c r="G24" s="220">
        <v>7.0000000000000007E-2</v>
      </c>
      <c r="H24" s="40">
        <f>G24*C20</f>
        <v>2625.0000000000005</v>
      </c>
      <c r="I24" s="174"/>
    </row>
    <row r="25" spans="1:10" x14ac:dyDescent="0.25">
      <c r="A25" s="188">
        <v>43165</v>
      </c>
      <c r="B25" s="174"/>
      <c r="C25" s="40">
        <v>15095</v>
      </c>
      <c r="D25" s="174"/>
      <c r="E25" s="174"/>
      <c r="F25" s="188">
        <v>43165</v>
      </c>
      <c r="G25" s="174"/>
      <c r="H25" s="40">
        <v>15095</v>
      </c>
      <c r="I25" s="174"/>
    </row>
    <row r="26" spans="1:10" x14ac:dyDescent="0.25">
      <c r="A26" s="154">
        <v>43173</v>
      </c>
      <c r="B26" s="174"/>
      <c r="C26" s="40">
        <v>10595</v>
      </c>
      <c r="D26" s="174"/>
      <c r="E26" s="38"/>
      <c r="F26" s="154">
        <v>43173</v>
      </c>
      <c r="G26" s="174"/>
      <c r="H26" s="40">
        <v>10595</v>
      </c>
      <c r="I26" s="174"/>
    </row>
    <row r="27" spans="1:10" x14ac:dyDescent="0.25">
      <c r="A27" s="154">
        <v>43178</v>
      </c>
      <c r="B27" s="174"/>
      <c r="C27" s="174">
        <v>2000</v>
      </c>
      <c r="D27" s="139"/>
      <c r="E27" s="38"/>
      <c r="F27" s="154">
        <v>43178</v>
      </c>
      <c r="G27" s="174"/>
      <c r="H27" s="174">
        <v>2000</v>
      </c>
      <c r="I27" s="174"/>
    </row>
    <row r="28" spans="1:10" x14ac:dyDescent="0.25">
      <c r="A28" s="173" t="s">
        <v>272</v>
      </c>
      <c r="C28" s="40">
        <f>F17</f>
        <v>3000</v>
      </c>
      <c r="F28" s="173" t="s">
        <v>272</v>
      </c>
      <c r="H28" s="40">
        <f>F17</f>
        <v>3000</v>
      </c>
      <c r="I28" s="174"/>
    </row>
    <row r="29" spans="1:10" x14ac:dyDescent="0.25">
      <c r="I29" s="174"/>
    </row>
    <row r="30" spans="1:10" x14ac:dyDescent="0.25">
      <c r="A30" s="174" t="s">
        <v>62</v>
      </c>
      <c r="B30" s="174"/>
      <c r="C30" s="53">
        <f>SUM(C24:C28)</f>
        <v>33315</v>
      </c>
      <c r="D30" s="139"/>
      <c r="E30" s="38"/>
      <c r="F30" s="225" t="s">
        <v>62</v>
      </c>
      <c r="G30" s="174"/>
      <c r="H30" s="53">
        <f>SUM(H24:H28)</f>
        <v>33315</v>
      </c>
      <c r="I30" s="174"/>
    </row>
    <row r="31" spans="1:10" x14ac:dyDescent="0.25">
      <c r="A31" s="167" t="s">
        <v>252</v>
      </c>
      <c r="B31" s="174"/>
      <c r="C31" s="53">
        <f>C22-C30</f>
        <v>-10926</v>
      </c>
      <c r="D31" s="53"/>
      <c r="E31" s="38"/>
      <c r="F31" s="149" t="s">
        <v>252</v>
      </c>
      <c r="G31" s="174"/>
      <c r="H31" s="53">
        <f>H22-H30</f>
        <v>-10926</v>
      </c>
      <c r="I31" s="174"/>
    </row>
    <row r="32" spans="1:10" x14ac:dyDescent="0.25">
      <c r="I32" s="174"/>
    </row>
    <row r="33" spans="1:8" x14ac:dyDescent="0.25">
      <c r="A33" s="173" t="s">
        <v>306</v>
      </c>
      <c r="C33" s="164" t="s">
        <v>308</v>
      </c>
      <c r="D33" s="182"/>
      <c r="F33" s="164" t="s">
        <v>309</v>
      </c>
      <c r="H33" s="174"/>
    </row>
    <row r="34" spans="1:8" x14ac:dyDescent="0.25">
      <c r="A34" s="174"/>
      <c r="C34" s="175"/>
      <c r="D34" s="182"/>
      <c r="E34" s="174"/>
      <c r="G34" s="174"/>
      <c r="H34" s="175"/>
    </row>
    <row r="35" spans="1:8" x14ac:dyDescent="0.25">
      <c r="A35" s="173" t="s">
        <v>307</v>
      </c>
      <c r="C35" s="173" t="s">
        <v>141</v>
      </c>
      <c r="F35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E10" sqref="E10"/>
    </sheetView>
  </sheetViews>
  <sheetFormatPr defaultRowHeight="15" x14ac:dyDescent="0.25"/>
  <cols>
    <col min="1" max="1" width="15" customWidth="1"/>
    <col min="2" max="2" width="3.7109375" customWidth="1"/>
    <col min="3" max="3" width="9.5703125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295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  <c r="J5" s="173"/>
    </row>
    <row r="6" spans="1:10" x14ac:dyDescent="0.25">
      <c r="A6" s="208" t="s">
        <v>274</v>
      </c>
      <c r="B6" s="5">
        <v>2</v>
      </c>
      <c r="C6" s="217"/>
      <c r="D6" s="216"/>
      <c r="E6" s="216"/>
      <c r="F6" s="202"/>
      <c r="G6" s="203">
        <f>C6+D6+F6</f>
        <v>0</v>
      </c>
      <c r="H6" s="85"/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27">
        <v>200</v>
      </c>
      <c r="F7" s="226">
        <v>4500</v>
      </c>
      <c r="G7" s="203">
        <f t="shared" ref="G7:G17" si="0">C7+D7+F7</f>
        <v>4500</v>
      </c>
      <c r="H7" s="85">
        <v>4500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26"/>
      <c r="F8" s="226"/>
      <c r="G8" s="203">
        <f t="shared" si="0"/>
        <v>0</v>
      </c>
      <c r="H8" s="85"/>
      <c r="I8" s="217">
        <f t="shared" ref="I8:I17" si="1">G8-H8</f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03">
        <f t="shared" si="0"/>
        <v>4500</v>
      </c>
      <c r="H9" s="85">
        <v>4500</v>
      </c>
      <c r="I9" s="21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50</v>
      </c>
      <c r="F10" s="226">
        <v>4500</v>
      </c>
      <c r="G10" s="203">
        <f t="shared" si="0"/>
        <v>4500</v>
      </c>
      <c r="H10" s="85">
        <v>4500</v>
      </c>
      <c r="I10" s="21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>
        <v>500</v>
      </c>
      <c r="F11" s="226">
        <v>4500</v>
      </c>
      <c r="G11" s="203">
        <f t="shared" si="0"/>
        <v>4500</v>
      </c>
      <c r="H11" s="85">
        <v>4500</v>
      </c>
      <c r="I11" s="217">
        <f t="shared" si="1"/>
        <v>0</v>
      </c>
      <c r="J11" s="173"/>
    </row>
    <row r="12" spans="1:10" x14ac:dyDescent="0.25">
      <c r="A12" s="209" t="s">
        <v>274</v>
      </c>
      <c r="B12" s="9">
        <v>8</v>
      </c>
      <c r="C12" s="217"/>
      <c r="D12" s="216"/>
      <c r="E12" s="227"/>
      <c r="F12" s="226"/>
      <c r="G12" s="203">
        <f t="shared" si="0"/>
        <v>0</v>
      </c>
      <c r="H12" s="85"/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03">
        <f t="shared" si="0"/>
        <v>3000</v>
      </c>
      <c r="H13" s="85">
        <v>3000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03">
        <f t="shared" si="0"/>
        <v>3000</v>
      </c>
      <c r="H14" s="85">
        <v>3000</v>
      </c>
      <c r="I14" s="21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/>
      <c r="E15" s="227"/>
      <c r="F15" s="226">
        <v>3000</v>
      </c>
      <c r="G15" s="203">
        <f t="shared" si="0"/>
        <v>3000</v>
      </c>
      <c r="H15" s="85"/>
      <c r="I15" s="217">
        <f t="shared" si="1"/>
        <v>3000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03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03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33">
        <f>SUM(D5:D17)</f>
        <v>0</v>
      </c>
      <c r="E18" s="234">
        <f>SUM(E6:E17)</f>
        <v>1150</v>
      </c>
      <c r="F18" s="234">
        <f>SUM(F5:F17)</f>
        <v>33000</v>
      </c>
      <c r="G18" s="230">
        <f>SUM(G5:G17)</f>
        <v>33000</v>
      </c>
      <c r="H18" s="235">
        <f>SUM(H5:H17)</f>
        <v>30000</v>
      </c>
      <c r="I18" s="232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33000</v>
      </c>
      <c r="D20" s="53"/>
      <c r="E20" s="53"/>
      <c r="F20" s="174" t="s">
        <v>183</v>
      </c>
      <c r="G20" s="174"/>
      <c r="H20" s="228">
        <f>H18</f>
        <v>30000</v>
      </c>
      <c r="I20" s="174"/>
      <c r="J20" s="173"/>
    </row>
    <row r="21" spans="1:10" x14ac:dyDescent="0.25">
      <c r="A21" s="174" t="s">
        <v>147</v>
      </c>
      <c r="B21" s="174"/>
      <c r="C21" s="41">
        <f>'MAR 18'!C31</f>
        <v>-10926</v>
      </c>
      <c r="D21" s="174"/>
      <c r="E21" s="174"/>
      <c r="F21" s="174" t="s">
        <v>147</v>
      </c>
      <c r="G21" s="174"/>
      <c r="H21" s="41">
        <f>'MAR 18'!H31</f>
        <v>-10926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22074</v>
      </c>
      <c r="D22" s="53"/>
      <c r="E22" s="38"/>
      <c r="F22" s="149" t="s">
        <v>176</v>
      </c>
      <c r="G22" s="149"/>
      <c r="H22" s="168">
        <f>SUM(H20:H21)</f>
        <v>19074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2310</v>
      </c>
      <c r="D24" s="53"/>
      <c r="E24" s="174"/>
      <c r="F24" s="174" t="s">
        <v>177</v>
      </c>
      <c r="G24" s="220">
        <v>7.0000000000000007E-2</v>
      </c>
      <c r="H24" s="40">
        <f>G24*C20</f>
        <v>2310</v>
      </c>
      <c r="I24" s="174"/>
      <c r="J24" s="173"/>
    </row>
    <row r="25" spans="1:10" x14ac:dyDescent="0.25">
      <c r="A25" s="173" t="s">
        <v>272</v>
      </c>
      <c r="B25" s="173"/>
      <c r="C25" s="40">
        <f>F17</f>
        <v>3000</v>
      </c>
      <c r="D25" s="173"/>
      <c r="E25" s="173"/>
      <c r="F25" s="173" t="s">
        <v>272</v>
      </c>
      <c r="G25" s="173"/>
      <c r="H25" s="40">
        <f>F17</f>
        <v>3000</v>
      </c>
      <c r="I25" s="174"/>
      <c r="J25" s="173"/>
    </row>
    <row r="26" spans="1:10" x14ac:dyDescent="0.25">
      <c r="A26" s="154">
        <v>43194</v>
      </c>
      <c r="B26" s="174"/>
      <c r="C26" s="40">
        <v>9485</v>
      </c>
      <c r="D26" s="174"/>
      <c r="E26" s="38"/>
      <c r="F26" s="154">
        <v>43194</v>
      </c>
      <c r="G26" s="174"/>
      <c r="H26" s="40">
        <v>9485</v>
      </c>
      <c r="I26" s="174"/>
      <c r="J26" s="173"/>
    </row>
    <row r="27" spans="1:10" x14ac:dyDescent="0.25">
      <c r="A27" s="154">
        <v>43195</v>
      </c>
      <c r="B27" s="174"/>
      <c r="C27" s="174">
        <v>6075</v>
      </c>
      <c r="D27" s="139"/>
      <c r="E27" s="38"/>
      <c r="F27" s="154">
        <v>43195</v>
      </c>
      <c r="G27" s="174"/>
      <c r="H27" s="174">
        <v>6075</v>
      </c>
      <c r="I27" s="174"/>
      <c r="J27" s="173"/>
    </row>
    <row r="28" spans="1:10" x14ac:dyDescent="0.25">
      <c r="A28" s="210">
        <v>43195</v>
      </c>
      <c r="C28">
        <v>10395</v>
      </c>
      <c r="F28" s="210">
        <v>43195</v>
      </c>
      <c r="G28" s="173"/>
      <c r="H28" s="173">
        <v>10395</v>
      </c>
      <c r="I28" s="174"/>
      <c r="J28" s="173"/>
    </row>
    <row r="29" spans="1:10" x14ac:dyDescent="0.25">
      <c r="A29" s="210">
        <v>43214</v>
      </c>
      <c r="B29" s="173"/>
      <c r="C29" s="40">
        <v>3055</v>
      </c>
      <c r="E29" s="173"/>
      <c r="F29" s="210">
        <v>43214</v>
      </c>
      <c r="G29" s="173"/>
      <c r="H29" s="40">
        <v>3055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34320</v>
      </c>
      <c r="D30" s="100"/>
      <c r="E30" s="238"/>
      <c r="F30" s="239" t="s">
        <v>62</v>
      </c>
      <c r="G30" s="236"/>
      <c r="H30" s="237">
        <f>SUM(H24:H29)</f>
        <v>34320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-12246</v>
      </c>
      <c r="D31" s="237"/>
      <c r="E31" s="238"/>
      <c r="F31" s="241" t="s">
        <v>252</v>
      </c>
      <c r="G31" s="236"/>
      <c r="H31" s="237">
        <f>H22-H30</f>
        <v>-15246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4.28515625" customWidth="1"/>
    <col min="7" max="7" width="9.85546875" customWidth="1"/>
  </cols>
  <sheetData>
    <row r="1" spans="1:14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4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4" ht="18.75" x14ac:dyDescent="0.3">
      <c r="A3" s="173"/>
      <c r="B3" s="173"/>
      <c r="C3" s="66" t="s">
        <v>296</v>
      </c>
      <c r="D3" s="164"/>
      <c r="E3" s="164"/>
      <c r="F3" s="214"/>
      <c r="G3" s="173"/>
      <c r="H3" s="173"/>
      <c r="I3" s="173"/>
      <c r="J3" s="173"/>
    </row>
    <row r="4" spans="1:14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  <c r="L4" s="54"/>
      <c r="M4" s="54"/>
      <c r="N4" s="54"/>
    </row>
    <row r="5" spans="1:14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3"/>
      <c r="J5" s="54"/>
      <c r="L5" s="244"/>
      <c r="M5" s="248"/>
      <c r="N5" s="245"/>
    </row>
    <row r="6" spans="1:14" x14ac:dyDescent="0.25">
      <c r="A6" s="208" t="s">
        <v>297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17">
        <f>G6-H6</f>
        <v>0</v>
      </c>
      <c r="J6" s="173" t="s">
        <v>298</v>
      </c>
      <c r="L6" s="54"/>
      <c r="M6" s="54"/>
      <c r="N6" s="54"/>
    </row>
    <row r="7" spans="1:14" x14ac:dyDescent="0.25">
      <c r="A7" s="208" t="s">
        <v>155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17">
        <f>G7-H7</f>
        <v>0</v>
      </c>
      <c r="J7" s="173"/>
      <c r="L7" s="54"/>
      <c r="M7" s="54"/>
      <c r="N7" s="54"/>
    </row>
    <row r="8" spans="1:14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17">
        <f t="shared" ref="I8:I17" si="1">G8-H8</f>
        <v>0</v>
      </c>
      <c r="J8" s="173"/>
      <c r="L8" s="54"/>
      <c r="M8" s="54"/>
      <c r="N8" s="54"/>
    </row>
    <row r="9" spans="1:14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17">
        <f t="shared" si="1"/>
        <v>0</v>
      </c>
      <c r="J9" s="173"/>
      <c r="L9" s="54"/>
      <c r="M9" s="246"/>
      <c r="N9" s="54"/>
    </row>
    <row r="10" spans="1:14" x14ac:dyDescent="0.25">
      <c r="A10" s="209" t="s">
        <v>281</v>
      </c>
      <c r="B10" s="9">
        <v>6</v>
      </c>
      <c r="C10" s="217"/>
      <c r="D10" s="216"/>
      <c r="E10" s="227">
        <v>500</v>
      </c>
      <c r="F10" s="226">
        <v>4500</v>
      </c>
      <c r="G10" s="247">
        <f t="shared" si="0"/>
        <v>4500</v>
      </c>
      <c r="H10" s="85">
        <v>4500</v>
      </c>
      <c r="I10" s="217">
        <f t="shared" si="1"/>
        <v>0</v>
      </c>
      <c r="J10" s="173"/>
      <c r="L10" s="54"/>
      <c r="M10" s="54"/>
      <c r="N10" s="54"/>
    </row>
    <row r="11" spans="1:14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17">
        <f t="shared" si="1"/>
        <v>0</v>
      </c>
      <c r="J11" s="173"/>
      <c r="L11" s="54"/>
      <c r="M11" s="246"/>
      <c r="N11" s="54"/>
    </row>
    <row r="12" spans="1:14" x14ac:dyDescent="0.25">
      <c r="A12" s="209" t="s">
        <v>299</v>
      </c>
      <c r="B12" s="9">
        <v>8</v>
      </c>
      <c r="C12" s="217"/>
      <c r="D12" s="216"/>
      <c r="E12" s="227"/>
      <c r="F12" s="226">
        <v>4500</v>
      </c>
      <c r="G12" s="247">
        <f t="shared" si="0"/>
        <v>4500</v>
      </c>
      <c r="H12" s="85">
        <v>4500</v>
      </c>
      <c r="I12" s="217">
        <f t="shared" si="1"/>
        <v>0</v>
      </c>
      <c r="J12" s="173"/>
      <c r="L12" s="54"/>
      <c r="M12" s="54"/>
      <c r="N12" s="54"/>
    </row>
    <row r="13" spans="1:14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47">
        <f t="shared" si="0"/>
        <v>3000</v>
      </c>
      <c r="H13" s="85">
        <v>3000</v>
      </c>
      <c r="I13" s="217">
        <f t="shared" si="1"/>
        <v>0</v>
      </c>
      <c r="J13" s="173"/>
    </row>
    <row r="14" spans="1:14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17">
        <f t="shared" si="1"/>
        <v>0</v>
      </c>
      <c r="J14" s="173"/>
    </row>
    <row r="15" spans="1:14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3000</v>
      </c>
      <c r="I15" s="217">
        <f>G15-H15</f>
        <v>3000</v>
      </c>
      <c r="J15" s="173"/>
    </row>
    <row r="16" spans="1:14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1000</v>
      </c>
      <c r="F18" s="227">
        <f>SUM(F5:F17)</f>
        <v>48000</v>
      </c>
      <c r="G18" s="226">
        <f>SUM(G5:G17)</f>
        <v>51000</v>
      </c>
      <c r="H18" s="85">
        <f>SUM(H5:H17)</f>
        <v>48000</v>
      </c>
      <c r="I18" s="217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48000</v>
      </c>
      <c r="I20" s="174"/>
      <c r="J20" s="173"/>
    </row>
    <row r="21" spans="1:10" x14ac:dyDescent="0.25">
      <c r="A21" s="174" t="s">
        <v>147</v>
      </c>
      <c r="B21" s="174"/>
      <c r="C21" s="41">
        <f>APRL!C31</f>
        <v>-12246</v>
      </c>
      <c r="D21" s="174"/>
      <c r="E21" s="174"/>
      <c r="F21" s="174" t="s">
        <v>147</v>
      </c>
      <c r="G21" s="174"/>
      <c r="H21" s="41">
        <f>APRL!H31</f>
        <v>-15246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35754</v>
      </c>
      <c r="D22" s="53"/>
      <c r="E22" s="38"/>
      <c r="F22" s="149" t="s">
        <v>176</v>
      </c>
      <c r="G22" s="149"/>
      <c r="H22" s="168">
        <f>SUM(H20:H21)</f>
        <v>32754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v>3000</v>
      </c>
      <c r="D25" s="53"/>
      <c r="E25" s="174"/>
      <c r="F25" s="174" t="s">
        <v>272</v>
      </c>
      <c r="G25" s="220"/>
      <c r="H25" s="40">
        <v>3000</v>
      </c>
      <c r="I25" s="174"/>
      <c r="J25" s="173"/>
    </row>
    <row r="26" spans="1:10" x14ac:dyDescent="0.25">
      <c r="A26" s="154">
        <v>43228</v>
      </c>
      <c r="B26" s="174"/>
      <c r="C26" s="40">
        <v>23610</v>
      </c>
      <c r="D26" s="174"/>
      <c r="E26" s="38"/>
      <c r="F26" s="154">
        <v>43228</v>
      </c>
      <c r="G26" s="174"/>
      <c r="H26" s="40">
        <v>23610</v>
      </c>
      <c r="I26" s="174"/>
      <c r="J26" s="173"/>
    </row>
    <row r="27" spans="1:10" x14ac:dyDescent="0.25">
      <c r="A27" s="154">
        <v>43229</v>
      </c>
      <c r="B27" s="174"/>
      <c r="C27" s="174">
        <v>9085</v>
      </c>
      <c r="D27" s="139"/>
      <c r="E27" s="38"/>
      <c r="F27" s="154">
        <v>43229</v>
      </c>
      <c r="G27" s="174"/>
      <c r="H27" s="174">
        <v>9085</v>
      </c>
      <c r="I27" s="174"/>
      <c r="J27" s="173"/>
    </row>
    <row r="28" spans="1:10" x14ac:dyDescent="0.25">
      <c r="A28" s="210">
        <v>43239</v>
      </c>
      <c r="B28" s="173"/>
      <c r="C28" s="173">
        <v>5000</v>
      </c>
      <c r="D28" s="173"/>
      <c r="E28" s="173"/>
      <c r="F28" s="210">
        <v>43239</v>
      </c>
      <c r="G28" s="173"/>
      <c r="H28" s="173">
        <v>5000</v>
      </c>
      <c r="I28" s="174"/>
      <c r="J28" s="173"/>
    </row>
    <row r="29" spans="1:10" x14ac:dyDescent="0.25">
      <c r="A29" s="210" t="s">
        <v>300</v>
      </c>
      <c r="B29" s="173"/>
      <c r="C29" s="40">
        <v>4500</v>
      </c>
      <c r="D29" s="173"/>
      <c r="E29" s="173"/>
      <c r="F29" s="210" t="s">
        <v>300</v>
      </c>
      <c r="G29" s="173"/>
      <c r="H29" s="40">
        <v>4500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48555</v>
      </c>
      <c r="D30" s="100"/>
      <c r="E30" s="238"/>
      <c r="F30" s="239" t="s">
        <v>62</v>
      </c>
      <c r="G30" s="236"/>
      <c r="H30" s="237">
        <f>SUM(H24:H29)</f>
        <v>48555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-12801</v>
      </c>
      <c r="D31" s="237"/>
      <c r="E31" s="238"/>
      <c r="F31" s="241" t="s">
        <v>252</v>
      </c>
      <c r="G31" s="236"/>
      <c r="H31" s="237">
        <f>H22-H30</f>
        <v>-15801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E10" sqref="E10"/>
    </sheetView>
  </sheetViews>
  <sheetFormatPr defaultRowHeight="15" x14ac:dyDescent="0.25"/>
  <cols>
    <col min="1" max="1" width="15" customWidth="1"/>
    <col min="2" max="2" width="4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</row>
    <row r="3" spans="1:10" ht="18.75" x14ac:dyDescent="0.3">
      <c r="A3" s="173"/>
      <c r="B3" s="173"/>
      <c r="C3" s="66" t="s">
        <v>302</v>
      </c>
      <c r="D3" s="164"/>
      <c r="E3" s="164"/>
      <c r="F3" s="214"/>
      <c r="G3" s="173"/>
      <c r="H3" s="173"/>
      <c r="I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</row>
    <row r="7" spans="1:10" x14ac:dyDescent="0.25">
      <c r="A7" s="208" t="s">
        <v>155</v>
      </c>
      <c r="B7" s="5">
        <v>3</v>
      </c>
      <c r="C7" s="217"/>
      <c r="D7" s="216"/>
      <c r="E7" s="227"/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</row>
    <row r="8" spans="1:10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t="s">
        <v>142</v>
      </c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27">
        <v>400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16"/>
      <c r="E13" s="227">
        <v>200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4600</v>
      </c>
      <c r="I15" s="247">
        <f>G15-H15</f>
        <v>1400</v>
      </c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1300</v>
      </c>
      <c r="F18" s="227">
        <f>SUM(F5:F17)</f>
        <v>48000</v>
      </c>
      <c r="G18" s="226">
        <f>SUM(G5:G17)</f>
        <v>51000</v>
      </c>
      <c r="H18" s="85">
        <f>SUM(H5:H17)</f>
        <v>49600</v>
      </c>
      <c r="I18" s="217">
        <f>SUM(I5:I17)</f>
        <v>1400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49600</v>
      </c>
      <c r="I20" s="174"/>
    </row>
    <row r="21" spans="1:10" x14ac:dyDescent="0.25">
      <c r="A21" s="174" t="s">
        <v>147</v>
      </c>
      <c r="B21" s="174"/>
      <c r="C21" s="41">
        <f>'MAY18'!C31</f>
        <v>-12801</v>
      </c>
      <c r="D21" s="174"/>
      <c r="E21" s="174"/>
      <c r="F21" s="174" t="s">
        <v>147</v>
      </c>
      <c r="G21" s="174"/>
      <c r="H21" s="41">
        <f>'MAY18'!H31</f>
        <v>-15801</v>
      </c>
      <c r="I21" s="174"/>
    </row>
    <row r="22" spans="1:10" x14ac:dyDescent="0.25">
      <c r="A22" t="s">
        <v>301</v>
      </c>
      <c r="C22">
        <v>1500</v>
      </c>
      <c r="F22" s="173" t="s">
        <v>301</v>
      </c>
      <c r="H22">
        <v>1500</v>
      </c>
      <c r="I22" s="174"/>
    </row>
    <row r="23" spans="1:10" ht="16.5" x14ac:dyDescent="0.35">
      <c r="A23" s="149" t="s">
        <v>176</v>
      </c>
      <c r="B23" s="149"/>
      <c r="C23" s="168">
        <f>SUM(C20:C22)</f>
        <v>36699</v>
      </c>
      <c r="D23" s="53"/>
      <c r="E23" s="38"/>
      <c r="F23" s="149" t="s">
        <v>176</v>
      </c>
      <c r="G23" s="149"/>
      <c r="H23" s="168">
        <f>SUM(H20:H22)</f>
        <v>35299</v>
      </c>
      <c r="I23" s="174"/>
    </row>
    <row r="24" spans="1:10" x14ac:dyDescent="0.25">
      <c r="A24" s="219" t="s">
        <v>29</v>
      </c>
      <c r="B24" s="174"/>
      <c r="C24" s="38"/>
      <c r="D24" s="174"/>
      <c r="E24" s="174"/>
      <c r="F24" s="219" t="s">
        <v>29</v>
      </c>
      <c r="G24" s="174"/>
      <c r="H24" s="38"/>
      <c r="I24" s="174"/>
    </row>
    <row r="25" spans="1:10" x14ac:dyDescent="0.25">
      <c r="A25" s="174" t="s">
        <v>177</v>
      </c>
      <c r="B25" s="220">
        <v>7.0000000000000007E-2</v>
      </c>
      <c r="C25" s="243">
        <f>F18*B25</f>
        <v>3360.0000000000005</v>
      </c>
      <c r="D25" s="173"/>
      <c r="E25" s="173"/>
      <c r="F25" s="174" t="s">
        <v>177</v>
      </c>
      <c r="G25" s="220">
        <v>7.0000000000000007E-2</v>
      </c>
      <c r="H25" s="243">
        <f>C25</f>
        <v>3360.0000000000005</v>
      </c>
      <c r="I25" s="174"/>
    </row>
    <row r="26" spans="1:10" x14ac:dyDescent="0.25">
      <c r="A26" s="174" t="s">
        <v>272</v>
      </c>
      <c r="B26" s="220"/>
      <c r="C26" s="40">
        <f>F17+F5+F8</f>
        <v>13500</v>
      </c>
      <c r="D26" s="53"/>
      <c r="E26" s="174"/>
      <c r="F26" s="174" t="s">
        <v>272</v>
      </c>
      <c r="G26" s="220"/>
      <c r="H26" s="40">
        <f>C26</f>
        <v>13500</v>
      </c>
      <c r="I26" s="174"/>
    </row>
    <row r="27" spans="1:10" x14ac:dyDescent="0.25">
      <c r="A27" s="154">
        <v>43260</v>
      </c>
      <c r="B27" s="174"/>
      <c r="C27" s="40">
        <v>30110</v>
      </c>
      <c r="D27" s="174"/>
      <c r="E27" s="38"/>
      <c r="F27" s="154">
        <v>43260</v>
      </c>
      <c r="G27" s="174"/>
      <c r="H27" s="40">
        <v>30110</v>
      </c>
      <c r="I27" s="174"/>
    </row>
    <row r="28" spans="1:10" x14ac:dyDescent="0.25">
      <c r="A28" s="154"/>
      <c r="B28" s="174"/>
      <c r="C28" s="174"/>
      <c r="D28" s="139"/>
      <c r="E28" s="38"/>
      <c r="F28" s="154"/>
      <c r="G28" s="174"/>
      <c r="H28" s="174"/>
      <c r="I28" s="174"/>
    </row>
    <row r="29" spans="1:10" x14ac:dyDescent="0.25">
      <c r="A29" s="210"/>
      <c r="B29" s="173"/>
      <c r="C29" s="173"/>
      <c r="D29" s="173"/>
      <c r="E29" s="173"/>
      <c r="F29" s="210"/>
      <c r="G29" s="173"/>
      <c r="H29" s="173"/>
      <c r="I29" s="174"/>
    </row>
    <row r="30" spans="1:10" x14ac:dyDescent="0.25">
      <c r="A30" s="210"/>
      <c r="B30" s="173"/>
      <c r="C30" s="40"/>
      <c r="D30" s="173"/>
      <c r="E30" s="173"/>
      <c r="F30" s="210"/>
      <c r="G30" s="173"/>
      <c r="H30" s="40"/>
      <c r="I30" s="174"/>
    </row>
    <row r="31" spans="1:10" x14ac:dyDescent="0.25">
      <c r="A31" s="236" t="s">
        <v>62</v>
      </c>
      <c r="B31" s="236"/>
      <c r="C31" s="237">
        <f>SUM(C25:C30)</f>
        <v>46970</v>
      </c>
      <c r="D31" s="100"/>
      <c r="E31" s="238"/>
      <c r="F31" s="239" t="s">
        <v>62</v>
      </c>
      <c r="G31" s="236"/>
      <c r="H31" s="237">
        <f>SUM(H25:H30)</f>
        <v>46970</v>
      </c>
      <c r="I31" s="174"/>
    </row>
    <row r="32" spans="1:10" x14ac:dyDescent="0.25">
      <c r="A32" s="240" t="s">
        <v>252</v>
      </c>
      <c r="B32" s="236"/>
      <c r="C32" s="237">
        <f>C23-C31</f>
        <v>-10271</v>
      </c>
      <c r="D32" s="237"/>
      <c r="E32" s="238"/>
      <c r="F32" s="241" t="s">
        <v>252</v>
      </c>
      <c r="G32" s="236"/>
      <c r="H32" s="237">
        <f>H23-H31</f>
        <v>-11671</v>
      </c>
      <c r="I32" s="53">
        <f>H32-C32</f>
        <v>-1400</v>
      </c>
    </row>
    <row r="33" spans="1:9" x14ac:dyDescent="0.25">
      <c r="A33" s="167"/>
      <c r="B33" s="174"/>
      <c r="C33" s="53"/>
      <c r="D33" s="53"/>
      <c r="E33" s="38"/>
      <c r="F33" s="174"/>
      <c r="G33" s="174"/>
      <c r="H33" s="53"/>
      <c r="I33" s="173"/>
    </row>
    <row r="34" spans="1:9" x14ac:dyDescent="0.25">
      <c r="A34" s="173"/>
      <c r="B34" s="174"/>
      <c r="C34" s="174"/>
      <c r="D34" s="173"/>
      <c r="E34" s="173"/>
      <c r="F34" s="173"/>
      <c r="G34" s="174"/>
      <c r="H34" s="174"/>
      <c r="I34" s="173"/>
    </row>
    <row r="35" spans="1:9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</row>
    <row r="36" spans="1:9" x14ac:dyDescent="0.25">
      <c r="A36" s="174"/>
      <c r="B36" s="173"/>
      <c r="C36" s="175"/>
      <c r="D36" s="182"/>
      <c r="E36" s="174"/>
      <c r="F36" s="173"/>
      <c r="G36" s="174"/>
    </row>
    <row r="37" spans="1:9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9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6" sqref="L16"/>
    </sheetView>
  </sheetViews>
  <sheetFormatPr defaultRowHeight="15" x14ac:dyDescent="0.25"/>
  <cols>
    <col min="1" max="1" width="13.28515625" customWidth="1"/>
    <col min="3" max="3" width="6.5703125" customWidth="1"/>
    <col min="4" max="4" width="11.42578125" customWidth="1"/>
  </cols>
  <sheetData>
    <row r="1" spans="1:13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</row>
    <row r="2" spans="1:13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</row>
    <row r="3" spans="1:13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</row>
    <row r="4" spans="1:13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</row>
    <row r="5" spans="1:13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</row>
    <row r="6" spans="1:13" ht="21" x14ac:dyDescent="0.25">
      <c r="A6" s="44"/>
      <c r="B6" s="44"/>
      <c r="C6" s="44"/>
      <c r="D6" s="46"/>
      <c r="E6" s="47" t="s">
        <v>85</v>
      </c>
      <c r="F6" s="47"/>
      <c r="G6" s="46"/>
      <c r="H6" s="46"/>
      <c r="I6" s="46"/>
      <c r="J6" s="46"/>
      <c r="K6" s="46"/>
      <c r="L6" s="44"/>
      <c r="M6" s="44"/>
    </row>
    <row r="7" spans="1:13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3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100</v>
      </c>
      <c r="K8" s="7">
        <v>4100</v>
      </c>
      <c r="L8" s="6"/>
      <c r="M8" s="7"/>
    </row>
    <row r="9" spans="1:13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8500</v>
      </c>
      <c r="F9" s="74">
        <v>500</v>
      </c>
      <c r="G9" s="33">
        <v>4000</v>
      </c>
      <c r="H9" s="33">
        <f>SUM(E9:G9)</f>
        <v>13000</v>
      </c>
      <c r="I9" s="33">
        <v>4000</v>
      </c>
      <c r="J9" s="7">
        <v>600</v>
      </c>
      <c r="K9" s="7">
        <v>4600</v>
      </c>
      <c r="L9" s="6"/>
      <c r="M9" s="7">
        <f>SUM(H9-K9)</f>
        <v>8400</v>
      </c>
    </row>
    <row r="10" spans="1:13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900</v>
      </c>
      <c r="F10" s="74">
        <v>300</v>
      </c>
      <c r="G10" s="7">
        <v>4000</v>
      </c>
      <c r="H10" s="7">
        <f>SUM(E10:G10)</f>
        <v>5200</v>
      </c>
      <c r="I10" s="7">
        <v>4000</v>
      </c>
      <c r="J10" s="7"/>
      <c r="K10" s="7">
        <v>4000</v>
      </c>
      <c r="L10" s="6"/>
      <c r="M10" s="7">
        <v>1200</v>
      </c>
    </row>
    <row r="11" spans="1:13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4300</v>
      </c>
      <c r="I11" s="7">
        <v>4000</v>
      </c>
      <c r="J11" s="7"/>
      <c r="K11" s="7">
        <v>4000</v>
      </c>
      <c r="L11" s="6"/>
      <c r="M11" s="7">
        <v>300</v>
      </c>
    </row>
    <row r="12" spans="1:13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3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>
        <v>500</v>
      </c>
    </row>
    <row r="14" spans="1:13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16700</v>
      </c>
      <c r="F14" s="74"/>
      <c r="G14" s="7">
        <v>4000</v>
      </c>
      <c r="H14" s="7">
        <f>SUM(E14:G14)</f>
        <v>20700</v>
      </c>
      <c r="I14" s="7">
        <v>10000</v>
      </c>
      <c r="J14" s="7"/>
      <c r="K14" s="7"/>
      <c r="L14" s="62"/>
      <c r="M14" s="64">
        <f>SUM(H14-I14)</f>
        <v>10700</v>
      </c>
    </row>
    <row r="15" spans="1:13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5800</v>
      </c>
      <c r="F15" s="74">
        <v>200</v>
      </c>
      <c r="G15" s="7">
        <v>4000</v>
      </c>
      <c r="H15" s="7">
        <f>SUM(E15:G15)</f>
        <v>10000</v>
      </c>
      <c r="I15" s="7">
        <v>4000</v>
      </c>
      <c r="J15" s="7">
        <v>200</v>
      </c>
      <c r="K15" s="7">
        <v>4200</v>
      </c>
      <c r="L15" s="10"/>
      <c r="M15" s="64">
        <f>SUM(H15-I15)</f>
        <v>6000</v>
      </c>
    </row>
    <row r="16" spans="1:13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13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13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900</v>
      </c>
      <c r="K18" s="7">
        <v>2000</v>
      </c>
      <c r="L18" s="63"/>
      <c r="M18" s="62"/>
    </row>
    <row r="19" spans="1:13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/>
      <c r="K19" s="7">
        <v>2500</v>
      </c>
      <c r="L19" s="63"/>
      <c r="M19" s="64"/>
    </row>
    <row r="20" spans="1:13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79700</v>
      </c>
      <c r="I20" s="71">
        <f t="shared" si="0"/>
        <v>50500</v>
      </c>
      <c r="J20" s="78">
        <f t="shared" si="0"/>
        <v>3100</v>
      </c>
      <c r="K20" s="78">
        <f t="shared" si="0"/>
        <v>42200</v>
      </c>
      <c r="L20" s="69"/>
      <c r="M20" s="78">
        <f>SUM(M8:M19)</f>
        <v>27100</v>
      </c>
    </row>
    <row r="21" spans="1:13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</row>
    <row r="22" spans="1:13" x14ac:dyDescent="0.25">
      <c r="A22" s="2" t="s">
        <v>84</v>
      </c>
      <c r="B22" s="1"/>
      <c r="C22" s="1"/>
      <c r="D22" s="36">
        <f>SUM(I20)</f>
        <v>50500</v>
      </c>
      <c r="E22" s="1"/>
      <c r="F22" s="1"/>
      <c r="G22" s="1"/>
      <c r="H22" s="1"/>
      <c r="I22" s="1"/>
      <c r="J22" s="1"/>
      <c r="K22" s="37"/>
      <c r="L22" s="1"/>
      <c r="M22" s="1"/>
    </row>
    <row r="23" spans="1:13" x14ac:dyDescent="0.25">
      <c r="A23" s="2" t="s">
        <v>77</v>
      </c>
      <c r="B23" s="2"/>
      <c r="C23" s="38"/>
      <c r="D23" s="41">
        <f>SUM(J20)</f>
        <v>3100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6.5" x14ac:dyDescent="0.35">
      <c r="A24" s="2" t="s">
        <v>62</v>
      </c>
      <c r="B24" s="2"/>
      <c r="C24" s="38"/>
      <c r="D24" s="67">
        <f>SUM(D22:D23)</f>
        <v>53600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</row>
    <row r="26" spans="1:13" x14ac:dyDescent="0.25">
      <c r="A26" s="2" t="s">
        <v>26</v>
      </c>
      <c r="B26" s="2"/>
      <c r="C26" s="38"/>
      <c r="D26" s="40">
        <f>SUM(D22*7%)</f>
        <v>3535.0000000000005</v>
      </c>
      <c r="E26" s="1"/>
      <c r="F26" s="1"/>
      <c r="G26" s="53"/>
      <c r="H26" s="53"/>
      <c r="I26" s="1"/>
      <c r="J26" s="1"/>
      <c r="K26" s="1"/>
      <c r="L26" s="1"/>
      <c r="M26" s="1"/>
    </row>
    <row r="27" spans="1:13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</row>
    <row r="28" spans="1:13" x14ac:dyDescent="0.25">
      <c r="A28" s="2" t="s">
        <v>86</v>
      </c>
      <c r="B28" s="2"/>
      <c r="C28" s="38"/>
      <c r="D28" s="40">
        <v>4000</v>
      </c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</row>
    <row r="29" spans="1:13" x14ac:dyDescent="0.25">
      <c r="A29" s="2" t="s">
        <v>56</v>
      </c>
      <c r="B29" s="2"/>
      <c r="C29" s="38"/>
      <c r="D29" s="42">
        <f>SUM(D26:D28)</f>
        <v>7535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</row>
    <row r="31" spans="1:13" ht="15.75" x14ac:dyDescent="0.25">
      <c r="A31" s="55" t="s">
        <v>27</v>
      </c>
      <c r="B31" s="2"/>
      <c r="C31" s="2"/>
      <c r="D31" s="84">
        <f>SUM(D24-D29)</f>
        <v>46065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</row>
    <row r="32" spans="1:13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</row>
  </sheetData>
  <pageMargins left="0.7" right="0.7" top="0.75" bottom="0.75" header="0.3" footer="0.3"/>
  <pageSetup orientation="landscape" horizontalDpi="0" verticalDpi="0" r:id="rId1"/>
  <ignoredErrors>
    <ignoredError sqref="C8:D19" numberStoredAsText="1"/>
  </ignoredError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4" zoomScale="110" zoomScaleNormal="110" workbookViewId="0">
      <selection activeCell="G11" sqref="G11"/>
    </sheetView>
  </sheetViews>
  <sheetFormatPr defaultRowHeight="15" x14ac:dyDescent="0.25"/>
  <cols>
    <col min="1" max="1" width="14.85546875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303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s="173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  <c r="J6" s="173"/>
    </row>
    <row r="7" spans="1:10" x14ac:dyDescent="0.25">
      <c r="A7" s="208" t="s">
        <v>305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  <c r="J7" s="173"/>
    </row>
    <row r="8" spans="1:10" x14ac:dyDescent="0.25">
      <c r="A8" s="209" t="s">
        <v>304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150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  <c r="J11" s="173"/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>
        <v>100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>
        <v>1400</v>
      </c>
      <c r="E15" s="227">
        <v>200</v>
      </c>
      <c r="F15" s="226">
        <v>3000</v>
      </c>
      <c r="G15" s="247">
        <f>F15+D15</f>
        <v>4400</v>
      </c>
      <c r="H15" s="85">
        <v>4400</v>
      </c>
      <c r="I15" s="247">
        <f>G15-H15</f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1400</v>
      </c>
      <c r="E18" s="227">
        <f>SUM(E6:E17)</f>
        <v>1250</v>
      </c>
      <c r="F18" s="227">
        <f>SUM(F5:F17)</f>
        <v>48000</v>
      </c>
      <c r="G18" s="226">
        <f>SUM(G5:G17)</f>
        <v>49400</v>
      </c>
      <c r="H18" s="85">
        <f>SUM(H5:H17)</f>
        <v>49400</v>
      </c>
      <c r="I18" s="217">
        <f>SUM(I5:I17)</f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49400</v>
      </c>
      <c r="I20" s="174"/>
      <c r="J20" s="173"/>
    </row>
    <row r="21" spans="1:10" x14ac:dyDescent="0.25">
      <c r="A21" s="174" t="s">
        <v>147</v>
      </c>
      <c r="B21" s="174"/>
      <c r="C21" s="41">
        <f>JUNE18!C32</f>
        <v>-10271</v>
      </c>
      <c r="D21" s="174"/>
      <c r="E21" s="174"/>
      <c r="F21" s="174" t="s">
        <v>147</v>
      </c>
      <c r="G21" s="174"/>
      <c r="H21" s="41">
        <f>JUNE18!H32</f>
        <v>-11671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37729</v>
      </c>
      <c r="D22" s="53"/>
      <c r="E22" s="38"/>
      <c r="F22" s="149" t="s">
        <v>176</v>
      </c>
      <c r="G22" s="149"/>
      <c r="H22" s="168">
        <f>SUM(H20:H21)</f>
        <v>37729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D24" s="173"/>
      <c r="E24" s="173"/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f>F5+F17</f>
        <v>9000</v>
      </c>
      <c r="D25" s="53"/>
      <c r="E25" s="174"/>
      <c r="F25" s="174" t="s">
        <v>272</v>
      </c>
      <c r="G25" s="220"/>
      <c r="H25" s="40">
        <f>C25</f>
        <v>9000</v>
      </c>
      <c r="I25" s="174"/>
      <c r="J25" s="173"/>
    </row>
    <row r="26" spans="1:10" x14ac:dyDescent="0.25">
      <c r="A26" s="154">
        <v>43285</v>
      </c>
      <c r="B26" s="174"/>
      <c r="C26" s="40">
        <v>15097</v>
      </c>
      <c r="D26" s="174"/>
      <c r="E26" s="38"/>
      <c r="F26" s="154">
        <v>43285</v>
      </c>
      <c r="G26" s="174"/>
      <c r="H26" s="40">
        <v>15097</v>
      </c>
      <c r="I26" s="174"/>
      <c r="J26" s="173"/>
    </row>
    <row r="27" spans="1:10" x14ac:dyDescent="0.25">
      <c r="A27" s="154">
        <v>43289</v>
      </c>
      <c r="B27" s="174"/>
      <c r="C27" s="174">
        <v>20102</v>
      </c>
      <c r="D27" s="139"/>
      <c r="E27" s="38"/>
      <c r="F27" s="154">
        <v>43289</v>
      </c>
      <c r="G27" s="174"/>
      <c r="H27" s="174">
        <v>20102</v>
      </c>
      <c r="I27" s="174"/>
      <c r="J27" s="173"/>
    </row>
    <row r="28" spans="1:10" x14ac:dyDescent="0.25">
      <c r="A28" s="210"/>
      <c r="B28" s="173"/>
      <c r="C28" s="173"/>
      <c r="D28" s="173"/>
      <c r="E28" s="173"/>
      <c r="F28" s="210"/>
      <c r="G28" s="173"/>
      <c r="H28" s="173"/>
      <c r="I28" s="174"/>
      <c r="J28" s="173"/>
    </row>
    <row r="29" spans="1:10" x14ac:dyDescent="0.25">
      <c r="A29" s="210"/>
      <c r="B29" s="173"/>
      <c r="C29" s="40"/>
      <c r="D29" s="173"/>
      <c r="E29" s="173"/>
      <c r="F29" s="210"/>
      <c r="G29" s="173"/>
      <c r="H29" s="40"/>
      <c r="I29" s="174"/>
      <c r="J29" s="173"/>
    </row>
    <row r="30" spans="1:10" x14ac:dyDescent="0.25">
      <c r="A30" s="236" t="s">
        <v>62</v>
      </c>
      <c r="B30" s="236"/>
      <c r="C30" s="237">
        <f>SUM(C24:C29)</f>
        <v>47559</v>
      </c>
      <c r="D30" s="100"/>
      <c r="E30" s="238"/>
      <c r="F30" s="239" t="s">
        <v>62</v>
      </c>
      <c r="G30" s="236"/>
      <c r="H30" s="237">
        <f>SUM(H24:H29)</f>
        <v>47559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-9830</v>
      </c>
      <c r="D31" s="237"/>
      <c r="E31" s="238"/>
      <c r="F31" s="241" t="s">
        <v>252</v>
      </c>
      <c r="G31" s="236"/>
      <c r="H31" s="237">
        <f>H22-H30</f>
        <v>-9830</v>
      </c>
      <c r="I31" s="174"/>
      <c r="J31" s="173"/>
    </row>
    <row r="32" spans="1:10" x14ac:dyDescent="0.25">
      <c r="A32" s="167"/>
      <c r="B32" s="174"/>
      <c r="C32" s="53"/>
      <c r="D32" s="53"/>
      <c r="E32" s="38"/>
      <c r="F32" s="174"/>
      <c r="G32" s="174"/>
      <c r="H32" s="5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4"/>
      <c r="H33" s="174"/>
      <c r="I33" s="173"/>
      <c r="J33" s="173"/>
    </row>
    <row r="34" spans="1:10" x14ac:dyDescent="0.25">
      <c r="A34" s="173" t="s">
        <v>306</v>
      </c>
      <c r="B34" s="173"/>
      <c r="C34" s="164" t="s">
        <v>308</v>
      </c>
      <c r="D34" s="182"/>
      <c r="E34" s="173"/>
      <c r="F34" s="164" t="s">
        <v>309</v>
      </c>
      <c r="G34" s="173"/>
      <c r="H34" s="174"/>
      <c r="I34" s="173"/>
      <c r="J34" s="173"/>
    </row>
    <row r="35" spans="1:10" x14ac:dyDescent="0.25">
      <c r="A35" s="174"/>
      <c r="B35" s="173"/>
      <c r="C35" s="175"/>
      <c r="D35" s="182"/>
      <c r="E35" s="174"/>
      <c r="F35" s="173"/>
      <c r="G35" s="174"/>
      <c r="H35" s="173"/>
      <c r="I35" s="173"/>
      <c r="J35" s="173"/>
    </row>
    <row r="36" spans="1:10" x14ac:dyDescent="0.25">
      <c r="A36" s="173" t="s">
        <v>307</v>
      </c>
      <c r="B36" s="173"/>
      <c r="C36" s="173" t="s">
        <v>141</v>
      </c>
      <c r="D36" s="173"/>
      <c r="E36" s="173"/>
      <c r="F36" s="173" t="s">
        <v>198</v>
      </c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D12" sqref="D12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310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32"/>
      <c r="D6" s="216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16"/>
      <c r="E7" s="254">
        <v>200</v>
      </c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02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16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54">
        <v>50</v>
      </c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54"/>
      <c r="F12" s="251">
        <v>4500</v>
      </c>
      <c r="G12" s="252">
        <f t="shared" si="0"/>
        <v>4500</v>
      </c>
      <c r="H12" s="253"/>
      <c r="I12" s="252">
        <f t="shared" si="1"/>
        <v>4500</v>
      </c>
    </row>
    <row r="13" spans="1:10" x14ac:dyDescent="0.25">
      <c r="A13" s="208" t="s">
        <v>283</v>
      </c>
      <c r="B13" s="5">
        <v>1</v>
      </c>
      <c r="C13" s="217"/>
      <c r="D13" s="216"/>
      <c r="E13" s="254"/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16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/>
      <c r="E15" s="254">
        <v>100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16"/>
      <c r="E16" s="254"/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16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16">
        <f>SUM(D5:D17)</f>
        <v>0</v>
      </c>
      <c r="E18" s="254">
        <f>SUM(E7:E17)</f>
        <v>1050</v>
      </c>
      <c r="F18" s="254">
        <f>SUM(F5:F17)</f>
        <v>54000</v>
      </c>
      <c r="G18" s="251">
        <f>SUM(G5:G17)</f>
        <v>54000</v>
      </c>
      <c r="H18" s="253">
        <f>SUM(H5:H17)</f>
        <v>49500</v>
      </c>
      <c r="I18" s="255">
        <f>SUM(I5:I17)</f>
        <v>4500</v>
      </c>
    </row>
    <row r="19" spans="1:12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49500</v>
      </c>
      <c r="I20" s="174"/>
      <c r="L20" s="37"/>
    </row>
    <row r="21" spans="1:12" x14ac:dyDescent="0.25">
      <c r="A21" s="174" t="s">
        <v>147</v>
      </c>
      <c r="B21" s="174"/>
      <c r="C21" s="41">
        <f>JULY7!C31</f>
        <v>-9830</v>
      </c>
      <c r="D21" s="174"/>
      <c r="E21" s="174"/>
      <c r="F21" s="174" t="s">
        <v>147</v>
      </c>
      <c r="G21" s="174"/>
      <c r="H21" s="41">
        <f>JULY7!H31</f>
        <v>-9830</v>
      </c>
      <c r="I21" s="174"/>
    </row>
    <row r="22" spans="1:12" ht="16.5" x14ac:dyDescent="0.35">
      <c r="A22" s="149" t="s">
        <v>176</v>
      </c>
      <c r="B22" s="149"/>
      <c r="C22" s="168">
        <f>SUM(C20:C21)</f>
        <v>44170</v>
      </c>
      <c r="D22" s="53"/>
      <c r="E22" s="38"/>
      <c r="F22" s="149" t="s">
        <v>176</v>
      </c>
      <c r="G22" s="149"/>
      <c r="H22" s="168">
        <f>SUM(H20:H21)</f>
        <v>39670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43322</v>
      </c>
      <c r="B26" s="174"/>
      <c r="C26" s="40">
        <v>27000</v>
      </c>
      <c r="D26" s="174"/>
      <c r="E26" s="38"/>
      <c r="F26" s="154">
        <v>43322</v>
      </c>
      <c r="G26" s="174"/>
      <c r="H26" s="40">
        <v>27000</v>
      </c>
      <c r="I26" s="174"/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48780</v>
      </c>
      <c r="D30" s="100"/>
      <c r="E30" s="238"/>
      <c r="F30" s="239" t="s">
        <v>62</v>
      </c>
      <c r="G30" s="236"/>
      <c r="H30" s="237">
        <f>SUM(H24:H29)</f>
        <v>48780</v>
      </c>
      <c r="I30" s="174"/>
    </row>
    <row r="31" spans="1:12" x14ac:dyDescent="0.25">
      <c r="A31" s="240" t="s">
        <v>252</v>
      </c>
      <c r="B31" s="236"/>
      <c r="C31" s="237">
        <f>C22-C30</f>
        <v>-4610</v>
      </c>
      <c r="D31" s="237"/>
      <c r="E31" s="238"/>
      <c r="F31" s="241" t="s">
        <v>252</v>
      </c>
      <c r="G31" s="236"/>
      <c r="H31" s="237">
        <f>H22-H30</f>
        <v>-9110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47"/>
  <sheetViews>
    <sheetView topLeftCell="A16" zoomScaleNormal="100" workbookViewId="0">
      <selection activeCell="C14" sqref="C14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2" spans="1:10" ht="18.75" x14ac:dyDescent="0.3">
      <c r="B12" s="95"/>
      <c r="C12" s="66" t="s">
        <v>105</v>
      </c>
      <c r="D12" s="229"/>
      <c r="E12" s="165"/>
      <c r="F12" s="214"/>
      <c r="G12" s="211" t="s">
        <v>273</v>
      </c>
    </row>
    <row r="13" spans="1:10" ht="18.75" x14ac:dyDescent="0.3">
      <c r="A13" s="66"/>
      <c r="C13" s="163" t="s">
        <v>293</v>
      </c>
      <c r="D13" s="164"/>
      <c r="E13" s="164"/>
      <c r="F13" s="214"/>
      <c r="G13" s="249" t="s">
        <v>312</v>
      </c>
    </row>
    <row r="14" spans="1:10" ht="18.75" x14ac:dyDescent="0.3">
      <c r="C14" s="66" t="s">
        <v>313</v>
      </c>
      <c r="D14" s="164"/>
      <c r="E14" s="164"/>
      <c r="F14" s="214"/>
    </row>
    <row r="15" spans="1:10" x14ac:dyDescent="0.25">
      <c r="A15" s="221" t="s">
        <v>0</v>
      </c>
      <c r="B15" s="222" t="s">
        <v>1</v>
      </c>
      <c r="C15" s="242" t="s">
        <v>284</v>
      </c>
      <c r="D15" s="221" t="s">
        <v>12</v>
      </c>
      <c r="E15" s="221" t="s">
        <v>115</v>
      </c>
      <c r="F15" s="221" t="s">
        <v>2</v>
      </c>
      <c r="G15" s="224" t="s">
        <v>13</v>
      </c>
      <c r="H15" s="224" t="s">
        <v>3</v>
      </c>
      <c r="I15" s="224" t="s">
        <v>27</v>
      </c>
    </row>
    <row r="16" spans="1:10" x14ac:dyDescent="0.25">
      <c r="A16" s="208" t="s">
        <v>258</v>
      </c>
      <c r="B16" s="5">
        <v>1</v>
      </c>
      <c r="C16" s="6" t="s">
        <v>89</v>
      </c>
      <c r="D16" s="227"/>
      <c r="E16" s="250" t="s">
        <v>292</v>
      </c>
      <c r="F16" s="251">
        <v>6000</v>
      </c>
      <c r="G16" s="252">
        <f>F16+D16</f>
        <v>6000</v>
      </c>
      <c r="H16" s="253">
        <v>6000</v>
      </c>
      <c r="I16" s="252">
        <f>G16-H16</f>
        <v>0</v>
      </c>
      <c r="J16" s="173" t="s">
        <v>142</v>
      </c>
    </row>
    <row r="17" spans="1:12" x14ac:dyDescent="0.25">
      <c r="A17" s="208" t="s">
        <v>311</v>
      </c>
      <c r="B17" s="5">
        <v>2</v>
      </c>
      <c r="C17" s="232"/>
      <c r="D17" s="227"/>
      <c r="E17" s="250"/>
      <c r="F17" s="251">
        <v>6000</v>
      </c>
      <c r="G17" s="252">
        <f t="shared" ref="G17:G28" si="0">F17+D17</f>
        <v>6000</v>
      </c>
      <c r="H17" s="253">
        <v>6000</v>
      </c>
      <c r="I17" s="252">
        <f t="shared" ref="I17:I28" si="1">G17-H17</f>
        <v>0</v>
      </c>
      <c r="J17" s="173" t="s">
        <v>142</v>
      </c>
    </row>
    <row r="18" spans="1:12" x14ac:dyDescent="0.25">
      <c r="A18" s="208" t="s">
        <v>305</v>
      </c>
      <c r="B18" s="5">
        <v>3</v>
      </c>
      <c r="C18" s="217"/>
      <c r="D18" s="227"/>
      <c r="E18" s="254">
        <v>200</v>
      </c>
      <c r="F18" s="251">
        <v>4500</v>
      </c>
      <c r="G18" s="252">
        <f t="shared" si="0"/>
        <v>4500</v>
      </c>
      <c r="H18" s="253">
        <v>4500</v>
      </c>
      <c r="I18" s="252">
        <f t="shared" si="1"/>
        <v>0</v>
      </c>
    </row>
    <row r="19" spans="1:12" x14ac:dyDescent="0.25">
      <c r="A19" s="209" t="s">
        <v>304</v>
      </c>
      <c r="B19" s="5">
        <v>4</v>
      </c>
      <c r="C19" s="217"/>
      <c r="D19" s="226"/>
      <c r="E19" s="251"/>
      <c r="F19" s="251">
        <v>4500</v>
      </c>
      <c r="G19" s="252">
        <f t="shared" si="0"/>
        <v>4500</v>
      </c>
      <c r="H19" s="253">
        <v>4500</v>
      </c>
      <c r="I19" s="252">
        <f t="shared" si="1"/>
        <v>0</v>
      </c>
    </row>
    <row r="20" spans="1:12" x14ac:dyDescent="0.25">
      <c r="A20" s="209" t="s">
        <v>289</v>
      </c>
      <c r="B20" s="9">
        <v>5</v>
      </c>
      <c r="C20" s="217"/>
      <c r="D20" s="227"/>
      <c r="E20" s="254">
        <v>200</v>
      </c>
      <c r="F20" s="251">
        <v>4500</v>
      </c>
      <c r="G20" s="252">
        <f t="shared" si="0"/>
        <v>4500</v>
      </c>
      <c r="H20" s="253">
        <v>4500</v>
      </c>
      <c r="I20" s="252">
        <f t="shared" si="1"/>
        <v>0</v>
      </c>
    </row>
    <row r="21" spans="1:12" x14ac:dyDescent="0.25">
      <c r="A21" s="209" t="s">
        <v>281</v>
      </c>
      <c r="B21" s="9">
        <v>6</v>
      </c>
      <c r="C21" s="217"/>
      <c r="D21" s="227"/>
      <c r="E21" s="254">
        <v>500</v>
      </c>
      <c r="F21" s="251">
        <v>4500</v>
      </c>
      <c r="G21" s="252">
        <f t="shared" si="0"/>
        <v>4500</v>
      </c>
      <c r="H21" s="253">
        <v>4500</v>
      </c>
      <c r="I21" s="252">
        <f t="shared" si="1"/>
        <v>0</v>
      </c>
    </row>
    <row r="22" spans="1:12" x14ac:dyDescent="0.25">
      <c r="A22" s="208" t="s">
        <v>280</v>
      </c>
      <c r="B22" s="9">
        <v>7</v>
      </c>
      <c r="C22" s="217"/>
      <c r="D22" s="227"/>
      <c r="E22" s="254"/>
      <c r="F22" s="251">
        <v>4500</v>
      </c>
      <c r="G22" s="252">
        <f t="shared" si="0"/>
        <v>4500</v>
      </c>
      <c r="H22" s="253">
        <v>4500</v>
      </c>
      <c r="I22" s="252">
        <f t="shared" si="1"/>
        <v>0</v>
      </c>
    </row>
    <row r="23" spans="1:12" x14ac:dyDescent="0.25">
      <c r="A23" s="209" t="s">
        <v>299</v>
      </c>
      <c r="B23" s="9">
        <v>8</v>
      </c>
      <c r="C23" s="217"/>
      <c r="D23" s="227">
        <v>4500</v>
      </c>
      <c r="E23" s="254"/>
      <c r="F23" s="251">
        <v>4500</v>
      </c>
      <c r="G23" s="252">
        <f t="shared" si="0"/>
        <v>9000</v>
      </c>
      <c r="H23" s="253">
        <v>4500</v>
      </c>
      <c r="I23" s="252">
        <f t="shared" si="1"/>
        <v>4500</v>
      </c>
    </row>
    <row r="24" spans="1:12" x14ac:dyDescent="0.25">
      <c r="A24" s="208" t="s">
        <v>283</v>
      </c>
      <c r="B24" s="5">
        <v>1</v>
      </c>
      <c r="C24" s="217"/>
      <c r="D24" s="227"/>
      <c r="E24" s="254"/>
      <c r="F24" s="251">
        <v>3000</v>
      </c>
      <c r="G24" s="252">
        <f t="shared" si="0"/>
        <v>3000</v>
      </c>
      <c r="H24" s="253">
        <v>3000</v>
      </c>
      <c r="I24" s="252">
        <f t="shared" si="1"/>
        <v>0</v>
      </c>
      <c r="J24" s="173" t="s">
        <v>142</v>
      </c>
    </row>
    <row r="25" spans="1:12" x14ac:dyDescent="0.25">
      <c r="A25" s="208" t="s">
        <v>212</v>
      </c>
      <c r="B25" s="5">
        <v>2</v>
      </c>
      <c r="C25" s="217"/>
      <c r="D25" s="227"/>
      <c r="E25" s="254">
        <v>200</v>
      </c>
      <c r="F25" s="251">
        <v>3000</v>
      </c>
      <c r="G25" s="252">
        <f t="shared" si="0"/>
        <v>3000</v>
      </c>
      <c r="H25" s="253">
        <v>3000</v>
      </c>
      <c r="I25" s="252">
        <f t="shared" si="1"/>
        <v>0</v>
      </c>
    </row>
    <row r="26" spans="1:12" x14ac:dyDescent="0.25">
      <c r="A26" s="209" t="s">
        <v>249</v>
      </c>
      <c r="B26" s="5">
        <v>3</v>
      </c>
      <c r="C26" s="217"/>
      <c r="D26" s="227"/>
      <c r="E26" s="254"/>
      <c r="F26" s="251">
        <v>3000</v>
      </c>
      <c r="G26" s="252">
        <f>F26+D26</f>
        <v>3000</v>
      </c>
      <c r="H26" s="253">
        <v>3000</v>
      </c>
      <c r="I26" s="252">
        <f>G26-H26</f>
        <v>0</v>
      </c>
    </row>
    <row r="27" spans="1:12" x14ac:dyDescent="0.25">
      <c r="A27" s="208" t="s">
        <v>276</v>
      </c>
      <c r="B27" s="5">
        <v>4</v>
      </c>
      <c r="C27" s="217"/>
      <c r="D27" s="227"/>
      <c r="E27" s="254"/>
      <c r="F27" s="251">
        <v>3000</v>
      </c>
      <c r="G27" s="252">
        <f t="shared" si="0"/>
        <v>3000</v>
      </c>
      <c r="H27" s="253">
        <v>3000</v>
      </c>
      <c r="I27" s="252">
        <f t="shared" si="1"/>
        <v>0</v>
      </c>
    </row>
    <row r="28" spans="1:12" x14ac:dyDescent="0.25">
      <c r="A28" s="208" t="s">
        <v>211</v>
      </c>
      <c r="B28" s="5">
        <v>5</v>
      </c>
      <c r="C28" s="217"/>
      <c r="D28" s="227"/>
      <c r="E28" s="254"/>
      <c r="F28" s="251">
        <v>3000</v>
      </c>
      <c r="G28" s="252">
        <f t="shared" si="0"/>
        <v>3000</v>
      </c>
      <c r="H28" s="253">
        <v>3000</v>
      </c>
      <c r="I28" s="252">
        <f t="shared" si="1"/>
        <v>0</v>
      </c>
      <c r="J28" s="173" t="s">
        <v>142</v>
      </c>
    </row>
    <row r="29" spans="1:12" x14ac:dyDescent="0.25">
      <c r="A29" s="231"/>
      <c r="B29" s="231"/>
      <c r="C29" s="232"/>
      <c r="D29" s="227">
        <f>SUM(D16:D28)</f>
        <v>4500</v>
      </c>
      <c r="E29" s="254">
        <f>SUM(E18:E28)</f>
        <v>1100</v>
      </c>
      <c r="F29" s="254">
        <f>SUM(F16:F28)</f>
        <v>54000</v>
      </c>
      <c r="G29" s="251">
        <f>SUM(G16:G28)</f>
        <v>58500</v>
      </c>
      <c r="H29" s="253">
        <f>SUM(H16:H28)</f>
        <v>54000</v>
      </c>
      <c r="I29" s="255">
        <f>SUM(I16:I28)</f>
        <v>4500</v>
      </c>
    </row>
    <row r="30" spans="1:12" x14ac:dyDescent="0.25">
      <c r="A30" s="218" t="s">
        <v>30</v>
      </c>
      <c r="B30" s="174"/>
      <c r="C30" s="174"/>
      <c r="D30" s="256"/>
      <c r="E30" s="174"/>
      <c r="F30" s="218" t="s">
        <v>30</v>
      </c>
      <c r="G30" s="174"/>
      <c r="H30" s="174"/>
      <c r="I30" s="174"/>
    </row>
    <row r="31" spans="1:12" x14ac:dyDescent="0.25">
      <c r="A31" s="174" t="s">
        <v>260</v>
      </c>
      <c r="B31" s="174"/>
      <c r="C31" s="228">
        <f>F29</f>
        <v>54000</v>
      </c>
      <c r="D31" s="53"/>
      <c r="E31" s="53"/>
      <c r="F31" s="174" t="s">
        <v>183</v>
      </c>
      <c r="G31" s="174"/>
      <c r="H31" s="228">
        <f>H29</f>
        <v>54000</v>
      </c>
      <c r="I31" s="174"/>
      <c r="L31" s="37"/>
    </row>
    <row r="32" spans="1:12" x14ac:dyDescent="0.25">
      <c r="A32" s="174" t="s">
        <v>147</v>
      </c>
      <c r="B32" s="174"/>
      <c r="C32" s="41">
        <f>'AUGUST '!C31</f>
        <v>-4610</v>
      </c>
      <c r="D32" s="174"/>
      <c r="E32" s="174"/>
      <c r="F32" s="174" t="s">
        <v>147</v>
      </c>
      <c r="G32" s="174"/>
      <c r="H32" s="41">
        <f>'AUGUST '!H31</f>
        <v>-9110</v>
      </c>
      <c r="I32" s="174"/>
    </row>
    <row r="33" spans="1:9" ht="16.5" x14ac:dyDescent="0.35">
      <c r="A33" s="149" t="s">
        <v>176</v>
      </c>
      <c r="B33" s="149"/>
      <c r="C33" s="168">
        <f>SUM(C31:C32)</f>
        <v>49390</v>
      </c>
      <c r="D33" s="53"/>
      <c r="E33" s="38"/>
      <c r="F33" s="149" t="s">
        <v>176</v>
      </c>
      <c r="G33" s="149"/>
      <c r="H33" s="168">
        <f>SUM(H31:H32)</f>
        <v>44890</v>
      </c>
      <c r="I33" s="174"/>
    </row>
    <row r="34" spans="1:9" x14ac:dyDescent="0.25">
      <c r="A34" s="219" t="s">
        <v>29</v>
      </c>
      <c r="B34" s="174"/>
      <c r="C34" s="38"/>
      <c r="D34" s="174"/>
      <c r="E34" s="174"/>
      <c r="F34" s="219" t="s">
        <v>29</v>
      </c>
      <c r="G34" s="174"/>
      <c r="H34" s="38"/>
      <c r="I34" s="174"/>
    </row>
    <row r="35" spans="1:9" x14ac:dyDescent="0.25">
      <c r="A35" s="174" t="s">
        <v>177</v>
      </c>
      <c r="B35" s="220">
        <v>7.0000000000000007E-2</v>
      </c>
      <c r="C35" s="243">
        <f>F29*B35</f>
        <v>3780.0000000000005</v>
      </c>
      <c r="F35" s="174" t="s">
        <v>177</v>
      </c>
      <c r="G35" s="220">
        <v>7.0000000000000007E-2</v>
      </c>
      <c r="H35" s="243">
        <f>C35</f>
        <v>3780.0000000000005</v>
      </c>
      <c r="I35" s="174"/>
    </row>
    <row r="36" spans="1:9" x14ac:dyDescent="0.25">
      <c r="A36" s="174" t="s">
        <v>272</v>
      </c>
      <c r="B36" s="220"/>
      <c r="C36" s="40">
        <f>F16+F17+F24+F28</f>
        <v>18000</v>
      </c>
      <c r="D36" s="53"/>
      <c r="E36" s="174"/>
      <c r="F36" s="174" t="s">
        <v>272</v>
      </c>
      <c r="G36" s="220"/>
      <c r="H36" s="40">
        <f>C36</f>
        <v>18000</v>
      </c>
      <c r="I36" s="174"/>
    </row>
    <row r="37" spans="1:9" x14ac:dyDescent="0.25">
      <c r="A37" s="154">
        <v>43353</v>
      </c>
      <c r="B37" s="174"/>
      <c r="C37" s="40">
        <v>30000</v>
      </c>
      <c r="D37" s="174"/>
      <c r="E37" s="38"/>
      <c r="F37" s="154">
        <v>43353</v>
      </c>
      <c r="G37" s="174"/>
      <c r="H37" s="40">
        <v>30000</v>
      </c>
      <c r="I37" s="174"/>
    </row>
    <row r="38" spans="1:9" x14ac:dyDescent="0.25">
      <c r="A38" s="154"/>
      <c r="B38" s="174"/>
      <c r="C38" s="174"/>
      <c r="D38" s="139"/>
      <c r="E38" s="38"/>
      <c r="F38" s="154"/>
      <c r="G38" s="174"/>
      <c r="H38" s="174"/>
      <c r="I38" s="174"/>
    </row>
    <row r="39" spans="1:9" x14ac:dyDescent="0.25">
      <c r="A39" s="210"/>
      <c r="F39" s="210"/>
      <c r="I39" s="174"/>
    </row>
    <row r="40" spans="1:9" x14ac:dyDescent="0.25">
      <c r="A40" s="210"/>
      <c r="C40" s="40"/>
      <c r="F40" s="210"/>
      <c r="H40" s="40"/>
      <c r="I40" s="174"/>
    </row>
    <row r="41" spans="1:9" x14ac:dyDescent="0.25">
      <c r="A41" s="236" t="s">
        <v>62</v>
      </c>
      <c r="B41" s="236"/>
      <c r="C41" s="237">
        <f>SUM(C35:C40)</f>
        <v>51780</v>
      </c>
      <c r="D41" s="100"/>
      <c r="E41" s="238"/>
      <c r="F41" s="239" t="s">
        <v>62</v>
      </c>
      <c r="G41" s="236"/>
      <c r="H41" s="237">
        <f>SUM(H35:H40)</f>
        <v>51780</v>
      </c>
      <c r="I41" s="174"/>
    </row>
    <row r="42" spans="1:9" x14ac:dyDescent="0.25">
      <c r="A42" s="240" t="s">
        <v>252</v>
      </c>
      <c r="B42" s="236"/>
      <c r="C42" s="237">
        <f>C33-C41</f>
        <v>-2390</v>
      </c>
      <c r="D42" s="237"/>
      <c r="E42" s="238"/>
      <c r="F42" s="241" t="s">
        <v>252</v>
      </c>
      <c r="G42" s="236"/>
      <c r="H42" s="237">
        <f>H33-H41</f>
        <v>-6890</v>
      </c>
      <c r="I42" s="174"/>
    </row>
    <row r="43" spans="1:9" x14ac:dyDescent="0.25">
      <c r="A43" s="167"/>
      <c r="B43" s="174"/>
      <c r="C43" s="53"/>
      <c r="D43" s="53"/>
      <c r="E43" s="38"/>
      <c r="F43" s="174"/>
      <c r="G43" s="174"/>
      <c r="H43" s="53"/>
    </row>
    <row r="44" spans="1:9" x14ac:dyDescent="0.25">
      <c r="B44" s="174"/>
      <c r="C44" s="174"/>
      <c r="G44" s="174"/>
      <c r="H44" s="174"/>
    </row>
    <row r="45" spans="1:9" x14ac:dyDescent="0.25">
      <c r="A45" s="173" t="s">
        <v>306</v>
      </c>
      <c r="C45" s="164" t="s">
        <v>308</v>
      </c>
      <c r="D45" s="182"/>
      <c r="F45" s="164" t="s">
        <v>309</v>
      </c>
      <c r="H45" s="174"/>
    </row>
    <row r="46" spans="1:9" x14ac:dyDescent="0.25">
      <c r="A46" s="174"/>
      <c r="C46" s="175"/>
      <c r="D46" s="182"/>
      <c r="E46" s="174"/>
      <c r="G46" s="174"/>
    </row>
    <row r="47" spans="1:9" x14ac:dyDescent="0.25">
      <c r="A47" s="173" t="s">
        <v>307</v>
      </c>
      <c r="C47" s="173" t="s">
        <v>141</v>
      </c>
      <c r="F47" s="173" t="s">
        <v>198</v>
      </c>
    </row>
  </sheetData>
  <hyperlinks>
    <hyperlink ref="G12" r:id="rId1"/>
  </hyperlinks>
  <pageMargins left="0" right="0" top="0" bottom="0" header="0" footer="0.3"/>
  <pageSetup paperSize="9" orientation="portrait" horizontalDpi="0" verticalDpi="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7"/>
  <sheetViews>
    <sheetView workbookViewId="0">
      <selection activeCell="F1087" sqref="F1087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314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27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17"/>
      <c r="D6" s="227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27"/>
      <c r="E7" s="254"/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26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27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27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27"/>
      <c r="E11" s="254"/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27">
        <v>4500</v>
      </c>
      <c r="E12" s="254"/>
      <c r="F12" s="251">
        <v>4500</v>
      </c>
      <c r="G12" s="252">
        <f t="shared" si="0"/>
        <v>9000</v>
      </c>
      <c r="H12" s="253">
        <v>9000</v>
      </c>
      <c r="I12" s="252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27"/>
      <c r="E13" s="254">
        <v>100</v>
      </c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27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27"/>
      <c r="E15" s="254">
        <v>200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27"/>
      <c r="E16" s="254">
        <v>100</v>
      </c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27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27">
        <f t="shared" ref="D18:I18" si="2">SUM(D5:D17)</f>
        <v>4500</v>
      </c>
      <c r="E18" s="254">
        <f t="shared" si="2"/>
        <v>1100</v>
      </c>
      <c r="F18" s="254">
        <f t="shared" si="2"/>
        <v>54000</v>
      </c>
      <c r="G18" s="251">
        <f t="shared" si="2"/>
        <v>58500</v>
      </c>
      <c r="H18" s="253">
        <f t="shared" si="2"/>
        <v>58500</v>
      </c>
      <c r="I18" s="255">
        <f t="shared" si="2"/>
        <v>0</v>
      </c>
    </row>
    <row r="19" spans="1:12" x14ac:dyDescent="0.25">
      <c r="A19" s="218" t="s">
        <v>30</v>
      </c>
      <c r="B19" s="174"/>
      <c r="C19" s="174"/>
      <c r="D19" s="256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58500</v>
      </c>
      <c r="I20" s="174"/>
      <c r="L20" s="37"/>
    </row>
    <row r="21" spans="1:12" x14ac:dyDescent="0.25">
      <c r="A21" s="174" t="s">
        <v>147</v>
      </c>
      <c r="B21" s="174"/>
      <c r="C21" s="41">
        <f>'SEPT '!C42</f>
        <v>-2390</v>
      </c>
      <c r="D21" s="174"/>
      <c r="E21" s="174"/>
      <c r="F21" s="174" t="s">
        <v>147</v>
      </c>
      <c r="G21" s="174"/>
      <c r="H21" s="41">
        <f>'SEPT '!H42</f>
        <v>-6890</v>
      </c>
      <c r="I21" s="174"/>
    </row>
    <row r="22" spans="1:12" ht="16.5" x14ac:dyDescent="0.35">
      <c r="A22" s="149" t="s">
        <v>176</v>
      </c>
      <c r="B22" s="149"/>
      <c r="C22" s="168">
        <f>SUM(C20:C21)</f>
        <v>51610</v>
      </c>
      <c r="D22" s="53"/>
      <c r="E22" s="38"/>
      <c r="F22" s="149" t="s">
        <v>176</v>
      </c>
      <c r="G22" s="149"/>
      <c r="H22" s="168">
        <f>SUM(H20:H21)</f>
        <v>51610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43383</v>
      </c>
      <c r="B26" s="174"/>
      <c r="C26" s="40">
        <v>29830</v>
      </c>
      <c r="D26" s="174"/>
      <c r="E26" s="38"/>
      <c r="F26" s="154">
        <v>43383</v>
      </c>
      <c r="G26" s="174"/>
      <c r="H26" s="40">
        <v>29830</v>
      </c>
      <c r="I26" s="174"/>
      <c r="L26" s="173" t="s">
        <v>315</v>
      </c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51610</v>
      </c>
      <c r="D30" s="100"/>
      <c r="E30" s="238"/>
      <c r="F30" s="239" t="s">
        <v>62</v>
      </c>
      <c r="G30" s="236"/>
      <c r="H30" s="237">
        <f>SUM(H24:H29)</f>
        <v>51610</v>
      </c>
      <c r="I30" s="174"/>
    </row>
    <row r="31" spans="1:12" x14ac:dyDescent="0.25">
      <c r="A31" s="240" t="s">
        <v>252</v>
      </c>
      <c r="B31" s="236"/>
      <c r="C31" s="237">
        <f>C22-C30</f>
        <v>0</v>
      </c>
      <c r="D31" s="237"/>
      <c r="E31" s="238"/>
      <c r="F31" s="241" t="s">
        <v>252</v>
      </c>
      <c r="G31" s="236"/>
      <c r="H31" s="237">
        <f>H22-H30</f>
        <v>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  <row r="1087" spans="6:6" x14ac:dyDescent="0.25">
      <c r="F1087" s="173" t="s">
        <v>446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workbookViewId="0">
      <selection activeCell="C34" sqref="C34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5" width="9.28515625" style="173" bestFit="1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300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>
        <v>200</v>
      </c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249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1500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257"/>
      <c r="B20" s="257"/>
      <c r="C20" s="245"/>
      <c r="D20" s="258"/>
      <c r="E20" s="259"/>
      <c r="F20" s="259"/>
      <c r="G20" s="260"/>
      <c r="H20" s="261"/>
      <c r="I20" s="262"/>
    </row>
    <row r="21" spans="1:12" x14ac:dyDescent="0.25">
      <c r="A21" s="257"/>
      <c r="B21" s="257"/>
      <c r="C21" s="245"/>
      <c r="D21" s="258"/>
      <c r="E21" s="259"/>
      <c r="F21" s="259"/>
      <c r="G21" s="260"/>
      <c r="H21" s="261"/>
      <c r="I21" s="262"/>
    </row>
    <row r="22" spans="1:12" x14ac:dyDescent="0.25">
      <c r="A22" s="287" t="s">
        <v>317</v>
      </c>
      <c r="B22" s="288"/>
      <c r="C22" s="289"/>
      <c r="D22" s="290"/>
      <c r="E22" s="290"/>
      <c r="F22" s="290"/>
      <c r="G22" s="291"/>
      <c r="H22" s="292"/>
      <c r="I22" s="289"/>
      <c r="J22" s="17"/>
    </row>
    <row r="23" spans="1:12" x14ac:dyDescent="0.25">
      <c r="A23" s="264" t="s">
        <v>260</v>
      </c>
      <c r="B23" s="264"/>
      <c r="C23" s="293">
        <f>F18</f>
        <v>54000</v>
      </c>
      <c r="D23" s="265"/>
      <c r="E23" s="265"/>
      <c r="F23" s="264" t="s">
        <v>183</v>
      </c>
      <c r="G23" s="264"/>
      <c r="H23" s="293">
        <f>H18</f>
        <v>54000</v>
      </c>
      <c r="I23" s="264"/>
      <c r="J23" s="17"/>
      <c r="L23" s="37"/>
    </row>
    <row r="24" spans="1:12" x14ac:dyDescent="0.25">
      <c r="A24" s="264" t="s">
        <v>147</v>
      </c>
      <c r="B24" s="264"/>
      <c r="C24" s="294"/>
      <c r="D24" s="264"/>
      <c r="E24" s="264"/>
      <c r="F24" s="264" t="s">
        <v>147</v>
      </c>
      <c r="G24" s="264"/>
      <c r="H24" s="294"/>
      <c r="I24" s="264"/>
      <c r="J24" s="17"/>
    </row>
    <row r="25" spans="1:12" ht="16.5" x14ac:dyDescent="0.35">
      <c r="A25" s="295" t="s">
        <v>318</v>
      </c>
      <c r="B25" s="295"/>
      <c r="C25" s="296">
        <f>SUM(C23:C24)</f>
        <v>54000</v>
      </c>
      <c r="D25" s="265"/>
      <c r="E25" s="264"/>
      <c r="F25" s="295" t="s">
        <v>318</v>
      </c>
      <c r="G25" s="295"/>
      <c r="H25" s="296">
        <f>SUM(H23:H24)</f>
        <v>54000</v>
      </c>
      <c r="I25" s="264"/>
      <c r="J25" s="17"/>
    </row>
    <row r="26" spans="1:12" x14ac:dyDescent="0.25">
      <c r="A26" s="297" t="s">
        <v>29</v>
      </c>
      <c r="B26" s="264"/>
      <c r="C26" s="264"/>
      <c r="D26" s="264"/>
      <c r="E26" s="264"/>
      <c r="F26" s="297" t="s">
        <v>29</v>
      </c>
      <c r="G26" s="264"/>
      <c r="H26" s="264"/>
      <c r="I26" s="264"/>
      <c r="J26" s="17"/>
    </row>
    <row r="27" spans="1:12" x14ac:dyDescent="0.25">
      <c r="A27" s="264" t="s">
        <v>177</v>
      </c>
      <c r="B27" s="298">
        <v>7.0000000000000007E-2</v>
      </c>
      <c r="C27" s="263">
        <f>F18*B27</f>
        <v>3780.0000000000005</v>
      </c>
      <c r="D27" s="264"/>
      <c r="E27" s="264"/>
      <c r="F27" s="264" t="s">
        <v>177</v>
      </c>
      <c r="G27" s="298">
        <v>7.0000000000000007E-2</v>
      </c>
      <c r="H27" s="263">
        <f>C27</f>
        <v>3780.0000000000005</v>
      </c>
      <c r="I27" s="264"/>
      <c r="J27" s="17"/>
    </row>
    <row r="28" spans="1:12" x14ac:dyDescent="0.25">
      <c r="A28" s="264" t="s">
        <v>272</v>
      </c>
      <c r="B28" s="298"/>
      <c r="C28" s="299">
        <f>F5+F6+F13+F17</f>
        <v>18000</v>
      </c>
      <c r="D28" s="265"/>
      <c r="E28" s="264"/>
      <c r="F28" s="264" t="s">
        <v>272</v>
      </c>
      <c r="G28" s="298"/>
      <c r="H28" s="299">
        <f>C28</f>
        <v>18000</v>
      </c>
      <c r="I28" s="264"/>
      <c r="J28" s="17"/>
    </row>
    <row r="29" spans="1:12" x14ac:dyDescent="0.25">
      <c r="A29" s="300">
        <v>43414</v>
      </c>
      <c r="B29" s="264"/>
      <c r="C29" s="299">
        <v>32220</v>
      </c>
      <c r="D29" s="264"/>
      <c r="E29" s="264"/>
      <c r="F29" s="300">
        <v>43414</v>
      </c>
      <c r="G29" s="264"/>
      <c r="H29" s="299">
        <v>32220</v>
      </c>
      <c r="I29" s="264"/>
      <c r="J29" s="17"/>
    </row>
    <row r="30" spans="1:12" x14ac:dyDescent="0.25">
      <c r="A30" s="300"/>
      <c r="B30" s="264"/>
      <c r="C30" s="264"/>
      <c r="D30" s="301"/>
      <c r="E30" s="264"/>
      <c r="F30" s="300"/>
      <c r="G30" s="264"/>
      <c r="H30" s="264"/>
      <c r="I30" s="264"/>
      <c r="J30" s="17"/>
    </row>
    <row r="31" spans="1:12" x14ac:dyDescent="0.25">
      <c r="A31" s="300"/>
      <c r="B31" s="264"/>
      <c r="C31" s="264"/>
      <c r="D31" s="264"/>
      <c r="E31" s="264"/>
      <c r="F31" s="300"/>
      <c r="G31" s="264"/>
      <c r="H31" s="264"/>
      <c r="I31" s="264"/>
      <c r="J31" s="17"/>
    </row>
    <row r="32" spans="1:12" x14ac:dyDescent="0.25">
      <c r="A32" s="300"/>
      <c r="B32" s="264"/>
      <c r="C32" s="299"/>
      <c r="D32" s="264"/>
      <c r="E32" s="264"/>
      <c r="F32" s="300"/>
      <c r="G32" s="264"/>
      <c r="H32" s="299"/>
      <c r="I32" s="264"/>
      <c r="J32" s="17"/>
    </row>
    <row r="33" spans="1:10" x14ac:dyDescent="0.25">
      <c r="A33" s="266" t="s">
        <v>62</v>
      </c>
      <c r="B33" s="266"/>
      <c r="C33" s="267">
        <f>SUM(C27:C32)</f>
        <v>54000</v>
      </c>
      <c r="D33" s="302"/>
      <c r="E33" s="266"/>
      <c r="F33" s="303" t="s">
        <v>62</v>
      </c>
      <c r="G33" s="266"/>
      <c r="H33" s="267">
        <f>SUM(H27:H32)</f>
        <v>54000</v>
      </c>
      <c r="I33" s="264"/>
      <c r="J33" s="17"/>
    </row>
    <row r="34" spans="1:10" x14ac:dyDescent="0.25">
      <c r="A34" s="304" t="s">
        <v>252</v>
      </c>
      <c r="B34" s="266"/>
      <c r="C34" s="267">
        <f>C25-C33</f>
        <v>0</v>
      </c>
      <c r="D34" s="267"/>
      <c r="E34" s="266"/>
      <c r="F34" s="305" t="s">
        <v>252</v>
      </c>
      <c r="G34" s="266"/>
      <c r="H34" s="267">
        <f>H25-H33</f>
        <v>0</v>
      </c>
      <c r="I34" s="264"/>
      <c r="J34" s="17"/>
    </row>
    <row r="35" spans="1:10" x14ac:dyDescent="0.25">
      <c r="A35" s="306"/>
      <c r="B35" s="17"/>
      <c r="C35" s="135"/>
      <c r="D35" s="135"/>
      <c r="E35" s="292"/>
      <c r="F35" s="17"/>
      <c r="G35" s="17"/>
      <c r="H35" s="135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7" t="s">
        <v>306</v>
      </c>
      <c r="B37" s="17"/>
      <c r="C37" s="17" t="s">
        <v>308</v>
      </c>
      <c r="D37" s="307"/>
      <c r="E37" s="17"/>
      <c r="F37" s="17" t="s">
        <v>309</v>
      </c>
      <c r="G37" s="17"/>
      <c r="H37" s="17"/>
      <c r="I37" s="17"/>
      <c r="J37" s="17"/>
    </row>
    <row r="38" spans="1:10" x14ac:dyDescent="0.25">
      <c r="A38" s="17"/>
      <c r="B38" s="17"/>
      <c r="C38" s="308"/>
      <c r="D38" s="307"/>
      <c r="E38" s="17"/>
      <c r="F38" s="17"/>
      <c r="G38" s="17"/>
      <c r="H38" s="17"/>
      <c r="I38" s="17"/>
      <c r="J38" s="17"/>
    </row>
    <row r="39" spans="1:10" x14ac:dyDescent="0.25">
      <c r="A39" s="17" t="s">
        <v>307</v>
      </c>
      <c r="B39" s="17"/>
      <c r="C39" s="17" t="s">
        <v>141</v>
      </c>
      <c r="D39" s="17"/>
      <c r="E39" s="17"/>
      <c r="F39" s="17" t="s">
        <v>198</v>
      </c>
      <c r="G39" s="17"/>
      <c r="H39" s="17"/>
      <c r="I39" s="17"/>
      <c r="J39" s="17"/>
    </row>
    <row r="40" spans="1:1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2" spans="1:10" x14ac:dyDescent="0.25">
      <c r="C42" s="173" t="s">
        <v>335</v>
      </c>
    </row>
    <row r="43" spans="1:10" x14ac:dyDescent="0.25">
      <c r="C43" s="173" t="s">
        <v>293</v>
      </c>
    </row>
    <row r="44" spans="1:10" x14ac:dyDescent="0.25">
      <c r="C44" s="173" t="s">
        <v>336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7" zoomScaleNormal="100" workbookViewId="0">
      <selection activeCell="G26" sqref="G26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337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/>
      <c r="I11" s="263">
        <f t="shared" si="1"/>
        <v>4500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367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 t="s">
        <v>142</v>
      </c>
    </row>
    <row r="16" spans="1:10" x14ac:dyDescent="0.25">
      <c r="A16" s="273" t="s">
        <v>276</v>
      </c>
      <c r="B16" s="274">
        <v>4</v>
      </c>
      <c r="C16" s="265"/>
      <c r="D16" s="276"/>
      <c r="E16" s="276">
        <v>200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1300</v>
      </c>
      <c r="F18" s="281">
        <f t="shared" si="2"/>
        <v>54000</v>
      </c>
      <c r="G18" s="282">
        <f t="shared" si="2"/>
        <v>54000</v>
      </c>
      <c r="H18" s="266">
        <f t="shared" si="2"/>
        <v>49500</v>
      </c>
      <c r="I18" s="267">
        <f t="shared" si="2"/>
        <v>4500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392</v>
      </c>
      <c r="B23" s="350">
        <f>F18</f>
        <v>54000</v>
      </c>
      <c r="C23" s="201"/>
      <c r="D23" s="201"/>
      <c r="E23" s="201" t="s">
        <v>392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'NOVEMBER '!C34</f>
        <v>0</v>
      </c>
      <c r="C24" s="201"/>
      <c r="D24" s="201"/>
      <c r="E24" s="201" t="s">
        <v>147</v>
      </c>
      <c r="F24" s="350">
        <f>'NOVEMBER '!H34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F5+F6+F13+F15+F17</f>
        <v>21000</v>
      </c>
      <c r="D27" s="3"/>
      <c r="E27" s="352" t="s">
        <v>272</v>
      </c>
      <c r="F27" s="3"/>
      <c r="G27" s="247">
        <f>C27</f>
        <v>21000</v>
      </c>
      <c r="H27" s="3"/>
      <c r="I27" s="292"/>
      <c r="J27" s="17"/>
    </row>
    <row r="28" spans="1:12" x14ac:dyDescent="0.25">
      <c r="A28" s="353">
        <v>43439</v>
      </c>
      <c r="B28" s="3"/>
      <c r="C28" s="3">
        <v>35262</v>
      </c>
      <c r="D28" s="3"/>
      <c r="E28" s="353">
        <v>43439</v>
      </c>
      <c r="F28" s="3"/>
      <c r="G28" s="3">
        <v>35262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148" t="s">
        <v>62</v>
      </c>
      <c r="B33" s="357">
        <f>B23+B24-C25</f>
        <v>50220</v>
      </c>
      <c r="C33" s="357">
        <f>SUM(C27:C32)</f>
        <v>56262</v>
      </c>
      <c r="D33" s="357">
        <f>B33-C33</f>
        <v>-6042</v>
      </c>
      <c r="E33" s="148" t="s">
        <v>62</v>
      </c>
      <c r="F33" s="357">
        <f>F23+F24-G25</f>
        <v>45720</v>
      </c>
      <c r="G33" s="357">
        <f>SUM(G27:G32)</f>
        <v>56262</v>
      </c>
      <c r="H33" s="350">
        <f>F33-G33</f>
        <v>-10542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337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>
        <v>5000</v>
      </c>
      <c r="F47" s="3">
        <f t="shared" si="3"/>
        <v>5000</v>
      </c>
      <c r="G47" s="3">
        <v>5000</v>
      </c>
      <c r="H47" s="3">
        <f t="shared" si="4"/>
        <v>0</v>
      </c>
      <c r="I47" s="3"/>
      <c r="J47" s="173" t="s">
        <v>398</v>
      </c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 t="s">
        <v>398</v>
      </c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 t="s">
        <v>381</v>
      </c>
      <c r="B68" s="3" t="s">
        <v>362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398</v>
      </c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172500</v>
      </c>
      <c r="F72" s="343">
        <f>SUM(F45:F71)</f>
        <v>172500</v>
      </c>
      <c r="G72" s="343">
        <f>SUM(G45:G71)</f>
        <v>172500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392</v>
      </c>
      <c r="B77" s="350">
        <f>C72+E72</f>
        <v>172500</v>
      </c>
      <c r="C77" s="201"/>
      <c r="D77" s="201"/>
      <c r="E77" s="201" t="s">
        <v>392</v>
      </c>
      <c r="F77" s="350">
        <f>C72+G72</f>
        <v>172500</v>
      </c>
      <c r="G77" s="201"/>
      <c r="H77" s="201"/>
    </row>
    <row r="78" spans="1:10" x14ac:dyDescent="0.25">
      <c r="A78" s="201" t="s">
        <v>147</v>
      </c>
      <c r="B78" s="350">
        <f>'NOVEMBER '!C34</f>
        <v>0</v>
      </c>
      <c r="C78" s="201"/>
      <c r="D78" s="201"/>
      <c r="E78" s="201" t="s">
        <v>147</v>
      </c>
      <c r="F78" s="350">
        <f>'NOVEMBER '!H34</f>
        <v>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7762.5</v>
      </c>
      <c r="D79" s="201"/>
      <c r="E79" s="201" t="s">
        <v>390</v>
      </c>
      <c r="F79" s="359">
        <v>4.4999999999999998E-2</v>
      </c>
      <c r="G79" s="350">
        <f>C79</f>
        <v>7762.5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>
        <v>43439</v>
      </c>
      <c r="B81" s="3"/>
      <c r="C81" s="3">
        <v>85000</v>
      </c>
      <c r="D81" s="3"/>
      <c r="E81" s="352">
        <v>43439</v>
      </c>
      <c r="F81" s="3"/>
      <c r="G81" s="3">
        <v>85000</v>
      </c>
      <c r="H81" s="3"/>
      <c r="J81" s="54"/>
    </row>
    <row r="82" spans="1:10" x14ac:dyDescent="0.25">
      <c r="A82" s="353">
        <v>43439</v>
      </c>
      <c r="B82" s="3"/>
      <c r="C82" s="3">
        <v>79738</v>
      </c>
      <c r="D82" s="3"/>
      <c r="E82" s="353">
        <v>43439</v>
      </c>
      <c r="F82" s="3"/>
      <c r="G82" s="3">
        <f>C82</f>
        <v>79738</v>
      </c>
      <c r="H82" s="3"/>
    </row>
    <row r="83" spans="1:10" x14ac:dyDescent="0.25">
      <c r="A83" s="354" t="s">
        <v>399</v>
      </c>
      <c r="B83" s="201"/>
      <c r="C83" s="201">
        <v>8500</v>
      </c>
      <c r="D83" s="201"/>
      <c r="E83" s="354" t="s">
        <v>399</v>
      </c>
      <c r="F83" s="201"/>
      <c r="G83" s="201">
        <v>8500</v>
      </c>
      <c r="H83" s="201"/>
      <c r="I83" s="362"/>
    </row>
    <row r="84" spans="1:10" x14ac:dyDescent="0.25">
      <c r="A84" s="354" t="s">
        <v>400</v>
      </c>
      <c r="B84" s="201"/>
      <c r="C84" s="201">
        <v>8000</v>
      </c>
      <c r="D84" s="201"/>
      <c r="E84" s="354" t="s">
        <v>400</v>
      </c>
      <c r="F84" s="201"/>
      <c r="G84" s="201">
        <v>8000</v>
      </c>
      <c r="H84" s="201"/>
    </row>
    <row r="85" spans="1:10" x14ac:dyDescent="0.25">
      <c r="A85" s="353" t="s">
        <v>404</v>
      </c>
      <c r="B85" s="3"/>
      <c r="C85" s="3">
        <v>5000</v>
      </c>
      <c r="D85" s="3"/>
      <c r="E85" s="353" t="s">
        <v>404</v>
      </c>
      <c r="F85" s="3"/>
      <c r="G85" s="3">
        <v>5000</v>
      </c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148" t="s">
        <v>62</v>
      </c>
      <c r="B87" s="357">
        <f>B77+B78-C79</f>
        <v>164737.5</v>
      </c>
      <c r="C87" s="357">
        <f>SUM(C81:C86)</f>
        <v>186238</v>
      </c>
      <c r="D87" s="357">
        <f>B87-C87</f>
        <v>-21500.5</v>
      </c>
      <c r="E87" s="148" t="s">
        <v>62</v>
      </c>
      <c r="F87" s="357">
        <f>F77+F78-G79</f>
        <v>164737.5</v>
      </c>
      <c r="G87" s="357">
        <f>SUM(G81:G86)</f>
        <v>186238</v>
      </c>
      <c r="H87" s="350">
        <f>F87-G87</f>
        <v>-21500.5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D4" sqref="D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401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>
        <v>4500</v>
      </c>
      <c r="E11" s="276"/>
      <c r="F11" s="278">
        <v>4500</v>
      </c>
      <c r="G11" s="263">
        <f t="shared" si="0"/>
        <v>9000</v>
      </c>
      <c r="H11" s="264">
        <v>9000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/>
      <c r="B15" s="274">
        <v>3</v>
      </c>
      <c r="C15" s="265"/>
      <c r="D15" s="276"/>
      <c r="E15" s="276"/>
      <c r="F15" s="278"/>
      <c r="G15" s="263">
        <f>F15+D15</f>
        <v>0</v>
      </c>
      <c r="H15" s="264"/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4500</v>
      </c>
      <c r="E18" s="281">
        <f t="shared" si="2"/>
        <v>1100</v>
      </c>
      <c r="F18" s="281">
        <f t="shared" si="2"/>
        <v>46500</v>
      </c>
      <c r="G18" s="282">
        <f t="shared" si="2"/>
        <v>51000</v>
      </c>
      <c r="H18" s="266">
        <f t="shared" si="2"/>
        <v>51000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246</v>
      </c>
      <c r="B23" s="350">
        <f>F18</f>
        <v>46500</v>
      </c>
      <c r="C23" s="201"/>
      <c r="D23" s="201"/>
      <c r="E23" s="201" t="s">
        <v>246</v>
      </c>
      <c r="F23" s="350">
        <f>H18</f>
        <v>51000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'DECEMBER '!D33</f>
        <v>-6042</v>
      </c>
      <c r="C24" s="201"/>
      <c r="D24" s="201"/>
      <c r="E24" s="201" t="s">
        <v>147</v>
      </c>
      <c r="F24" s="350">
        <f>'DECEMBER '!H33</f>
        <v>-10542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3255.0000000000005</v>
      </c>
      <c r="D25" s="201"/>
      <c r="E25" s="201" t="s">
        <v>390</v>
      </c>
      <c r="F25" s="351">
        <v>7.0000000000000007E-2</v>
      </c>
      <c r="G25" s="350">
        <f>C25</f>
        <v>3255.0000000000005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405</v>
      </c>
      <c r="B28" s="3"/>
      <c r="C28" s="3">
        <v>25200</v>
      </c>
      <c r="D28" s="3"/>
      <c r="E28" s="353" t="s">
        <v>405</v>
      </c>
      <c r="F28" s="3"/>
      <c r="G28" s="3">
        <v>25200</v>
      </c>
      <c r="H28" s="3"/>
      <c r="I28" s="292"/>
      <c r="J28" s="17"/>
    </row>
    <row r="29" spans="1:12" x14ac:dyDescent="0.25">
      <c r="A29" s="354" t="s">
        <v>407</v>
      </c>
      <c r="B29" s="201"/>
      <c r="C29" s="201">
        <v>9000</v>
      </c>
      <c r="D29" s="201"/>
      <c r="E29" s="354" t="s">
        <v>407</v>
      </c>
      <c r="F29" s="201"/>
      <c r="G29" s="201">
        <v>9000</v>
      </c>
      <c r="H29" s="201"/>
      <c r="I29" s="292"/>
      <c r="J29" s="17"/>
    </row>
    <row r="30" spans="1:12" x14ac:dyDescent="0.25">
      <c r="A30" s="354" t="s">
        <v>409</v>
      </c>
      <c r="B30" s="201"/>
      <c r="C30" s="201">
        <v>430</v>
      </c>
      <c r="D30" s="201"/>
      <c r="E30" s="354" t="s">
        <v>409</v>
      </c>
      <c r="F30" s="201"/>
      <c r="G30" s="201">
        <v>430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37203</v>
      </c>
      <c r="C33" s="364">
        <f>SUM(C27:C32)</f>
        <v>52630</v>
      </c>
      <c r="D33" s="364">
        <f>B33-C33</f>
        <v>-15427</v>
      </c>
      <c r="E33" s="363" t="s">
        <v>62</v>
      </c>
      <c r="F33" s="364">
        <f>F23+F24-G25</f>
        <v>37203</v>
      </c>
      <c r="G33" s="364">
        <f>SUM(G27:G32)</f>
        <v>52630</v>
      </c>
      <c r="H33" s="365">
        <f>F33-G33</f>
        <v>-15427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401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  <c r="J50" s="173" t="s">
        <v>402</v>
      </c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142</v>
      </c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0</v>
      </c>
      <c r="F63" s="3">
        <f t="shared" si="3"/>
        <v>0</v>
      </c>
      <c r="G63" s="3"/>
      <c r="H63" s="3">
        <f t="shared" si="4"/>
        <v>0</v>
      </c>
      <c r="I63" s="3"/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151000</v>
      </c>
      <c r="F72" s="343">
        <f>SUM(F45:F71)</f>
        <v>151000</v>
      </c>
      <c r="G72" s="343">
        <f>SUM(G45:G71)</f>
        <v>151000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246</v>
      </c>
      <c r="B77" s="350">
        <f>C72+E72</f>
        <v>151000</v>
      </c>
      <c r="C77" s="201"/>
      <c r="D77" s="201"/>
      <c r="E77" s="201" t="s">
        <v>246</v>
      </c>
      <c r="F77" s="350">
        <f>C72+G72</f>
        <v>151000</v>
      </c>
      <c r="G77" s="201"/>
      <c r="H77" s="201"/>
    </row>
    <row r="78" spans="1:10" x14ac:dyDescent="0.25">
      <c r="A78" s="201" t="s">
        <v>147</v>
      </c>
      <c r="B78" s="350">
        <f>'DECEMBER '!D87</f>
        <v>-21500.5</v>
      </c>
      <c r="C78" s="201"/>
      <c r="D78" s="201"/>
      <c r="E78" s="201" t="s">
        <v>147</v>
      </c>
      <c r="F78" s="350">
        <f>'DECEMBER '!H87</f>
        <v>-21500.5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6795</v>
      </c>
      <c r="D79" s="201"/>
      <c r="E79" s="201" t="s">
        <v>390</v>
      </c>
      <c r="F79" s="359">
        <v>4.4999999999999998E-2</v>
      </c>
      <c r="G79" s="350">
        <f>C79</f>
        <v>6795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403</v>
      </c>
      <c r="B81" s="3"/>
      <c r="C81" s="3">
        <v>5000</v>
      </c>
      <c r="D81" s="3"/>
      <c r="E81" s="352" t="s">
        <v>403</v>
      </c>
      <c r="F81" s="3"/>
      <c r="G81" s="3">
        <v>5000</v>
      </c>
      <c r="H81" s="3"/>
      <c r="J81" s="54"/>
    </row>
    <row r="82" spans="1:10" x14ac:dyDescent="0.25">
      <c r="A82" s="353" t="s">
        <v>405</v>
      </c>
      <c r="B82" s="3"/>
      <c r="C82" s="3">
        <v>117705</v>
      </c>
      <c r="D82" s="3"/>
      <c r="E82" s="353" t="s">
        <v>405</v>
      </c>
      <c r="F82" s="3"/>
      <c r="G82" s="3">
        <v>117705</v>
      </c>
      <c r="H82" s="3"/>
    </row>
    <row r="83" spans="1:10" x14ac:dyDescent="0.25">
      <c r="A83" s="354" t="s">
        <v>408</v>
      </c>
      <c r="B83" s="201"/>
      <c r="C83" s="201">
        <v>8500</v>
      </c>
      <c r="D83" s="201"/>
      <c r="E83" s="354" t="s">
        <v>408</v>
      </c>
      <c r="F83" s="201"/>
      <c r="G83" s="201">
        <v>8500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122704.5</v>
      </c>
      <c r="C87" s="364">
        <f>SUM(C81:C86)</f>
        <v>131205</v>
      </c>
      <c r="D87" s="364">
        <f>B87-C87</f>
        <v>-8500.5</v>
      </c>
      <c r="E87" s="363" t="s">
        <v>62</v>
      </c>
      <c r="F87" s="364">
        <f>F77+F78-G79</f>
        <v>122704.5</v>
      </c>
      <c r="G87" s="364">
        <f>SUM(G81:G86)</f>
        <v>131205</v>
      </c>
      <c r="H87" s="364">
        <f>F87-G87</f>
        <v>-8500.5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64" workbookViewId="0">
      <selection activeCell="F84" sqref="F8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410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600</v>
      </c>
      <c r="F18" s="281">
        <f t="shared" si="2"/>
        <v>45000</v>
      </c>
      <c r="G18" s="282">
        <f t="shared" si="2"/>
        <v>45000</v>
      </c>
      <c r="H18" s="266">
        <f t="shared" si="2"/>
        <v>43500</v>
      </c>
      <c r="I18" s="267">
        <f t="shared" si="2"/>
        <v>1500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411</v>
      </c>
      <c r="B23" s="350">
        <f>F18</f>
        <v>45000</v>
      </c>
      <c r="C23" s="201"/>
      <c r="D23" s="201"/>
      <c r="E23" s="201" t="s">
        <v>411</v>
      </c>
      <c r="F23" s="350">
        <f>H18</f>
        <v>43500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'JANUARY '!D33</f>
        <v>-15427</v>
      </c>
      <c r="C24" s="201"/>
      <c r="D24" s="201"/>
      <c r="E24" s="201" t="s">
        <v>147</v>
      </c>
      <c r="F24" s="350">
        <f>'JANUARY '!H33</f>
        <v>-15427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415</v>
      </c>
      <c r="B28" s="3"/>
      <c r="C28" s="3">
        <v>8950</v>
      </c>
      <c r="D28" s="3"/>
      <c r="E28" s="353" t="s">
        <v>415</v>
      </c>
      <c r="F28" s="3"/>
      <c r="G28" s="3">
        <v>8950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26423</v>
      </c>
      <c r="C33" s="364">
        <f>SUM(C27:C32)</f>
        <v>26950</v>
      </c>
      <c r="D33" s="364">
        <f>B33-C33</f>
        <v>-527</v>
      </c>
      <c r="E33" s="363" t="s">
        <v>62</v>
      </c>
      <c r="F33" s="364">
        <f>F23+F24-G25</f>
        <v>24923</v>
      </c>
      <c r="G33" s="364">
        <f>SUM(G27:G32)</f>
        <v>26950</v>
      </c>
      <c r="H33" s="365">
        <f>F33-G33</f>
        <v>-2027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410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3500</v>
      </c>
      <c r="H55" s="3">
        <f t="shared" si="4"/>
        <v>4000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/>
      <c r="B64" s="3" t="s">
        <v>358</v>
      </c>
      <c r="C64" s="3"/>
      <c r="D64" s="3"/>
      <c r="E64" s="3"/>
      <c r="F64" s="3">
        <f t="shared" si="3"/>
        <v>0</v>
      </c>
      <c r="G64" s="3"/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141000</v>
      </c>
      <c r="F72" s="343">
        <f>SUM(F45:F71)</f>
        <v>141000</v>
      </c>
      <c r="G72" s="343">
        <f>SUM(G45:G71)</f>
        <v>137000</v>
      </c>
      <c r="H72" s="343">
        <f>SUM(H45:H71)</f>
        <v>4000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411</v>
      </c>
      <c r="B77" s="350">
        <f>C72+E72</f>
        <v>141000</v>
      </c>
      <c r="C77" s="201"/>
      <c r="D77" s="201"/>
      <c r="E77" s="201" t="s">
        <v>411</v>
      </c>
      <c r="F77" s="350">
        <f>C72+G72</f>
        <v>137000</v>
      </c>
      <c r="G77" s="201"/>
      <c r="H77" s="201"/>
    </row>
    <row r="78" spans="1:10" x14ac:dyDescent="0.25">
      <c r="A78" s="201" t="s">
        <v>147</v>
      </c>
      <c r="B78" s="350">
        <f>'JANUARY '!D87</f>
        <v>-8500.5</v>
      </c>
      <c r="C78" s="201"/>
      <c r="D78" s="201"/>
      <c r="E78" s="201" t="s">
        <v>147</v>
      </c>
      <c r="F78" s="350">
        <f>'JANUARY '!H87</f>
        <v>-8500.5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6345</v>
      </c>
      <c r="D79" s="201"/>
      <c r="E79" s="201" t="s">
        <v>390</v>
      </c>
      <c r="F79" s="359">
        <v>4.4999999999999998E-2</v>
      </c>
      <c r="G79" s="350">
        <f>C79</f>
        <v>6345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414</v>
      </c>
      <c r="B81" s="3"/>
      <c r="C81" s="3">
        <v>126155</v>
      </c>
      <c r="D81" s="3"/>
      <c r="E81" s="352" t="s">
        <v>414</v>
      </c>
      <c r="F81" s="3"/>
      <c r="G81" s="3">
        <v>126155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126154.5</v>
      </c>
      <c r="C87" s="364">
        <f>SUM(C81:C86)</f>
        <v>126155</v>
      </c>
      <c r="D87" s="364">
        <f>B87-C87</f>
        <v>-0.5</v>
      </c>
      <c r="E87" s="363" t="s">
        <v>62</v>
      </c>
      <c r="F87" s="364">
        <f>F77+F78-G79</f>
        <v>122154.5</v>
      </c>
      <c r="G87" s="364">
        <f>SUM(G81:G86)</f>
        <v>126155</v>
      </c>
      <c r="H87" s="364">
        <f>F87-G87</f>
        <v>-4000.5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67" workbookViewId="0">
      <selection activeCell="E74" sqref="E7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2.1406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>
        <v>1500</v>
      </c>
      <c r="E12" s="276">
        <v>200</v>
      </c>
      <c r="F12" s="278">
        <v>4500</v>
      </c>
      <c r="G12" s="263">
        <f t="shared" si="0"/>
        <v>6000</v>
      </c>
      <c r="H12" s="264">
        <v>6000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1500</v>
      </c>
      <c r="E18" s="281">
        <f>SUM(E5:E17)</f>
        <v>800</v>
      </c>
      <c r="F18" s="281">
        <f>SUM(F5:F17)</f>
        <v>40500</v>
      </c>
      <c r="G18" s="282">
        <f>SUM(G5:G17)</f>
        <v>42000</v>
      </c>
      <c r="H18" s="266">
        <f t="shared" si="2"/>
        <v>42000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417</v>
      </c>
      <c r="B23" s="350">
        <f>F18</f>
        <v>40500</v>
      </c>
      <c r="C23" s="201"/>
      <c r="D23" s="201"/>
      <c r="E23" s="201" t="s">
        <v>417</v>
      </c>
      <c r="F23" s="350">
        <f>H18</f>
        <v>42000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'FEBRUARY '!D33</f>
        <v>-527</v>
      </c>
      <c r="C24" s="201"/>
      <c r="D24" s="201"/>
      <c r="E24" s="201" t="s">
        <v>147</v>
      </c>
      <c r="F24" s="350">
        <f>'FEBRUARY '!H33</f>
        <v>-2027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421</v>
      </c>
      <c r="B28" s="3"/>
      <c r="C28" s="3">
        <v>17163</v>
      </c>
      <c r="D28" s="3"/>
      <c r="E28" s="353" t="s">
        <v>421</v>
      </c>
      <c r="F28" s="3"/>
      <c r="G28" s="3">
        <v>17163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1975</v>
      </c>
      <c r="D29" s="201"/>
      <c r="E29" s="354" t="s">
        <v>426</v>
      </c>
      <c r="F29" s="201"/>
      <c r="G29" s="201">
        <v>1975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37138</v>
      </c>
      <c r="C33" s="364">
        <f>SUM(C27:C32)</f>
        <v>37138</v>
      </c>
      <c r="D33" s="364">
        <f>B33-C33</f>
        <v>0</v>
      </c>
      <c r="E33" s="363" t="s">
        <v>62</v>
      </c>
      <c r="F33" s="364">
        <f>F23+F24-G25</f>
        <v>37138</v>
      </c>
      <c r="G33" s="364">
        <f>SUM(G27:G32)</f>
        <v>37138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418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1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1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/>
      <c r="F53" s="3">
        <f t="shared" si="3"/>
        <v>0</v>
      </c>
      <c r="G53" s="3"/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420</v>
      </c>
      <c r="B55" s="3" t="s">
        <v>349</v>
      </c>
      <c r="C55" s="3"/>
      <c r="D55" s="3">
        <v>4000</v>
      </c>
      <c r="E55" s="3">
        <v>7500</v>
      </c>
      <c r="F55" s="3">
        <f t="shared" si="3"/>
        <v>11500</v>
      </c>
      <c r="G55" s="3">
        <v>8000</v>
      </c>
      <c r="H55" s="3">
        <f t="shared" si="4"/>
        <v>3500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 t="s">
        <v>419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/>
      <c r="B70" s="3" t="s">
        <v>364</v>
      </c>
      <c r="C70" s="3"/>
      <c r="D70" s="3"/>
      <c r="E70" s="3"/>
      <c r="F70" s="3">
        <f t="shared" si="3"/>
        <v>0</v>
      </c>
      <c r="G70" s="3"/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4000</v>
      </c>
      <c r="E72" s="343">
        <f>SUM(E45:E71)</f>
        <v>132500</v>
      </c>
      <c r="F72" s="343">
        <f>SUM(F45:F71)</f>
        <v>136500</v>
      </c>
      <c r="G72" s="343">
        <f>SUM(G45:G71)</f>
        <v>133000</v>
      </c>
      <c r="H72" s="343">
        <f>SUM(H45:H71)</f>
        <v>3500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417</v>
      </c>
      <c r="B77" s="350">
        <f>C72+E72</f>
        <v>132500</v>
      </c>
      <c r="C77" s="201"/>
      <c r="D77" s="201"/>
      <c r="E77" s="201" t="s">
        <v>417</v>
      </c>
      <c r="F77" s="350">
        <f>C72+G72</f>
        <v>133000</v>
      </c>
      <c r="G77" s="201"/>
      <c r="H77" s="201"/>
    </row>
    <row r="78" spans="1:10" x14ac:dyDescent="0.25">
      <c r="A78" s="201" t="s">
        <v>147</v>
      </c>
      <c r="B78" s="350">
        <f>'FEBRUARY '!D87</f>
        <v>-0.5</v>
      </c>
      <c r="C78" s="201"/>
      <c r="D78" s="201"/>
      <c r="E78" s="201" t="s">
        <v>147</v>
      </c>
      <c r="F78" s="350">
        <f>'FEBRUARY '!H87</f>
        <v>-4000.5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5962.5</v>
      </c>
      <c r="D79" s="201"/>
      <c r="E79" s="201" t="s">
        <v>390</v>
      </c>
      <c r="F79" s="359">
        <v>4.4999999999999998E-2</v>
      </c>
      <c r="G79" s="350">
        <f>C79</f>
        <v>5962.5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421</v>
      </c>
      <c r="B81" s="3"/>
      <c r="C81" s="3">
        <v>126537</v>
      </c>
      <c r="D81" s="3"/>
      <c r="E81" s="352" t="s">
        <v>421</v>
      </c>
      <c r="F81" s="3"/>
      <c r="G81" s="3">
        <v>126537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126537</v>
      </c>
      <c r="C87" s="364">
        <f>SUM(C81:C86)</f>
        <v>126537</v>
      </c>
      <c r="D87" s="364">
        <f>B87-C87</f>
        <v>0</v>
      </c>
      <c r="E87" s="363" t="s">
        <v>62</v>
      </c>
      <c r="F87" s="364">
        <f>F77+F78-G79</f>
        <v>123037</v>
      </c>
      <c r="G87" s="364">
        <f>SUM(G81:G86)</f>
        <v>126537</v>
      </c>
      <c r="H87" s="364">
        <f>F87-G87</f>
        <v>-3500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31" workbookViewId="0">
      <selection activeCell="I31" sqref="I31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424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100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800</v>
      </c>
      <c r="F18" s="281">
        <f t="shared" si="2"/>
        <v>49500</v>
      </c>
      <c r="G18" s="282">
        <f t="shared" si="2"/>
        <v>49500</v>
      </c>
      <c r="H18" s="266">
        <f t="shared" si="2"/>
        <v>49500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423</v>
      </c>
      <c r="B23" s="350">
        <f>F18</f>
        <v>49500</v>
      </c>
      <c r="C23" s="201"/>
      <c r="D23" s="201"/>
      <c r="E23" s="201" t="s">
        <v>423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'MARCH 19'!D33</f>
        <v>0</v>
      </c>
      <c r="C24" s="201"/>
      <c r="D24" s="201"/>
      <c r="E24" s="201" t="s">
        <v>147</v>
      </c>
      <c r="F24" s="350">
        <f>'MARCH 19'!H33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3465.0000000000005</v>
      </c>
      <c r="D25" s="201"/>
      <c r="E25" s="201" t="s">
        <v>390</v>
      </c>
      <c r="F25" s="351">
        <v>7.0000000000000007E-2</v>
      </c>
      <c r="G25" s="350">
        <f>C25</f>
        <v>3465.0000000000005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427</v>
      </c>
      <c r="B29" s="201"/>
      <c r="C29" s="201">
        <v>20938</v>
      </c>
      <c r="D29" s="201"/>
      <c r="E29" s="354" t="s">
        <v>427</v>
      </c>
      <c r="F29" s="201"/>
      <c r="G29" s="201">
        <v>20938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46035</v>
      </c>
      <c r="C33" s="364">
        <f>SUM(C27:C32)</f>
        <v>41938</v>
      </c>
      <c r="D33" s="364">
        <f>B33-C33</f>
        <v>4097</v>
      </c>
      <c r="E33" s="363" t="s">
        <v>62</v>
      </c>
      <c r="F33" s="364">
        <f>F23+F24-G25</f>
        <v>46035</v>
      </c>
      <c r="G33" s="364">
        <f>SUM(G27:G32)</f>
        <v>41938</v>
      </c>
      <c r="H33" s="365">
        <f>F33-G33</f>
        <v>4097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422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 t="s">
        <v>142</v>
      </c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/>
      <c r="B51" s="3" t="s">
        <v>344</v>
      </c>
      <c r="C51" s="3"/>
      <c r="D51" s="3"/>
      <c r="E51" s="3"/>
      <c r="F51" s="3">
        <f t="shared" si="3"/>
        <v>0</v>
      </c>
      <c r="G51" s="3"/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/>
      <c r="B55" s="3" t="s">
        <v>348</v>
      </c>
      <c r="C55" s="3"/>
      <c r="D55" s="3"/>
      <c r="E55" s="3"/>
      <c r="F55" s="3"/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3500</v>
      </c>
      <c r="E56" s="3">
        <v>7500</v>
      </c>
      <c r="F56" s="3">
        <f t="shared" si="3"/>
        <v>11000</v>
      </c>
      <c r="G56" s="3">
        <v>8500</v>
      </c>
      <c r="H56" s="3">
        <f t="shared" si="4"/>
        <v>2500</v>
      </c>
      <c r="I56" s="3"/>
    </row>
    <row r="57" spans="1:13" x14ac:dyDescent="0.25">
      <c r="A57" s="3" t="s">
        <v>370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</row>
    <row r="58" spans="1:13" x14ac:dyDescent="0.25">
      <c r="A58" s="3"/>
      <c r="B58" s="3" t="s">
        <v>351</v>
      </c>
      <c r="C58" s="3"/>
      <c r="D58" s="3"/>
      <c r="E58" s="3"/>
      <c r="F58" s="3">
        <f t="shared" si="3"/>
        <v>0</v>
      </c>
      <c r="G58" s="3"/>
      <c r="H58" s="3">
        <f t="shared" si="4"/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/>
      <c r="H64" s="3">
        <f t="shared" si="4"/>
        <v>8500</v>
      </c>
      <c r="I64" s="3"/>
      <c r="K64" s="362"/>
      <c r="M64" s="362"/>
    </row>
    <row r="65" spans="1:10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0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0" x14ac:dyDescent="0.25">
      <c r="A67" s="3" t="s">
        <v>379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0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</row>
    <row r="69" spans="1:10" x14ac:dyDescent="0.25">
      <c r="A69" s="3"/>
      <c r="B69" s="3" t="s">
        <v>362</v>
      </c>
      <c r="C69" s="3"/>
      <c r="D69" s="3"/>
      <c r="E69" s="3">
        <v>0</v>
      </c>
      <c r="F69" s="3">
        <f>C69+D69+E69</f>
        <v>0</v>
      </c>
      <c r="G69" s="3"/>
      <c r="H69" s="3">
        <f t="shared" si="4"/>
        <v>0</v>
      </c>
      <c r="I69" s="3"/>
    </row>
    <row r="70" spans="1:10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0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0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0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3500</v>
      </c>
      <c r="E73" s="343">
        <f>SUM(E45:E72)</f>
        <v>118500</v>
      </c>
      <c r="F73" s="343">
        <f>SUM(F45:F72)</f>
        <v>122000</v>
      </c>
      <c r="G73" s="343">
        <f>SUM(G45:G72)</f>
        <v>111000</v>
      </c>
      <c r="H73" s="343">
        <f>SUM(H45:H72)</f>
        <v>11000</v>
      </c>
      <c r="I73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423</v>
      </c>
      <c r="B77" s="350">
        <f>C73+E73</f>
        <v>118500</v>
      </c>
      <c r="C77" s="201"/>
      <c r="D77" s="201"/>
      <c r="E77" s="201" t="s">
        <v>423</v>
      </c>
      <c r="F77" s="350">
        <f>C73+G73</f>
        <v>111000</v>
      </c>
      <c r="G77" s="201"/>
      <c r="H77" s="201"/>
    </row>
    <row r="78" spans="1:10" x14ac:dyDescent="0.25">
      <c r="A78" s="201" t="s">
        <v>147</v>
      </c>
      <c r="B78" s="350">
        <f>'MARCH 19'!D87</f>
        <v>0</v>
      </c>
      <c r="C78" s="201"/>
      <c r="D78" s="201"/>
      <c r="E78" s="201" t="s">
        <v>147</v>
      </c>
      <c r="F78" s="350">
        <f>'MARCH 19'!H87</f>
        <v>-3500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5332.5</v>
      </c>
      <c r="D79" s="201"/>
      <c r="E79" s="201" t="s">
        <v>390</v>
      </c>
      <c r="F79" s="359">
        <v>4.4999999999999998E-2</v>
      </c>
      <c r="G79" s="350">
        <f>C79</f>
        <v>5332.5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427</v>
      </c>
      <c r="B81" s="3"/>
      <c r="C81" s="3">
        <v>113167</v>
      </c>
      <c r="D81" s="3"/>
      <c r="E81" s="352" t="s">
        <v>427</v>
      </c>
      <c r="F81" s="3"/>
      <c r="G81" s="3">
        <v>113167</v>
      </c>
      <c r="H81" s="3"/>
      <c r="J81" s="54"/>
    </row>
    <row r="82" spans="1:10" x14ac:dyDescent="0.25">
      <c r="A82" s="353" t="s">
        <v>373</v>
      </c>
      <c r="B82" s="3"/>
      <c r="C82" s="3">
        <v>4500</v>
      </c>
      <c r="D82" s="3"/>
      <c r="E82" s="353" t="s">
        <v>373</v>
      </c>
      <c r="F82" s="3"/>
      <c r="G82" s="3">
        <v>4500</v>
      </c>
      <c r="H82" s="3"/>
    </row>
    <row r="83" spans="1:10" x14ac:dyDescent="0.25">
      <c r="A83" s="354" t="s">
        <v>272</v>
      </c>
      <c r="B83" s="201"/>
      <c r="C83" s="201">
        <v>3000</v>
      </c>
      <c r="D83" s="201"/>
      <c r="E83" s="354" t="s">
        <v>272</v>
      </c>
      <c r="F83" s="201"/>
      <c r="G83" s="201">
        <v>3000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113167.5</v>
      </c>
      <c r="C87" s="364">
        <f>SUM(C81:C86)</f>
        <v>120667</v>
      </c>
      <c r="D87" s="364">
        <f>B87-C87</f>
        <v>-7499.5</v>
      </c>
      <c r="E87" s="363" t="s">
        <v>62</v>
      </c>
      <c r="F87" s="364">
        <f>F77+F78-G79</f>
        <v>102167.5</v>
      </c>
      <c r="G87" s="364">
        <f>SUM(G81:G86)</f>
        <v>120667</v>
      </c>
      <c r="H87" s="364">
        <f>F87-G87</f>
        <v>-18499.5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12" sqref="F12"/>
    </sheetView>
  </sheetViews>
  <sheetFormatPr defaultRowHeight="15" x14ac:dyDescent="0.25"/>
  <cols>
    <col min="1" max="1" width="13.42578125" customWidth="1"/>
    <col min="2" max="2" width="3.140625" customWidth="1"/>
    <col min="4" max="4" width="11.42578125" customWidth="1"/>
  </cols>
  <sheetData>
    <row r="1" spans="1:15" ht="29.25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  <c r="O1" s="1"/>
    </row>
    <row r="2" spans="1:15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  <c r="O2" s="1"/>
    </row>
    <row r="3" spans="1:15" ht="21" x14ac:dyDescent="0.25">
      <c r="A3" s="44"/>
      <c r="B3" s="44"/>
      <c r="C3" s="44"/>
      <c r="D3" s="46"/>
      <c r="E3" s="47" t="s">
        <v>87</v>
      </c>
      <c r="F3" s="47"/>
      <c r="G3" s="46"/>
      <c r="H3" s="46"/>
      <c r="I3" s="46"/>
      <c r="J3" s="46"/>
      <c r="K3" s="46"/>
      <c r="L3" s="44"/>
      <c r="M3" s="44"/>
      <c r="N3" s="1"/>
      <c r="O3" s="1"/>
    </row>
    <row r="4" spans="1:15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  <c r="O4" s="1"/>
    </row>
    <row r="5" spans="1:15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  <c r="O5" s="1"/>
    </row>
    <row r="6" spans="1:15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8400</v>
      </c>
      <c r="F6" s="74">
        <v>400</v>
      </c>
      <c r="G6" s="33">
        <v>4000</v>
      </c>
      <c r="H6" s="33">
        <f>SUM(E6:G6)</f>
        <v>12800</v>
      </c>
      <c r="I6" s="33">
        <v>6000</v>
      </c>
      <c r="J6" s="7">
        <v>400</v>
      </c>
      <c r="K6" s="7">
        <v>6400</v>
      </c>
      <c r="L6" s="6"/>
      <c r="M6" s="7">
        <f>SUM(H6-K6)</f>
        <v>6400</v>
      </c>
      <c r="N6" s="1"/>
      <c r="O6" s="1"/>
    </row>
    <row r="7" spans="1:15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300</v>
      </c>
      <c r="K7" s="7">
        <v>4300</v>
      </c>
      <c r="L7" s="6"/>
      <c r="M7" s="7">
        <v>1200</v>
      </c>
      <c r="N7" s="1"/>
      <c r="O7" s="1"/>
    </row>
    <row r="8" spans="1:15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300</v>
      </c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  <c r="O8" s="1"/>
    </row>
    <row r="9" spans="1:15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>
        <v>200</v>
      </c>
      <c r="K9" s="7">
        <v>4200</v>
      </c>
      <c r="L9" s="10"/>
      <c r="M9" s="5"/>
      <c r="N9" s="1"/>
      <c r="O9" s="1"/>
    </row>
    <row r="10" spans="1:15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  <c r="O10" s="1"/>
    </row>
    <row r="11" spans="1:15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/>
      <c r="J11" s="7"/>
      <c r="K11" s="7"/>
      <c r="L11" s="62"/>
      <c r="M11" s="64">
        <f>SUM(H11-I11)</f>
        <v>14700</v>
      </c>
      <c r="N11" s="1"/>
      <c r="O11" s="1"/>
    </row>
    <row r="12" spans="1:15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6000</v>
      </c>
      <c r="F12" s="74">
        <v>300</v>
      </c>
      <c r="G12" s="7">
        <v>4000</v>
      </c>
      <c r="H12" s="7">
        <f>SUM(E12:G12)</f>
        <v>10300</v>
      </c>
      <c r="I12" s="7">
        <v>4000</v>
      </c>
      <c r="J12" s="7">
        <v>200</v>
      </c>
      <c r="K12" s="7">
        <v>4200</v>
      </c>
      <c r="L12" s="10"/>
      <c r="M12" s="64">
        <f>SUM(H12-I12)</f>
        <v>6300</v>
      </c>
      <c r="N12" s="1"/>
      <c r="O12" s="1"/>
    </row>
    <row r="13" spans="1:15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  <c r="O13" s="1"/>
    </row>
    <row r="14" spans="1:15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  <c r="O14" s="1"/>
    </row>
    <row r="15" spans="1:15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  <c r="O15" s="1"/>
    </row>
    <row r="16" spans="1:15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  <c r="O16" s="1"/>
    </row>
    <row r="17" spans="1:15" x14ac:dyDescent="0.25">
      <c r="A17" s="69"/>
      <c r="B17" s="69"/>
      <c r="C17" s="69"/>
      <c r="D17" s="70"/>
      <c r="E17" s="71"/>
      <c r="F17" s="71">
        <f t="shared" ref="F17:K17" si="0">SUM(F5:F16)</f>
        <v>3400</v>
      </c>
      <c r="G17" s="71">
        <f t="shared" si="0"/>
        <v>44500</v>
      </c>
      <c r="H17" s="71">
        <f t="shared" si="0"/>
        <v>74000</v>
      </c>
      <c r="I17" s="71">
        <f t="shared" si="0"/>
        <v>42500</v>
      </c>
      <c r="J17" s="78">
        <f t="shared" si="0"/>
        <v>2700</v>
      </c>
      <c r="K17" s="78">
        <f t="shared" si="0"/>
        <v>45200</v>
      </c>
      <c r="L17" s="69"/>
      <c r="M17" s="78">
        <f>SUM(M5:M16)</f>
        <v>28600</v>
      </c>
      <c r="N17" s="1"/>
      <c r="O17" s="1"/>
    </row>
    <row r="18" spans="1:15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" t="s">
        <v>84</v>
      </c>
      <c r="B19" s="1"/>
      <c r="C19" s="1"/>
      <c r="D19" s="36">
        <f>SUM(I17)</f>
        <v>42500</v>
      </c>
      <c r="E19" s="1"/>
      <c r="F19" s="1"/>
      <c r="G19" s="1"/>
      <c r="H19" s="1"/>
      <c r="I19" s="1"/>
      <c r="J19" s="1"/>
      <c r="K19" s="37"/>
      <c r="L19" s="1"/>
      <c r="M19" s="1"/>
      <c r="N19" s="1"/>
      <c r="O19" s="1"/>
    </row>
    <row r="20" spans="1:15" x14ac:dyDescent="0.25">
      <c r="A20" s="2" t="s">
        <v>77</v>
      </c>
      <c r="B20" s="2"/>
      <c r="C20" s="38"/>
      <c r="D20" s="41">
        <f>SUM(J17)</f>
        <v>2700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6.5" x14ac:dyDescent="0.35">
      <c r="A21" s="2" t="s">
        <v>62</v>
      </c>
      <c r="B21" s="2"/>
      <c r="C21" s="38"/>
      <c r="D21" s="67">
        <f>SUM(D19:D20)</f>
        <v>45200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  <c r="O22" s="1"/>
    </row>
    <row r="23" spans="1:15" x14ac:dyDescent="0.25">
      <c r="A23" s="2" t="s">
        <v>26</v>
      </c>
      <c r="B23" s="2"/>
      <c r="C23" s="38"/>
      <c r="D23" s="40">
        <f>SUM(D19*7%)</f>
        <v>2975.0000000000005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  <c r="O23" s="1"/>
    </row>
    <row r="24" spans="1:15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  <c r="O24" s="1"/>
    </row>
    <row r="25" spans="1:15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  <c r="O25" s="1"/>
    </row>
    <row r="26" spans="1:15" x14ac:dyDescent="0.25">
      <c r="A26" s="2" t="s">
        <v>56</v>
      </c>
      <c r="B26" s="2"/>
      <c r="C26" s="38"/>
      <c r="D26" s="42">
        <f>SUM(D23:D25)</f>
        <v>5475</v>
      </c>
      <c r="E26" s="1"/>
      <c r="F26" s="1"/>
      <c r="G26" s="2"/>
      <c r="H26" s="2"/>
      <c r="I26" s="2"/>
      <c r="J26" s="2"/>
      <c r="K26" s="2"/>
      <c r="L26" s="2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  <c r="O27" s="1"/>
    </row>
    <row r="28" spans="1:15" ht="15.75" x14ac:dyDescent="0.25">
      <c r="A28" s="55" t="s">
        <v>27</v>
      </c>
      <c r="B28" s="2"/>
      <c r="C28" s="2"/>
      <c r="D28" s="84">
        <f>SUM(D21-D26)</f>
        <v>39725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  <c r="O28" s="1"/>
    </row>
    <row r="29" spans="1:15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K33" sqref="K33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431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243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1200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432</v>
      </c>
      <c r="B23" s="350">
        <f>F18</f>
        <v>54000</v>
      </c>
      <c r="C23" s="201"/>
      <c r="D23" s="201"/>
      <c r="E23" s="201" t="s">
        <v>432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'APRIL '!D33</f>
        <v>4097</v>
      </c>
      <c r="C24" s="201"/>
      <c r="D24" s="201"/>
      <c r="E24" s="201" t="s">
        <v>147</v>
      </c>
      <c r="F24" s="350">
        <f>'APRIL '!H33</f>
        <v>4097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442</v>
      </c>
      <c r="B29" s="201"/>
      <c r="C29" s="201">
        <v>25105</v>
      </c>
      <c r="D29" s="201"/>
      <c r="E29" s="354" t="s">
        <v>442</v>
      </c>
      <c r="F29" s="201"/>
      <c r="G29" s="201">
        <v>25105</v>
      </c>
      <c r="H29" s="201"/>
      <c r="I29" s="292" t="s">
        <v>441</v>
      </c>
      <c r="J29" s="17"/>
    </row>
    <row r="30" spans="1:12" x14ac:dyDescent="0.25">
      <c r="A30" s="354" t="s">
        <v>443</v>
      </c>
      <c r="B30" s="201"/>
      <c r="C30" s="201">
        <v>8287</v>
      </c>
      <c r="D30" s="201"/>
      <c r="E30" s="354" t="s">
        <v>443</v>
      </c>
      <c r="F30" s="201"/>
      <c r="G30" s="201">
        <v>8287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54317</v>
      </c>
      <c r="C33" s="364">
        <f>SUM(C27:C32)</f>
        <v>54392</v>
      </c>
      <c r="D33" s="364">
        <f>B33-C33</f>
        <v>-75</v>
      </c>
      <c r="E33" s="363" t="s">
        <v>62</v>
      </c>
      <c r="F33" s="364">
        <f>F23+F24-G25</f>
        <v>54317</v>
      </c>
      <c r="G33" s="364">
        <f>SUM(G27:G32)</f>
        <v>54392</v>
      </c>
      <c r="H33" s="365">
        <f>F33-G33</f>
        <v>-75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436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7500</v>
      </c>
      <c r="H56" s="3">
        <f>F56-G56</f>
        <v>2500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16000</v>
      </c>
      <c r="F57" s="3">
        <f t="shared" si="3"/>
        <v>16000</v>
      </c>
      <c r="G57" s="173">
        <v>16000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8500</v>
      </c>
      <c r="E64" s="3">
        <v>8500</v>
      </c>
      <c r="F64" s="3">
        <f t="shared" si="3"/>
        <v>17000</v>
      </c>
      <c r="G64" s="3"/>
      <c r="H64" s="3">
        <f t="shared" si="4"/>
        <v>17000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243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11000</v>
      </c>
      <c r="E73" s="343">
        <f>SUM(E45:E72)</f>
        <v>148000</v>
      </c>
      <c r="F73" s="343">
        <f>SUM(F45:F72)</f>
        <v>159000</v>
      </c>
      <c r="G73" s="343">
        <f>SUM(G45:G72)</f>
        <v>139500</v>
      </c>
      <c r="H73" s="343">
        <f>SUM(H45:H72)</f>
        <v>19500</v>
      </c>
      <c r="I73" s="343">
        <f t="shared" si="5"/>
        <v>0</v>
      </c>
    </row>
    <row r="74" spans="1:11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1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1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1" x14ac:dyDescent="0.25">
      <c r="A77" s="201" t="s">
        <v>432</v>
      </c>
      <c r="B77" s="350">
        <f>C73+E73</f>
        <v>148000</v>
      </c>
      <c r="C77" s="201"/>
      <c r="D77" s="201"/>
      <c r="E77" s="201" t="s">
        <v>432</v>
      </c>
      <c r="F77" s="350">
        <f>C73+G73</f>
        <v>139500</v>
      </c>
      <c r="G77" s="201"/>
      <c r="H77" s="201"/>
    </row>
    <row r="78" spans="1:11" x14ac:dyDescent="0.25">
      <c r="A78" s="201" t="s">
        <v>147</v>
      </c>
      <c r="B78" s="350">
        <f>'APRIL '!D87</f>
        <v>-7499.5</v>
      </c>
      <c r="C78" s="201"/>
      <c r="D78" s="201"/>
      <c r="E78" s="201" t="s">
        <v>147</v>
      </c>
      <c r="F78" s="350">
        <f>'APRIL '!H87</f>
        <v>-18499.5</v>
      </c>
      <c r="G78" s="201"/>
      <c r="H78" s="201"/>
      <c r="J78" s="54"/>
    </row>
    <row r="79" spans="1:11" x14ac:dyDescent="0.25">
      <c r="A79" s="201" t="s">
        <v>437</v>
      </c>
      <c r="B79" s="350">
        <v>2000</v>
      </c>
      <c r="C79" s="201"/>
      <c r="D79" s="201"/>
      <c r="E79" s="201" t="s">
        <v>437</v>
      </c>
      <c r="F79" s="350">
        <v>2000</v>
      </c>
      <c r="G79" s="201"/>
      <c r="H79" s="201"/>
      <c r="J79" s="54"/>
    </row>
    <row r="80" spans="1:11" x14ac:dyDescent="0.25">
      <c r="A80" s="201" t="s">
        <v>390</v>
      </c>
      <c r="B80" s="358">
        <v>4.4999999999999998E-2</v>
      </c>
      <c r="C80" s="350">
        <f>B80*B77</f>
        <v>6660</v>
      </c>
      <c r="D80" s="201"/>
      <c r="E80" s="201" t="s">
        <v>390</v>
      </c>
      <c r="F80" s="359">
        <v>4.4999999999999998E-2</v>
      </c>
      <c r="G80" s="350">
        <f>C80</f>
        <v>6660</v>
      </c>
      <c r="H80" s="201"/>
      <c r="J80" s="54"/>
    </row>
    <row r="81" spans="1:10" x14ac:dyDescent="0.25">
      <c r="A81" s="148" t="s">
        <v>391</v>
      </c>
      <c r="B81" s="201" t="s">
        <v>89</v>
      </c>
      <c r="C81" s="201"/>
      <c r="D81" s="201"/>
      <c r="E81" s="148" t="s">
        <v>391</v>
      </c>
      <c r="F81" s="350"/>
      <c r="G81" s="201"/>
      <c r="H81" s="201"/>
      <c r="J81" s="360"/>
    </row>
    <row r="82" spans="1:10" x14ac:dyDescent="0.25">
      <c r="A82" s="352" t="s">
        <v>438</v>
      </c>
      <c r="B82" s="3"/>
      <c r="C82" s="3">
        <v>123400</v>
      </c>
      <c r="D82" s="3"/>
      <c r="E82" s="352" t="s">
        <v>438</v>
      </c>
      <c r="F82" s="3"/>
      <c r="G82" s="3">
        <v>123400</v>
      </c>
      <c r="H82" s="3"/>
      <c r="J82" s="54"/>
    </row>
    <row r="83" spans="1:10" x14ac:dyDescent="0.25">
      <c r="A83" s="353" t="s">
        <v>438</v>
      </c>
      <c r="B83" s="3"/>
      <c r="C83" s="3">
        <v>12497</v>
      </c>
      <c r="D83" s="3"/>
      <c r="E83" s="353" t="s">
        <v>438</v>
      </c>
      <c r="F83" s="3"/>
      <c r="G83" s="3">
        <v>12497</v>
      </c>
      <c r="H83" s="3"/>
    </row>
    <row r="84" spans="1:10" x14ac:dyDescent="0.25">
      <c r="A84" s="354" t="s">
        <v>444</v>
      </c>
      <c r="B84" s="201"/>
      <c r="C84" s="201">
        <v>3000</v>
      </c>
      <c r="D84" s="201"/>
      <c r="E84" s="354" t="s">
        <v>434</v>
      </c>
      <c r="F84" s="201"/>
      <c r="G84" s="201">
        <v>3000</v>
      </c>
      <c r="H84" s="201"/>
      <c r="I84" s="362"/>
    </row>
    <row r="85" spans="1:10" x14ac:dyDescent="0.25">
      <c r="A85" s="354"/>
      <c r="B85" s="201"/>
      <c r="C85" s="201"/>
      <c r="D85" s="201"/>
      <c r="E85" s="354"/>
      <c r="F85" s="201"/>
      <c r="G85" s="201"/>
      <c r="H85" s="201"/>
    </row>
    <row r="86" spans="1:10" x14ac:dyDescent="0.25">
      <c r="A86" s="355"/>
      <c r="B86" s="201"/>
      <c r="C86" s="201"/>
      <c r="D86" s="201"/>
      <c r="E86" s="353"/>
      <c r="F86" s="3"/>
      <c r="G86" s="356"/>
      <c r="H86" s="201"/>
      <c r="I86" s="362"/>
    </row>
    <row r="87" spans="1:10" x14ac:dyDescent="0.25">
      <c r="A87" s="353"/>
      <c r="B87" s="3"/>
      <c r="C87" s="356"/>
      <c r="D87" s="201"/>
      <c r="E87" s="3"/>
      <c r="F87" s="3"/>
      <c r="G87" s="3"/>
      <c r="H87" s="201"/>
    </row>
    <row r="88" spans="1:10" x14ac:dyDescent="0.25">
      <c r="A88" s="363" t="s">
        <v>62</v>
      </c>
      <c r="B88" s="364">
        <f>B77+B78+B79-C80</f>
        <v>135840.5</v>
      </c>
      <c r="C88" s="364">
        <f>SUM(C82:C87)</f>
        <v>138897</v>
      </c>
      <c r="D88" s="364">
        <f>B88-C88</f>
        <v>-3056.5</v>
      </c>
      <c r="E88" s="363" t="s">
        <v>62</v>
      </c>
      <c r="F88" s="364">
        <f>F77+F78+F79-G80</f>
        <v>116340.5</v>
      </c>
      <c r="G88" s="364">
        <f>SUM(G82:G87)</f>
        <v>138897</v>
      </c>
      <c r="H88" s="364">
        <f>F88-G88</f>
        <v>-22556.5</v>
      </c>
    </row>
    <row r="89" spans="1:10" x14ac:dyDescent="0.25">
      <c r="A89" s="17" t="s">
        <v>306</v>
      </c>
      <c r="B89" s="17"/>
      <c r="C89" s="17" t="s">
        <v>308</v>
      </c>
      <c r="D89" s="307"/>
      <c r="E89" s="17"/>
      <c r="F89" s="17" t="s">
        <v>309</v>
      </c>
    </row>
    <row r="90" spans="1:10" x14ac:dyDescent="0.25">
      <c r="A90" s="17"/>
      <c r="B90" s="17"/>
      <c r="C90" s="308"/>
      <c r="D90" s="307"/>
      <c r="E90" s="17"/>
      <c r="F90" s="17"/>
    </row>
    <row r="91" spans="1:10" x14ac:dyDescent="0.25">
      <c r="A91" s="17" t="s">
        <v>307</v>
      </c>
      <c r="B91" s="17"/>
      <c r="C91" s="17" t="s">
        <v>141</v>
      </c>
      <c r="D91" s="17"/>
      <c r="E91" s="17"/>
      <c r="F91" s="17" t="s">
        <v>198</v>
      </c>
    </row>
    <row r="92" spans="1:10" x14ac:dyDescent="0.25">
      <c r="J92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C42" sqref="C42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4" width="9.140625" style="173"/>
    <col min="5" max="5" width="12.71093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445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300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1100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219</v>
      </c>
      <c r="B23" s="350">
        <f>F18</f>
        <v>54000</v>
      </c>
      <c r="C23" s="201"/>
      <c r="D23" s="201"/>
      <c r="E23" s="201" t="s">
        <v>219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'MAY1 '!D33</f>
        <v>-75</v>
      </c>
      <c r="C24" s="201"/>
      <c r="D24" s="201"/>
      <c r="E24" s="201" t="s">
        <v>147</v>
      </c>
      <c r="F24" s="350">
        <f>'MAY1 '!H33</f>
        <v>-75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450</v>
      </c>
      <c r="B28" s="3"/>
      <c r="C28" s="3">
        <v>32205</v>
      </c>
      <c r="D28" s="3"/>
      <c r="E28" s="353" t="s">
        <v>450</v>
      </c>
      <c r="F28" s="3"/>
      <c r="G28" s="3">
        <v>32205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50145</v>
      </c>
      <c r="C33" s="364">
        <f>SUM(C27:C32)</f>
        <v>50205</v>
      </c>
      <c r="D33" s="364">
        <f>B33-C33</f>
        <v>-60</v>
      </c>
      <c r="E33" s="363" t="s">
        <v>62</v>
      </c>
      <c r="F33" s="364">
        <f>F23+F24-G25</f>
        <v>50145</v>
      </c>
      <c r="G33" s="364">
        <f>SUM(G27:G32)</f>
        <v>50205</v>
      </c>
      <c r="H33" s="365">
        <f>F33-G33</f>
        <v>-60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445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/>
      <c r="H47" s="3">
        <f t="shared" si="4"/>
        <v>3000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4000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/>
      <c r="H53" s="3">
        <f t="shared" si="4"/>
        <v>8500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8500</v>
      </c>
      <c r="H56" s="3">
        <f>F56-G56</f>
        <v>1500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173">
        <v>8000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17000</v>
      </c>
      <c r="E64" s="3">
        <v>8500</v>
      </c>
      <c r="F64" s="3">
        <f t="shared" si="3"/>
        <v>25500</v>
      </c>
      <c r="G64" s="3">
        <v>25500</v>
      </c>
      <c r="H64" s="3">
        <f t="shared" si="4"/>
        <v>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451</v>
      </c>
      <c r="B67" s="3" t="s">
        <v>360</v>
      </c>
      <c r="C67" s="3"/>
      <c r="D67" s="3"/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7700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19500</v>
      </c>
      <c r="E73" s="343">
        <f>SUM(E45:E72)</f>
        <v>140000</v>
      </c>
      <c r="F73" s="343">
        <f>SUM(F45:F72)</f>
        <v>159500</v>
      </c>
      <c r="G73" s="343">
        <f>SUM(G45:G72)</f>
        <v>144700</v>
      </c>
      <c r="H73" s="343">
        <f>SUM(H45:H72)</f>
        <v>14800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219</v>
      </c>
      <c r="B78" s="350">
        <f>C73+E73</f>
        <v>140000</v>
      </c>
      <c r="C78" s="201"/>
      <c r="D78" s="201"/>
      <c r="E78" s="201" t="s">
        <v>219</v>
      </c>
      <c r="F78" s="350">
        <f>C73+G73</f>
        <v>144700</v>
      </c>
      <c r="G78" s="201"/>
      <c r="H78" s="201"/>
    </row>
    <row r="79" spans="1:11" x14ac:dyDescent="0.25">
      <c r="A79" s="201" t="s">
        <v>147</v>
      </c>
      <c r="B79" s="350">
        <f>'MAY1 '!D88</f>
        <v>-3056.5</v>
      </c>
      <c r="C79" s="201"/>
      <c r="D79" s="201"/>
      <c r="E79" s="201" t="s">
        <v>147</v>
      </c>
      <c r="F79" s="350">
        <f>'MAY1 '!H88</f>
        <v>-22556.5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6300</v>
      </c>
      <c r="D81" s="201"/>
      <c r="E81" s="201" t="s">
        <v>390</v>
      </c>
      <c r="F81" s="359">
        <v>4.4999999999999998E-2</v>
      </c>
      <c r="G81" s="350">
        <f>C81</f>
        <v>6300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52" t="s">
        <v>447</v>
      </c>
      <c r="B83" s="3"/>
      <c r="C83" s="3">
        <v>25500</v>
      </c>
      <c r="D83" s="3"/>
      <c r="E83" s="352" t="s">
        <v>447</v>
      </c>
      <c r="F83" s="3"/>
      <c r="G83" s="3">
        <v>25500</v>
      </c>
      <c r="H83" s="3"/>
      <c r="J83" s="54"/>
    </row>
    <row r="84" spans="1:10" x14ac:dyDescent="0.25">
      <c r="A84" s="353" t="s">
        <v>448</v>
      </c>
      <c r="B84" s="3"/>
      <c r="C84" s="3">
        <v>70105</v>
      </c>
      <c r="D84" s="3"/>
      <c r="E84" s="353" t="s">
        <v>448</v>
      </c>
      <c r="F84" s="3"/>
      <c r="G84" s="3">
        <v>70105</v>
      </c>
      <c r="H84" s="3"/>
    </row>
    <row r="85" spans="1:10" x14ac:dyDescent="0.25">
      <c r="A85" s="353" t="s">
        <v>448</v>
      </c>
      <c r="B85" s="201"/>
      <c r="C85" s="201">
        <v>3000</v>
      </c>
      <c r="D85" s="201"/>
      <c r="E85" s="353" t="s">
        <v>448</v>
      </c>
      <c r="F85" s="201"/>
      <c r="G85" s="201">
        <v>3000</v>
      </c>
      <c r="H85" s="201"/>
      <c r="I85" s="362"/>
    </row>
    <row r="86" spans="1:10" x14ac:dyDescent="0.25">
      <c r="A86" s="354" t="s">
        <v>448</v>
      </c>
      <c r="B86" s="201"/>
      <c r="C86" s="201">
        <v>25694</v>
      </c>
      <c r="D86" s="201"/>
      <c r="E86" s="354" t="s">
        <v>448</v>
      </c>
      <c r="F86" s="201"/>
      <c r="G86" s="201">
        <v>25694</v>
      </c>
      <c r="H86" s="201"/>
    </row>
    <row r="87" spans="1:10" x14ac:dyDescent="0.25">
      <c r="A87" s="355"/>
      <c r="B87" s="201"/>
      <c r="C87" s="201"/>
      <c r="D87" s="201"/>
      <c r="E87" s="353"/>
      <c r="F87" s="3"/>
      <c r="G87" s="356"/>
      <c r="H87" s="201"/>
      <c r="I87" s="362"/>
    </row>
    <row r="88" spans="1:10" x14ac:dyDescent="0.25">
      <c r="A88" s="353"/>
      <c r="B88" s="3"/>
      <c r="C88" s="356"/>
      <c r="D88" s="201"/>
      <c r="E88" s="3"/>
      <c r="F88" s="3"/>
      <c r="G88" s="3"/>
      <c r="H88" s="201"/>
    </row>
    <row r="89" spans="1:10" x14ac:dyDescent="0.25">
      <c r="A89" s="363" t="s">
        <v>62</v>
      </c>
      <c r="B89" s="364">
        <f>B78+B79+B80-C81</f>
        <v>130643.5</v>
      </c>
      <c r="C89" s="364">
        <f>SUM(C83:C88)</f>
        <v>124299</v>
      </c>
      <c r="D89" s="364">
        <f>B89-C89</f>
        <v>6344.5</v>
      </c>
      <c r="E89" s="363" t="s">
        <v>62</v>
      </c>
      <c r="F89" s="364">
        <f>F78+F79+F80-G81</f>
        <v>115843.5</v>
      </c>
      <c r="G89" s="364">
        <f>SUM(G83:G88)</f>
        <v>124299</v>
      </c>
      <c r="H89" s="364">
        <f>F89-G89</f>
        <v>-8455.5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C21" sqref="C21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3" width="9.140625" style="173"/>
    <col min="4" max="4" width="9.140625" style="173" customWidth="1"/>
    <col min="5" max="5" width="17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452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>F10+D10</f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>F11+D11</f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>G12-H12</f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900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223</v>
      </c>
      <c r="B23" s="350">
        <f>F18</f>
        <v>54000</v>
      </c>
      <c r="C23" s="201"/>
      <c r="D23" s="201"/>
      <c r="E23" s="201" t="s">
        <v>223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JUNEE!D33</f>
        <v>-60</v>
      </c>
      <c r="C24" s="201"/>
      <c r="D24" s="201"/>
      <c r="E24" s="201" t="s">
        <v>147</v>
      </c>
      <c r="F24" s="350">
        <f>JUNEE!H33</f>
        <v>-60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459</v>
      </c>
      <c r="B28" s="3"/>
      <c r="C28" s="3">
        <v>32105</v>
      </c>
      <c r="D28" s="3"/>
      <c r="E28" s="353" t="s">
        <v>459</v>
      </c>
      <c r="F28" s="3"/>
      <c r="G28" s="3">
        <v>32105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1800</v>
      </c>
      <c r="D29" s="201"/>
      <c r="E29" s="354" t="s">
        <v>426</v>
      </c>
      <c r="F29" s="201"/>
      <c r="G29" s="201">
        <v>1800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50160</v>
      </c>
      <c r="C33" s="364">
        <f>SUM(C27:C32)</f>
        <v>51905</v>
      </c>
      <c r="D33" s="364">
        <f>B33-C33</f>
        <v>-1745</v>
      </c>
      <c r="E33" s="363" t="s">
        <v>62</v>
      </c>
      <c r="F33" s="364">
        <f>F23+F24-G25</f>
        <v>50160</v>
      </c>
      <c r="G33" s="364">
        <f>SUM(G27:G32)</f>
        <v>51905</v>
      </c>
      <c r="H33" s="365">
        <f>F33-G33</f>
        <v>-1745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452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>
        <v>3000</v>
      </c>
      <c r="E47" s="3">
        <v>3000</v>
      </c>
      <c r="F47" s="3">
        <f t="shared" si="3"/>
        <v>6000</v>
      </c>
      <c r="G47" s="3">
        <v>6000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460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>
        <v>8500</v>
      </c>
      <c r="E53" s="3">
        <v>8500</v>
      </c>
      <c r="F53" s="3">
        <f t="shared" si="3"/>
        <v>17000</v>
      </c>
      <c r="G53" s="3"/>
      <c r="H53" s="3">
        <f t="shared" si="4"/>
        <v>17000</v>
      </c>
      <c r="I53" s="3"/>
    </row>
    <row r="54" spans="1:13" x14ac:dyDescent="0.25">
      <c r="A54" s="3" t="s">
        <v>458</v>
      </c>
      <c r="B54" s="3" t="s">
        <v>347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</row>
    <row r="57" spans="1:13" x14ac:dyDescent="0.25">
      <c r="A57" s="367"/>
      <c r="B57" s="3" t="s">
        <v>350</v>
      </c>
      <c r="C57" s="3"/>
      <c r="D57" s="3"/>
      <c r="E57" s="3"/>
      <c r="F57" s="3">
        <f t="shared" si="3"/>
        <v>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 t="s">
        <v>457</v>
      </c>
      <c r="B60" s="3" t="s">
        <v>353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/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14800</v>
      </c>
      <c r="E73" s="343">
        <f>SUM(E45:E72)</f>
        <v>140500</v>
      </c>
      <c r="F73" s="343">
        <f>SUM(F45:F72)</f>
        <v>155300</v>
      </c>
      <c r="G73" s="343">
        <f>SUM(G45:G72)</f>
        <v>135000</v>
      </c>
      <c r="H73" s="343">
        <f>SUM(H45:H72)</f>
        <v>20300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223</v>
      </c>
      <c r="B78" s="350">
        <f>C73+E73</f>
        <v>140500</v>
      </c>
      <c r="C78" s="201"/>
      <c r="D78" s="201"/>
      <c r="E78" s="201" t="s">
        <v>223</v>
      </c>
      <c r="F78" s="350">
        <f>C73+G73</f>
        <v>135000</v>
      </c>
      <c r="G78" s="201"/>
      <c r="H78" s="201"/>
    </row>
    <row r="79" spans="1:11" x14ac:dyDescent="0.25">
      <c r="A79" s="201" t="s">
        <v>147</v>
      </c>
      <c r="B79" s="350">
        <f>JUNEE!D89</f>
        <v>6344.5</v>
      </c>
      <c r="C79" s="201"/>
      <c r="D79" s="201"/>
      <c r="E79" s="201" t="s">
        <v>147</v>
      </c>
      <c r="F79" s="350">
        <f>JUNEE!H89</f>
        <v>-8455.5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6322.5</v>
      </c>
      <c r="D81" s="201"/>
      <c r="E81" s="201" t="s">
        <v>390</v>
      </c>
      <c r="F81" s="359">
        <v>4.4999999999999998E-2</v>
      </c>
      <c r="G81" s="350">
        <f>C81</f>
        <v>6322.5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68" t="s">
        <v>453</v>
      </c>
      <c r="B83" s="85"/>
      <c r="C83" s="85">
        <v>10000</v>
      </c>
      <c r="D83" s="85"/>
      <c r="E83" s="368" t="s">
        <v>453</v>
      </c>
      <c r="F83" s="85"/>
      <c r="G83" s="85">
        <v>10000</v>
      </c>
      <c r="H83" s="85"/>
      <c r="J83" s="54"/>
    </row>
    <row r="84" spans="1:10" x14ac:dyDescent="0.25">
      <c r="A84" s="369" t="s">
        <v>455</v>
      </c>
      <c r="B84" s="85"/>
      <c r="C84" s="85">
        <v>70105</v>
      </c>
      <c r="D84" s="85"/>
      <c r="E84" s="369" t="s">
        <v>455</v>
      </c>
      <c r="F84" s="85"/>
      <c r="G84" s="85">
        <v>70105</v>
      </c>
      <c r="H84" s="85"/>
    </row>
    <row r="85" spans="1:10" x14ac:dyDescent="0.25">
      <c r="A85" s="369" t="s">
        <v>454</v>
      </c>
      <c r="B85" s="85"/>
      <c r="C85" s="85">
        <v>8500</v>
      </c>
      <c r="D85" s="85"/>
      <c r="E85" s="369" t="s">
        <v>454</v>
      </c>
      <c r="F85" s="85"/>
      <c r="G85" s="85">
        <v>8500</v>
      </c>
      <c r="H85" s="85"/>
      <c r="I85" s="362"/>
    </row>
    <row r="86" spans="1:10" x14ac:dyDescent="0.25">
      <c r="A86" s="369" t="s">
        <v>456</v>
      </c>
      <c r="B86" s="85"/>
      <c r="C86" s="85">
        <v>51900</v>
      </c>
      <c r="D86" s="85"/>
      <c r="E86" s="369" t="s">
        <v>456</v>
      </c>
      <c r="F86" s="85"/>
      <c r="G86" s="85">
        <v>51900</v>
      </c>
      <c r="H86" s="85"/>
    </row>
    <row r="87" spans="1:10" x14ac:dyDescent="0.25">
      <c r="A87" s="370" t="s">
        <v>434</v>
      </c>
      <c r="B87" s="85"/>
      <c r="C87" s="85">
        <v>1800</v>
      </c>
      <c r="D87" s="85"/>
      <c r="E87" s="370" t="s">
        <v>434</v>
      </c>
      <c r="F87" s="85"/>
      <c r="G87" s="85">
        <v>1800</v>
      </c>
      <c r="H87" s="85"/>
      <c r="I87" s="362"/>
    </row>
    <row r="88" spans="1:10" x14ac:dyDescent="0.25">
      <c r="A88" s="369"/>
      <c r="B88" s="85"/>
      <c r="C88" s="86"/>
      <c r="D88" s="85"/>
      <c r="E88" s="85"/>
      <c r="F88" s="85"/>
      <c r="G88" s="85"/>
      <c r="H88" s="85"/>
    </row>
    <row r="89" spans="1:10" x14ac:dyDescent="0.25">
      <c r="A89" s="363" t="s">
        <v>62</v>
      </c>
      <c r="B89" s="364">
        <f>B78+B79+B80-C81</f>
        <v>140522</v>
      </c>
      <c r="C89" s="364">
        <f>SUM(C83:C88)</f>
        <v>142305</v>
      </c>
      <c r="D89" s="364">
        <f>B89-C89</f>
        <v>-1783</v>
      </c>
      <c r="E89" s="363" t="s">
        <v>62</v>
      </c>
      <c r="F89" s="364">
        <f>F78+F79+F80-G81</f>
        <v>120222</v>
      </c>
      <c r="G89" s="364">
        <f>SUM(G83:G88)</f>
        <v>142305</v>
      </c>
      <c r="H89" s="364">
        <f>F89-G89</f>
        <v>-22083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L73" sqref="L73"/>
    </sheetView>
  </sheetViews>
  <sheetFormatPr defaultRowHeight="15" x14ac:dyDescent="0.25"/>
  <cols>
    <col min="1" max="1" width="16.4257812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479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116</v>
      </c>
      <c r="B6" s="274">
        <v>2</v>
      </c>
      <c r="C6" s="265"/>
      <c r="D6" s="276"/>
      <c r="E6" s="277"/>
      <c r="F6" s="278">
        <v>0</v>
      </c>
      <c r="G6" s="263">
        <f t="shared" ref="G6:G17" si="0">F6+D6</f>
        <v>0</v>
      </c>
      <c r="H6" s="264"/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/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/>
      <c r="E14" s="276">
        <v>250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650</v>
      </c>
      <c r="F18" s="281">
        <f t="shared" si="2"/>
        <v>48000</v>
      </c>
      <c r="G18" s="282">
        <f t="shared" si="2"/>
        <v>48000</v>
      </c>
      <c r="H18" s="266">
        <f t="shared" si="2"/>
        <v>46500</v>
      </c>
      <c r="I18" s="366">
        <f t="shared" si="2"/>
        <v>1500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47150</v>
      </c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462</v>
      </c>
      <c r="B23" s="350">
        <f>F18</f>
        <v>48000</v>
      </c>
      <c r="C23" s="201"/>
      <c r="D23" s="201"/>
      <c r="E23" s="201" t="s">
        <v>462</v>
      </c>
      <c r="F23" s="350">
        <f>H18</f>
        <v>46500</v>
      </c>
      <c r="G23" s="201"/>
      <c r="H23" s="201"/>
      <c r="I23" s="54"/>
      <c r="J23" s="17"/>
      <c r="K23" s="173"/>
      <c r="L23" s="37"/>
      <c r="M23" s="173"/>
    </row>
    <row r="24" spans="1:13" x14ac:dyDescent="0.25">
      <c r="A24" s="201" t="s">
        <v>147</v>
      </c>
      <c r="B24" s="350">
        <f>'JULY  '!D33</f>
        <v>-1745</v>
      </c>
      <c r="C24" s="201"/>
      <c r="D24" s="201"/>
      <c r="E24" s="201" t="s">
        <v>147</v>
      </c>
      <c r="F24" s="350">
        <f>'JULY  '!H33</f>
        <v>-1745</v>
      </c>
      <c r="G24" s="350">
        <f>'JULY  '!M33</f>
        <v>0</v>
      </c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</row>
    <row r="26" spans="1:13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  <c r="K26" s="173"/>
      <c r="L26" s="173"/>
      <c r="M26" s="173"/>
    </row>
    <row r="27" spans="1:13" x14ac:dyDescent="0.25">
      <c r="A27" s="352" t="s">
        <v>466</v>
      </c>
      <c r="B27" s="3"/>
      <c r="C27" s="247">
        <v>32705</v>
      </c>
      <c r="D27" s="3"/>
      <c r="E27" s="352" t="s">
        <v>466</v>
      </c>
      <c r="F27" s="3"/>
      <c r="G27" s="247">
        <v>32705</v>
      </c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</row>
    <row r="30" spans="1:13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B23+B24-C25</f>
        <v>42895</v>
      </c>
      <c r="C33" s="364">
        <f>SUM(C27:C32)</f>
        <v>44705</v>
      </c>
      <c r="D33" s="364">
        <f>B33-C33</f>
        <v>-1810</v>
      </c>
      <c r="E33" s="363" t="s">
        <v>62</v>
      </c>
      <c r="F33" s="364">
        <f>F23+F24-G25</f>
        <v>41395</v>
      </c>
      <c r="G33" s="364">
        <f>SUM(G27:G32)</f>
        <v>44705</v>
      </c>
      <c r="H33" s="365">
        <f>F33-G33</f>
        <v>-3310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463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'JULY  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'JULY  '!H46:H74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'JULY  '!H47:H75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'JULY  '!H48:H76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 t="s">
        <v>368</v>
      </c>
      <c r="B49" s="3" t="s">
        <v>342</v>
      </c>
      <c r="C49" s="3"/>
      <c r="D49" s="3">
        <f>'JULY  '!H49:H77</f>
        <v>0</v>
      </c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'JULY  '!H50:H78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'JULY  '!H51:H79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'JULY  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'JULY  '!H53:H81</f>
        <v>17000</v>
      </c>
      <c r="E53" s="3">
        <v>8500</v>
      </c>
      <c r="F53" s="3">
        <f t="shared" si="3"/>
        <v>25500</v>
      </c>
      <c r="G53" s="3">
        <f>8500+16150+850</f>
        <v>25500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'JULY  '!H54:H82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67</v>
      </c>
      <c r="B55" s="3" t="s">
        <v>348</v>
      </c>
      <c r="C55" s="3"/>
      <c r="D55" s="3">
        <f>'JULY  '!H55:H83</f>
        <v>0</v>
      </c>
      <c r="E55" s="3"/>
      <c r="F55" s="3">
        <f t="shared" si="3"/>
        <v>0</v>
      </c>
      <c r="G55" s="3"/>
      <c r="H55" s="3">
        <f t="shared" si="4"/>
        <v>0</v>
      </c>
      <c r="I55" s="3"/>
      <c r="J55" s="173"/>
      <c r="K55" s="173"/>
      <c r="L55" s="173"/>
      <c r="M55" s="173"/>
    </row>
    <row r="56" spans="1:13" x14ac:dyDescent="0.25">
      <c r="A56" s="3" t="s">
        <v>420</v>
      </c>
      <c r="B56" s="3" t="s">
        <v>349</v>
      </c>
      <c r="C56" s="3"/>
      <c r="D56" s="3">
        <f>'JULY  '!H56:H84</f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  <c r="J56" s="173"/>
      <c r="K56" s="173"/>
      <c r="L56" s="173"/>
      <c r="M56" s="173"/>
    </row>
    <row r="57" spans="1:13" x14ac:dyDescent="0.25">
      <c r="A57" s="367"/>
      <c r="B57" s="3" t="s">
        <v>350</v>
      </c>
      <c r="C57" s="3"/>
      <c r="D57" s="3">
        <f>'JULY  '!H57:H85</f>
        <v>0</v>
      </c>
      <c r="E57" s="3"/>
      <c r="F57" s="3">
        <f t="shared" si="3"/>
        <v>0</v>
      </c>
      <c r="G57" s="173"/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'JULY  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'JULY  '!H59:H87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'JULY  '!H60:H88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'JULY  '!H61:H89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'JULY  '!H62:H90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'JULY  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'JULY  '!H64:H92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362"/>
    </row>
    <row r="65" spans="1:13" x14ac:dyDescent="0.25">
      <c r="A65" s="3" t="s">
        <v>419</v>
      </c>
      <c r="B65" s="3" t="s">
        <v>358</v>
      </c>
      <c r="C65" s="3"/>
      <c r="D65" s="3">
        <f>'JULY  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'JULY  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/>
      <c r="B67" s="3" t="s">
        <v>360</v>
      </c>
      <c r="C67" s="3"/>
      <c r="D67" s="3">
        <f>'JULY  '!H67:H95</f>
        <v>0</v>
      </c>
      <c r="E67" s="3"/>
      <c r="F67" s="3">
        <f t="shared" si="3"/>
        <v>0</v>
      </c>
      <c r="G67" s="3"/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'JULY  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/>
      <c r="K68" s="362"/>
      <c r="L68" s="173"/>
      <c r="M68" s="173"/>
    </row>
    <row r="69" spans="1:13" x14ac:dyDescent="0.25">
      <c r="A69" s="3" t="s">
        <v>440</v>
      </c>
      <c r="B69" s="3" t="s">
        <v>362</v>
      </c>
      <c r="C69" s="3"/>
      <c r="D69" s="3">
        <f>'JULY  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3" t="s">
        <v>382</v>
      </c>
      <c r="B70" s="3" t="s">
        <v>363</v>
      </c>
      <c r="C70" s="3"/>
      <c r="D70" s="3">
        <f>'JULY  '!H70:H98</f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'JULY  '!H71:H99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'JULY  '!H72:H100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>SUM(C45:C72)</f>
        <v>0</v>
      </c>
      <c r="D73" s="3">
        <f>'JULY  '!H73:H101</f>
        <v>20300</v>
      </c>
      <c r="E73" s="343">
        <f>SUM(E45:E72)</f>
        <v>157500</v>
      </c>
      <c r="F73" s="343">
        <f>SUM(F45:F72)</f>
        <v>177800</v>
      </c>
      <c r="G73" s="343">
        <f>SUM(G45:G72)</f>
        <v>174500</v>
      </c>
      <c r="H73" s="343">
        <f>SUM(H45:H72)</f>
        <v>3300</v>
      </c>
      <c r="I73" s="343">
        <f>SUM(I45:I72)</f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226</v>
      </c>
      <c r="B78" s="350">
        <f>C73+E73</f>
        <v>157500</v>
      </c>
      <c r="C78" s="201"/>
      <c r="D78" s="201"/>
      <c r="E78" s="201" t="s">
        <v>226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'JULY  '!D89</f>
        <v>-1783</v>
      </c>
      <c r="C79" s="201"/>
      <c r="D79" s="201"/>
      <c r="E79" s="201" t="s">
        <v>147</v>
      </c>
      <c r="F79" s="350">
        <f>'JULY  '!H89</f>
        <v>-22083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7087.5</v>
      </c>
      <c r="D81" s="201"/>
      <c r="E81" s="201" t="s">
        <v>390</v>
      </c>
      <c r="F81" s="359">
        <v>4.4999999999999998E-2</v>
      </c>
      <c r="G81" s="350">
        <f>C81</f>
        <v>7087.5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464</v>
      </c>
      <c r="B84" s="85"/>
      <c r="C84" s="85">
        <v>100000</v>
      </c>
      <c r="D84" s="85"/>
      <c r="E84" s="369" t="s">
        <v>464</v>
      </c>
      <c r="F84" s="85"/>
      <c r="G84" s="85">
        <v>100000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464</v>
      </c>
      <c r="B85" s="85"/>
      <c r="C85" s="85">
        <v>23895</v>
      </c>
      <c r="D85" s="85"/>
      <c r="E85" s="369" t="s">
        <v>464</v>
      </c>
      <c r="F85" s="85"/>
      <c r="G85" s="85">
        <v>23895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464</v>
      </c>
      <c r="B86" s="85"/>
      <c r="C86" s="85">
        <v>16235</v>
      </c>
      <c r="D86" s="85"/>
      <c r="E86" s="369" t="s">
        <v>464</v>
      </c>
      <c r="F86" s="85"/>
      <c r="G86" s="85">
        <v>16235</v>
      </c>
      <c r="H86" s="85"/>
      <c r="I86" s="173"/>
      <c r="J86" s="173"/>
      <c r="K86" s="173"/>
      <c r="L86" s="173"/>
      <c r="M86" s="173"/>
    </row>
    <row r="87" spans="1:13" x14ac:dyDescent="0.25">
      <c r="A87" s="370" t="s">
        <v>468</v>
      </c>
      <c r="B87" s="85"/>
      <c r="C87" s="85">
        <v>50105</v>
      </c>
      <c r="D87" s="85"/>
      <c r="E87" s="370" t="s">
        <v>468</v>
      </c>
      <c r="F87" s="85"/>
      <c r="G87" s="85">
        <v>50105</v>
      </c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369"/>
      <c r="F88" s="85"/>
      <c r="G88" s="86">
        <f>I61</f>
        <v>0</v>
      </c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148629.5</v>
      </c>
      <c r="C89" s="364">
        <f>SUM(C83:C88)</f>
        <v>198735</v>
      </c>
      <c r="D89" s="364">
        <f>B89-C89</f>
        <v>-50105.5</v>
      </c>
      <c r="E89" s="363" t="s">
        <v>62</v>
      </c>
      <c r="F89" s="364">
        <f>F78+F79+F80-G81</f>
        <v>145329.5</v>
      </c>
      <c r="G89" s="364">
        <f>SUM(G83:G88)</f>
        <v>198735</v>
      </c>
      <c r="H89" s="364">
        <f>F89-G89</f>
        <v>-53405.5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</sheetData>
  <hyperlinks>
    <hyperlink ref="G1" r:id="rId1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2" workbookViewId="0">
      <selection activeCell="N54" sqref="N54"/>
    </sheetView>
  </sheetViews>
  <sheetFormatPr defaultRowHeight="15" x14ac:dyDescent="0.25"/>
  <cols>
    <col min="1" max="1" width="19.42578125" bestFit="1" customWidth="1"/>
  </cols>
  <sheetData>
    <row r="1" spans="1:15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ht="18.75" x14ac:dyDescent="0.3">
      <c r="A3" s="173"/>
      <c r="B3" s="173"/>
      <c r="C3" s="66" t="s">
        <v>472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258</v>
      </c>
      <c r="B5" s="274">
        <v>1</v>
      </c>
      <c r="C5" s="275" t="s">
        <v>89</v>
      </c>
      <c r="D5" s="276">
        <f>'AUGUST 19'!I5:I18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19'!I6:I19</f>
        <v>0</v>
      </c>
      <c r="E6" s="277"/>
      <c r="F6" s="278">
        <v>3000</v>
      </c>
      <c r="G6" s="263">
        <f t="shared" ref="G6:G17" si="0">F6+D6</f>
        <v>3000</v>
      </c>
      <c r="H6" s="264">
        <v>3000</v>
      </c>
      <c r="I6" s="263">
        <f t="shared" ref="I6:I17" si="1">G6-H6</f>
        <v>0</v>
      </c>
      <c r="J6" s="17" t="s">
        <v>142</v>
      </c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19'!I7:I20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19'!I8:I21</f>
        <v>0</v>
      </c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19'!I9:I22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19'!I10:I23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19'!I11:I24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19'!I12:I25</f>
        <v>1500</v>
      </c>
      <c r="E12" s="276">
        <v>100</v>
      </c>
      <c r="F12" s="278">
        <v>4500</v>
      </c>
      <c r="G12" s="263">
        <f>F12+D12</f>
        <v>6000</v>
      </c>
      <c r="H12" s="264">
        <f>3500+1000</f>
        <v>4500</v>
      </c>
      <c r="I12" s="263">
        <f t="shared" si="1"/>
        <v>1500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19'!I13:I26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19'!I14:I27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480</v>
      </c>
      <c r="B15" s="274">
        <v>3</v>
      </c>
      <c r="C15" s="265">
        <v>3000</v>
      </c>
      <c r="D15" s="276">
        <f>'AUGUST 19'!I15:I28</f>
        <v>0</v>
      </c>
      <c r="E15" s="276"/>
      <c r="F15" s="278"/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  <c r="N15" s="173"/>
      <c r="O15" s="173"/>
    </row>
    <row r="16" spans="1:15" x14ac:dyDescent="0.25">
      <c r="A16" s="273" t="s">
        <v>276</v>
      </c>
      <c r="B16" s="274">
        <v>4</v>
      </c>
      <c r="C16" s="265"/>
      <c r="D16" s="276">
        <f>'AUGUST 19'!I16:I29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19'!I17:I30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 t="s">
        <v>461</v>
      </c>
    </row>
    <row r="18" spans="1:15" x14ac:dyDescent="0.25">
      <c r="A18" s="309" t="s">
        <v>62</v>
      </c>
      <c r="B18" s="309"/>
      <c r="C18" s="374">
        <f>SUM(C5:C17)</f>
        <v>3000</v>
      </c>
      <c r="D18" s="276">
        <f>'AUGUST 19'!I18:I31</f>
        <v>1500</v>
      </c>
      <c r="E18" s="281">
        <f>SUM(E5:E17)</f>
        <v>1050</v>
      </c>
      <c r="F18" s="281">
        <f>SUM(F5:F17)</f>
        <v>48000</v>
      </c>
      <c r="G18" s="282">
        <f>SUM(G5:G17)</f>
        <v>52500</v>
      </c>
      <c r="H18" s="266">
        <f>SUM(H5:H17)</f>
        <v>51000</v>
      </c>
      <c r="I18" s="366">
        <f>SUM(I5:I17)</f>
        <v>1500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52050</v>
      </c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471</v>
      </c>
      <c r="B23" s="350">
        <f>F18</f>
        <v>48000</v>
      </c>
      <c r="C23" s="201"/>
      <c r="D23" s="201"/>
      <c r="E23" s="201" t="s">
        <v>471</v>
      </c>
      <c r="F23" s="350">
        <f>H18</f>
        <v>51000</v>
      </c>
      <c r="G23" s="201"/>
      <c r="H23" s="201"/>
      <c r="I23" s="54"/>
      <c r="J23" s="17"/>
      <c r="K23" s="173"/>
      <c r="L23" s="37"/>
      <c r="M23" s="173"/>
      <c r="N23" s="173"/>
      <c r="O23" s="173"/>
    </row>
    <row r="24" spans="1:15" x14ac:dyDescent="0.25">
      <c r="A24" s="201" t="s">
        <v>147</v>
      </c>
      <c r="B24" s="350">
        <f>'AUGUST 19'!D33</f>
        <v>-1810</v>
      </c>
      <c r="C24" s="201"/>
      <c r="D24" s="201"/>
      <c r="E24" s="201" t="s">
        <v>147</v>
      </c>
      <c r="F24" s="350">
        <f>'AUGUST 19'!H33</f>
        <v>-3310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>
        <v>3000</v>
      </c>
      <c r="C26" s="201"/>
      <c r="D26" s="201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473</v>
      </c>
      <c r="B30" s="201"/>
      <c r="C30" s="201">
        <v>8000</v>
      </c>
      <c r="D30" s="201"/>
      <c r="E30" s="354" t="s">
        <v>473</v>
      </c>
      <c r="F30" s="201"/>
      <c r="G30" s="201">
        <v>8000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5" t="s">
        <v>474</v>
      </c>
      <c r="B31" s="201"/>
      <c r="C31" s="201">
        <v>22830</v>
      </c>
      <c r="D31" s="201"/>
      <c r="E31" s="355" t="s">
        <v>474</v>
      </c>
      <c r="F31" s="201"/>
      <c r="G31" s="201">
        <v>22830</v>
      </c>
      <c r="H31" s="201"/>
      <c r="I31" s="292"/>
      <c r="J31" s="17"/>
      <c r="K31" s="362"/>
      <c r="L31" s="173"/>
      <c r="M31" s="173"/>
      <c r="N31" s="173"/>
      <c r="O31" s="173"/>
    </row>
    <row r="32" spans="1:15" x14ac:dyDescent="0.25">
      <c r="A32" s="353" t="s">
        <v>478</v>
      </c>
      <c r="B32" s="3"/>
      <c r="C32" s="372">
        <f>F6</f>
        <v>3000</v>
      </c>
      <c r="D32" s="201"/>
      <c r="E32" s="353" t="s">
        <v>478</v>
      </c>
      <c r="F32" s="3"/>
      <c r="G32" s="372">
        <f>C32</f>
        <v>3000</v>
      </c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63" t="s">
        <v>62</v>
      </c>
      <c r="B33" s="364">
        <f>B23+B24+B26-C25</f>
        <v>45830</v>
      </c>
      <c r="C33" s="364">
        <f>SUM(C27:C32)</f>
        <v>45830</v>
      </c>
      <c r="D33" s="364">
        <f>B33-C33</f>
        <v>0</v>
      </c>
      <c r="E33" s="363" t="s">
        <v>62</v>
      </c>
      <c r="F33" s="364">
        <f>F23+F24-G25</f>
        <v>44330</v>
      </c>
      <c r="G33" s="364">
        <f>SUM(G27:G32)</f>
        <v>45830</v>
      </c>
      <c r="H33" s="365">
        <f>F33-G33</f>
        <v>-1500</v>
      </c>
      <c r="I33" s="292"/>
      <c r="J33" s="17"/>
      <c r="K33" s="362"/>
      <c r="L33" s="173"/>
      <c r="M33" s="173"/>
      <c r="N33" s="173"/>
      <c r="O33" s="173"/>
    </row>
    <row r="34" spans="1:15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243"/>
      <c r="L34" s="173"/>
      <c r="M34" s="173"/>
      <c r="N34" s="173"/>
      <c r="O34" s="173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243"/>
      <c r="L35" s="173"/>
      <c r="M35" s="173"/>
      <c r="N35" s="173"/>
      <c r="O35" s="173"/>
    </row>
    <row r="36" spans="1:15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243"/>
      <c r="L36" s="173"/>
      <c r="M36" s="173"/>
      <c r="N36" s="173"/>
      <c r="O36" s="173"/>
    </row>
    <row r="37" spans="1:15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243"/>
      <c r="L37" s="173"/>
      <c r="M37" s="173"/>
      <c r="N37" s="173"/>
      <c r="O37" s="173"/>
    </row>
    <row r="38" spans="1:15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243"/>
      <c r="L38" s="173"/>
      <c r="M38" s="173"/>
      <c r="N38" s="173"/>
      <c r="O38" s="173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</row>
    <row r="41" spans="1:15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  <c r="N41" s="173"/>
      <c r="O41" s="173"/>
    </row>
    <row r="42" spans="1:15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470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  <c r="N44" s="173"/>
      <c r="O44" s="173"/>
    </row>
    <row r="45" spans="1:15" x14ac:dyDescent="0.25">
      <c r="A45" s="3" t="s">
        <v>365</v>
      </c>
      <c r="B45" s="3" t="s">
        <v>339</v>
      </c>
      <c r="C45" s="3"/>
      <c r="D45" s="3">
        <f>'AUGUST 19'!H45:H73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  <c r="N45" s="173"/>
      <c r="O45" s="173"/>
    </row>
    <row r="46" spans="1:15" x14ac:dyDescent="0.25">
      <c r="A46" s="3" t="s">
        <v>366</v>
      </c>
      <c r="B46" s="3" t="s">
        <v>340</v>
      </c>
      <c r="C46" s="3"/>
      <c r="D46" s="3">
        <f>'AUGUST 19'!H46:H74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  <c r="M46" s="173"/>
      <c r="N46" s="173"/>
      <c r="O46" s="173"/>
    </row>
    <row r="47" spans="1:15" x14ac:dyDescent="0.25">
      <c r="A47" s="3" t="s">
        <v>433</v>
      </c>
      <c r="B47" s="3" t="s">
        <v>341</v>
      </c>
      <c r="C47" s="3"/>
      <c r="D47" s="3">
        <f>'AUGUST 19'!H47:H75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  <c r="M47" s="173"/>
      <c r="N47" s="173"/>
      <c r="O47" s="173"/>
    </row>
    <row r="48" spans="1:15" x14ac:dyDescent="0.25">
      <c r="A48" s="3" t="s">
        <v>434</v>
      </c>
      <c r="B48" s="3" t="s">
        <v>428</v>
      </c>
      <c r="C48" s="3"/>
      <c r="D48" s="3">
        <f>'AUGUST 19'!H48:H76</f>
        <v>0</v>
      </c>
      <c r="E48" s="3">
        <v>3000</v>
      </c>
      <c r="F48" s="3">
        <f t="shared" si="2"/>
        <v>3000</v>
      </c>
      <c r="G48" s="3">
        <f>2700+300</f>
        <v>3000</v>
      </c>
      <c r="H48" s="3">
        <f t="shared" si="3"/>
        <v>0</v>
      </c>
      <c r="I48" s="3"/>
      <c r="J48" s="173"/>
      <c r="K48" s="173"/>
      <c r="L48" s="173"/>
      <c r="M48" s="173"/>
      <c r="N48" s="173"/>
      <c r="O48" s="173"/>
    </row>
    <row r="49" spans="1:15" x14ac:dyDescent="0.25">
      <c r="A49" s="3" t="s">
        <v>368</v>
      </c>
      <c r="B49" s="3" t="s">
        <v>342</v>
      </c>
      <c r="C49" s="3"/>
      <c r="D49" s="3">
        <f>'AUGUST 19'!H49:H77</f>
        <v>0</v>
      </c>
      <c r="E49" s="3">
        <v>6500</v>
      </c>
      <c r="F49" s="3">
        <f t="shared" si="2"/>
        <v>6500</v>
      </c>
      <c r="G49" s="3">
        <v>6500</v>
      </c>
      <c r="H49" s="3">
        <f t="shared" si="3"/>
        <v>0</v>
      </c>
      <c r="I49" s="3"/>
      <c r="J49" s="173"/>
      <c r="K49" s="173"/>
      <c r="L49" s="173"/>
      <c r="M49" s="173"/>
      <c r="N49" s="173"/>
      <c r="O49" s="173"/>
    </row>
    <row r="50" spans="1:15" x14ac:dyDescent="0.25">
      <c r="A50" s="3" t="s">
        <v>465</v>
      </c>
      <c r="B50" s="3" t="s">
        <v>343</v>
      </c>
      <c r="C50" s="3"/>
      <c r="D50" s="3">
        <f>'AUGUST 19'!H50:H78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  <c r="M50" s="173"/>
      <c r="N50" s="173"/>
      <c r="O50" s="173"/>
    </row>
    <row r="51" spans="1:15" x14ac:dyDescent="0.25">
      <c r="A51" s="3" t="s">
        <v>439</v>
      </c>
      <c r="B51" s="3" t="s">
        <v>344</v>
      </c>
      <c r="C51" s="3"/>
      <c r="D51" s="3">
        <f>'AUGUST 19'!H51:H79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  <c r="M51" s="173"/>
      <c r="N51" s="173"/>
      <c r="O51" s="173"/>
    </row>
    <row r="52" spans="1:15" x14ac:dyDescent="0.25">
      <c r="A52" s="361" t="s">
        <v>67</v>
      </c>
      <c r="B52" s="361" t="s">
        <v>345</v>
      </c>
      <c r="C52" s="361"/>
      <c r="D52" s="3">
        <f>'AUGUST 19'!H52:H80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  <c r="N52" s="173"/>
      <c r="O52" s="173"/>
    </row>
    <row r="53" spans="1:15" x14ac:dyDescent="0.25">
      <c r="A53" s="3" t="s">
        <v>393</v>
      </c>
      <c r="B53" s="3" t="s">
        <v>346</v>
      </c>
      <c r="C53" s="3"/>
      <c r="D53" s="3">
        <f>'AUGUST 19'!H53:H81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  <c r="M53" s="173"/>
      <c r="N53" s="173"/>
      <c r="O53" s="173"/>
    </row>
    <row r="54" spans="1:15" x14ac:dyDescent="0.25">
      <c r="A54" s="3" t="s">
        <v>458</v>
      </c>
      <c r="B54" s="3" t="s">
        <v>347</v>
      </c>
      <c r="C54" s="3"/>
      <c r="D54" s="3">
        <f>'AUGUST 19'!H54:H82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  <c r="M54" s="173"/>
      <c r="N54" s="173"/>
      <c r="O54" s="173"/>
    </row>
    <row r="55" spans="1:15" x14ac:dyDescent="0.25">
      <c r="A55" s="3" t="s">
        <v>477</v>
      </c>
      <c r="B55" s="3" t="s">
        <v>348</v>
      </c>
      <c r="C55" s="3"/>
      <c r="D55" s="3">
        <f>'AUGUST 19'!H55:H83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  <c r="M55" s="173"/>
      <c r="N55" s="173"/>
      <c r="O55" s="173"/>
    </row>
    <row r="56" spans="1:15" x14ac:dyDescent="0.25">
      <c r="A56" s="3" t="s">
        <v>420</v>
      </c>
      <c r="B56" s="3" t="s">
        <v>349</v>
      </c>
      <c r="C56" s="3"/>
      <c r="D56" s="3">
        <f>'AUGUST 19'!H56:H84</f>
        <v>1500</v>
      </c>
      <c r="E56" s="3">
        <v>7500</v>
      </c>
      <c r="F56" s="3">
        <f t="shared" si="2"/>
        <v>9000</v>
      </c>
      <c r="G56" s="3">
        <v>9000</v>
      </c>
      <c r="H56" s="3">
        <f>F56-G56</f>
        <v>0</v>
      </c>
      <c r="I56" s="3"/>
      <c r="J56" s="173" t="s">
        <v>486</v>
      </c>
      <c r="K56" s="173"/>
      <c r="L56" s="173"/>
      <c r="M56" s="173"/>
      <c r="N56" s="173"/>
      <c r="O56" s="173"/>
    </row>
    <row r="57" spans="1:15" x14ac:dyDescent="0.25">
      <c r="A57" s="367" t="s">
        <v>476</v>
      </c>
      <c r="B57" s="3" t="s">
        <v>350</v>
      </c>
      <c r="C57" s="3"/>
      <c r="D57" s="3">
        <f>'AUGUST 19'!H57:H85</f>
        <v>0</v>
      </c>
      <c r="E57" s="3">
        <v>8000</v>
      </c>
      <c r="F57" s="3">
        <f t="shared" si="2"/>
        <v>8000</v>
      </c>
      <c r="G57" s="173">
        <v>8000</v>
      </c>
      <c r="H57" s="3">
        <f>F57-G57</f>
        <v>0</v>
      </c>
      <c r="I57" s="3"/>
      <c r="J57" s="173"/>
      <c r="K57" s="173"/>
      <c r="L57" s="173"/>
      <c r="M57" s="173"/>
      <c r="N57" s="173"/>
      <c r="O57" s="173"/>
    </row>
    <row r="58" spans="1:15" x14ac:dyDescent="0.25">
      <c r="A58" s="3" t="s">
        <v>370</v>
      </c>
      <c r="B58" s="3" t="s">
        <v>351</v>
      </c>
      <c r="C58" s="3"/>
      <c r="D58" s="3">
        <f>'AUGUST 19'!H58:H86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  <c r="N58" s="173"/>
      <c r="O58" s="173"/>
    </row>
    <row r="59" spans="1:15" x14ac:dyDescent="0.25">
      <c r="A59" s="3" t="s">
        <v>372</v>
      </c>
      <c r="B59" s="3" t="s">
        <v>352</v>
      </c>
      <c r="C59" s="3"/>
      <c r="D59" s="3">
        <f>'AUGUST 19'!H59:H87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  <c r="M59" s="173"/>
      <c r="N59" s="173"/>
      <c r="O59" s="173"/>
    </row>
    <row r="60" spans="1:15" x14ac:dyDescent="0.25">
      <c r="A60" s="3" t="s">
        <v>457</v>
      </c>
      <c r="B60" s="3" t="s">
        <v>353</v>
      </c>
      <c r="C60" s="3"/>
      <c r="D60" s="3">
        <f>'AUGUST 19'!H60:H88</f>
        <v>0</v>
      </c>
      <c r="E60" s="3">
        <v>8500</v>
      </c>
      <c r="F60" s="3">
        <f t="shared" si="2"/>
        <v>8500</v>
      </c>
      <c r="G60" s="3"/>
      <c r="H60" s="3">
        <f t="shared" si="3"/>
        <v>8500</v>
      </c>
      <c r="I60" s="3"/>
      <c r="J60" s="173"/>
      <c r="K60" s="173"/>
      <c r="L60" s="173"/>
      <c r="M60" s="173"/>
      <c r="N60" s="173"/>
      <c r="O60" s="173"/>
    </row>
    <row r="61" spans="1:15" x14ac:dyDescent="0.25">
      <c r="A61" s="3" t="s">
        <v>469</v>
      </c>
      <c r="B61" s="3" t="s">
        <v>354</v>
      </c>
      <c r="C61" s="3"/>
      <c r="D61" s="3">
        <f>'AUGUST 19'!H61:H89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  <c r="M61" s="173"/>
      <c r="N61" s="173"/>
      <c r="O61" s="173"/>
    </row>
    <row r="62" spans="1:15" x14ac:dyDescent="0.25">
      <c r="A62" s="3" t="s">
        <v>412</v>
      </c>
      <c r="B62" s="3" t="s">
        <v>355</v>
      </c>
      <c r="C62" s="3"/>
      <c r="D62" s="3">
        <f>'AUGUST 19'!H62:H90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  <c r="M62" s="173"/>
      <c r="N62" s="173"/>
      <c r="O62" s="173"/>
    </row>
    <row r="63" spans="1:15" x14ac:dyDescent="0.25">
      <c r="A63" s="3" t="s">
        <v>376</v>
      </c>
      <c r="B63" s="3" t="s">
        <v>356</v>
      </c>
      <c r="C63" s="3"/>
      <c r="D63" s="3">
        <f>'AUGUST 19'!H63:H91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  <c r="M63" s="173"/>
      <c r="N63" s="173"/>
      <c r="O63" s="173"/>
    </row>
    <row r="64" spans="1:15" x14ac:dyDescent="0.25">
      <c r="A64" s="3" t="s">
        <v>396</v>
      </c>
      <c r="B64" s="3" t="s">
        <v>357</v>
      </c>
      <c r="C64" s="3"/>
      <c r="D64" s="3">
        <f>'AUGUST 19'!H64:H92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  <c r="M64" s="362"/>
      <c r="N64" s="173"/>
      <c r="O64" s="173"/>
    </row>
    <row r="65" spans="1:15" x14ac:dyDescent="0.25">
      <c r="A65" s="3" t="s">
        <v>419</v>
      </c>
      <c r="B65" s="3" t="s">
        <v>358</v>
      </c>
      <c r="C65" s="3"/>
      <c r="D65" s="3">
        <f>'AUGUST 19'!H65:H93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  <c r="M65" s="173"/>
      <c r="N65" s="173"/>
      <c r="O65" s="173"/>
    </row>
    <row r="66" spans="1:15" x14ac:dyDescent="0.25">
      <c r="A66" s="3" t="s">
        <v>378</v>
      </c>
      <c r="B66" s="3" t="s">
        <v>359</v>
      </c>
      <c r="C66" s="3"/>
      <c r="D66" s="3">
        <f>'AUGUST 19'!H66:H94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  <c r="M66" s="173"/>
      <c r="N66" s="173"/>
      <c r="O66" s="173"/>
    </row>
    <row r="67" spans="1:15" x14ac:dyDescent="0.25">
      <c r="A67" s="3" t="s">
        <v>243</v>
      </c>
      <c r="B67" s="3" t="s">
        <v>360</v>
      </c>
      <c r="C67" s="3"/>
      <c r="D67" s="3">
        <f>'AUGUST 19'!H67:H95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  <c r="M67" s="173"/>
      <c r="N67" s="173"/>
      <c r="O67" s="173"/>
    </row>
    <row r="68" spans="1:15" x14ac:dyDescent="0.25">
      <c r="A68" s="3" t="s">
        <v>380</v>
      </c>
      <c r="B68" s="3" t="s">
        <v>361</v>
      </c>
      <c r="C68" s="3"/>
      <c r="D68" s="3">
        <f>'AUGUST 19'!H68:H96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  <c r="M68" s="173"/>
      <c r="N68" s="173"/>
      <c r="O68" s="173"/>
    </row>
    <row r="69" spans="1:15" x14ac:dyDescent="0.25">
      <c r="A69" s="3" t="s">
        <v>440</v>
      </c>
      <c r="B69" s="3" t="s">
        <v>362</v>
      </c>
      <c r="C69" s="3"/>
      <c r="D69" s="3">
        <f>'AUGUST 19'!H69:H97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  <c r="M69" s="173"/>
      <c r="N69" s="173"/>
      <c r="O69" s="173"/>
    </row>
    <row r="70" spans="1:15" x14ac:dyDescent="0.25">
      <c r="A70" s="3" t="s">
        <v>382</v>
      </c>
      <c r="B70" s="3" t="s">
        <v>363</v>
      </c>
      <c r="C70" s="3"/>
      <c r="D70" s="3">
        <f>'AUGUST 19'!H70:H98</f>
        <v>800</v>
      </c>
      <c r="E70" s="3">
        <v>8500</v>
      </c>
      <c r="F70" s="3">
        <f t="shared" si="2"/>
        <v>9300</v>
      </c>
      <c r="G70" s="3">
        <v>8500</v>
      </c>
      <c r="H70" s="3">
        <f t="shared" si="3"/>
        <v>800</v>
      </c>
      <c r="I70" s="3"/>
      <c r="J70" s="173"/>
      <c r="K70" s="173"/>
      <c r="L70" s="173"/>
      <c r="M70" s="173"/>
      <c r="N70" s="173"/>
      <c r="O70" s="173"/>
    </row>
    <row r="71" spans="1:15" x14ac:dyDescent="0.25">
      <c r="A71" s="3" t="s">
        <v>430</v>
      </c>
      <c r="B71" s="3" t="s">
        <v>364</v>
      </c>
      <c r="C71" s="3"/>
      <c r="D71" s="3">
        <f>'AUGUST 19'!H71:H99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  <c r="M71" s="173"/>
      <c r="N71" s="173"/>
      <c r="O71" s="173"/>
    </row>
    <row r="72" spans="1:15" x14ac:dyDescent="0.25">
      <c r="A72" s="3"/>
      <c r="B72" s="3"/>
      <c r="C72" s="3"/>
      <c r="D72" s="3">
        <f>'AUGUST 19'!H72:H100</f>
        <v>0</v>
      </c>
      <c r="E72" s="3"/>
      <c r="F72" s="3"/>
      <c r="G72" s="3"/>
      <c r="H72" s="3"/>
      <c r="I72" s="3"/>
      <c r="J72" s="173"/>
      <c r="K72" s="173"/>
      <c r="L72" s="173"/>
      <c r="M72" s="362"/>
      <c r="N72" s="173"/>
      <c r="O72" s="173"/>
    </row>
    <row r="73" spans="1:15" x14ac:dyDescent="0.25">
      <c r="A73" s="343" t="s">
        <v>62</v>
      </c>
      <c r="B73" s="343"/>
      <c r="C73" s="343">
        <f>SUM(C45:C72)</f>
        <v>0</v>
      </c>
      <c r="D73" s="3">
        <f>'AUGUST 19'!H73:H101</f>
        <v>3300</v>
      </c>
      <c r="E73" s="343">
        <f>SUM(E45:E72)</f>
        <v>181500</v>
      </c>
      <c r="F73" s="343">
        <f>SUM(F45:F72)</f>
        <v>184800</v>
      </c>
      <c r="G73" s="343">
        <f>SUM(G45:G72)</f>
        <v>174500</v>
      </c>
      <c r="H73" s="343">
        <f>SUM(H45:H72)</f>
        <v>10300</v>
      </c>
      <c r="I73" s="343">
        <f>SUM(I45:I72)</f>
        <v>0</v>
      </c>
      <c r="J73" s="173"/>
      <c r="K73" s="173"/>
      <c r="L73" s="173"/>
      <c r="M73" s="173"/>
      <c r="N73" s="173"/>
      <c r="O73" s="173"/>
    </row>
    <row r="74" spans="1:15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</row>
    <row r="75" spans="1:15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  <c r="N75" s="173"/>
      <c r="O75" s="173"/>
    </row>
    <row r="76" spans="1:15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  <c r="N76" s="173"/>
      <c r="O76" s="173"/>
    </row>
    <row r="77" spans="1:15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201" t="s">
        <v>471</v>
      </c>
      <c r="B78" s="350">
        <f>C73+E73</f>
        <v>181500</v>
      </c>
      <c r="C78" s="201"/>
      <c r="D78" s="201"/>
      <c r="E78" s="201" t="s">
        <v>471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  <c r="N78" s="173"/>
      <c r="O78" s="173"/>
    </row>
    <row r="79" spans="1:15" x14ac:dyDescent="0.25">
      <c r="A79" s="201" t="s">
        <v>147</v>
      </c>
      <c r="B79" s="350">
        <f>'AUGUST 19'!D89</f>
        <v>-50105.5</v>
      </c>
      <c r="C79" s="201"/>
      <c r="D79" s="201"/>
      <c r="E79" s="201" t="s">
        <v>147</v>
      </c>
      <c r="F79" s="350">
        <f>'AUGUST 19'!H89</f>
        <v>-53405.5</v>
      </c>
      <c r="G79" s="201"/>
      <c r="H79" s="201"/>
      <c r="I79" s="173"/>
      <c r="J79" s="54"/>
      <c r="K79" s="173"/>
      <c r="L79" s="173"/>
      <c r="M79" s="173"/>
      <c r="N79" s="173"/>
      <c r="O79" s="173"/>
    </row>
    <row r="80" spans="1:15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  <c r="N80" s="173"/>
      <c r="O80" s="173"/>
    </row>
    <row r="81" spans="1:15" x14ac:dyDescent="0.25">
      <c r="A81" s="201" t="s">
        <v>390</v>
      </c>
      <c r="B81" s="358">
        <v>4.4999999999999998E-2</v>
      </c>
      <c r="C81" s="350">
        <f>B81*B78</f>
        <v>8167.5</v>
      </c>
      <c r="D81" s="201"/>
      <c r="E81" s="201" t="s">
        <v>390</v>
      </c>
      <c r="F81" s="359">
        <v>4.4999999999999998E-2</v>
      </c>
      <c r="G81" s="350">
        <f>C81</f>
        <v>8167.5</v>
      </c>
      <c r="H81" s="201"/>
      <c r="I81" s="173"/>
      <c r="J81" s="54"/>
      <c r="K81" s="173"/>
      <c r="L81" s="173"/>
      <c r="M81" s="173"/>
      <c r="N81" s="173"/>
      <c r="O81" s="173"/>
    </row>
    <row r="82" spans="1:15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  <c r="N82" s="173"/>
      <c r="O82" s="173"/>
    </row>
    <row r="83" spans="1:15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  <c r="N83" s="173"/>
      <c r="O83" s="173"/>
    </row>
    <row r="84" spans="1:15" x14ac:dyDescent="0.25">
      <c r="A84" s="369" t="s">
        <v>272</v>
      </c>
      <c r="B84" s="85"/>
      <c r="C84" s="85">
        <f>E55+E67</f>
        <v>16000</v>
      </c>
      <c r="D84" s="85"/>
      <c r="E84" s="369" t="s">
        <v>272</v>
      </c>
      <c r="F84" s="85"/>
      <c r="G84" s="85">
        <f>C84</f>
        <v>16000</v>
      </c>
      <c r="H84" s="85"/>
      <c r="I84" s="173"/>
      <c r="J84" s="173"/>
      <c r="K84" s="173"/>
      <c r="L84" s="173"/>
      <c r="M84" s="173"/>
      <c r="N84" s="173"/>
      <c r="O84" s="173"/>
    </row>
    <row r="85" spans="1:15" x14ac:dyDescent="0.25">
      <c r="A85" s="369" t="s">
        <v>475</v>
      </c>
      <c r="B85" s="85"/>
      <c r="C85" s="85">
        <v>98210</v>
      </c>
      <c r="D85" s="85"/>
      <c r="E85" s="369" t="s">
        <v>475</v>
      </c>
      <c r="F85" s="85"/>
      <c r="G85" s="85">
        <v>98210</v>
      </c>
      <c r="H85" s="85"/>
      <c r="I85" s="362"/>
      <c r="J85" s="362"/>
      <c r="K85" s="173"/>
      <c r="L85" s="173"/>
      <c r="M85" s="173"/>
      <c r="N85" s="173"/>
      <c r="O85" s="173"/>
    </row>
    <row r="86" spans="1:15" x14ac:dyDescent="0.25">
      <c r="A86" s="369" t="s">
        <v>484</v>
      </c>
      <c r="B86" s="85"/>
      <c r="C86" s="85">
        <v>50000</v>
      </c>
      <c r="D86" s="85"/>
      <c r="E86" s="369" t="s">
        <v>484</v>
      </c>
      <c r="F86" s="85"/>
      <c r="G86" s="85">
        <v>50000</v>
      </c>
      <c r="H86" s="85"/>
      <c r="I86" s="173"/>
      <c r="J86" s="173"/>
      <c r="K86" s="173"/>
      <c r="L86" s="173"/>
      <c r="M86" s="173"/>
      <c r="N86" s="173"/>
      <c r="O86" s="173"/>
    </row>
    <row r="87" spans="1:15" x14ac:dyDescent="0.25">
      <c r="A87" s="370" t="s">
        <v>485</v>
      </c>
      <c r="B87" s="85"/>
      <c r="C87" s="85">
        <f>F56</f>
        <v>9000</v>
      </c>
      <c r="D87" s="85"/>
      <c r="E87" s="370" t="s">
        <v>485</v>
      </c>
      <c r="F87" s="85"/>
      <c r="G87" s="85">
        <f>F56</f>
        <v>9000</v>
      </c>
      <c r="H87" s="85"/>
      <c r="I87" s="362"/>
      <c r="J87" s="173"/>
      <c r="K87" s="173"/>
      <c r="L87" s="173"/>
      <c r="M87" s="173"/>
      <c r="N87" s="173"/>
      <c r="O87" s="173"/>
    </row>
    <row r="88" spans="1:15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  <c r="N88" s="173"/>
      <c r="O88" s="173"/>
    </row>
    <row r="89" spans="1:15" x14ac:dyDescent="0.25">
      <c r="A89" s="363" t="s">
        <v>62</v>
      </c>
      <c r="B89" s="364">
        <f>B78+B79+B80-C81</f>
        <v>123227</v>
      </c>
      <c r="C89" s="364">
        <f>SUM(C83:C88)</f>
        <v>181710</v>
      </c>
      <c r="D89" s="364">
        <f>B89-C89</f>
        <v>-58483</v>
      </c>
      <c r="E89" s="363" t="s">
        <v>62</v>
      </c>
      <c r="F89" s="364">
        <f>F78+F79+F80-G81</f>
        <v>112927</v>
      </c>
      <c r="G89" s="364">
        <f>SUM(G83:G88)</f>
        <v>181710</v>
      </c>
      <c r="H89" s="364">
        <f>F89-G89</f>
        <v>-68783</v>
      </c>
      <c r="I89" s="173"/>
      <c r="J89" s="173"/>
      <c r="K89" s="173"/>
      <c r="L89" s="173"/>
      <c r="M89" s="173"/>
      <c r="N89" s="173"/>
      <c r="O89" s="173"/>
    </row>
    <row r="90" spans="1:15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</row>
    <row r="91" spans="1:15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</row>
    <row r="92" spans="1:15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  <c r="N92" s="173"/>
      <c r="O92" s="173"/>
    </row>
    <row r="93" spans="1:15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  <c r="N93" s="173"/>
      <c r="O93" s="173"/>
    </row>
    <row r="94" spans="1:15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  <c r="N95" s="173"/>
      <c r="O95" s="173"/>
    </row>
  </sheetData>
  <hyperlinks>
    <hyperlink ref="G1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3" workbookViewId="0">
      <selection activeCell="J91" sqref="J91"/>
    </sheetView>
  </sheetViews>
  <sheetFormatPr defaultRowHeight="15" x14ac:dyDescent="0.25"/>
  <cols>
    <col min="1" max="1" width="17.5703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483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258</v>
      </c>
      <c r="B5" s="274">
        <v>1</v>
      </c>
      <c r="C5" s="275" t="s">
        <v>89</v>
      </c>
      <c r="D5" s="276">
        <f>'SEPT 19'!I4:I17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'SEPT 19'!I5:I18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'SEPT 19'!I6:I19</f>
        <v>0</v>
      </c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'SEPT 19'!I7:I20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'SEPT 19'!I8:I21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'SEPT 19'!I9:I22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'SEPT 19'!I10:I23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'SEPT 19'!I11:I24</f>
        <v>1500</v>
      </c>
      <c r="E12" s="276">
        <v>200</v>
      </c>
      <c r="F12" s="278">
        <v>4500</v>
      </c>
      <c r="G12" s="263">
        <f t="shared" si="0"/>
        <v>6000</v>
      </c>
      <c r="H12" s="264">
        <f>4000+500+1500</f>
        <v>6000</v>
      </c>
      <c r="I12" s="263">
        <f t="shared" si="1"/>
        <v>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'SEPT 19'!I12:I25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'SEPT 19'!I13:I26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'SEPT 19'!I14:I27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'SEPT 19'!I15:I28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'SEPT 19'!I16:I29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>SUM(C5:C17)</f>
        <v>0</v>
      </c>
      <c r="D18" s="276">
        <f>'SEPT 19'!I17:I30</f>
        <v>1500</v>
      </c>
      <c r="E18" s="281">
        <f>SUM(E5:E17)</f>
        <v>1550</v>
      </c>
      <c r="F18" s="281">
        <f>SUM(F5:F17)</f>
        <v>54000</v>
      </c>
      <c r="G18" s="282">
        <f>SUM(G5:G17)</f>
        <v>55500</v>
      </c>
      <c r="H18" s="266">
        <f>SUM(H5:H17)</f>
        <v>55500</v>
      </c>
      <c r="I18" s="366">
        <f>SUM(I5:I17)</f>
        <v>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481</v>
      </c>
      <c r="B23" s="350">
        <f>F18</f>
        <v>54000</v>
      </c>
      <c r="C23" s="201"/>
      <c r="D23" s="201"/>
      <c r="E23" s="201" t="s">
        <v>481</v>
      </c>
      <c r="F23" s="350">
        <f>H18</f>
        <v>55500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'SEPT 19'!D33</f>
        <v>0</v>
      </c>
      <c r="C24" s="201"/>
      <c r="D24" s="201"/>
      <c r="E24" s="201" t="s">
        <v>147</v>
      </c>
      <c r="F24" s="350">
        <f>'SEPT 19'!H33</f>
        <v>-1500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</row>
    <row r="29" spans="1:12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</row>
    <row r="30" spans="1:12" x14ac:dyDescent="0.25">
      <c r="A30" s="354" t="s">
        <v>489</v>
      </c>
      <c r="B30" s="201"/>
      <c r="C30" s="201">
        <v>38305</v>
      </c>
      <c r="D30" s="201"/>
      <c r="E30" s="354" t="s">
        <v>489</v>
      </c>
      <c r="F30" s="201"/>
      <c r="G30" s="201">
        <v>38305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50220</v>
      </c>
      <c r="C33" s="364">
        <f>SUM(C27:C32)</f>
        <v>50305</v>
      </c>
      <c r="D33" s="364">
        <f>B33-C33</f>
        <v>-85</v>
      </c>
      <c r="E33" s="363" t="s">
        <v>62</v>
      </c>
      <c r="F33" s="364">
        <f>F23+F24-G25</f>
        <v>50220</v>
      </c>
      <c r="G33" s="364">
        <f>SUM(G27:G32)</f>
        <v>50305</v>
      </c>
      <c r="H33" s="365">
        <f>F33-G33</f>
        <v>-85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482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'SEPT 19'!H45:H72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'SEPT 19'!H46:H73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'SEPT 19'!H47:H74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'SEPT 19'!H48:H75</f>
        <v>0</v>
      </c>
      <c r="E48" s="3">
        <v>3000</v>
      </c>
      <c r="F48" s="3">
        <f t="shared" si="2"/>
        <v>3000</v>
      </c>
      <c r="G48" s="3">
        <v>3000</v>
      </c>
      <c r="H48" s="3">
        <f t="shared" si="3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'SEPT 19'!H49:H76</f>
        <v>0</v>
      </c>
      <c r="E49" s="3"/>
      <c r="F49" s="3">
        <f t="shared" si="2"/>
        <v>0</v>
      </c>
      <c r="G49" s="3"/>
      <c r="H49" s="3">
        <f t="shared" si="3"/>
        <v>0</v>
      </c>
      <c r="I49" s="3"/>
      <c r="J49" s="173"/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'SEPT 19'!H50:H77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'SEPT 19'!H51:H78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'SEPT 19'!H52:H79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'SEPT 19'!H53:H80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'SEPT 19'!H54:H81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'SEPT 19'!H55:H82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'SEPT 19'!H56:H83</f>
        <v>0</v>
      </c>
      <c r="E56" s="3">
        <v>7500</v>
      </c>
      <c r="F56" s="3">
        <f t="shared" si="2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'SEPT 19'!H57:H84</f>
        <v>0</v>
      </c>
      <c r="E57" s="3">
        <v>8000</v>
      </c>
      <c r="F57" s="3">
        <f t="shared" si="2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'SEPT 19'!H58:H85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'SEPT 19'!H59:H86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'SEPT 19'!H60:H87</f>
        <v>8500</v>
      </c>
      <c r="E60" s="3">
        <v>8500</v>
      </c>
      <c r="F60" s="3">
        <f t="shared" si="2"/>
        <v>17000</v>
      </c>
      <c r="G60" s="3">
        <v>17000</v>
      </c>
      <c r="H60" s="3">
        <f t="shared" si="3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'SEPT 19'!H61:H88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'SEPT 19'!H62:H89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'SEPT 19'!H63:H90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'SEPT 19'!H64:H91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'SEPT 19'!H65:H92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'SEPT 19'!H66:H93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</row>
    <row r="67" spans="1:12" x14ac:dyDescent="0.25">
      <c r="A67" s="3" t="s">
        <v>243</v>
      </c>
      <c r="B67" s="3" t="s">
        <v>360</v>
      </c>
      <c r="C67" s="3"/>
      <c r="D67" s="3">
        <f>'SEPT 19'!H67:H94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'SEPT 19'!H68:H95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</row>
    <row r="69" spans="1:12" x14ac:dyDescent="0.25">
      <c r="A69" s="3" t="s">
        <v>440</v>
      </c>
      <c r="B69" s="3" t="s">
        <v>362</v>
      </c>
      <c r="C69" s="3"/>
      <c r="D69" s="3">
        <f>'SEPT 19'!H69:H96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</row>
    <row r="70" spans="1:12" x14ac:dyDescent="0.25">
      <c r="A70" s="3" t="s">
        <v>382</v>
      </c>
      <c r="B70" s="3" t="s">
        <v>363</v>
      </c>
      <c r="C70" s="3"/>
      <c r="D70" s="3">
        <f>'SEPT 19'!H70:H97</f>
        <v>800</v>
      </c>
      <c r="E70" s="3">
        <v>8500</v>
      </c>
      <c r="F70" s="3">
        <f t="shared" si="2"/>
        <v>9300</v>
      </c>
      <c r="G70" s="3">
        <f>1150+8150</f>
        <v>9300</v>
      </c>
      <c r="H70" s="3">
        <f t="shared" si="3"/>
        <v>0</v>
      </c>
      <c r="I70" s="3"/>
      <c r="J70" s="173" t="s">
        <v>493</v>
      </c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'SEPT 19'!H71:H98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'SEPT 19'!H72:H99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>SUM(C45:C72)</f>
        <v>0</v>
      </c>
      <c r="D73" s="3">
        <f>'SEPT 19'!H73:H100</f>
        <v>10300</v>
      </c>
      <c r="E73" s="343">
        <f>SUM(E45:E72)</f>
        <v>175000</v>
      </c>
      <c r="F73" s="343">
        <f>SUM(F45:F72)</f>
        <v>185300</v>
      </c>
      <c r="G73" s="343">
        <f>SUM(G45:G72)</f>
        <v>184300</v>
      </c>
      <c r="H73" s="343">
        <f>SUM(H45:H72)</f>
        <v>1000</v>
      </c>
      <c r="I73" s="343">
        <f>SUM(I45:I72)</f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481</v>
      </c>
      <c r="B78" s="350">
        <f>C73+E73</f>
        <v>175000</v>
      </c>
      <c r="C78" s="201"/>
      <c r="D78" s="201"/>
      <c r="E78" s="201" t="s">
        <v>481</v>
      </c>
      <c r="F78" s="350">
        <f>C73+G73</f>
        <v>184300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'SEPT 19'!D89</f>
        <v>-58483</v>
      </c>
      <c r="C79" s="201"/>
      <c r="D79" s="201"/>
      <c r="E79" s="201" t="s">
        <v>147</v>
      </c>
      <c r="F79" s="350">
        <f>'SEPT 19'!H89</f>
        <v>-68783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F55+F67+F68+F56</f>
        <v>31500</v>
      </c>
      <c r="D84" s="85"/>
      <c r="E84" s="369" t="s">
        <v>272</v>
      </c>
      <c r="F84" s="85"/>
      <c r="G84" s="85">
        <f>C84</f>
        <v>31500</v>
      </c>
      <c r="H84" s="85"/>
      <c r="I84" s="173"/>
      <c r="J84" s="173"/>
      <c r="K84" s="173"/>
      <c r="L84" s="173"/>
    </row>
    <row r="85" spans="1:12" x14ac:dyDescent="0.25">
      <c r="A85" s="369"/>
      <c r="B85" s="85"/>
      <c r="C85" s="85"/>
      <c r="D85" s="85"/>
      <c r="E85" s="369"/>
      <c r="F85" s="85"/>
      <c r="G85" s="85"/>
      <c r="H85" s="85"/>
      <c r="I85" s="362"/>
      <c r="J85" s="362"/>
      <c r="K85" s="173"/>
      <c r="L85" s="173"/>
    </row>
    <row r="86" spans="1:12" x14ac:dyDescent="0.25">
      <c r="A86" s="369" t="s">
        <v>488</v>
      </c>
      <c r="B86" s="85"/>
      <c r="C86" s="85">
        <v>68600</v>
      </c>
      <c r="D86" s="85"/>
      <c r="E86" s="369" t="s">
        <v>488</v>
      </c>
      <c r="F86" s="85"/>
      <c r="G86" s="85">
        <f>C86</f>
        <v>68600</v>
      </c>
      <c r="H86" s="85"/>
      <c r="I86" s="173"/>
      <c r="J86" s="173"/>
      <c r="K86" s="173"/>
      <c r="L86" s="173"/>
    </row>
    <row r="87" spans="1:12" x14ac:dyDescent="0.25">
      <c r="A87" s="370" t="s">
        <v>382</v>
      </c>
      <c r="B87" s="85"/>
      <c r="C87" s="85">
        <v>8150</v>
      </c>
      <c r="D87" s="85"/>
      <c r="E87" s="370" t="s">
        <v>382</v>
      </c>
      <c r="F87" s="85"/>
      <c r="G87" s="85">
        <v>8150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108642</v>
      </c>
      <c r="C89" s="364">
        <f>SUM(C83:C88)</f>
        <v>116750</v>
      </c>
      <c r="D89" s="364">
        <f>B89-C89</f>
        <v>-8108</v>
      </c>
      <c r="E89" s="363" t="s">
        <v>62</v>
      </c>
      <c r="F89" s="364">
        <f>F78+F79+F80-G81</f>
        <v>107642</v>
      </c>
      <c r="G89" s="364">
        <f>SUM(G83:G88)</f>
        <v>116750</v>
      </c>
      <c r="H89" s="364">
        <f>F89-G89</f>
        <v>-9108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</row>
  </sheetData>
  <hyperlinks>
    <hyperlink ref="G1" r:id="rId1"/>
  </hyperlinks>
  <pageMargins left="0.7" right="0.7" top="0.75" bottom="0.75" header="0.3" footer="0.3"/>
  <pageSetup paperSize="262" orientation="portrait" horizontalDpi="0" verticalDpi="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2" workbookViewId="0">
      <selection activeCell="B36" sqref="B36"/>
    </sheetView>
  </sheetViews>
  <sheetFormatPr defaultRowHeight="15" x14ac:dyDescent="0.25"/>
  <cols>
    <col min="1" max="1" width="19.42578125" bestFit="1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492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>
        <f>'OCTOBER 19'!I5:I17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'OCTOBER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'OCTOBER 19'!I7:I19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'OCTOBER 19'!I8:I20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'OCTOBER 19'!I9:I21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'OCTOBER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'OCTOBER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'OCTOBER 19'!I12:I24</f>
        <v>0</v>
      </c>
      <c r="E12" s="276"/>
      <c r="F12" s="278">
        <v>4500</v>
      </c>
      <c r="G12" s="263">
        <f t="shared" si="0"/>
        <v>4500</v>
      </c>
      <c r="H12" s="264">
        <v>2500</v>
      </c>
      <c r="I12" s="263">
        <f t="shared" si="1"/>
        <v>2000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'OCTOBER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'OCTOBER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480</v>
      </c>
      <c r="B15" s="274">
        <v>3</v>
      </c>
      <c r="C15" s="265"/>
      <c r="D15" s="276">
        <f>'OCTOBER 19'!I15:I27</f>
        <v>0</v>
      </c>
      <c r="E15" s="276">
        <v>400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>
        <f>'OCTOBER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'OCTOBER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 t="shared" si="2"/>
        <v>0</v>
      </c>
      <c r="E18" s="281">
        <f t="shared" si="2"/>
        <v>1450</v>
      </c>
      <c r="F18" s="281">
        <f t="shared" si="2"/>
        <v>54000</v>
      </c>
      <c r="G18" s="282">
        <f t="shared" si="2"/>
        <v>54000</v>
      </c>
      <c r="H18" s="266">
        <f t="shared" si="2"/>
        <v>52000</v>
      </c>
      <c r="I18" s="366">
        <f t="shared" si="2"/>
        <v>2000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 t="s">
        <v>426</v>
      </c>
      <c r="M22" s="173"/>
    </row>
    <row r="23" spans="1:13" x14ac:dyDescent="0.25">
      <c r="A23" s="201" t="s">
        <v>491</v>
      </c>
      <c r="B23" s="350">
        <f>F18</f>
        <v>54000</v>
      </c>
      <c r="C23" s="201"/>
      <c r="D23" s="201"/>
      <c r="E23" s="201" t="s">
        <v>491</v>
      </c>
      <c r="F23" s="350">
        <f>H18</f>
        <v>52000</v>
      </c>
      <c r="G23" s="201"/>
      <c r="H23" s="201"/>
      <c r="I23" s="54"/>
      <c r="J23" s="17"/>
      <c r="K23" s="173"/>
      <c r="L23" s="37"/>
      <c r="M23" s="173">
        <v>4000</v>
      </c>
    </row>
    <row r="24" spans="1:13" x14ac:dyDescent="0.25">
      <c r="A24" s="201" t="s">
        <v>147</v>
      </c>
      <c r="B24" s="350">
        <f>'OCTOBER 19'!D33</f>
        <v>-85</v>
      </c>
      <c r="C24" s="201"/>
      <c r="D24" s="201"/>
      <c r="E24" s="201" t="s">
        <v>147</v>
      </c>
      <c r="F24" s="350">
        <f>'OCTOBER 19'!H33</f>
        <v>-85</v>
      </c>
      <c r="G24" s="350"/>
      <c r="H24" s="201"/>
      <c r="I24" s="54"/>
      <c r="J24" s="17"/>
      <c r="K24" s="173"/>
      <c r="L24" s="173"/>
      <c r="M24" s="243">
        <f>M23-E18</f>
        <v>2550</v>
      </c>
    </row>
    <row r="25" spans="1:13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495</v>
      </c>
      <c r="B29" s="201"/>
      <c r="C29" s="201">
        <v>38240</v>
      </c>
      <c r="D29" s="201"/>
      <c r="E29" s="354" t="s">
        <v>495</v>
      </c>
      <c r="F29" s="201"/>
      <c r="G29" s="201">
        <v>38240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426</v>
      </c>
      <c r="B30" s="201"/>
      <c r="C30" s="201">
        <v>2550</v>
      </c>
      <c r="D30" s="201"/>
      <c r="E30" s="354" t="s">
        <v>426</v>
      </c>
      <c r="F30" s="201"/>
      <c r="G30" s="201">
        <v>2550</v>
      </c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B23+B24+B26-C25</f>
        <v>50135</v>
      </c>
      <c r="C33" s="364">
        <f>SUM(C27:C32)</f>
        <v>52790</v>
      </c>
      <c r="D33" s="364">
        <f>B33-C33</f>
        <v>-2655</v>
      </c>
      <c r="E33" s="363" t="s">
        <v>62</v>
      </c>
      <c r="F33" s="364">
        <f>F23+F24-G25</f>
        <v>48135</v>
      </c>
      <c r="G33" s="364">
        <f>SUM(G27:G32)</f>
        <v>52790</v>
      </c>
      <c r="H33" s="365">
        <f>F33-G33</f>
        <v>-4655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490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'OCTOBER 19'!H45:H71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'OCTOBER 19'!H46:H72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'OCTOBER 19'!H47:H73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'OCTOBER 19'!H48:H74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/>
      <c r="B49" s="3" t="s">
        <v>342</v>
      </c>
      <c r="C49" s="3"/>
      <c r="D49" s="3">
        <f>'OCTOBER 19'!H49:H75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'OCTOBER 19'!H50:H76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'OCTOBER 19'!H51:H77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'OCTOBER 19'!H52:H78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'OCTOBER 19'!H53:H79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'OCTOBER 19'!H54:H80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477</v>
      </c>
      <c r="B55" s="3" t="s">
        <v>348</v>
      </c>
      <c r="C55" s="3"/>
      <c r="D55" s="3">
        <f>'OCTOBER 19'!H55:H81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  <c r="M55" s="173"/>
    </row>
    <row r="56" spans="1:13" x14ac:dyDescent="0.25">
      <c r="A56" s="3" t="s">
        <v>487</v>
      </c>
      <c r="B56" s="3" t="s">
        <v>349</v>
      </c>
      <c r="C56" s="3"/>
      <c r="D56" s="3">
        <f>'OCTOBER 19'!H56:H82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  <c r="M56" s="173"/>
    </row>
    <row r="57" spans="1:13" x14ac:dyDescent="0.25">
      <c r="A57" s="367" t="s">
        <v>476</v>
      </c>
      <c r="B57" s="3" t="s">
        <v>350</v>
      </c>
      <c r="C57" s="3"/>
      <c r="D57" s="3">
        <f>'OCTOBER 19'!H57:H83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'OCTOBER 19'!H58:H84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'OCTOBER 19'!H59:H85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'OCTOBER 19'!H60:H86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'OCTOBER 19'!H61:H87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'OCTOBER 19'!H62:H88</f>
        <v>0</v>
      </c>
      <c r="E62" s="3">
        <v>8000</v>
      </c>
      <c r="F62" s="3">
        <f t="shared" si="3"/>
        <v>8000</v>
      </c>
      <c r="G62" s="3"/>
      <c r="H62" s="3">
        <f t="shared" si="4"/>
        <v>8000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'OCTOBER 19'!H63:H89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'OCTOBER 19'!H64:H90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173"/>
    </row>
    <row r="65" spans="1:13" x14ac:dyDescent="0.25">
      <c r="A65" s="3" t="s">
        <v>419</v>
      </c>
      <c r="B65" s="3" t="s">
        <v>358</v>
      </c>
      <c r="C65" s="3"/>
      <c r="D65" s="3">
        <f>'OCTOBER 19'!H65:H91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'OCTOBER 19'!H66:H92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 t="s">
        <v>496</v>
      </c>
      <c r="B67" s="3" t="s">
        <v>360</v>
      </c>
      <c r="C67" s="3"/>
      <c r="D67" s="3">
        <f>'OCTOBER 19'!H67:H93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'OCTOBER 19'!H68:H94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  <c r="M68" s="173"/>
    </row>
    <row r="69" spans="1:13" x14ac:dyDescent="0.25">
      <c r="A69" s="3"/>
      <c r="B69" s="3" t="s">
        <v>362</v>
      </c>
      <c r="C69" s="3"/>
      <c r="D69" s="3">
        <f>'OCTOBER 19'!H69:H95</f>
        <v>0</v>
      </c>
      <c r="E69" s="3"/>
      <c r="F69" s="3">
        <f>C69+D69+E69</f>
        <v>0</v>
      </c>
      <c r="G69" s="3"/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148" t="s">
        <v>440</v>
      </c>
      <c r="B70" s="3" t="s">
        <v>363</v>
      </c>
      <c r="C70" s="3"/>
      <c r="D70" s="3">
        <f>'OCTOBER 19'!H70:H96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'OCTOBER 19'!H71:H97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'OCTOBER 19'!H72:H98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 t="shared" ref="C73:I73" si="5">SUM(C45:C72)</f>
        <v>0</v>
      </c>
      <c r="D73" s="3">
        <f t="shared" si="5"/>
        <v>1000</v>
      </c>
      <c r="E73" s="343">
        <f t="shared" si="5"/>
        <v>167000</v>
      </c>
      <c r="F73" s="343">
        <f t="shared" si="5"/>
        <v>168000</v>
      </c>
      <c r="G73" s="343">
        <f t="shared" si="5"/>
        <v>159000</v>
      </c>
      <c r="H73" s="343">
        <f t="shared" si="5"/>
        <v>9000</v>
      </c>
      <c r="I73" s="343">
        <f t="shared" si="5"/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491</v>
      </c>
      <c r="B78" s="350">
        <f>C73+E73</f>
        <v>167000</v>
      </c>
      <c r="C78" s="201"/>
      <c r="D78" s="201"/>
      <c r="E78" s="201" t="s">
        <v>491</v>
      </c>
      <c r="F78" s="350">
        <f>C73+G73</f>
        <v>159000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'OCTOBER 19'!D89</f>
        <v>-8108</v>
      </c>
      <c r="C79" s="201"/>
      <c r="D79" s="201"/>
      <c r="E79" s="201" t="s">
        <v>147</v>
      </c>
      <c r="F79" s="350">
        <f>'OCTOBER 19'!H89</f>
        <v>-9108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7515</v>
      </c>
      <c r="D81" s="201"/>
      <c r="E81" s="201" t="s">
        <v>390</v>
      </c>
      <c r="F81" s="359">
        <v>4.4999999999999998E-2</v>
      </c>
      <c r="G81" s="350">
        <f>C81</f>
        <v>7515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494</v>
      </c>
      <c r="B85" s="85"/>
      <c r="C85" s="85">
        <v>119400</v>
      </c>
      <c r="D85" s="85"/>
      <c r="E85" s="369" t="s">
        <v>494</v>
      </c>
      <c r="F85" s="85"/>
      <c r="G85" s="85">
        <v>119400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495</v>
      </c>
      <c r="B86" s="85"/>
      <c r="C86" s="85">
        <v>500</v>
      </c>
      <c r="D86" s="85"/>
      <c r="E86" s="369" t="s">
        <v>495</v>
      </c>
      <c r="F86" s="85"/>
      <c r="G86" s="85">
        <v>500</v>
      </c>
      <c r="H86" s="85"/>
      <c r="I86" s="173"/>
      <c r="J86" s="173"/>
      <c r="K86" s="173"/>
      <c r="L86" s="173"/>
      <c r="M86" s="173"/>
    </row>
    <row r="87" spans="1:13" x14ac:dyDescent="0.25">
      <c r="A87" s="370"/>
      <c r="B87" s="85"/>
      <c r="C87" s="85"/>
      <c r="D87" s="85"/>
      <c r="E87" s="370"/>
      <c r="F87" s="85"/>
      <c r="G87" s="85"/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151377</v>
      </c>
      <c r="C89" s="364">
        <f>SUM(C83:C88)</f>
        <v>151400</v>
      </c>
      <c r="D89" s="364">
        <f>B89-C89</f>
        <v>-23</v>
      </c>
      <c r="E89" s="363" t="s">
        <v>62</v>
      </c>
      <c r="F89" s="364">
        <f>F78+F79+F80-G81</f>
        <v>142377</v>
      </c>
      <c r="G89" s="364">
        <f>SUM(G83:G88)</f>
        <v>151400</v>
      </c>
      <c r="H89" s="364">
        <f>F89-G89</f>
        <v>-9023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46" workbookViewId="0">
      <selection activeCell="K67" sqref="K67"/>
    </sheetView>
  </sheetViews>
  <sheetFormatPr defaultRowHeight="15" x14ac:dyDescent="0.25"/>
  <cols>
    <col min="1" max="1" width="19.42578125" bestFit="1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498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274</v>
      </c>
      <c r="B5" s="274">
        <v>1</v>
      </c>
      <c r="C5" s="275" t="s">
        <v>89</v>
      </c>
      <c r="D5" s="276">
        <f>NOVEMBER19!I5:I17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NOVEMBER19!I6:I18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NOVEMBER19!I7:I19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NOVEMBER19!I8:I20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NOVEMBER19!I9:I21</f>
        <v>0</v>
      </c>
      <c r="E9" s="276" t="s">
        <v>142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 t="s">
        <v>142</v>
      </c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NOVEMBER19!I10:I22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NOVEMBER19!I11:I23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NOVEMBER19!I12:I24</f>
        <v>2000</v>
      </c>
      <c r="E12" s="276"/>
      <c r="F12" s="278">
        <v>4500</v>
      </c>
      <c r="G12" s="263">
        <f t="shared" si="0"/>
        <v>6500</v>
      </c>
      <c r="H12" s="264"/>
      <c r="I12" s="263">
        <f t="shared" si="1"/>
        <v>6500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NOVEMBER19!I13:I25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NOVEMBER19!I14:I26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NOVEMBER19!I15:I27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NOVEMBER19!I16:I28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NOVEMBER19!I17:I29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2000</v>
      </c>
      <c r="E18" s="281">
        <f t="shared" si="2"/>
        <v>950</v>
      </c>
      <c r="F18" s="281">
        <f t="shared" si="2"/>
        <v>48000</v>
      </c>
      <c r="G18" s="282">
        <f t="shared" si="2"/>
        <v>50000</v>
      </c>
      <c r="H18" s="266">
        <f t="shared" si="2"/>
        <v>43500</v>
      </c>
      <c r="I18" s="366">
        <f t="shared" si="2"/>
        <v>6500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499</v>
      </c>
      <c r="B23" s="350">
        <f>F18</f>
        <v>48000</v>
      </c>
      <c r="C23" s="201"/>
      <c r="D23" s="201"/>
      <c r="E23" s="201" t="s">
        <v>499</v>
      </c>
      <c r="F23" s="350">
        <f>H18</f>
        <v>43500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NOVEMBER19!D33</f>
        <v>-2655</v>
      </c>
      <c r="C24" s="201"/>
      <c r="D24" s="201"/>
      <c r="E24" s="201" t="s">
        <v>147</v>
      </c>
      <c r="F24" s="350">
        <f>NOVEMBER19!H33</f>
        <v>-4655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502</v>
      </c>
      <c r="B29" s="201"/>
      <c r="C29" s="201">
        <v>35985</v>
      </c>
      <c r="D29" s="201"/>
      <c r="E29" s="354" t="s">
        <v>502</v>
      </c>
      <c r="F29" s="201"/>
      <c r="G29" s="201">
        <v>35985</v>
      </c>
      <c r="H29" s="201"/>
      <c r="I29" s="292"/>
      <c r="J29" s="17"/>
      <c r="K29" s="173"/>
      <c r="L29" s="173"/>
    </row>
    <row r="30" spans="1:12" x14ac:dyDescent="0.25">
      <c r="A30" s="354" t="s">
        <v>507</v>
      </c>
      <c r="B30" s="201"/>
      <c r="C30" s="201">
        <v>4500</v>
      </c>
      <c r="D30" s="201"/>
      <c r="E30" s="354" t="s">
        <v>507</v>
      </c>
      <c r="F30" s="201"/>
      <c r="G30" s="201">
        <v>4500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4" x14ac:dyDescent="0.25">
      <c r="A33" s="363" t="s">
        <v>62</v>
      </c>
      <c r="B33" s="364">
        <f>B23+B24+B26-C25</f>
        <v>41985</v>
      </c>
      <c r="C33" s="364">
        <f>SUM(C27:C32)</f>
        <v>46485</v>
      </c>
      <c r="D33" s="364">
        <f>B33-C33</f>
        <v>-4500</v>
      </c>
      <c r="E33" s="363" t="s">
        <v>62</v>
      </c>
      <c r="F33" s="364">
        <f>F23+F24-G25</f>
        <v>35485</v>
      </c>
      <c r="G33" s="364">
        <f>SUM(G27:G32)</f>
        <v>46485</v>
      </c>
      <c r="H33" s="365">
        <f>F33-G33</f>
        <v>-11000</v>
      </c>
      <c r="I33" s="292"/>
      <c r="J33" s="17"/>
      <c r="K33" s="362"/>
      <c r="L33" s="173"/>
    </row>
    <row r="34" spans="1:14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4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4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4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4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4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4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N42" s="362"/>
    </row>
    <row r="43" spans="1:14" x14ac:dyDescent="0.25">
      <c r="A43" s="175"/>
      <c r="B43" s="175"/>
      <c r="C43" s="175" t="s">
        <v>500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4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4" x14ac:dyDescent="0.25">
      <c r="A45" s="3" t="s">
        <v>365</v>
      </c>
      <c r="B45" s="3" t="s">
        <v>339</v>
      </c>
      <c r="C45" s="3"/>
      <c r="D45" s="3">
        <f>NOVEMBER19!H45:H71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4" x14ac:dyDescent="0.25">
      <c r="A46" s="3" t="s">
        <v>366</v>
      </c>
      <c r="B46" s="3" t="s">
        <v>340</v>
      </c>
      <c r="C46" s="3"/>
      <c r="D46" s="3">
        <f>NOVEMBER19!H46:H72</f>
        <v>0</v>
      </c>
      <c r="E46" s="3">
        <v>5000</v>
      </c>
      <c r="F46" s="3">
        <f t="shared" si="3"/>
        <v>5000</v>
      </c>
      <c r="G46" s="3">
        <v>5000</v>
      </c>
      <c r="H46" s="3">
        <f>F46-G46</f>
        <v>0</v>
      </c>
      <c r="I46" s="3"/>
      <c r="J46" s="173"/>
      <c r="K46" s="173"/>
      <c r="L46" s="173"/>
    </row>
    <row r="47" spans="1:14" x14ac:dyDescent="0.25">
      <c r="A47" s="3" t="s">
        <v>433</v>
      </c>
      <c r="B47" s="3" t="s">
        <v>341</v>
      </c>
      <c r="C47" s="3"/>
      <c r="D47" s="3">
        <f>NOVEMBER19!H47:H73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4" x14ac:dyDescent="0.25">
      <c r="A48" s="3" t="s">
        <v>434</v>
      </c>
      <c r="B48" s="3" t="s">
        <v>428</v>
      </c>
      <c r="C48" s="3"/>
      <c r="D48" s="3">
        <f>NOVEMBER19!H48:H74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NOVEMBER19!H49:H75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NOVEMBER19!H50:H76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 t="s">
        <v>504</v>
      </c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NOVEMBER19!H51:H77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NOVEMBER19!H52:H78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NOVEMBER19!H53:H79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NOVEMBER19!H54:H80</f>
        <v>0</v>
      </c>
      <c r="E54" s="3">
        <v>8500</v>
      </c>
      <c r="F54" s="3">
        <f t="shared" si="3"/>
        <v>8500</v>
      </c>
      <c r="G54" s="3">
        <f>5100+3400</f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NOVEMBER19!H55:H81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NOVEMBER19!H56:H82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NOVEMBER19!H57:H83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NOVEMBER19!H58:H84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NOVEMBER19!H59:H85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NOVEMBER19!H60:H86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NOVEMBER19!H61:H87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NOVEMBER19!H62:H88</f>
        <v>8000</v>
      </c>
      <c r="E62" s="3">
        <v>8000</v>
      </c>
      <c r="F62" s="3">
        <f t="shared" si="3"/>
        <v>16000</v>
      </c>
      <c r="G62" s="3">
        <v>5000</v>
      </c>
      <c r="H62" s="3">
        <f t="shared" si="4"/>
        <v>11000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NOVEMBER19!H63:H89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NOVEMBER19!H64:H90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NOVEMBER19!H65:H91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NOVEMBER19!H66:H92</f>
        <v>0</v>
      </c>
      <c r="E66" s="3">
        <v>8500</v>
      </c>
      <c r="F66" s="3">
        <f t="shared" si="3"/>
        <v>8500</v>
      </c>
      <c r="G66" s="3">
        <f>6000+2500</f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NOVEMBER19!H67:H93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NOVEMBER19!H68:H94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148" t="s">
        <v>503</v>
      </c>
      <c r="B69" s="3" t="s">
        <v>362</v>
      </c>
      <c r="C69" s="3"/>
      <c r="D69" s="3">
        <f>NOVEMBER19!H69:H95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148" t="s">
        <v>440</v>
      </c>
      <c r="B70" s="3" t="s">
        <v>363</v>
      </c>
      <c r="C70" s="3"/>
      <c r="D70" s="3">
        <f>NOVEMBER19!H70:H96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NOVEMBER19!H71:H97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398</v>
      </c>
      <c r="K71" s="173"/>
      <c r="L71" s="173"/>
    </row>
    <row r="72" spans="1:12" x14ac:dyDescent="0.25">
      <c r="A72" s="3"/>
      <c r="B72" s="3"/>
      <c r="C72" s="3"/>
      <c r="D72" s="3">
        <f>NOVEMBER19!H72:H98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9000</v>
      </c>
      <c r="E73" s="343">
        <f t="shared" si="5"/>
        <v>175000</v>
      </c>
      <c r="F73" s="343">
        <f t="shared" si="5"/>
        <v>184000</v>
      </c>
      <c r="G73" s="343">
        <f t="shared" si="5"/>
        <v>172000</v>
      </c>
      <c r="H73" s="343">
        <f t="shared" si="5"/>
        <v>12000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497</v>
      </c>
      <c r="B78" s="350">
        <f>C73+E73</f>
        <v>175000</v>
      </c>
      <c r="C78" s="201"/>
      <c r="D78" s="201"/>
      <c r="E78" s="201" t="s">
        <v>497</v>
      </c>
      <c r="F78" s="350">
        <f>C73+G73</f>
        <v>172000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NOVEMBER19!D89</f>
        <v>-23</v>
      </c>
      <c r="C79" s="201"/>
      <c r="D79" s="201"/>
      <c r="E79" s="201" t="s">
        <v>147</v>
      </c>
      <c r="F79" s="350">
        <f>NOVEMBER19!H89</f>
        <v>-9023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t="s">
        <v>501</v>
      </c>
      <c r="C85">
        <v>135602</v>
      </c>
      <c r="E85" s="173" t="s">
        <v>501</v>
      </c>
      <c r="F85" s="173"/>
      <c r="G85" s="173">
        <v>135602</v>
      </c>
      <c r="H85" s="85"/>
      <c r="I85" s="362"/>
      <c r="J85" s="362"/>
      <c r="K85" s="173"/>
      <c r="L85" s="173"/>
    </row>
    <row r="86" spans="1:12" x14ac:dyDescent="0.25">
      <c r="A86" s="369" t="s">
        <v>505</v>
      </c>
      <c r="B86" s="85"/>
      <c r="C86" s="85">
        <v>8500</v>
      </c>
      <c r="D86" s="85"/>
      <c r="E86" s="369" t="s">
        <v>505</v>
      </c>
      <c r="F86" s="85"/>
      <c r="G86" s="85">
        <v>8500</v>
      </c>
      <c r="H86" s="85"/>
      <c r="I86" s="173"/>
      <c r="J86" s="173"/>
      <c r="K86" s="173"/>
      <c r="L86" s="173"/>
    </row>
    <row r="87" spans="1:12" x14ac:dyDescent="0.25">
      <c r="A87" s="369" t="s">
        <v>506</v>
      </c>
      <c r="B87" s="85"/>
      <c r="C87" s="85">
        <v>5000</v>
      </c>
      <c r="D87" s="85"/>
      <c r="E87" s="369" t="s">
        <v>506</v>
      </c>
      <c r="F87" s="85"/>
      <c r="G87" s="85">
        <v>5000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167102</v>
      </c>
      <c r="C89" s="364">
        <f>SUM(C83:C88)</f>
        <v>180602</v>
      </c>
      <c r="D89" s="364">
        <f>B89-C89</f>
        <v>-13500</v>
      </c>
      <c r="E89" s="363" t="s">
        <v>62</v>
      </c>
      <c r="F89" s="364">
        <f>F78+F79+F80-G81</f>
        <v>155102</v>
      </c>
      <c r="G89" s="364">
        <f>SUM(G83:G88)</f>
        <v>180602</v>
      </c>
      <c r="H89" s="364">
        <f>F89-G89</f>
        <v>-25500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7" workbookViewId="0">
      <selection activeCell="K85" sqref="K85"/>
    </sheetView>
  </sheetViews>
  <sheetFormatPr defaultRowHeight="15" x14ac:dyDescent="0.25"/>
  <cols>
    <col min="1" max="1" width="18.85546875" customWidth="1"/>
    <col min="2" max="2" width="12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510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'DECEMBER 19'!I5:I17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'DECEMBER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'DECEMBER 19'!I7:I19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'DECEMBER 19'!I8:I20</f>
        <v>0</v>
      </c>
      <c r="E8" s="278">
        <v>50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'DECEMBER 19'!I9:I21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'DECEMBER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'DECEMBER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'DECEMBER 19'!I12:I24</f>
        <v>6500</v>
      </c>
      <c r="E12" s="276"/>
      <c r="F12" s="278">
        <v>4500</v>
      </c>
      <c r="G12" s="263">
        <f>F12+D12</f>
        <v>11000</v>
      </c>
      <c r="H12" s="264">
        <f>5000+3500+2500</f>
        <v>11000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'DECEMBER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'DECEMBER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'DECEMBER 19'!I15:I27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'DECEMBER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'DECEMBER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'DECEMBER 19'!I18:I30</f>
        <v>6500</v>
      </c>
      <c r="E18" s="281">
        <f t="shared" si="2"/>
        <v>1300</v>
      </c>
      <c r="F18" s="281">
        <f t="shared" si="2"/>
        <v>48000</v>
      </c>
      <c r="G18" s="282">
        <f t="shared" si="2"/>
        <v>54500</v>
      </c>
      <c r="H18" s="266">
        <f t="shared" si="2"/>
        <v>54500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509</v>
      </c>
      <c r="B23" s="350">
        <f>F18</f>
        <v>48000</v>
      </c>
      <c r="C23" s="201"/>
      <c r="D23" s="201"/>
      <c r="E23" s="201" t="s">
        <v>509</v>
      </c>
      <c r="F23" s="350">
        <f>H18</f>
        <v>54500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'DECEMBER 19'!D33</f>
        <v>-4500</v>
      </c>
      <c r="C24" s="201"/>
      <c r="D24" s="201"/>
      <c r="E24" s="201" t="s">
        <v>147</v>
      </c>
      <c r="F24" s="350">
        <f>'DECEMBER 19'!H33</f>
        <v>-11000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515</v>
      </c>
      <c r="B29" s="201"/>
      <c r="C29" s="201">
        <v>34140</v>
      </c>
      <c r="D29" s="201"/>
      <c r="E29" s="354" t="s">
        <v>515</v>
      </c>
      <c r="F29" s="201"/>
      <c r="G29" s="201">
        <v>34140</v>
      </c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40140</v>
      </c>
      <c r="C33" s="364">
        <f>SUM(C27:C32)</f>
        <v>40140</v>
      </c>
      <c r="D33" s="364">
        <f>B33-C33</f>
        <v>0</v>
      </c>
      <c r="E33" s="363" t="s">
        <v>62</v>
      </c>
      <c r="F33" s="364">
        <f>F23+F24-G25</f>
        <v>40140</v>
      </c>
      <c r="G33" s="364">
        <f>SUM(G27:G32)</f>
        <v>40140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508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'DECEMBER 19'!H45:H72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'DECEMBER 19'!H46:H73</f>
        <v>0</v>
      </c>
      <c r="E46" s="3">
        <v>5000</v>
      </c>
      <c r="F46" s="3">
        <f t="shared" si="3"/>
        <v>5000</v>
      </c>
      <c r="G46" s="3"/>
      <c r="H46" s="3">
        <f>F46-G46</f>
        <v>5000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'DECEMBER 19'!H47:H74</f>
        <v>0</v>
      </c>
      <c r="E47" s="3">
        <v>4000</v>
      </c>
      <c r="F47" s="3">
        <f t="shared" si="3"/>
        <v>4000</v>
      </c>
      <c r="G47" s="3">
        <v>4000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'DECEMBER 19'!H48:H75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514</v>
      </c>
      <c r="B49" s="3" t="s">
        <v>342</v>
      </c>
      <c r="C49" s="3"/>
      <c r="D49" s="3">
        <f>'DECEMBER 19'!H49:H76</f>
        <v>0</v>
      </c>
      <c r="E49" s="3">
        <v>4500</v>
      </c>
      <c r="F49" s="3">
        <f t="shared" si="3"/>
        <v>4500</v>
      </c>
      <c r="G49" s="3">
        <v>4500</v>
      </c>
      <c r="H49" s="3">
        <f t="shared" si="4"/>
        <v>0</v>
      </c>
      <c r="I49" s="3"/>
      <c r="J49" s="173">
        <v>7000</v>
      </c>
      <c r="K49" s="173"/>
    </row>
    <row r="50" spans="1:11" x14ac:dyDescent="0.25">
      <c r="A50" s="3" t="s">
        <v>516</v>
      </c>
      <c r="B50" s="3" t="s">
        <v>343</v>
      </c>
      <c r="C50" s="3"/>
      <c r="D50" s="3">
        <f>'DECEMBER 19'!H50:H77</f>
        <v>0</v>
      </c>
      <c r="E50" s="3">
        <v>8000</v>
      </c>
      <c r="F50" s="3">
        <f t="shared" si="3"/>
        <v>8000</v>
      </c>
      <c r="G50" s="3">
        <v>8000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439</v>
      </c>
      <c r="B51" s="3" t="s">
        <v>344</v>
      </c>
      <c r="C51" s="3"/>
      <c r="D51" s="3">
        <f>'DECEMBER 19'!H51:H78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'DECEMBER 19'!H52:H79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'DECEMBER 19'!H53:H80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'DECEMBER 19'!H54:H81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'DECEMBER 19'!H55:H82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'DECEMBER 19'!H56:H83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'DECEMBER 19'!H57:H84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370</v>
      </c>
      <c r="B58" s="3" t="s">
        <v>351</v>
      </c>
      <c r="C58" s="3"/>
      <c r="D58" s="3">
        <f>'DECEMBER 19'!H58:H85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'DECEMBER 19'!H59:H86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'DECEMBER 19'!H60:H87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'DECEMBER 19'!H61:H88</f>
        <v>0</v>
      </c>
      <c r="E61" s="3">
        <v>8500</v>
      </c>
      <c r="F61" s="3">
        <f t="shared" si="3"/>
        <v>8500</v>
      </c>
      <c r="G61" s="3"/>
      <c r="H61" s="3">
        <f t="shared" si="4"/>
        <v>8500</v>
      </c>
      <c r="I61" s="3"/>
      <c r="J61" s="173"/>
      <c r="K61" s="173"/>
    </row>
    <row r="62" spans="1:11" x14ac:dyDescent="0.25">
      <c r="A62" s="3" t="s">
        <v>412</v>
      </c>
      <c r="B62" s="3" t="s">
        <v>355</v>
      </c>
      <c r="C62" s="3"/>
      <c r="D62" s="3">
        <f>'DECEMBER 19'!H62:H89</f>
        <v>11000</v>
      </c>
      <c r="E62" s="3">
        <v>8000</v>
      </c>
      <c r="F62" s="3">
        <f t="shared" si="3"/>
        <v>19000</v>
      </c>
      <c r="G62" s="3">
        <v>8000</v>
      </c>
      <c r="H62" s="3">
        <f t="shared" si="4"/>
        <v>11000</v>
      </c>
      <c r="I62" s="3"/>
      <c r="J62" s="173"/>
      <c r="K62" s="173"/>
    </row>
    <row r="63" spans="1:11" x14ac:dyDescent="0.25">
      <c r="A63" s="3" t="s">
        <v>376</v>
      </c>
      <c r="B63" s="3" t="s">
        <v>356</v>
      </c>
      <c r="C63" s="3"/>
      <c r="D63" s="3">
        <f>'DECEMBER 19'!H63:H90</f>
        <v>0</v>
      </c>
      <c r="E63" s="3">
        <v>8000</v>
      </c>
      <c r="F63" s="3">
        <f>C63+D63+E63</f>
        <v>8000</v>
      </c>
      <c r="G63" s="3">
        <v>8000</v>
      </c>
      <c r="H63" s="3">
        <f t="shared" si="4"/>
        <v>0</v>
      </c>
      <c r="I63" s="3"/>
      <c r="J63" s="173" t="s">
        <v>504</v>
      </c>
      <c r="K63" s="173"/>
    </row>
    <row r="64" spans="1:11" x14ac:dyDescent="0.25">
      <c r="A64" s="3" t="s">
        <v>396</v>
      </c>
      <c r="B64" s="3" t="s">
        <v>357</v>
      </c>
      <c r="C64" s="3"/>
      <c r="D64" s="3">
        <f>'DECEMBER 19'!H64:H91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'DECEMBER 19'!H65:H92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'DECEMBER 19'!H66:H93</f>
        <v>0</v>
      </c>
      <c r="E66" s="3">
        <v>8500</v>
      </c>
      <c r="F66" s="3">
        <f t="shared" si="3"/>
        <v>8500</v>
      </c>
      <c r="G66" s="3">
        <f>5000+3000</f>
        <v>8000</v>
      </c>
      <c r="H66" s="3">
        <f t="shared" si="4"/>
        <v>500</v>
      </c>
      <c r="I66" s="3"/>
      <c r="J66" s="173"/>
      <c r="K66" s="173"/>
    </row>
    <row r="67" spans="1:11" x14ac:dyDescent="0.25">
      <c r="A67" s="3" t="s">
        <v>496</v>
      </c>
      <c r="B67" s="3" t="s">
        <v>360</v>
      </c>
      <c r="C67" s="3"/>
      <c r="D67" s="3">
        <f>'DECEMBER 19'!H67:H94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'DECEMBER 19'!H68:H95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148" t="s">
        <v>503</v>
      </c>
      <c r="B69" s="3" t="s">
        <v>362</v>
      </c>
      <c r="C69" s="3"/>
      <c r="D69" s="3">
        <f>'DECEMBER 19'!H69:H96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148" t="s">
        <v>440</v>
      </c>
      <c r="B70" s="3" t="s">
        <v>363</v>
      </c>
      <c r="C70" s="3"/>
      <c r="D70" s="3">
        <f>'DECEMBER 19'!H70:H97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430</v>
      </c>
      <c r="B71" s="3" t="s">
        <v>364</v>
      </c>
      <c r="C71" s="3"/>
      <c r="D71" s="3">
        <f>'DECEMBER 19'!H71:H98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517</v>
      </c>
      <c r="K71" s="173"/>
    </row>
    <row r="72" spans="1:11" x14ac:dyDescent="0.25">
      <c r="A72" s="3"/>
      <c r="B72" s="3"/>
      <c r="C72" s="3"/>
      <c r="D72" s="3">
        <f>'DECEMBER 19'!H72:H99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12000</v>
      </c>
      <c r="E73" s="343">
        <f t="shared" si="5"/>
        <v>180000</v>
      </c>
      <c r="F73" s="343">
        <f t="shared" si="5"/>
        <v>192000</v>
      </c>
      <c r="G73" s="343">
        <f t="shared" si="5"/>
        <v>166000</v>
      </c>
      <c r="H73" s="343">
        <f t="shared" si="5"/>
        <v>26000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509</v>
      </c>
      <c r="B78" s="350">
        <f>C73+E73</f>
        <v>180000</v>
      </c>
      <c r="C78" s="201"/>
      <c r="D78" s="201"/>
      <c r="E78" s="201" t="s">
        <v>509</v>
      </c>
      <c r="F78" s="350">
        <f>C73+G73</f>
        <v>166000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'DECEMBER 19'!D89</f>
        <v>-13500</v>
      </c>
      <c r="C79" s="201"/>
      <c r="D79" s="201"/>
      <c r="E79" s="201" t="s">
        <v>147</v>
      </c>
      <c r="F79" s="350">
        <f>'DECEMBER 19'!H89</f>
        <v>-25500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8100</v>
      </c>
      <c r="D81" s="201"/>
      <c r="E81" s="201" t="s">
        <v>390</v>
      </c>
      <c r="F81" s="359">
        <v>4.4999999999999998E-2</v>
      </c>
      <c r="G81" s="350">
        <f>C81</f>
        <v>8100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 t="s">
        <v>599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598</v>
      </c>
      <c r="B85" s="173"/>
      <c r="C85" s="173">
        <v>8000</v>
      </c>
      <c r="D85" s="173"/>
      <c r="E85" s="173" t="s">
        <v>511</v>
      </c>
      <c r="F85" s="173"/>
      <c r="G85" s="173">
        <v>8000</v>
      </c>
      <c r="H85" s="85"/>
      <c r="I85" s="362"/>
      <c r="J85" s="362"/>
      <c r="K85" s="173"/>
    </row>
    <row r="86" spans="1:11" x14ac:dyDescent="0.25">
      <c r="A86" s="369" t="s">
        <v>512</v>
      </c>
      <c r="B86" s="85"/>
      <c r="C86" s="85">
        <v>50105</v>
      </c>
      <c r="D86" s="85"/>
      <c r="E86" s="369" t="s">
        <v>512</v>
      </c>
      <c r="F86" s="85"/>
      <c r="G86" s="85">
        <v>50105</v>
      </c>
      <c r="H86" s="85"/>
      <c r="I86" s="173"/>
      <c r="J86" s="173"/>
      <c r="K86" s="173"/>
    </row>
    <row r="87" spans="1:11" x14ac:dyDescent="0.25">
      <c r="A87" s="369" t="s">
        <v>513</v>
      </c>
      <c r="B87" s="85"/>
      <c r="C87" s="85">
        <v>68795</v>
      </c>
      <c r="D87" s="85"/>
      <c r="E87" s="369" t="s">
        <v>513</v>
      </c>
      <c r="F87" s="85"/>
      <c r="G87" s="85">
        <v>68795</v>
      </c>
      <c r="H87" s="85"/>
      <c r="I87" s="362"/>
      <c r="J87" s="173"/>
      <c r="K87" s="173"/>
    </row>
    <row r="88" spans="1:11" x14ac:dyDescent="0.25">
      <c r="A88" s="369" t="s">
        <v>597</v>
      </c>
      <c r="B88" s="85"/>
      <c r="C88" s="86">
        <f>5000+E63</f>
        <v>13000</v>
      </c>
      <c r="D88" s="85"/>
      <c r="E88" s="369" t="s">
        <v>521</v>
      </c>
      <c r="F88" s="85"/>
      <c r="G88" s="86">
        <f>5000+E63</f>
        <v>13000</v>
      </c>
      <c r="H88" s="85"/>
      <c r="I88" s="173"/>
      <c r="J88" s="173"/>
      <c r="K88" s="173"/>
    </row>
    <row r="89" spans="1:11" x14ac:dyDescent="0.25">
      <c r="A89" s="363" t="s">
        <v>62</v>
      </c>
      <c r="B89" s="364">
        <f>B78+B79+B80-C81</f>
        <v>158400</v>
      </c>
      <c r="C89" s="364">
        <f>SUM(C83:C88)</f>
        <v>171400</v>
      </c>
      <c r="D89" s="364">
        <f>B89-C89</f>
        <v>-13000</v>
      </c>
      <c r="E89" s="363" t="s">
        <v>62</v>
      </c>
      <c r="F89" s="364">
        <f>F78+F79+F80-G81</f>
        <v>132400</v>
      </c>
      <c r="G89" s="364">
        <f>SUM(G83:G88)</f>
        <v>171400</v>
      </c>
      <c r="H89" s="364">
        <f>F89-G89</f>
        <v>-39000</v>
      </c>
      <c r="I89" s="173"/>
      <c r="J89" s="173"/>
      <c r="K89" s="173"/>
    </row>
    <row r="90" spans="1:11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</row>
    <row r="93" spans="1:11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</row>
    <row r="94" spans="1:11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</row>
  </sheetData>
  <hyperlinks>
    <hyperlink ref="G1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J89" sqref="J89"/>
    </sheetView>
  </sheetViews>
  <sheetFormatPr defaultRowHeight="15" x14ac:dyDescent="0.25"/>
  <cols>
    <col min="1" max="1" width="19" bestFit="1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519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'JANUARY 20'!I9:I22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'JANUARY 20'!I16:I29</f>
        <v>0</v>
      </c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 t="s">
        <v>142</v>
      </c>
      <c r="K16" s="173"/>
    </row>
    <row r="17" spans="1:11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1350</v>
      </c>
      <c r="F18" s="281">
        <f t="shared" si="2"/>
        <v>48000</v>
      </c>
      <c r="G18" s="282">
        <f t="shared" si="2"/>
        <v>48000</v>
      </c>
      <c r="H18" s="266">
        <f t="shared" si="2"/>
        <v>48000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518</v>
      </c>
      <c r="B23" s="350">
        <f>F18</f>
        <v>48000</v>
      </c>
      <c r="C23" s="201"/>
      <c r="D23" s="201"/>
      <c r="E23" s="201" t="s">
        <v>518</v>
      </c>
      <c r="F23" s="350">
        <f>H18</f>
        <v>48000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'JANUARY 20'!D33</f>
        <v>0</v>
      </c>
      <c r="C24" s="201"/>
      <c r="D24" s="201"/>
      <c r="E24" s="201" t="s">
        <v>147</v>
      </c>
      <c r="F24" s="350">
        <f>'JANUARY 20'!H33</f>
        <v>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523</v>
      </c>
      <c r="B29" s="201"/>
      <c r="C29" s="201">
        <v>38600</v>
      </c>
      <c r="D29" s="201"/>
      <c r="E29" s="354" t="s">
        <v>523</v>
      </c>
      <c r="F29" s="201"/>
      <c r="G29" s="201">
        <v>38600</v>
      </c>
      <c r="H29" s="201"/>
      <c r="I29" s="292"/>
      <c r="J29" s="17"/>
      <c r="K29" s="173"/>
    </row>
    <row r="30" spans="1:11" x14ac:dyDescent="0.25">
      <c r="A30" s="354" t="s">
        <v>594</v>
      </c>
      <c r="B30" s="201"/>
      <c r="C30" s="201">
        <v>3000</v>
      </c>
      <c r="D30" s="201"/>
      <c r="E30" s="354" t="s">
        <v>276</v>
      </c>
      <c r="F30" s="201"/>
      <c r="G30" s="201">
        <v>3000</v>
      </c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44640</v>
      </c>
      <c r="C33" s="364">
        <f>SUM(C27:C32)</f>
        <v>47600</v>
      </c>
      <c r="D33" s="364">
        <f>B33-C33</f>
        <v>-2960</v>
      </c>
      <c r="E33" s="363" t="s">
        <v>62</v>
      </c>
      <c r="F33" s="364">
        <f>F23+F24-G25</f>
        <v>44640</v>
      </c>
      <c r="G33" s="364">
        <f>SUM(G27:G32)</f>
        <v>47600</v>
      </c>
      <c r="H33" s="365">
        <f>F33-G33</f>
        <v>-2960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520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'JANUARY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'JANUARY 20'!H46:H73</f>
        <v>5000</v>
      </c>
      <c r="E46" s="3">
        <v>5000</v>
      </c>
      <c r="F46" s="3">
        <f t="shared" si="3"/>
        <v>10000</v>
      </c>
      <c r="G46" s="3"/>
      <c r="H46" s="3">
        <f>F46-G46</f>
        <v>10000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'JANUARY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'JANUARY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274</v>
      </c>
      <c r="B49" s="3" t="s">
        <v>342</v>
      </c>
      <c r="C49" s="3"/>
      <c r="D49" s="3">
        <f>'JANUARY 20'!H49:H76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</row>
    <row r="50" spans="1:11" x14ac:dyDescent="0.25">
      <c r="A50" s="375" t="s">
        <v>274</v>
      </c>
      <c r="B50" s="3" t="s">
        <v>343</v>
      </c>
      <c r="C50" s="3"/>
      <c r="D50" s="3">
        <f>'JANUARY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</row>
    <row r="51" spans="1:11" x14ac:dyDescent="0.25">
      <c r="A51" s="3" t="s">
        <v>514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'JANUARY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'JANUARY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'JANUARY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'JANUARY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'JANUARY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'JANUARY 20'!H57:H84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274</v>
      </c>
      <c r="B58" s="3" t="s">
        <v>351</v>
      </c>
      <c r="C58" s="3"/>
      <c r="D58" s="3">
        <f>'JANUARY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'JANUARY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'JANUARY 20'!H60:H87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'JANUARY 20'!H61:H88</f>
        <v>8500</v>
      </c>
      <c r="E61" s="3">
        <v>8500</v>
      </c>
      <c r="F61" s="3">
        <f t="shared" si="3"/>
        <v>17000</v>
      </c>
      <c r="G61" s="3">
        <f>8500+8500</f>
        <v>17000</v>
      </c>
      <c r="H61" s="3">
        <f t="shared" si="4"/>
        <v>0</v>
      </c>
      <c r="I61" s="3"/>
      <c r="J61" s="173"/>
      <c r="K61" s="173"/>
    </row>
    <row r="62" spans="1:11" x14ac:dyDescent="0.25">
      <c r="A62" s="3" t="s">
        <v>511</v>
      </c>
      <c r="B62" s="3" t="s">
        <v>355</v>
      </c>
      <c r="C62" s="3"/>
      <c r="D62" s="3">
        <f>'JANUARY 20'!H62</f>
        <v>11000</v>
      </c>
      <c r="E62" s="3"/>
      <c r="F62" s="3">
        <f t="shared" si="3"/>
        <v>11000</v>
      </c>
      <c r="G62" s="3">
        <f>5000+6000</f>
        <v>11000</v>
      </c>
      <c r="H62" s="3">
        <f t="shared" si="4"/>
        <v>0</v>
      </c>
      <c r="I62" s="3"/>
      <c r="J62" s="173" t="s">
        <v>522</v>
      </c>
      <c r="K62" s="173"/>
    </row>
    <row r="63" spans="1:11" x14ac:dyDescent="0.25">
      <c r="A63" s="3" t="s">
        <v>516</v>
      </c>
      <c r="B63" s="3" t="s">
        <v>356</v>
      </c>
      <c r="C63" s="3"/>
      <c r="D63" s="3">
        <f>'JANUARY 20'!H63:H90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</row>
    <row r="64" spans="1:11" x14ac:dyDescent="0.25">
      <c r="A64" s="3" t="s">
        <v>274</v>
      </c>
      <c r="B64" s="3" t="s">
        <v>357</v>
      </c>
      <c r="C64" s="3"/>
      <c r="D64" s="3">
        <f>'JANUARY 20'!H64:H91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173" t="s">
        <v>522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'JANUARY 20'!H65:H92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'JANUARY 20'!H66:H93</f>
        <v>500</v>
      </c>
      <c r="E66" s="3">
        <v>8500</v>
      </c>
      <c r="F66" s="3">
        <f t="shared" si="3"/>
        <v>9000</v>
      </c>
      <c r="G66" s="3">
        <v>9000</v>
      </c>
      <c r="H66" s="3">
        <f t="shared" si="4"/>
        <v>0</v>
      </c>
      <c r="I66" s="3"/>
      <c r="J66" s="173"/>
      <c r="K66" s="173"/>
    </row>
    <row r="67" spans="1:11" ht="13.5" customHeight="1" x14ac:dyDescent="0.25">
      <c r="A67" s="3" t="s">
        <v>496</v>
      </c>
      <c r="B67" s="3" t="s">
        <v>360</v>
      </c>
      <c r="C67" s="3"/>
      <c r="D67" s="3">
        <f>'JANUARY 20'!H67:H94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'JANUARY 20'!H68:H95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375" t="s">
        <v>503</v>
      </c>
      <c r="B69" s="3" t="s">
        <v>362</v>
      </c>
      <c r="C69" s="3"/>
      <c r="D69" s="3">
        <f>'JANUARY 20'!H69:H96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375" t="s">
        <v>440</v>
      </c>
      <c r="B70" s="3" t="s">
        <v>363</v>
      </c>
      <c r="C70" s="3"/>
      <c r="D70" s="3">
        <f>'JANUARY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</row>
    <row r="71" spans="1:11" x14ac:dyDescent="0.25">
      <c r="A71" s="375" t="s">
        <v>524</v>
      </c>
      <c r="B71" s="3" t="s">
        <v>364</v>
      </c>
      <c r="C71" s="3"/>
      <c r="D71" s="3">
        <v>1000</v>
      </c>
      <c r="E71" s="3">
        <v>5000</v>
      </c>
      <c r="F71" s="3">
        <f>C71+D71+E71</f>
        <v>6000</v>
      </c>
      <c r="G71" s="3">
        <f>4000+1000</f>
        <v>5000</v>
      </c>
      <c r="H71" s="3">
        <f t="shared" si="4"/>
        <v>1000</v>
      </c>
      <c r="I71" s="3"/>
      <c r="J71" s="173"/>
      <c r="K71" s="173"/>
    </row>
    <row r="72" spans="1:11" x14ac:dyDescent="0.25">
      <c r="A72" s="3"/>
      <c r="B72" s="3"/>
      <c r="C72" s="3"/>
      <c r="D72" s="3">
        <f>'JANUARY 20'!H72:H99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26000</v>
      </c>
      <c r="E73" s="343">
        <f t="shared" si="5"/>
        <v>141500</v>
      </c>
      <c r="F73" s="343">
        <f t="shared" si="5"/>
        <v>167500</v>
      </c>
      <c r="G73" s="343">
        <f t="shared" si="5"/>
        <v>156500</v>
      </c>
      <c r="H73" s="343">
        <f t="shared" si="5"/>
        <v>11000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518</v>
      </c>
      <c r="B78" s="350">
        <f>C73+E73</f>
        <v>141500</v>
      </c>
      <c r="C78" s="201"/>
      <c r="D78" s="201"/>
      <c r="E78" s="201" t="s">
        <v>518</v>
      </c>
      <c r="F78" s="350">
        <f>C73+G73</f>
        <v>156500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'JANUARY 20'!D89</f>
        <v>-13000</v>
      </c>
      <c r="C79" s="201"/>
      <c r="D79" s="201"/>
      <c r="E79" s="201" t="s">
        <v>147</v>
      </c>
      <c r="F79" s="350">
        <f>'JANUARY 20'!H89</f>
        <v>-39000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6367.5</v>
      </c>
      <c r="D81" s="201"/>
      <c r="E81" s="201" t="s">
        <v>390</v>
      </c>
      <c r="F81" s="359">
        <v>4.4999999999999998E-2</v>
      </c>
      <c r="G81" s="350">
        <f>C81</f>
        <v>6367.5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/>
      <c r="B83" s="85"/>
      <c r="C83" s="85"/>
      <c r="D83" s="85"/>
      <c r="E83" s="85"/>
      <c r="F83" s="85"/>
      <c r="G83" s="85"/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526</v>
      </c>
      <c r="B85" s="173"/>
      <c r="C85" s="173">
        <v>99500</v>
      </c>
      <c r="D85" s="173"/>
      <c r="E85" s="173" t="s">
        <v>526</v>
      </c>
      <c r="F85" s="173"/>
      <c r="G85" s="173">
        <v>99500</v>
      </c>
      <c r="H85" s="85"/>
      <c r="I85" s="362"/>
      <c r="J85" s="362"/>
      <c r="K85" s="173"/>
    </row>
    <row r="86" spans="1:11" x14ac:dyDescent="0.25">
      <c r="A86" s="369" t="s">
        <v>595</v>
      </c>
      <c r="B86" s="85"/>
      <c r="C86" s="85">
        <v>8500</v>
      </c>
      <c r="D86" s="85"/>
      <c r="E86" s="369" t="s">
        <v>525</v>
      </c>
      <c r="F86" s="85"/>
      <c r="G86" s="85">
        <v>8500</v>
      </c>
      <c r="H86" s="85"/>
      <c r="I86" s="173"/>
      <c r="J86" s="173"/>
      <c r="K86" s="173"/>
    </row>
    <row r="87" spans="1:11" x14ac:dyDescent="0.25">
      <c r="A87" s="369" t="s">
        <v>596</v>
      </c>
      <c r="B87" s="85"/>
      <c r="C87" s="85">
        <v>8500</v>
      </c>
      <c r="D87" s="85"/>
      <c r="E87" s="369" t="s">
        <v>469</v>
      </c>
      <c r="F87" s="85"/>
      <c r="G87" s="85">
        <v>8500</v>
      </c>
      <c r="H87" s="85"/>
      <c r="I87" s="362"/>
      <c r="J87" s="173"/>
      <c r="K87" s="173"/>
    </row>
    <row r="88" spans="1:11" s="173" customFormat="1" x14ac:dyDescent="0.25">
      <c r="A88" s="369"/>
      <c r="B88" s="85"/>
      <c r="C88" s="85"/>
      <c r="D88" s="85"/>
      <c r="E88" s="369"/>
      <c r="F88" s="85"/>
      <c r="G88" s="85"/>
      <c r="H88" s="85"/>
      <c r="I88" s="362"/>
    </row>
    <row r="89" spans="1:11" x14ac:dyDescent="0.25">
      <c r="A89" s="369"/>
      <c r="B89" s="85"/>
      <c r="C89" s="86"/>
      <c r="D89" s="85"/>
      <c r="E89" s="369"/>
      <c r="F89" s="85"/>
      <c r="G89" s="86"/>
      <c r="H89" s="85"/>
      <c r="I89" s="173"/>
      <c r="J89" s="173"/>
      <c r="K89" s="173"/>
    </row>
    <row r="90" spans="1:11" x14ac:dyDescent="0.25">
      <c r="A90" s="363" t="s">
        <v>62</v>
      </c>
      <c r="B90" s="364">
        <f>B78+B79+B80-C81</f>
        <v>122132.5</v>
      </c>
      <c r="C90" s="364">
        <f>SUM(C83:C89)</f>
        <v>139500</v>
      </c>
      <c r="D90" s="364">
        <f>B90-C90</f>
        <v>-17367.5</v>
      </c>
      <c r="E90" s="363" t="s">
        <v>62</v>
      </c>
      <c r="F90" s="364">
        <f>F78+F79+F80-G81</f>
        <v>111132.5</v>
      </c>
      <c r="G90" s="364">
        <f>SUM(G83:G89)</f>
        <v>139500</v>
      </c>
      <c r="H90" s="364">
        <f>F90-G90</f>
        <v>-28367.5</v>
      </c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</row>
    <row r="93" spans="1:11" x14ac:dyDescent="0.25">
      <c r="A93" s="17" t="s">
        <v>306</v>
      </c>
      <c r="B93" s="17"/>
      <c r="C93" s="17" t="s">
        <v>308</v>
      </c>
      <c r="D93" s="307"/>
      <c r="E93" s="17"/>
      <c r="F93" s="17" t="s">
        <v>309</v>
      </c>
      <c r="G93" s="173"/>
      <c r="H93" s="173"/>
      <c r="I93" s="173"/>
      <c r="J93" s="173"/>
      <c r="K93" s="173"/>
    </row>
    <row r="94" spans="1:11" x14ac:dyDescent="0.25">
      <c r="A94" s="17"/>
      <c r="B94" s="17"/>
      <c r="C94" s="308"/>
      <c r="D94" s="307"/>
      <c r="E94" s="17"/>
      <c r="F94" s="17"/>
      <c r="G94" s="173"/>
      <c r="H94" s="173"/>
      <c r="I94" s="173"/>
      <c r="J94" s="173"/>
      <c r="K94" s="173"/>
    </row>
    <row r="95" spans="1:11" x14ac:dyDescent="0.25">
      <c r="A95" s="17" t="s">
        <v>467</v>
      </c>
      <c r="B95" s="17"/>
      <c r="C95" s="17" t="s">
        <v>141</v>
      </c>
      <c r="D95" s="17"/>
      <c r="E95" s="17"/>
      <c r="F95" s="17" t="s">
        <v>198</v>
      </c>
      <c r="G95" s="173"/>
      <c r="H95" s="173"/>
      <c r="I95" s="173"/>
      <c r="J95" s="173"/>
      <c r="K95" s="17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  <pageSetup paperSize="120" orientation="portrait" horizontalDpi="203" verticalDpi="20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J13" sqref="J13"/>
    </sheetView>
  </sheetViews>
  <sheetFormatPr defaultRowHeight="15" x14ac:dyDescent="0.25"/>
  <cols>
    <col min="1" max="1" width="12.5703125" customWidth="1"/>
    <col min="2" max="2" width="4" customWidth="1"/>
    <col min="4" max="4" width="13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90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600</v>
      </c>
      <c r="G6" s="33">
        <v>4000</v>
      </c>
      <c r="H6" s="33">
        <f>SUM(E6:G6)</f>
        <v>11200</v>
      </c>
      <c r="I6" s="33">
        <v>4000</v>
      </c>
      <c r="J6" s="7">
        <v>600</v>
      </c>
      <c r="K6" s="7">
        <v>4600</v>
      </c>
      <c r="L6" s="6"/>
      <c r="M6" s="7">
        <f>SUM(H6-K6)</f>
        <v>6600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1000</v>
      </c>
      <c r="K7" s="7">
        <v>5000</v>
      </c>
      <c r="L7" s="6"/>
      <c r="M7" s="7">
        <f>SUM(H7-K7)</f>
        <v>500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/>
      <c r="K9" s="7">
        <v>2000</v>
      </c>
      <c r="L9" s="10"/>
      <c r="M9" s="5">
        <v>2200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14700</v>
      </c>
      <c r="F11" s="74"/>
      <c r="G11" s="7">
        <v>4000</v>
      </c>
      <c r="H11" s="7">
        <f>SUM(E11:G11)</f>
        <v>18700</v>
      </c>
      <c r="I11" s="7">
        <v>8000</v>
      </c>
      <c r="J11" s="7"/>
      <c r="K11" s="7">
        <v>8000</v>
      </c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6300</v>
      </c>
      <c r="F12" s="74">
        <v>300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76700</v>
      </c>
      <c r="I17" s="71">
        <f t="shared" si="0"/>
        <v>48500</v>
      </c>
      <c r="J17" s="78">
        <f t="shared" si="0"/>
        <v>3400</v>
      </c>
      <c r="K17" s="78">
        <f t="shared" si="0"/>
        <v>49900</v>
      </c>
      <c r="L17" s="69"/>
      <c r="M17" s="78">
        <f>SUM(M5:M16)</f>
        <v>26400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48500</v>
      </c>
      <c r="E19" s="1"/>
      <c r="F19" s="1"/>
      <c r="G19" s="1"/>
      <c r="H19" s="1"/>
      <c r="I19" s="1"/>
      <c r="J19" s="1"/>
      <c r="K19" s="37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3400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6.5" x14ac:dyDescent="0.35">
      <c r="A21" s="2" t="s">
        <v>62</v>
      </c>
      <c r="B21" s="2"/>
      <c r="C21" s="38"/>
      <c r="D21" s="67">
        <f>SUM(D19:D20)</f>
        <v>51900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3395.0000000000005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</row>
    <row r="25" spans="1:14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5895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46005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" workbookViewId="0">
      <selection activeCell="L97" sqref="L97"/>
    </sheetView>
  </sheetViews>
  <sheetFormatPr defaultRowHeight="15" x14ac:dyDescent="0.25"/>
  <cols>
    <col min="1" max="1" width="19.42578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527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/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'JANUARY 20'!I9:I22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/>
      <c r="F12" s="278">
        <v>4500</v>
      </c>
      <c r="G12" s="263">
        <f t="shared" si="0"/>
        <v>4500</v>
      </c>
      <c r="H12" s="264">
        <v>2000</v>
      </c>
      <c r="I12" s="263">
        <f t="shared" si="1"/>
        <v>2500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/>
      <c r="B16" s="274">
        <v>4</v>
      </c>
      <c r="C16" s="265"/>
      <c r="D16" s="276">
        <f>'JANUARY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1050</v>
      </c>
      <c r="F18" s="281">
        <f t="shared" si="2"/>
        <v>45000</v>
      </c>
      <c r="G18" s="282">
        <f t="shared" si="2"/>
        <v>45000</v>
      </c>
      <c r="H18" s="266">
        <f t="shared" si="2"/>
        <v>42500</v>
      </c>
      <c r="I18" s="366">
        <f t="shared" si="2"/>
        <v>2500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417</v>
      </c>
      <c r="B23" s="350">
        <f>F18</f>
        <v>45000</v>
      </c>
      <c r="C23" s="201"/>
      <c r="D23" s="201"/>
      <c r="E23" s="201" t="s">
        <v>417</v>
      </c>
      <c r="F23" s="350">
        <f>H18</f>
        <v>42500</v>
      </c>
      <c r="G23" s="201"/>
      <c r="H23" s="201"/>
      <c r="I23" s="54"/>
      <c r="J23" s="17"/>
      <c r="K23" s="173"/>
      <c r="L23" s="173"/>
    </row>
    <row r="24" spans="1:12" x14ac:dyDescent="0.25">
      <c r="A24" s="201" t="s">
        <v>147</v>
      </c>
      <c r="B24" s="350">
        <f>'FEBRUARY 20'!D33</f>
        <v>-2960</v>
      </c>
      <c r="C24" s="201"/>
      <c r="D24" s="201"/>
      <c r="E24" s="201" t="s">
        <v>147</v>
      </c>
      <c r="F24" s="350">
        <f>'FEBRUARY 20'!H33</f>
        <v>-2960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F13+F17+F5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534</v>
      </c>
      <c r="B29" s="201"/>
      <c r="C29" s="201">
        <v>32500</v>
      </c>
      <c r="D29" s="201"/>
      <c r="E29" s="354" t="s">
        <v>534</v>
      </c>
      <c r="F29" s="201"/>
      <c r="G29" s="201">
        <v>32500</v>
      </c>
      <c r="H29" s="201"/>
      <c r="I29" s="292"/>
      <c r="J29" s="17"/>
      <c r="K29" s="173"/>
      <c r="L29" s="173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38890</v>
      </c>
      <c r="C33" s="364">
        <f>SUM(C27:C32)</f>
        <v>38500</v>
      </c>
      <c r="D33" s="364">
        <f>B33-C33</f>
        <v>390</v>
      </c>
      <c r="E33" s="363" t="s">
        <v>62</v>
      </c>
      <c r="F33" s="364">
        <f>F23+F24-G25</f>
        <v>36390</v>
      </c>
      <c r="G33" s="364">
        <f>SUM(G27:G32)</f>
        <v>38500</v>
      </c>
      <c r="H33" s="365">
        <f>F33-G33</f>
        <v>-2110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528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'FEBRUARY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'FEBRUARY 20'!H46:H73</f>
        <v>10000</v>
      </c>
      <c r="E46" s="3"/>
      <c r="F46" s="3">
        <f t="shared" si="3"/>
        <v>10000</v>
      </c>
      <c r="G46" s="3">
        <v>5000</v>
      </c>
      <c r="H46" s="3">
        <f>F46-G46</f>
        <v>5000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'FEBRUARY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'FEBRUARY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'FEBRUARY 20'!H49:H76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'FEBRUARY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514</v>
      </c>
      <c r="B51" s="3" t="s">
        <v>344</v>
      </c>
      <c r="C51" s="3"/>
      <c r="D51" s="3">
        <f>'FEBRUARY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504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'FEBRUARY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'FEBRUARY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'FEBRUARY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'FEBRUARY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'FEBRUARY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'FEBRUARY 20'!H57:H84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 t="s">
        <v>298</v>
      </c>
      <c r="K57" s="173"/>
      <c r="L57" s="173"/>
    </row>
    <row r="58" spans="1:12" x14ac:dyDescent="0.25">
      <c r="A58" s="3" t="s">
        <v>274</v>
      </c>
      <c r="B58" s="3" t="s">
        <v>351</v>
      </c>
      <c r="C58" s="3"/>
      <c r="D58" s="3">
        <f>'FEBRUARY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'FEBRUARY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'FEBRUARY 20'!H60:H87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'FEBRUARY 20'!H63:H91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'FEBRUARY 20'!H64:H92</f>
        <v>0</v>
      </c>
      <c r="E64" s="3">
        <v>9000</v>
      </c>
      <c r="F64" s="3">
        <f t="shared" si="3"/>
        <v>9000</v>
      </c>
      <c r="G64" s="3">
        <v>9000</v>
      </c>
      <c r="H64" s="3">
        <f t="shared" si="4"/>
        <v>0</v>
      </c>
      <c r="I64" s="3"/>
      <c r="J64" s="173"/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'FEBRUARY 20'!H65:H93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'FEBRUARY 20'!H66:H94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'FEBRUARY 20'!H67:H95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'FEBRUARY 20'!H68:H96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'FEBRUARY 20'!H69:H97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'FEBRUARY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'FEBRUARY 20'!H71:H99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'FEBRUARY 20'!H72:H100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11000</v>
      </c>
      <c r="E73" s="343">
        <f t="shared" si="5"/>
        <v>133500</v>
      </c>
      <c r="F73" s="343">
        <f t="shared" si="5"/>
        <v>144500</v>
      </c>
      <c r="G73" s="343">
        <f t="shared" si="5"/>
        <v>138500</v>
      </c>
      <c r="H73" s="343">
        <f t="shared" si="5"/>
        <v>6000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417</v>
      </c>
      <c r="B78" s="350">
        <f>C73+E73</f>
        <v>133500</v>
      </c>
      <c r="C78" s="201"/>
      <c r="D78" s="201"/>
      <c r="E78" s="201" t="s">
        <v>417</v>
      </c>
      <c r="F78" s="350">
        <f>G73</f>
        <v>138500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'FEBRUARY 20'!D90</f>
        <v>-17367.5</v>
      </c>
      <c r="C79" s="201"/>
      <c r="D79" s="201"/>
      <c r="E79" s="201" t="s">
        <v>147</v>
      </c>
      <c r="F79" s="350">
        <f>'FEBRUARY 20'!H90</f>
        <v>-28367.5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6007.5</v>
      </c>
      <c r="D81" s="201"/>
      <c r="E81" s="201" t="s">
        <v>390</v>
      </c>
      <c r="F81" s="359">
        <v>4.4999999999999998E-2</v>
      </c>
      <c r="G81" s="350">
        <f>C81</f>
        <v>6007.5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529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591</v>
      </c>
      <c r="B85" s="173"/>
      <c r="C85" s="173">
        <v>5000</v>
      </c>
      <c r="D85" s="173"/>
      <c r="E85" s="173" t="s">
        <v>592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5000</v>
      </c>
      <c r="D86" s="85"/>
      <c r="E86" s="369" t="s">
        <v>593</v>
      </c>
      <c r="F86" s="85"/>
      <c r="G86" s="85">
        <v>5000</v>
      </c>
      <c r="H86" s="85"/>
      <c r="I86" s="173"/>
      <c r="J86" s="173"/>
      <c r="K86" s="173"/>
      <c r="L86" s="173"/>
    </row>
    <row r="87" spans="1:12" x14ac:dyDescent="0.25">
      <c r="A87" s="369" t="s">
        <v>532</v>
      </c>
      <c r="B87" s="85"/>
      <c r="C87" s="85">
        <v>68625</v>
      </c>
      <c r="D87" s="85"/>
      <c r="E87" s="369" t="s">
        <v>532</v>
      </c>
      <c r="F87" s="85"/>
      <c r="G87" s="85">
        <v>68625</v>
      </c>
      <c r="H87" s="85"/>
      <c r="I87" s="362"/>
      <c r="J87" s="173"/>
      <c r="K87" s="173"/>
      <c r="L87" s="173"/>
    </row>
    <row r="88" spans="1:12" x14ac:dyDescent="0.25">
      <c r="A88" s="369" t="s">
        <v>590</v>
      </c>
      <c r="B88" s="85"/>
      <c r="C88" s="86">
        <f>E51</f>
        <v>5000</v>
      </c>
      <c r="D88" s="85"/>
      <c r="E88" s="369" t="s">
        <v>514</v>
      </c>
      <c r="F88" s="85"/>
      <c r="G88" s="86">
        <f>C88</f>
        <v>5000</v>
      </c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110125</v>
      </c>
      <c r="C89" s="364">
        <f>SUM(C83:C88)</f>
        <v>115125</v>
      </c>
      <c r="D89" s="364">
        <f>B89-C89</f>
        <v>-5000</v>
      </c>
      <c r="E89" s="363" t="s">
        <v>62</v>
      </c>
      <c r="F89" s="364">
        <f>F78+F79+F80-G81</f>
        <v>104125</v>
      </c>
      <c r="G89" s="364">
        <f>SUM(G83:G88)</f>
        <v>115125</v>
      </c>
      <c r="H89" s="364">
        <f>F89-G89</f>
        <v>-11000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376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</sheetData>
  <hyperlinks>
    <hyperlink ref="G1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C90" sqref="C90"/>
    </sheetView>
  </sheetViews>
  <sheetFormatPr defaultRowHeight="15" x14ac:dyDescent="0.25"/>
  <cols>
    <col min="1" max="1" width="19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</row>
    <row r="3" spans="1:10" ht="18.75" x14ac:dyDescent="0.3">
      <c r="A3" s="173"/>
      <c r="B3" s="173"/>
      <c r="C3" s="66" t="s">
        <v>535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/>
      <c r="B5" s="274">
        <v>1</v>
      </c>
      <c r="C5" s="275" t="s">
        <v>89</v>
      </c>
      <c r="D5" s="276">
        <f>'MARCH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0" x14ac:dyDescent="0.25">
      <c r="A6" s="273" t="s">
        <v>413</v>
      </c>
      <c r="B6" s="274">
        <v>2</v>
      </c>
      <c r="C6" s="265"/>
      <c r="D6" s="276">
        <f>'MARCH 20'!I6:I18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0" x14ac:dyDescent="0.25">
      <c r="A7" s="273" t="s">
        <v>406</v>
      </c>
      <c r="B7" s="274">
        <v>3</v>
      </c>
      <c r="C7" s="265"/>
      <c r="D7" s="276">
        <f>'MARCH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6">
        <f>'MARCH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>
        <f>'MARCH 20'!I9:I21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>
        <f>'MARCH 20'!I10:I22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>
        <f>'MARCH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0" x14ac:dyDescent="0.25">
      <c r="A12" s="279" t="s">
        <v>299</v>
      </c>
      <c r="B12" s="280">
        <v>8</v>
      </c>
      <c r="C12" s="265"/>
      <c r="D12" s="276">
        <f>'MARCH 20'!I12:I24</f>
        <v>2500</v>
      </c>
      <c r="E12" s="276"/>
      <c r="F12" s="278">
        <v>4500</v>
      </c>
      <c r="G12" s="263">
        <f t="shared" si="0"/>
        <v>7000</v>
      </c>
      <c r="H12" s="264"/>
      <c r="I12" s="263">
        <f t="shared" si="1"/>
        <v>7000</v>
      </c>
      <c r="J12" s="17"/>
    </row>
    <row r="13" spans="1:10" x14ac:dyDescent="0.25">
      <c r="A13" s="273" t="s">
        <v>283</v>
      </c>
      <c r="B13" s="274">
        <v>1</v>
      </c>
      <c r="C13" s="265"/>
      <c r="D13" s="276">
        <f>'MARCH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>
        <f>'MARCH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480</v>
      </c>
      <c r="B15" s="274">
        <v>3</v>
      </c>
      <c r="C15" s="265"/>
      <c r="D15" s="276">
        <f>'MARCH 20'!I15:I27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/>
      <c r="B16" s="274">
        <v>4</v>
      </c>
      <c r="C16" s="265"/>
      <c r="D16" s="276">
        <f>'MARCH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6" x14ac:dyDescent="0.25">
      <c r="A17" s="273" t="s">
        <v>211</v>
      </c>
      <c r="B17" s="274">
        <v>5</v>
      </c>
      <c r="C17" s="265"/>
      <c r="D17" s="276">
        <f>'MARCH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6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2500</v>
      </c>
      <c r="E18" s="281">
        <f t="shared" si="2"/>
        <v>550</v>
      </c>
      <c r="F18" s="281">
        <f t="shared" si="2"/>
        <v>45000</v>
      </c>
      <c r="G18" s="282">
        <f t="shared" si="2"/>
        <v>47500</v>
      </c>
      <c r="H18" s="266">
        <f t="shared" si="2"/>
        <v>40500</v>
      </c>
      <c r="I18" s="366">
        <f t="shared" si="2"/>
        <v>7000</v>
      </c>
      <c r="J18" s="17"/>
    </row>
    <row r="19" spans="1:16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6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</row>
    <row r="21" spans="1:16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</row>
    <row r="22" spans="1:16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6" x14ac:dyDescent="0.25">
      <c r="A23" s="201" t="s">
        <v>423</v>
      </c>
      <c r="B23" s="350">
        <f>F18</f>
        <v>45000</v>
      </c>
      <c r="C23" s="201"/>
      <c r="D23" s="201"/>
      <c r="E23" s="201" t="s">
        <v>423</v>
      </c>
      <c r="F23" s="350">
        <f>H18</f>
        <v>40500</v>
      </c>
      <c r="G23" s="201"/>
      <c r="H23" s="201"/>
      <c r="I23" s="54"/>
      <c r="J23" s="17"/>
    </row>
    <row r="24" spans="1:16" x14ac:dyDescent="0.25">
      <c r="A24" s="201" t="s">
        <v>147</v>
      </c>
      <c r="B24" s="350">
        <f>'MARCH 20'!D33</f>
        <v>390</v>
      </c>
      <c r="C24" s="201"/>
      <c r="D24" s="201"/>
      <c r="E24" s="201" t="s">
        <v>147</v>
      </c>
      <c r="F24" s="350">
        <f>'MARCH 20'!H33</f>
        <v>-2110</v>
      </c>
      <c r="G24" s="350"/>
      <c r="H24" s="201"/>
      <c r="I24" s="54"/>
      <c r="J24" s="17"/>
      <c r="P24" t="s">
        <v>89</v>
      </c>
    </row>
    <row r="25" spans="1:16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6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6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</row>
    <row r="28" spans="1:16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</row>
    <row r="29" spans="1:16" x14ac:dyDescent="0.25">
      <c r="A29" s="354" t="s">
        <v>539</v>
      </c>
      <c r="B29" s="201"/>
      <c r="C29" s="201">
        <v>20102</v>
      </c>
      <c r="D29" s="201"/>
      <c r="E29" s="354" t="s">
        <v>539</v>
      </c>
      <c r="F29" s="201"/>
      <c r="G29" s="201">
        <v>20102</v>
      </c>
      <c r="H29" s="201"/>
      <c r="I29" s="292"/>
      <c r="J29" s="17"/>
    </row>
    <row r="30" spans="1:16" x14ac:dyDescent="0.25">
      <c r="A30" s="354" t="s">
        <v>572</v>
      </c>
      <c r="B30" s="201"/>
      <c r="C30" s="201">
        <v>4500</v>
      </c>
      <c r="D30" s="201"/>
      <c r="E30" s="354" t="s">
        <v>429</v>
      </c>
      <c r="F30" s="201" t="s">
        <v>573</v>
      </c>
      <c r="G30" s="201">
        <v>4500</v>
      </c>
      <c r="H30" s="201"/>
      <c r="I30" s="292"/>
      <c r="J30" s="17"/>
    </row>
    <row r="31" spans="1:16" x14ac:dyDescent="0.25">
      <c r="A31" s="355" t="s">
        <v>574</v>
      </c>
      <c r="B31" s="201"/>
      <c r="C31" s="201">
        <v>3000</v>
      </c>
      <c r="D31" s="201"/>
      <c r="E31" s="355" t="s">
        <v>577</v>
      </c>
      <c r="F31" s="201"/>
      <c r="G31" s="201">
        <v>3000</v>
      </c>
      <c r="H31" s="201"/>
      <c r="I31" s="292"/>
      <c r="J31" s="17"/>
    </row>
    <row r="32" spans="1:16" x14ac:dyDescent="0.25">
      <c r="A32" s="353" t="s">
        <v>575</v>
      </c>
      <c r="B32" s="3"/>
      <c r="C32" s="372">
        <v>8500</v>
      </c>
      <c r="D32" s="201"/>
      <c r="E32" s="353" t="s">
        <v>576</v>
      </c>
      <c r="F32" s="3"/>
      <c r="G32" s="372">
        <v>8500</v>
      </c>
      <c r="H32" s="201"/>
      <c r="I32" s="292"/>
      <c r="J32" s="17"/>
    </row>
    <row r="33" spans="1:12" x14ac:dyDescent="0.25">
      <c r="A33" s="363" t="s">
        <v>62</v>
      </c>
      <c r="B33" s="364">
        <f>B23+B24+B26-C25</f>
        <v>42240</v>
      </c>
      <c r="C33" s="364">
        <f>SUM(C27:C32)</f>
        <v>42102</v>
      </c>
      <c r="D33" s="364">
        <f>B33-C33</f>
        <v>138</v>
      </c>
      <c r="E33" s="363" t="s">
        <v>62</v>
      </c>
      <c r="F33" s="364">
        <f>F23+F24-G25</f>
        <v>35240</v>
      </c>
      <c r="G33" s="364">
        <f>SUM(G27:G32)</f>
        <v>42102</v>
      </c>
      <c r="H33" s="365">
        <f>F33-G33</f>
        <v>-6862</v>
      </c>
      <c r="I33" s="292"/>
      <c r="J33" s="17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536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'MARCH 20'!H45:H71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'MARCH 20'!H46:H72</f>
        <v>5000</v>
      </c>
      <c r="E46" s="3"/>
      <c r="F46" s="3">
        <f t="shared" si="3"/>
        <v>5000</v>
      </c>
      <c r="G46" s="3">
        <v>5000</v>
      </c>
      <c r="H46" s="3">
        <f>F46-G46</f>
        <v>0</v>
      </c>
      <c r="I46" s="3"/>
      <c r="J46" s="173" t="s">
        <v>142</v>
      </c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'MARCH 20'!H47:H73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'MARCH 20'!H48:H74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'MARCH 20'!H49:H75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'MARCH 20'!H50:H76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537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142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'MARCH 20'!H52:H78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'MARCH 20'!H53:H79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'MARCH 20'!H54:H80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504</v>
      </c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'MARCH 20'!H55:H81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'MARCH 20'!H56:H82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'MARCH 20'!H57:H83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243</v>
      </c>
      <c r="B58" s="3" t="s">
        <v>351</v>
      </c>
      <c r="C58" s="3"/>
      <c r="D58" s="3">
        <f>'MARCH 20'!H58:H84</f>
        <v>0</v>
      </c>
      <c r="E58" s="3">
        <v>9000</v>
      </c>
      <c r="F58" s="3">
        <f t="shared" si="3"/>
        <v>9000</v>
      </c>
      <c r="G58" s="3">
        <v>9000</v>
      </c>
      <c r="H58" s="3">
        <f>F58-G58</f>
        <v>0</v>
      </c>
      <c r="I58" s="3"/>
      <c r="J58" s="173" t="s">
        <v>142</v>
      </c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'MARCH 20'!H59:H85</f>
        <v>0</v>
      </c>
      <c r="E59" s="3">
        <v>5000</v>
      </c>
      <c r="F59" s="3">
        <f t="shared" si="3"/>
        <v>5000</v>
      </c>
      <c r="G59" s="3"/>
      <c r="H59" s="3">
        <f t="shared" si="4"/>
        <v>5000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'MARCH 20'!H60:H86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>
        <f>'MARCH 20'!H61:H87</f>
        <v>0</v>
      </c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>
        <f>'MARCH 20'!H62:H88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'MARCH 20'!H63:H89</f>
        <v>0</v>
      </c>
      <c r="E63" s="3">
        <v>8000</v>
      </c>
      <c r="F63" s="3">
        <f t="shared" si="3"/>
        <v>8000</v>
      </c>
      <c r="G63" s="3">
        <f>5000+3000</f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'MARCH 20'!H64:H90</f>
        <v>0</v>
      </c>
      <c r="E64" s="3">
        <v>9000</v>
      </c>
      <c r="F64" s="3">
        <f t="shared" si="3"/>
        <v>9000</v>
      </c>
      <c r="G64" s="3">
        <f>1000+1000+1000</f>
        <v>3000</v>
      </c>
      <c r="H64" s="3">
        <f t="shared" si="4"/>
        <v>6000</v>
      </c>
      <c r="I64" s="3"/>
      <c r="J64" s="173" t="s">
        <v>544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'MARCH 20'!H65:H91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'MARCH 20'!H66:H92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 t="s">
        <v>142</v>
      </c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'MARCH 20'!H67:H93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'MARCH 20'!H68:H94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'MARCH 20'!H69:H95</f>
        <v>0</v>
      </c>
      <c r="E69" s="3">
        <v>8000</v>
      </c>
      <c r="F69" s="3">
        <f t="shared" si="3"/>
        <v>8000</v>
      </c>
      <c r="G69" s="3"/>
      <c r="H69" s="3">
        <f t="shared" si="4"/>
        <v>8000</v>
      </c>
      <c r="I69" s="3"/>
      <c r="J69" s="173" t="s">
        <v>543</v>
      </c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'MARCH 20'!H70:H96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'MARCH 20'!H71:H97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'MARCH 20'!H72:H98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6000</v>
      </c>
      <c r="E73" s="343">
        <f t="shared" si="5"/>
        <v>142500</v>
      </c>
      <c r="F73" s="343">
        <f t="shared" si="5"/>
        <v>148500</v>
      </c>
      <c r="G73" s="343">
        <f t="shared" si="5"/>
        <v>128500</v>
      </c>
      <c r="H73" s="343">
        <f t="shared" si="5"/>
        <v>20000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423</v>
      </c>
      <c r="B78" s="350">
        <f>C73+E73</f>
        <v>142500</v>
      </c>
      <c r="C78" s="201"/>
      <c r="D78" s="201"/>
      <c r="E78" s="201" t="s">
        <v>423</v>
      </c>
      <c r="F78" s="350">
        <f>C73+G73</f>
        <v>128500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'MARCH 20'!D89</f>
        <v>-5000</v>
      </c>
      <c r="C79" s="201"/>
      <c r="D79" s="201"/>
      <c r="E79" s="201" t="s">
        <v>147</v>
      </c>
      <c r="F79" s="350">
        <f>'MARCH 20'!H89</f>
        <v>-11000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6412.5</v>
      </c>
      <c r="D81" s="201"/>
      <c r="E81" s="201" t="s">
        <v>390</v>
      </c>
      <c r="F81" s="359">
        <v>4.4999999999999998E-2</v>
      </c>
      <c r="G81" s="350">
        <f>C81</f>
        <v>6412.5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589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600</v>
      </c>
      <c r="B85" s="173"/>
      <c r="C85" s="173">
        <v>5000</v>
      </c>
      <c r="D85" s="173"/>
      <c r="E85" s="173" t="s">
        <v>530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6000</v>
      </c>
      <c r="D86" s="85"/>
      <c r="E86" s="369" t="s">
        <v>511</v>
      </c>
      <c r="F86" s="85"/>
      <c r="G86" s="85">
        <v>6000</v>
      </c>
      <c r="H86" s="85"/>
      <c r="I86" s="173"/>
      <c r="J86" s="173"/>
      <c r="K86" s="173"/>
      <c r="L86" s="173"/>
    </row>
    <row r="87" spans="1:12" x14ac:dyDescent="0.25">
      <c r="A87" s="369" t="s">
        <v>538</v>
      </c>
      <c r="B87" s="85"/>
      <c r="C87" s="85">
        <v>88000</v>
      </c>
      <c r="D87" s="85"/>
      <c r="E87" s="369" t="s">
        <v>538</v>
      </c>
      <c r="F87" s="85"/>
      <c r="G87" s="85">
        <v>88000</v>
      </c>
      <c r="H87" s="85"/>
      <c r="I87" s="362"/>
      <c r="J87" s="173"/>
      <c r="K87" s="173"/>
      <c r="L87" s="173"/>
    </row>
    <row r="88" spans="1:12" s="173" customFormat="1" x14ac:dyDescent="0.25">
      <c r="A88" s="369" t="s">
        <v>588</v>
      </c>
      <c r="B88" s="85"/>
      <c r="C88" s="85">
        <v>8500</v>
      </c>
      <c r="D88" s="85"/>
      <c r="E88" s="369" t="s">
        <v>547</v>
      </c>
      <c r="F88" s="85"/>
      <c r="G88" s="85">
        <v>8500</v>
      </c>
      <c r="H88" s="85"/>
      <c r="I88" s="362"/>
    </row>
    <row r="89" spans="1:12" s="173" customFormat="1" x14ac:dyDescent="0.25">
      <c r="A89" s="369" t="s">
        <v>586</v>
      </c>
      <c r="B89" s="85"/>
      <c r="C89" s="86">
        <f>E51+E58</f>
        <v>14000</v>
      </c>
      <c r="D89" s="85"/>
      <c r="E89" s="369" t="s">
        <v>542</v>
      </c>
      <c r="F89" s="85"/>
      <c r="G89" s="86">
        <f>E51+E58</f>
        <v>14000</v>
      </c>
      <c r="H89" s="85"/>
      <c r="I89" s="362"/>
    </row>
    <row r="90" spans="1:12" x14ac:dyDescent="0.25">
      <c r="A90" s="369"/>
      <c r="B90" s="85"/>
      <c r="C90" s="86"/>
      <c r="D90" s="85"/>
      <c r="E90" s="369"/>
      <c r="F90" s="85"/>
      <c r="G90" s="86"/>
      <c r="H90" s="85"/>
      <c r="I90" s="173"/>
      <c r="J90" s="173"/>
      <c r="K90" s="173"/>
      <c r="L90" s="173"/>
    </row>
    <row r="91" spans="1:12" x14ac:dyDescent="0.25">
      <c r="A91" s="363" t="s">
        <v>62</v>
      </c>
      <c r="B91" s="364">
        <f>B78+B79+B80-C81</f>
        <v>131087.5</v>
      </c>
      <c r="C91" s="364">
        <f>SUM(C83:C90)</f>
        <v>153000</v>
      </c>
      <c r="D91" s="364">
        <f>B91-C91</f>
        <v>-21912.5</v>
      </c>
      <c r="E91" s="363" t="s">
        <v>62</v>
      </c>
      <c r="F91" s="364">
        <f>F78+F79+F80-G81</f>
        <v>111087.5</v>
      </c>
      <c r="G91" s="364">
        <f>SUM(G83:G90)</f>
        <v>153000</v>
      </c>
      <c r="H91" s="364">
        <f>F91-G91</f>
        <v>-41912.5</v>
      </c>
      <c r="I91" s="173"/>
      <c r="J91" s="173"/>
      <c r="K91" s="173"/>
      <c r="L91" s="173"/>
    </row>
    <row r="92" spans="1:12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1:12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1:12" x14ac:dyDescent="0.25">
      <c r="A94" s="17" t="s">
        <v>306</v>
      </c>
      <c r="B94" s="17"/>
      <c r="C94" s="17" t="s">
        <v>308</v>
      </c>
      <c r="D94" s="307"/>
      <c r="E94" s="376"/>
      <c r="F94" s="17" t="s">
        <v>309</v>
      </c>
      <c r="G94" s="173"/>
      <c r="H94" s="173"/>
      <c r="I94" s="173"/>
      <c r="J94" s="173"/>
      <c r="K94" s="173"/>
      <c r="L94" s="173"/>
    </row>
    <row r="95" spans="1:12" x14ac:dyDescent="0.25">
      <c r="A95" s="17"/>
      <c r="B95" s="17"/>
      <c r="C95" s="308"/>
      <c r="D95" s="307"/>
      <c r="E95" s="17"/>
      <c r="F95" s="17"/>
      <c r="G95" s="173"/>
      <c r="H95" s="173"/>
      <c r="I95" s="173"/>
      <c r="J95" s="173"/>
      <c r="K95" s="173"/>
      <c r="L95" s="173"/>
    </row>
    <row r="96" spans="1:12" x14ac:dyDescent="0.25">
      <c r="A96" s="17" t="s">
        <v>467</v>
      </c>
      <c r="B96" s="17"/>
      <c r="C96" s="17" t="s">
        <v>141</v>
      </c>
      <c r="D96" s="17"/>
      <c r="E96" s="17"/>
      <c r="F96" s="17" t="s">
        <v>198</v>
      </c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</sheetData>
  <hyperlinks>
    <hyperlink ref="G1" r:id="rId1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activeCell="J81" sqref="J81"/>
    </sheetView>
  </sheetViews>
  <sheetFormatPr defaultRowHeight="15" x14ac:dyDescent="0.25"/>
  <cols>
    <col min="1" max="1" width="17.8554687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3" ht="18.75" x14ac:dyDescent="0.3">
      <c r="A3" s="173"/>
      <c r="B3" s="173"/>
      <c r="C3" s="66" t="s">
        <v>540</v>
      </c>
      <c r="D3" s="164"/>
      <c r="E3" s="164"/>
      <c r="F3" s="214"/>
      <c r="G3" s="173"/>
      <c r="H3" s="173"/>
      <c r="I3" s="173"/>
      <c r="J3" s="173"/>
      <c r="K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3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3" x14ac:dyDescent="0.25">
      <c r="A6" s="273" t="s">
        <v>413</v>
      </c>
      <c r="B6" s="274">
        <v>2</v>
      </c>
      <c r="C6" s="265"/>
      <c r="D6" s="276">
        <f>'APRIL 20'!I6:I18</f>
        <v>0</v>
      </c>
      <c r="E6" s="277"/>
      <c r="F6" s="278">
        <v>6000</v>
      </c>
      <c r="G6" s="263">
        <f t="shared" ref="G6:G17" si="0">F6+D6</f>
        <v>6000</v>
      </c>
      <c r="H6" s="264">
        <f>3000</f>
        <v>3000</v>
      </c>
      <c r="I6" s="263">
        <f t="shared" ref="I6:I17" si="1">G6-H6</f>
        <v>3000</v>
      </c>
      <c r="J6" s="17"/>
      <c r="K6" s="173"/>
    </row>
    <row r="7" spans="1:13" x14ac:dyDescent="0.25">
      <c r="A7" s="273" t="s">
        <v>406</v>
      </c>
      <c r="B7" s="274">
        <v>3</v>
      </c>
      <c r="C7" s="265"/>
      <c r="D7" s="276">
        <f>'APRIL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3" x14ac:dyDescent="0.25">
      <c r="A8" s="279" t="s">
        <v>304</v>
      </c>
      <c r="B8" s="274">
        <v>4</v>
      </c>
      <c r="C8" s="265"/>
      <c r="D8" s="276">
        <f>'APRIL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3" x14ac:dyDescent="0.25">
      <c r="A9" s="279" t="s">
        <v>425</v>
      </c>
      <c r="B9" s="280">
        <v>5</v>
      </c>
      <c r="C9" s="265"/>
      <c r="D9" s="276">
        <f>'APRIL 20'!I9:I21</f>
        <v>0</v>
      </c>
      <c r="E9" s="276"/>
      <c r="F9" s="278">
        <v>4500</v>
      </c>
      <c r="G9" s="263">
        <f t="shared" si="0"/>
        <v>4500</v>
      </c>
      <c r="H9" s="264">
        <v>3000</v>
      </c>
      <c r="I9" s="263">
        <f t="shared" si="1"/>
        <v>1500</v>
      </c>
      <c r="J9" s="17"/>
      <c r="K9" s="173"/>
    </row>
    <row r="10" spans="1:13" x14ac:dyDescent="0.25">
      <c r="A10" s="279" t="s">
        <v>449</v>
      </c>
      <c r="B10" s="280">
        <v>6</v>
      </c>
      <c r="C10" s="265"/>
      <c r="D10" s="276">
        <f>'APRIL 20'!I10:I22</f>
        <v>0</v>
      </c>
      <c r="E10" s="276"/>
      <c r="F10" s="278">
        <v>4500</v>
      </c>
      <c r="G10" s="263">
        <f t="shared" si="0"/>
        <v>4500</v>
      </c>
      <c r="H10" s="264">
        <v>3000</v>
      </c>
      <c r="I10" s="263">
        <f t="shared" si="1"/>
        <v>1500</v>
      </c>
      <c r="J10" s="17"/>
      <c r="K10" s="173"/>
    </row>
    <row r="11" spans="1:13" x14ac:dyDescent="0.25">
      <c r="A11" s="273" t="s">
        <v>429</v>
      </c>
      <c r="B11" s="280">
        <v>7</v>
      </c>
      <c r="C11" s="265"/>
      <c r="D11" s="276">
        <f>'APRIL 20'!I11:I23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3" x14ac:dyDescent="0.25">
      <c r="A12" s="279" t="s">
        <v>299</v>
      </c>
      <c r="B12" s="280">
        <v>8</v>
      </c>
      <c r="C12" s="265"/>
      <c r="D12" s="276">
        <f>'APRIL 20'!I12:I24</f>
        <v>7000</v>
      </c>
      <c r="E12" s="276"/>
      <c r="F12" s="278">
        <v>4500</v>
      </c>
      <c r="G12" s="263">
        <f t="shared" si="0"/>
        <v>11500</v>
      </c>
      <c r="H12" s="264"/>
      <c r="I12" s="263">
        <f t="shared" si="1"/>
        <v>11500</v>
      </c>
      <c r="J12" s="17"/>
      <c r="K12" s="173"/>
    </row>
    <row r="13" spans="1:13" x14ac:dyDescent="0.25">
      <c r="A13" s="273" t="s">
        <v>283</v>
      </c>
      <c r="B13" s="274">
        <v>1</v>
      </c>
      <c r="C13" s="265"/>
      <c r="D13" s="276">
        <f>'APRIL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3" x14ac:dyDescent="0.25">
      <c r="A14" s="273" t="s">
        <v>212</v>
      </c>
      <c r="B14" s="274">
        <v>2</v>
      </c>
      <c r="C14" s="265"/>
      <c r="D14" s="276">
        <f>'APRIL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3" x14ac:dyDescent="0.25">
      <c r="A15" s="279" t="s">
        <v>480</v>
      </c>
      <c r="B15" s="274">
        <v>3</v>
      </c>
      <c r="C15" s="265"/>
      <c r="D15" s="276">
        <f>'APRIL 20'!I15:I27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3" x14ac:dyDescent="0.25">
      <c r="A16" s="273"/>
      <c r="B16" s="274">
        <v>4</v>
      </c>
      <c r="C16" s="265"/>
      <c r="D16" s="276">
        <f>'APRIL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M16">
        <v>7</v>
      </c>
    </row>
    <row r="17" spans="1:11" x14ac:dyDescent="0.25">
      <c r="A17" s="273" t="s">
        <v>211</v>
      </c>
      <c r="B17" s="274">
        <v>5</v>
      </c>
      <c r="C17" s="265"/>
      <c r="D17" s="276">
        <f>'APRIL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7000</v>
      </c>
      <c r="E18" s="281">
        <f t="shared" si="2"/>
        <v>550</v>
      </c>
      <c r="F18" s="281">
        <f t="shared" si="2"/>
        <v>45000</v>
      </c>
      <c r="G18" s="282">
        <f>SUM(G5:G17)</f>
        <v>52000</v>
      </c>
      <c r="H18" s="266">
        <f t="shared" si="2"/>
        <v>34500</v>
      </c>
      <c r="I18" s="366">
        <f>SUM(I5:I17)</f>
        <v>17500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>
        <f>H18-G28</f>
        <v>28500</v>
      </c>
      <c r="J22" s="17"/>
      <c r="K22" s="173"/>
    </row>
    <row r="23" spans="1:11" x14ac:dyDescent="0.25">
      <c r="A23" s="201" t="s">
        <v>432</v>
      </c>
      <c r="B23" s="350">
        <f>F18</f>
        <v>45000</v>
      </c>
      <c r="C23" s="201"/>
      <c r="D23" s="201"/>
      <c r="E23" s="201" t="s">
        <v>432</v>
      </c>
      <c r="F23" s="350">
        <f>H18</f>
        <v>34500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'APRIL 20'!D33</f>
        <v>138</v>
      </c>
      <c r="C24" s="201"/>
      <c r="D24" s="201"/>
      <c r="E24" s="201" t="s">
        <v>147</v>
      </c>
      <c r="F24" s="350">
        <f>'APRIL 20'!H33</f>
        <v>-6862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551</v>
      </c>
      <c r="B29" s="201"/>
      <c r="C29" s="201">
        <v>20000</v>
      </c>
      <c r="D29" s="201"/>
      <c r="E29" s="354" t="s">
        <v>551</v>
      </c>
      <c r="F29" s="201"/>
      <c r="G29" s="201">
        <v>20000</v>
      </c>
      <c r="H29" s="201"/>
      <c r="I29" s="292"/>
      <c r="J29" s="17"/>
      <c r="K29" s="173"/>
    </row>
    <row r="30" spans="1:11" s="173" customFormat="1" x14ac:dyDescent="0.25">
      <c r="A30" s="354" t="s">
        <v>578</v>
      </c>
      <c r="B30" s="201"/>
      <c r="C30" s="201">
        <v>4000</v>
      </c>
      <c r="D30" s="201"/>
      <c r="E30" s="354" t="s">
        <v>554</v>
      </c>
      <c r="F30" s="201"/>
      <c r="G30" s="201">
        <v>4000</v>
      </c>
      <c r="H30" s="201"/>
      <c r="I30" s="292"/>
      <c r="J30" s="17"/>
    </row>
    <row r="31" spans="1:11" s="173" customFormat="1" x14ac:dyDescent="0.25">
      <c r="A31" s="354" t="s">
        <v>579</v>
      </c>
      <c r="B31" s="201"/>
      <c r="C31" s="201">
        <v>5000</v>
      </c>
      <c r="D31" s="201"/>
      <c r="E31" s="354" t="s">
        <v>579</v>
      </c>
      <c r="F31" s="201"/>
      <c r="G31" s="201">
        <v>5000</v>
      </c>
      <c r="H31" s="201"/>
      <c r="I31" s="292"/>
      <c r="J31" s="17"/>
    </row>
    <row r="32" spans="1:11" x14ac:dyDescent="0.25">
      <c r="A32" s="354" t="s">
        <v>580</v>
      </c>
      <c r="B32" s="201"/>
      <c r="C32" s="201">
        <v>6000</v>
      </c>
      <c r="D32" s="201"/>
      <c r="E32" s="354" t="s">
        <v>580</v>
      </c>
      <c r="F32" s="201"/>
      <c r="G32" s="201">
        <v>6000</v>
      </c>
      <c r="H32" s="201"/>
      <c r="I32" s="292"/>
      <c r="J32" s="17"/>
      <c r="K32" s="173"/>
    </row>
    <row r="33" spans="1:11" x14ac:dyDescent="0.25">
      <c r="A33" s="355" t="s">
        <v>581</v>
      </c>
      <c r="B33" s="201"/>
      <c r="C33" s="201">
        <v>8000</v>
      </c>
      <c r="D33" s="201"/>
      <c r="E33" s="355" t="s">
        <v>581</v>
      </c>
      <c r="F33" s="201"/>
      <c r="G33" s="201">
        <v>8000</v>
      </c>
      <c r="H33" s="201"/>
      <c r="I33" s="292"/>
      <c r="J33" s="17"/>
      <c r="K33" s="173"/>
    </row>
    <row r="34" spans="1:11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1" x14ac:dyDescent="0.25">
      <c r="A35" s="363" t="s">
        <v>62</v>
      </c>
      <c r="B35" s="364">
        <f>B23+B24+B26-C25</f>
        <v>41988</v>
      </c>
      <c r="C35" s="364">
        <f>SUM(C27:C34)</f>
        <v>49000</v>
      </c>
      <c r="D35" s="364">
        <f>B35-C35</f>
        <v>-7012</v>
      </c>
      <c r="E35" s="363" t="s">
        <v>62</v>
      </c>
      <c r="F35" s="364">
        <f>F23+F24-G25</f>
        <v>24488</v>
      </c>
      <c r="G35" s="364">
        <f>SUM(G27:G34)</f>
        <v>49000</v>
      </c>
      <c r="H35" s="365">
        <f>F35-G35</f>
        <v>-24512</v>
      </c>
      <c r="I35" s="292"/>
      <c r="J35" s="17"/>
      <c r="K35" s="173"/>
    </row>
    <row r="36" spans="1:11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1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1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23000</v>
      </c>
      <c r="H40" s="17"/>
      <c r="I40" s="17"/>
      <c r="J40" s="17"/>
      <c r="K40" s="173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1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1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541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1" x14ac:dyDescent="0.25">
      <c r="A47" s="3" t="s">
        <v>365</v>
      </c>
      <c r="B47" s="3" t="s">
        <v>339</v>
      </c>
      <c r="C47" s="3"/>
      <c r="D47" s="3">
        <f>'APRIL 20'!H45:H73</f>
        <v>0</v>
      </c>
      <c r="E47" s="3">
        <v>4000</v>
      </c>
      <c r="F47" s="3">
        <f t="shared" ref="F47:F58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1" x14ac:dyDescent="0.25">
      <c r="A48" s="3" t="s">
        <v>545</v>
      </c>
      <c r="B48" s="3" t="s">
        <v>340</v>
      </c>
      <c r="C48" s="3"/>
      <c r="D48" s="3">
        <f>'APRIL 20'!H46:H74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'APRIL 20'!H47:H75</f>
        <v>0</v>
      </c>
      <c r="E49" s="3">
        <v>3000</v>
      </c>
      <c r="F49" s="3">
        <f t="shared" si="3"/>
        <v>3000</v>
      </c>
      <c r="G49" s="3">
        <f>3000</f>
        <v>3000</v>
      </c>
      <c r="H49" s="3">
        <f t="shared" ref="H49:H73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'APRIL 20'!H48:H76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342</v>
      </c>
      <c r="C51" s="3"/>
      <c r="D51" s="3">
        <f>'APRIL 20'!H49:H77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x14ac:dyDescent="0.25">
      <c r="A52" s="148" t="s">
        <v>274</v>
      </c>
      <c r="B52" s="3" t="s">
        <v>343</v>
      </c>
      <c r="C52" s="3"/>
      <c r="D52" s="3">
        <f>'APRIL 20'!H50:H78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  <c r="K52" s="173"/>
    </row>
    <row r="53" spans="1:11" x14ac:dyDescent="0.25">
      <c r="A53" s="3" t="s">
        <v>558</v>
      </c>
      <c r="B53" s="3" t="s">
        <v>344</v>
      </c>
      <c r="C53" s="3"/>
      <c r="D53" s="3">
        <f>'APRIL 20'!H51:H79</f>
        <v>0</v>
      </c>
      <c r="E53" s="3">
        <v>5000</v>
      </c>
      <c r="F53" s="3">
        <f t="shared" si="3"/>
        <v>5000</v>
      </c>
      <c r="G53" s="3">
        <v>5000</v>
      </c>
      <c r="H53" s="3">
        <f t="shared" si="4"/>
        <v>0</v>
      </c>
      <c r="I53" s="3"/>
      <c r="J53" s="173" t="s">
        <v>555</v>
      </c>
      <c r="K53" s="362"/>
    </row>
    <row r="54" spans="1:11" x14ac:dyDescent="0.25">
      <c r="A54" s="361" t="s">
        <v>67</v>
      </c>
      <c r="B54" s="361" t="s">
        <v>345</v>
      </c>
      <c r="C54" s="361"/>
      <c r="D54" s="3">
        <f>'APRIL 20'!H52:H80</f>
        <v>0</v>
      </c>
      <c r="E54" s="361"/>
      <c r="F54" s="361">
        <f t="shared" si="3"/>
        <v>0</v>
      </c>
      <c r="G54" s="361"/>
      <c r="H54" s="361">
        <f>F54-G54</f>
        <v>0</v>
      </c>
      <c r="I54" s="3"/>
      <c r="J54" s="173"/>
      <c r="K54" s="173"/>
    </row>
    <row r="55" spans="1:11" x14ac:dyDescent="0.25">
      <c r="A55" s="3" t="s">
        <v>393</v>
      </c>
      <c r="B55" s="3" t="s">
        <v>346</v>
      </c>
      <c r="C55" s="3"/>
      <c r="D55" s="3">
        <f>'APRIL 20'!H53:H81</f>
        <v>0</v>
      </c>
      <c r="E55" s="3">
        <v>8500</v>
      </c>
      <c r="F55" s="3">
        <f t="shared" si="3"/>
        <v>8500</v>
      </c>
      <c r="G55" s="3">
        <v>8500</v>
      </c>
      <c r="H55" s="3">
        <f t="shared" si="4"/>
        <v>0</v>
      </c>
      <c r="I55" s="3"/>
      <c r="J55" s="173"/>
      <c r="K55" s="173"/>
    </row>
    <row r="56" spans="1:11" x14ac:dyDescent="0.25">
      <c r="A56" s="3" t="s">
        <v>274</v>
      </c>
      <c r="B56" s="3" t="s">
        <v>347</v>
      </c>
      <c r="C56" s="3"/>
      <c r="D56" s="3">
        <f>'APRIL 20'!H54:H82</f>
        <v>0</v>
      </c>
      <c r="E56" s="3"/>
      <c r="F56" s="3">
        <f t="shared" si="3"/>
        <v>0</v>
      </c>
      <c r="G56" s="3"/>
      <c r="H56" s="3">
        <f t="shared" si="4"/>
        <v>0</v>
      </c>
      <c r="I56" s="3"/>
      <c r="J56" s="173"/>
      <c r="K56" s="173"/>
    </row>
    <row r="57" spans="1:11" x14ac:dyDescent="0.25">
      <c r="A57" s="3" t="s">
        <v>477</v>
      </c>
      <c r="B57" s="3" t="s">
        <v>348</v>
      </c>
      <c r="C57" s="3"/>
      <c r="D57" s="3">
        <f>'APRIL 20'!H55:H83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142</v>
      </c>
      <c r="K57" s="173"/>
    </row>
    <row r="58" spans="1:11" x14ac:dyDescent="0.25">
      <c r="A58" s="3" t="s">
        <v>487</v>
      </c>
      <c r="B58" s="3" t="s">
        <v>349</v>
      </c>
      <c r="C58" s="3"/>
      <c r="D58" s="3">
        <f>'APRIL 20'!H56:H84</f>
        <v>0</v>
      </c>
      <c r="E58" s="3">
        <v>7500</v>
      </c>
      <c r="F58" s="3">
        <f t="shared" si="3"/>
        <v>7500</v>
      </c>
      <c r="G58" s="3">
        <v>7500</v>
      </c>
      <c r="H58" s="3">
        <f>F58-G58</f>
        <v>0</v>
      </c>
      <c r="I58" s="3"/>
      <c r="J58" s="173" t="s">
        <v>142</v>
      </c>
      <c r="K58" s="173"/>
    </row>
    <row r="59" spans="1:11" x14ac:dyDescent="0.25">
      <c r="A59" s="367" t="s">
        <v>274</v>
      </c>
      <c r="B59" s="3" t="s">
        <v>350</v>
      </c>
      <c r="C59" s="3"/>
      <c r="D59" s="3"/>
      <c r="E59" s="3"/>
      <c r="F59" s="3"/>
      <c r="G59" s="367"/>
      <c r="H59" s="3">
        <f>F59-G59</f>
        <v>0</v>
      </c>
      <c r="I59" s="3"/>
      <c r="J59" s="173"/>
      <c r="K59" s="173"/>
    </row>
    <row r="60" spans="1:11" x14ac:dyDescent="0.25">
      <c r="A60" s="3" t="s">
        <v>557</v>
      </c>
      <c r="B60" s="3" t="s">
        <v>351</v>
      </c>
      <c r="C60" s="3"/>
      <c r="D60" s="3"/>
      <c r="E60" s="3">
        <v>9000</v>
      </c>
      <c r="F60" s="3">
        <f t="shared" ref="F60:F72" si="5">C60+D60+E60</f>
        <v>9000</v>
      </c>
      <c r="G60" s="3"/>
      <c r="H60" s="3">
        <f>F60-G60</f>
        <v>9000</v>
      </c>
      <c r="I60" s="3"/>
      <c r="J60" s="173"/>
      <c r="K60" s="173"/>
    </row>
    <row r="61" spans="1:11" x14ac:dyDescent="0.25">
      <c r="A61" s="3" t="s">
        <v>372</v>
      </c>
      <c r="B61" s="3" t="s">
        <v>352</v>
      </c>
      <c r="C61" s="3"/>
      <c r="D61" s="3">
        <v>5000</v>
      </c>
      <c r="E61" s="3">
        <v>5000</v>
      </c>
      <c r="F61" s="3">
        <f t="shared" si="5"/>
        <v>10000</v>
      </c>
      <c r="G61" s="3"/>
      <c r="H61" s="3">
        <f t="shared" si="4"/>
        <v>10000</v>
      </c>
      <c r="I61" s="3"/>
      <c r="J61" s="173"/>
      <c r="K61" s="173"/>
    </row>
    <row r="62" spans="1:11" x14ac:dyDescent="0.25">
      <c r="A62" s="3" t="s">
        <v>274</v>
      </c>
      <c r="B62" s="3" t="s">
        <v>353</v>
      </c>
      <c r="C62" s="3"/>
      <c r="D62" s="3">
        <f>'APRIL 20'!H60:H88</f>
        <v>0</v>
      </c>
      <c r="E62" s="3"/>
      <c r="F62" s="3">
        <f t="shared" si="5"/>
        <v>0</v>
      </c>
      <c r="G62" s="3"/>
      <c r="H62" s="3">
        <f t="shared" si="4"/>
        <v>0</v>
      </c>
      <c r="I62" s="3"/>
      <c r="J62" s="173"/>
      <c r="K62" s="173"/>
    </row>
    <row r="63" spans="1:11" x14ac:dyDescent="0.25">
      <c r="A63" s="3" t="s">
        <v>170</v>
      </c>
      <c r="B63" s="3" t="s">
        <v>354</v>
      </c>
      <c r="C63" s="3"/>
      <c r="D63" s="3">
        <f>'APRIL 20'!H61:H89</f>
        <v>0</v>
      </c>
      <c r="E63" s="3">
        <v>8500</v>
      </c>
      <c r="F63" s="3">
        <f t="shared" si="5"/>
        <v>8500</v>
      </c>
      <c r="G63" s="3">
        <v>6000</v>
      </c>
      <c r="H63" s="3">
        <f t="shared" si="4"/>
        <v>2500</v>
      </c>
      <c r="I63" s="3"/>
      <c r="J63" s="173" t="s">
        <v>553</v>
      </c>
      <c r="K63" s="173"/>
    </row>
    <row r="64" spans="1:11" x14ac:dyDescent="0.25">
      <c r="A64" s="3" t="s">
        <v>531</v>
      </c>
      <c r="B64" s="3" t="s">
        <v>355</v>
      </c>
      <c r="C64" s="3"/>
      <c r="D64" s="3"/>
      <c r="E64" s="3">
        <v>8000</v>
      </c>
      <c r="F64" s="3">
        <f t="shared" si="5"/>
        <v>8000</v>
      </c>
      <c r="G64" s="3">
        <v>8000</v>
      </c>
      <c r="H64" s="3">
        <f t="shared" si="4"/>
        <v>0</v>
      </c>
      <c r="I64" s="3"/>
      <c r="J64" s="173"/>
      <c r="K64" s="173"/>
    </row>
    <row r="65" spans="1:11" x14ac:dyDescent="0.25">
      <c r="A65" s="3" t="s">
        <v>516</v>
      </c>
      <c r="B65" s="3" t="s">
        <v>356</v>
      </c>
      <c r="C65" s="3"/>
      <c r="D65" s="3">
        <f>'APRIL 20'!H63:H91</f>
        <v>0</v>
      </c>
      <c r="E65" s="3">
        <v>8000</v>
      </c>
      <c r="F65" s="3">
        <f t="shared" si="5"/>
        <v>8000</v>
      </c>
      <c r="G65" s="3">
        <f>5000+3000</f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457</v>
      </c>
      <c r="B66" s="3" t="s">
        <v>357</v>
      </c>
      <c r="C66" s="3"/>
      <c r="D66" s="3">
        <v>6000</v>
      </c>
      <c r="E66" s="3">
        <v>9000</v>
      </c>
      <c r="F66" s="3">
        <f t="shared" si="5"/>
        <v>15000</v>
      </c>
      <c r="G66" s="3">
        <f>500+1000+800</f>
        <v>2300</v>
      </c>
      <c r="H66" s="3">
        <f t="shared" si="4"/>
        <v>12700</v>
      </c>
      <c r="I66" s="3"/>
      <c r="J66" s="173"/>
      <c r="K66" s="362"/>
    </row>
    <row r="67" spans="1:11" x14ac:dyDescent="0.25">
      <c r="A67" s="3" t="s">
        <v>419</v>
      </c>
      <c r="B67" s="3" t="s">
        <v>358</v>
      </c>
      <c r="C67" s="3"/>
      <c r="D67" s="3">
        <f>'APRIL 20'!H65:H93</f>
        <v>0</v>
      </c>
      <c r="E67" s="3">
        <v>5000</v>
      </c>
      <c r="F67" s="3">
        <f t="shared" si="5"/>
        <v>5000</v>
      </c>
      <c r="G67" s="3">
        <v>5000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378</v>
      </c>
      <c r="B68" s="3" t="s">
        <v>359</v>
      </c>
      <c r="C68" s="3"/>
      <c r="D68" s="3">
        <f>'APRIL 20'!H66:H94</f>
        <v>0</v>
      </c>
      <c r="E68" s="3">
        <v>8500</v>
      </c>
      <c r="F68" s="3">
        <f t="shared" si="5"/>
        <v>8500</v>
      </c>
      <c r="G68" s="3">
        <v>8500</v>
      </c>
      <c r="H68" s="3">
        <f t="shared" si="4"/>
        <v>0</v>
      </c>
      <c r="I68" s="3"/>
      <c r="J68" s="173" t="s">
        <v>142</v>
      </c>
      <c r="K68" s="173"/>
    </row>
    <row r="69" spans="1:11" x14ac:dyDescent="0.25">
      <c r="A69" s="3" t="s">
        <v>496</v>
      </c>
      <c r="B69" s="3" t="s">
        <v>360</v>
      </c>
      <c r="C69" s="3"/>
      <c r="D69" s="3"/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/>
      <c r="K69" s="173"/>
    </row>
    <row r="70" spans="1:11" x14ac:dyDescent="0.25">
      <c r="A70" s="3" t="s">
        <v>380</v>
      </c>
      <c r="B70" s="3" t="s">
        <v>361</v>
      </c>
      <c r="C70" s="3"/>
      <c r="D70" s="3">
        <f>'APRIL 20'!H68:H96</f>
        <v>0</v>
      </c>
      <c r="E70" s="3">
        <v>8000</v>
      </c>
      <c r="F70" s="3">
        <f t="shared" si="5"/>
        <v>8000</v>
      </c>
      <c r="G70" s="3">
        <v>8000</v>
      </c>
      <c r="H70" s="3">
        <f t="shared" si="4"/>
        <v>0</v>
      </c>
      <c r="I70" s="3"/>
      <c r="J70" s="173" t="s">
        <v>142</v>
      </c>
      <c r="K70" s="362"/>
    </row>
    <row r="71" spans="1:11" x14ac:dyDescent="0.25">
      <c r="A71" s="375" t="s">
        <v>503</v>
      </c>
      <c r="B71" s="3" t="s">
        <v>362</v>
      </c>
      <c r="C71" s="3"/>
      <c r="D71" s="3">
        <v>8000</v>
      </c>
      <c r="E71" s="3">
        <v>8000</v>
      </c>
      <c r="F71" s="3">
        <f t="shared" si="5"/>
        <v>16000</v>
      </c>
      <c r="G71" s="3">
        <f>8000</f>
        <v>8000</v>
      </c>
      <c r="H71" s="3">
        <f t="shared" si="4"/>
        <v>8000</v>
      </c>
      <c r="I71" s="3"/>
      <c r="J71" s="173" t="s">
        <v>582</v>
      </c>
      <c r="K71" s="173"/>
    </row>
    <row r="72" spans="1:11" x14ac:dyDescent="0.25">
      <c r="A72" s="375" t="s">
        <v>440</v>
      </c>
      <c r="B72" s="3" t="s">
        <v>363</v>
      </c>
      <c r="C72" s="3"/>
      <c r="D72" s="3">
        <f>'APRIL 20'!H70:H98</f>
        <v>0</v>
      </c>
      <c r="E72" s="3">
        <v>8500</v>
      </c>
      <c r="F72" s="3">
        <f t="shared" si="5"/>
        <v>8500</v>
      </c>
      <c r="G72" s="3">
        <v>8500</v>
      </c>
      <c r="H72" s="3">
        <f t="shared" si="4"/>
        <v>0</v>
      </c>
      <c r="I72" s="3"/>
      <c r="J72" s="173" t="s">
        <v>142</v>
      </c>
      <c r="K72" s="173"/>
    </row>
    <row r="73" spans="1:11" x14ac:dyDescent="0.25">
      <c r="A73" s="375" t="s">
        <v>524</v>
      </c>
      <c r="B73" s="3" t="s">
        <v>364</v>
      </c>
      <c r="C73" s="3"/>
      <c r="D73" s="3">
        <v>1000</v>
      </c>
      <c r="E73" s="3">
        <v>5000</v>
      </c>
      <c r="F73" s="3">
        <f>C73+D73+E73</f>
        <v>6000</v>
      </c>
      <c r="G73" s="3">
        <v>5000</v>
      </c>
      <c r="H73" s="3">
        <f t="shared" si="4"/>
        <v>1000</v>
      </c>
      <c r="I73" s="3"/>
      <c r="J73" s="173"/>
      <c r="K73" s="173"/>
    </row>
    <row r="74" spans="1:11" x14ac:dyDescent="0.25">
      <c r="A74" s="3"/>
      <c r="B74" s="3"/>
      <c r="C74" s="3"/>
      <c r="D74" s="3">
        <f>'APRIL 20'!H72:H100</f>
        <v>0</v>
      </c>
      <c r="E74" s="3"/>
      <c r="F74" s="3"/>
      <c r="G74" s="3"/>
      <c r="H74" s="3"/>
      <c r="I74" s="3"/>
      <c r="J74" s="173"/>
      <c r="K74" s="173"/>
    </row>
    <row r="75" spans="1:11" x14ac:dyDescent="0.25">
      <c r="A75" s="343" t="s">
        <v>62</v>
      </c>
      <c r="B75" s="343"/>
      <c r="C75" s="343">
        <f t="shared" ref="C75:I75" si="6">SUM(C47:C74)</f>
        <v>0</v>
      </c>
      <c r="D75" s="3">
        <f>SUM(D47:D74)</f>
        <v>20000</v>
      </c>
      <c r="E75" s="343">
        <f t="shared" si="6"/>
        <v>146500</v>
      </c>
      <c r="F75" s="343">
        <f t="shared" si="6"/>
        <v>166500</v>
      </c>
      <c r="G75" s="343">
        <f t="shared" si="6"/>
        <v>123300</v>
      </c>
      <c r="H75" s="343">
        <f t="shared" si="6"/>
        <v>43200</v>
      </c>
      <c r="I75" s="343">
        <f t="shared" si="6"/>
        <v>0</v>
      </c>
      <c r="J75" s="173"/>
      <c r="K75" s="173"/>
    </row>
    <row r="76" spans="1:11" x14ac:dyDescent="0.25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</row>
    <row r="77" spans="1:11" x14ac:dyDescent="0.25">
      <c r="A77" s="91" t="s">
        <v>317</v>
      </c>
      <c r="B77" s="344"/>
      <c r="C77" s="345"/>
      <c r="D77" s="346"/>
      <c r="E77" s="347"/>
      <c r="F77" s="348"/>
      <c r="G77" s="347"/>
      <c r="H77" s="173"/>
      <c r="I77" s="173"/>
      <c r="J77" s="173"/>
      <c r="K77" s="173"/>
    </row>
    <row r="78" spans="1:11" x14ac:dyDescent="0.25">
      <c r="A78" s="175" t="s">
        <v>385</v>
      </c>
      <c r="B78" s="175"/>
      <c r="C78" s="175"/>
      <c r="D78" s="349"/>
      <c r="E78" s="175" t="s">
        <v>3</v>
      </c>
      <c r="F78" s="164"/>
      <c r="G78" s="164"/>
      <c r="H78" s="164"/>
      <c r="I78" s="173"/>
      <c r="J78" s="173"/>
      <c r="K78" s="173"/>
    </row>
    <row r="79" spans="1:11" x14ac:dyDescent="0.25">
      <c r="A79" s="342" t="s">
        <v>386</v>
      </c>
      <c r="B79" s="342" t="s">
        <v>387</v>
      </c>
      <c r="C79" s="342" t="s">
        <v>388</v>
      </c>
      <c r="D79" s="342" t="s">
        <v>389</v>
      </c>
      <c r="E79" s="342" t="s">
        <v>386</v>
      </c>
      <c r="F79" s="342" t="s">
        <v>387</v>
      </c>
      <c r="G79" s="342" t="s">
        <v>388</v>
      </c>
      <c r="H79" s="342" t="s">
        <v>389</v>
      </c>
      <c r="I79" s="173"/>
      <c r="J79" s="173"/>
      <c r="K79" s="173"/>
    </row>
    <row r="80" spans="1:11" x14ac:dyDescent="0.25">
      <c r="A80" s="201" t="s">
        <v>432</v>
      </c>
      <c r="B80" s="350">
        <f>C75+E75</f>
        <v>146500</v>
      </c>
      <c r="C80" s="201"/>
      <c r="D80" s="201"/>
      <c r="E80" s="201" t="s">
        <v>432</v>
      </c>
      <c r="F80" s="350">
        <f>C75+G75</f>
        <v>123300</v>
      </c>
      <c r="G80" s="201"/>
      <c r="H80" s="201"/>
      <c r="I80" s="173"/>
      <c r="J80" s="173"/>
      <c r="K80" s="173"/>
    </row>
    <row r="81" spans="1:11" x14ac:dyDescent="0.25">
      <c r="A81" s="201" t="s">
        <v>147</v>
      </c>
      <c r="B81" s="350">
        <f>'APRIL 20'!D91</f>
        <v>-21912.5</v>
      </c>
      <c r="C81" s="201"/>
      <c r="D81" s="201"/>
      <c r="E81" s="201" t="s">
        <v>147</v>
      </c>
      <c r="F81" s="350">
        <f>'APRIL 20'!H91</f>
        <v>-41912.5</v>
      </c>
      <c r="G81" s="201"/>
      <c r="H81" s="201"/>
      <c r="I81" s="173"/>
      <c r="J81" s="54"/>
      <c r="K81" s="173"/>
    </row>
    <row r="82" spans="1:11" x14ac:dyDescent="0.25">
      <c r="A82" s="201"/>
      <c r="B82" s="350"/>
      <c r="C82" s="201"/>
      <c r="D82" s="201"/>
      <c r="E82" s="201"/>
      <c r="F82" s="350"/>
      <c r="G82" s="201"/>
      <c r="H82" s="201"/>
      <c r="I82" s="173"/>
      <c r="J82" s="54"/>
      <c r="K82" s="173"/>
    </row>
    <row r="83" spans="1:11" x14ac:dyDescent="0.25">
      <c r="A83" s="201" t="s">
        <v>390</v>
      </c>
      <c r="B83" s="358">
        <v>4.4999999999999998E-2</v>
      </c>
      <c r="C83" s="350">
        <f>B83*B80</f>
        <v>6592.5</v>
      </c>
      <c r="D83" s="201"/>
      <c r="E83" s="201" t="s">
        <v>390</v>
      </c>
      <c r="F83" s="359">
        <v>4.4999999999999998E-2</v>
      </c>
      <c r="G83" s="350">
        <f>C83</f>
        <v>6592.5</v>
      </c>
      <c r="H83" s="201"/>
      <c r="I83" s="173"/>
      <c r="J83" s="54"/>
      <c r="K83" s="173"/>
    </row>
    <row r="84" spans="1:11" x14ac:dyDescent="0.25">
      <c r="A84" s="361" t="s">
        <v>391</v>
      </c>
      <c r="B84" s="201" t="s">
        <v>89</v>
      </c>
      <c r="C84" s="201"/>
      <c r="D84" s="201"/>
      <c r="E84" s="361" t="s">
        <v>391</v>
      </c>
      <c r="F84" s="350"/>
      <c r="G84" s="201"/>
      <c r="H84" s="201"/>
      <c r="I84" s="173"/>
      <c r="J84" s="360"/>
      <c r="K84" s="173"/>
    </row>
    <row r="85" spans="1:11" x14ac:dyDescent="0.25">
      <c r="A85" s="85" t="s">
        <v>585</v>
      </c>
      <c r="B85" s="85"/>
      <c r="C85" s="85">
        <f>E72+E68</f>
        <v>17000</v>
      </c>
      <c r="D85" s="85"/>
      <c r="E85" s="85" t="s">
        <v>546</v>
      </c>
      <c r="F85" s="85"/>
      <c r="G85" s="85">
        <f>E72+E68</f>
        <v>17000</v>
      </c>
      <c r="H85" s="85"/>
      <c r="I85" s="173"/>
      <c r="J85" s="371"/>
      <c r="K85" s="173"/>
    </row>
    <row r="86" spans="1:11" x14ac:dyDescent="0.25">
      <c r="A86" s="369" t="s">
        <v>272</v>
      </c>
      <c r="B86" s="85"/>
      <c r="C86" s="85">
        <f>F57+F70+F58</f>
        <v>23000</v>
      </c>
      <c r="D86" s="85"/>
      <c r="E86" s="369" t="s">
        <v>272</v>
      </c>
      <c r="F86" s="85"/>
      <c r="G86" s="85">
        <f>C86</f>
        <v>23000</v>
      </c>
      <c r="H86" s="85"/>
      <c r="I86" s="173"/>
      <c r="J86" s="173"/>
      <c r="K86" s="173"/>
    </row>
    <row r="87" spans="1:11" x14ac:dyDescent="0.25">
      <c r="A87" s="173"/>
      <c r="B87" s="173"/>
      <c r="C87" s="173"/>
      <c r="D87" s="173"/>
      <c r="E87" s="173"/>
      <c r="F87" s="173"/>
      <c r="G87" s="173"/>
      <c r="H87" s="85"/>
      <c r="I87" s="362"/>
      <c r="J87" s="362"/>
      <c r="K87" s="173"/>
    </row>
    <row r="88" spans="1:11" x14ac:dyDescent="0.25">
      <c r="A88" s="369" t="s">
        <v>583</v>
      </c>
      <c r="B88" s="85"/>
      <c r="C88" s="85">
        <f>8000</f>
        <v>8000</v>
      </c>
      <c r="D88" s="85"/>
      <c r="E88" s="369"/>
      <c r="F88" s="85"/>
      <c r="G88" s="85"/>
      <c r="H88" s="85"/>
      <c r="I88" s="173"/>
      <c r="J88" s="173"/>
      <c r="K88" s="173"/>
    </row>
    <row r="89" spans="1:11" x14ac:dyDescent="0.25">
      <c r="A89" s="369" t="s">
        <v>549</v>
      </c>
      <c r="B89" s="85"/>
      <c r="C89" s="85">
        <f>9000</f>
        <v>9000</v>
      </c>
      <c r="D89" s="85"/>
      <c r="E89" s="369"/>
      <c r="F89" s="85"/>
      <c r="G89" s="85"/>
      <c r="H89" s="85"/>
      <c r="I89" s="362"/>
      <c r="J89" s="173"/>
      <c r="K89" s="173"/>
    </row>
    <row r="90" spans="1:11" x14ac:dyDescent="0.25">
      <c r="A90" s="369" t="s">
        <v>550</v>
      </c>
      <c r="B90" s="85"/>
      <c r="C90" s="85">
        <v>58000</v>
      </c>
      <c r="D90" s="85"/>
      <c r="E90" s="369" t="s">
        <v>550</v>
      </c>
      <c r="F90" s="85"/>
      <c r="G90" s="85">
        <v>58000</v>
      </c>
      <c r="H90" s="85"/>
      <c r="I90" s="362"/>
      <c r="J90" s="173"/>
      <c r="K90" s="173"/>
    </row>
    <row r="91" spans="1:11" x14ac:dyDescent="0.25">
      <c r="A91" s="369" t="s">
        <v>584</v>
      </c>
      <c r="B91" s="85"/>
      <c r="C91" s="86">
        <v>9000</v>
      </c>
      <c r="D91" s="85"/>
      <c r="E91" s="369"/>
      <c r="F91" s="85"/>
      <c r="G91" s="86"/>
      <c r="H91" s="85"/>
      <c r="I91" s="173"/>
      <c r="J91" s="173"/>
      <c r="K91" s="173"/>
    </row>
    <row r="92" spans="1:11" x14ac:dyDescent="0.25">
      <c r="A92" s="363" t="s">
        <v>62</v>
      </c>
      <c r="B92" s="364">
        <f>B80+B81+B82-C83</f>
        <v>117995</v>
      </c>
      <c r="C92" s="364">
        <f>SUM(C85:C91)</f>
        <v>124000</v>
      </c>
      <c r="D92" s="364">
        <f>B92-C92</f>
        <v>-6005</v>
      </c>
      <c r="E92" s="363" t="s">
        <v>62</v>
      </c>
      <c r="F92" s="364">
        <f>F80+F81+F82-G83</f>
        <v>74795</v>
      </c>
      <c r="G92" s="364">
        <f>SUM(G85:G91)</f>
        <v>98000</v>
      </c>
      <c r="H92" s="364">
        <f>F92-G92</f>
        <v>-23205</v>
      </c>
      <c r="I92" s="173"/>
      <c r="J92" s="362"/>
      <c r="K92" s="173"/>
    </row>
    <row r="93" spans="1:11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</row>
    <row r="94" spans="1:11" x14ac:dyDescent="0.25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</row>
    <row r="95" spans="1:11" x14ac:dyDescent="0.25">
      <c r="A95" s="17" t="s">
        <v>306</v>
      </c>
      <c r="B95" s="17"/>
      <c r="C95" s="17" t="s">
        <v>308</v>
      </c>
      <c r="D95" s="307"/>
      <c r="E95" s="376"/>
      <c r="F95" s="17" t="s">
        <v>309</v>
      </c>
      <c r="G95" s="173"/>
      <c r="H95" s="173"/>
      <c r="I95" s="173"/>
      <c r="J95" s="173"/>
      <c r="K95" s="173"/>
    </row>
    <row r="96" spans="1:11" x14ac:dyDescent="0.25">
      <c r="A96" s="17"/>
      <c r="B96" s="17"/>
      <c r="C96" s="308"/>
      <c r="D96" s="307"/>
      <c r="E96" s="17"/>
      <c r="F96" s="17"/>
      <c r="G96" s="173"/>
      <c r="H96" s="173"/>
      <c r="I96" s="173"/>
      <c r="J96" s="173"/>
      <c r="K96" s="173"/>
    </row>
    <row r="97" spans="1:11" x14ac:dyDescent="0.25">
      <c r="A97" s="17" t="s">
        <v>467</v>
      </c>
      <c r="B97" s="17"/>
      <c r="C97" s="17" t="s">
        <v>141</v>
      </c>
      <c r="D97" s="17"/>
      <c r="E97" s="17"/>
      <c r="F97" s="17" t="s">
        <v>198</v>
      </c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2" workbookViewId="0">
      <selection activeCell="G73" sqref="G73"/>
    </sheetView>
  </sheetViews>
  <sheetFormatPr defaultRowHeight="15" x14ac:dyDescent="0.25"/>
  <cols>
    <col min="1" max="1" width="19.28515625" customWidth="1"/>
    <col min="2" max="2" width="9.140625" customWidth="1"/>
    <col min="5" max="5" width="15.7109375" customWidth="1"/>
    <col min="8" max="8" width="9.140625" customWidth="1"/>
  </cols>
  <sheetData>
    <row r="1" spans="1:11" ht="15.75" x14ac:dyDescent="0.25">
      <c r="A1" s="173"/>
      <c r="B1" s="95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</row>
    <row r="2" spans="1:11" x14ac:dyDescent="0.25">
      <c r="A2" s="66"/>
      <c r="B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</row>
    <row r="3" spans="1:11" x14ac:dyDescent="0.25">
      <c r="A3" s="173"/>
      <c r="B3" s="173"/>
      <c r="D3" s="66" t="s">
        <v>556</v>
      </c>
      <c r="E3" s="164"/>
      <c r="F3" s="16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1" x14ac:dyDescent="0.25">
      <c r="A6" s="273" t="s">
        <v>413</v>
      </c>
      <c r="B6" s="274">
        <v>2</v>
      </c>
      <c r="C6" s="265"/>
      <c r="D6" s="276">
        <f>'MAY 20'!I6:I17</f>
        <v>3000</v>
      </c>
      <c r="E6" s="277">
        <v>100</v>
      </c>
      <c r="F6" s="278">
        <v>6000</v>
      </c>
      <c r="G6" s="263">
        <f t="shared" ref="G6:G17" si="0">F6+D6</f>
        <v>9000</v>
      </c>
      <c r="H6" s="264">
        <v>9000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'MAY 20'!I7:I18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'MAY 20'!I8:I19</f>
        <v>0</v>
      </c>
      <c r="E8" s="278"/>
      <c r="F8" s="278">
        <v>4500</v>
      </c>
      <c r="G8" s="263">
        <f t="shared" si="0"/>
        <v>4500</v>
      </c>
      <c r="H8" s="264">
        <f>3000</f>
        <v>3000</v>
      </c>
      <c r="I8" s="263">
        <f t="shared" si="1"/>
        <v>1500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'MAY 20'!I9:I20</f>
        <v>1500</v>
      </c>
      <c r="E9" s="276"/>
      <c r="F9" s="278">
        <v>4500</v>
      </c>
      <c r="G9" s="263">
        <f t="shared" si="0"/>
        <v>6000</v>
      </c>
      <c r="H9" s="264">
        <f>4000</f>
        <v>4000</v>
      </c>
      <c r="I9" s="263">
        <f t="shared" si="1"/>
        <v>2000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'MAY 20'!I10:I21</f>
        <v>1500</v>
      </c>
      <c r="E10" s="276"/>
      <c r="F10" s="278">
        <v>4500</v>
      </c>
      <c r="G10" s="263">
        <f t="shared" si="0"/>
        <v>6000</v>
      </c>
      <c r="H10" s="264"/>
      <c r="I10" s="263">
        <f t="shared" si="1"/>
        <v>6000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'MAY 20'!I11:I22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'MAY 20'!I12:I23</f>
        <v>11500</v>
      </c>
      <c r="E12" s="276"/>
      <c r="F12" s="278">
        <v>4500</v>
      </c>
      <c r="G12" s="263">
        <f t="shared" si="0"/>
        <v>16000</v>
      </c>
      <c r="H12" s="264"/>
      <c r="I12" s="263">
        <f t="shared" si="1"/>
        <v>16000</v>
      </c>
      <c r="J12" s="17" t="s">
        <v>603</v>
      </c>
      <c r="K12" s="173"/>
    </row>
    <row r="13" spans="1:11" x14ac:dyDescent="0.25">
      <c r="A13" s="273" t="s">
        <v>283</v>
      </c>
      <c r="B13" s="274">
        <v>1</v>
      </c>
      <c r="C13" s="265"/>
      <c r="D13" s="276">
        <f>'MAY 20'!I13:I24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</row>
    <row r="14" spans="1:11" x14ac:dyDescent="0.25">
      <c r="A14" s="273" t="s">
        <v>212</v>
      </c>
      <c r="B14" s="274">
        <v>2</v>
      </c>
      <c r="C14" s="265"/>
      <c r="D14" s="276">
        <f>'MAY 20'!I14:I25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'MAY 20'!I15:I26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/>
      <c r="B16" s="274">
        <v>4</v>
      </c>
      <c r="C16" s="265"/>
      <c r="D16" s="276">
        <f>'MAY 20'!I16:I27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'MAY 20'!I17:I28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/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17500</v>
      </c>
      <c r="E18" s="281">
        <f t="shared" si="2"/>
        <v>650</v>
      </c>
      <c r="F18" s="281">
        <f t="shared" si="2"/>
        <v>45000</v>
      </c>
      <c r="G18" s="282">
        <f t="shared" si="2"/>
        <v>62500</v>
      </c>
      <c r="H18" s="266">
        <f t="shared" si="2"/>
        <v>37000</v>
      </c>
      <c r="I18" s="366">
        <f t="shared" si="2"/>
        <v>25500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219</v>
      </c>
      <c r="B23" s="350">
        <f>F18</f>
        <v>45000</v>
      </c>
      <c r="C23" s="201"/>
      <c r="D23" s="201"/>
      <c r="E23" s="201" t="s">
        <v>219</v>
      </c>
      <c r="F23" s="350">
        <f>H18</f>
        <v>37000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'MAY 20'!D35</f>
        <v>-7012</v>
      </c>
      <c r="C24" s="201"/>
      <c r="D24" s="201"/>
      <c r="E24" s="201" t="s">
        <v>147</v>
      </c>
      <c r="F24" s="350">
        <f>'MAY 20'!H35</f>
        <v>-24512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353" t="s">
        <v>272</v>
      </c>
      <c r="B27" s="3"/>
      <c r="C27" s="247">
        <f>F17+F13</f>
        <v>6000</v>
      </c>
      <c r="D27" s="3"/>
      <c r="E27" s="353" t="s">
        <v>272</v>
      </c>
      <c r="F27" s="3"/>
      <c r="G27" s="247">
        <f>C27</f>
        <v>6000</v>
      </c>
      <c r="H27" s="3"/>
      <c r="I27" s="292"/>
      <c r="J27" s="17"/>
      <c r="K27" s="173"/>
    </row>
    <row r="28" spans="1:11" x14ac:dyDescent="0.25">
      <c r="A28" s="353" t="s">
        <v>602</v>
      </c>
      <c r="B28" s="3"/>
      <c r="C28" s="247">
        <v>12800</v>
      </c>
      <c r="D28" s="3"/>
      <c r="E28" s="353" t="s">
        <v>602</v>
      </c>
      <c r="F28" s="3"/>
      <c r="G28" s="247">
        <v>12800</v>
      </c>
      <c r="H28" s="3"/>
      <c r="I28" s="292"/>
      <c r="J28" s="17"/>
      <c r="K28" s="173"/>
    </row>
    <row r="29" spans="1:11" x14ac:dyDescent="0.25">
      <c r="A29" s="354" t="s">
        <v>616</v>
      </c>
      <c r="B29" s="201"/>
      <c r="C29" s="201">
        <v>16000</v>
      </c>
      <c r="D29" s="201"/>
      <c r="E29" s="354"/>
      <c r="F29" s="201"/>
      <c r="G29" s="201"/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</row>
    <row r="32" spans="1:11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</row>
    <row r="33" spans="1:12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</row>
    <row r="34" spans="1:12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2" x14ac:dyDescent="0.25">
      <c r="A35" s="363" t="s">
        <v>62</v>
      </c>
      <c r="B35" s="364">
        <f>B23+B24+B26-C25</f>
        <v>34838</v>
      </c>
      <c r="C35" s="364">
        <f>SUM(C27:C34)</f>
        <v>34800</v>
      </c>
      <c r="D35" s="364">
        <f>B35-C35</f>
        <v>38</v>
      </c>
      <c r="E35" s="363" t="s">
        <v>62</v>
      </c>
      <c r="F35" s="364">
        <f>F23+F24-G25</f>
        <v>9338</v>
      </c>
      <c r="G35" s="364">
        <f>SUM(G27:G34)</f>
        <v>18800</v>
      </c>
      <c r="H35" s="365">
        <f>F35-G35</f>
        <v>-9462</v>
      </c>
      <c r="I35" s="292"/>
      <c r="J35" s="17"/>
      <c r="K35" s="173"/>
    </row>
    <row r="36" spans="1:12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2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2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2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2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  <c r="K40" s="173"/>
    </row>
    <row r="41" spans="1:12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2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2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2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>
        <f>550+650</f>
        <v>1200</v>
      </c>
    </row>
    <row r="45" spans="1:12" x14ac:dyDescent="0.25">
      <c r="A45" s="175"/>
      <c r="B45" s="175"/>
      <c r="C45" s="175" t="s">
        <v>556</v>
      </c>
      <c r="D45" s="175"/>
      <c r="E45" s="175"/>
      <c r="F45" s="175"/>
      <c r="G45" s="175"/>
      <c r="H45" s="175"/>
      <c r="I45" s="175"/>
      <c r="J45" s="173"/>
      <c r="K45" s="173"/>
    </row>
    <row r="46" spans="1:12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2" x14ac:dyDescent="0.25">
      <c r="A47" s="3" t="s">
        <v>365</v>
      </c>
      <c r="B47" s="3" t="s">
        <v>339</v>
      </c>
      <c r="C47" s="3"/>
      <c r="D47" s="3">
        <f>'MAY 20'!H47:H73</f>
        <v>0</v>
      </c>
      <c r="E47" s="3">
        <v>4000</v>
      </c>
      <c r="F47" s="3">
        <f t="shared" ref="F47:F59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2" x14ac:dyDescent="0.25">
      <c r="A48" s="3" t="s">
        <v>545</v>
      </c>
      <c r="B48" s="3" t="s">
        <v>340</v>
      </c>
      <c r="C48" s="3"/>
      <c r="D48" s="3">
        <f>'MAY 20'!H48:H74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'MAY 20'!H49:H75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'MAY 20'!H50:H76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604</v>
      </c>
      <c r="C51" s="3"/>
      <c r="D51" s="3">
        <f>'MAY 20'!H51:H77</f>
        <v>0</v>
      </c>
      <c r="E51" s="3">
        <v>5000</v>
      </c>
      <c r="F51" s="3">
        <f>C51+D52+E51</f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s="173" customFormat="1" x14ac:dyDescent="0.25">
      <c r="A52" s="3" t="s">
        <v>274</v>
      </c>
      <c r="B52" s="3" t="s">
        <v>605</v>
      </c>
      <c r="C52" s="3"/>
      <c r="D52" s="3"/>
      <c r="E52" s="3"/>
      <c r="F52" s="3"/>
      <c r="G52" s="3"/>
      <c r="H52" s="3"/>
      <c r="I52" s="3"/>
    </row>
    <row r="53" spans="1:11" s="173" customFormat="1" x14ac:dyDescent="0.25">
      <c r="A53" s="3" t="s">
        <v>566</v>
      </c>
      <c r="B53" s="3" t="s">
        <v>343</v>
      </c>
      <c r="C53" s="3"/>
      <c r="D53" s="3"/>
      <c r="E53" s="3"/>
      <c r="F53" s="3"/>
      <c r="G53" s="3"/>
      <c r="H53" s="3"/>
      <c r="I53" s="3"/>
    </row>
    <row r="54" spans="1:11" x14ac:dyDescent="0.25">
      <c r="A54" s="3" t="s">
        <v>567</v>
      </c>
      <c r="B54" s="3" t="s">
        <v>344</v>
      </c>
      <c r="C54" s="3"/>
      <c r="D54" s="3">
        <f>'MAY 20'!H53:H79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 t="s">
        <v>142</v>
      </c>
      <c r="K54" s="362"/>
    </row>
    <row r="55" spans="1:11" x14ac:dyDescent="0.25">
      <c r="A55" s="361" t="s">
        <v>243</v>
      </c>
      <c r="B55" s="361" t="s">
        <v>345</v>
      </c>
      <c r="C55" s="361"/>
      <c r="D55" s="3">
        <f>'MAY 20'!H54:H80</f>
        <v>0</v>
      </c>
      <c r="E55" s="361"/>
      <c r="F55" s="361">
        <f t="shared" si="3"/>
        <v>0</v>
      </c>
      <c r="G55" s="361"/>
      <c r="H55" s="361">
        <f>F55-G55</f>
        <v>0</v>
      </c>
      <c r="I55" s="3"/>
      <c r="J55" s="173"/>
      <c r="K55" s="173"/>
    </row>
    <row r="56" spans="1:11" x14ac:dyDescent="0.25">
      <c r="A56" s="3" t="s">
        <v>393</v>
      </c>
      <c r="B56" s="3" t="s">
        <v>346</v>
      </c>
      <c r="C56" s="3"/>
      <c r="D56" s="3">
        <f>'MAY 20'!H55:H81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  <c r="K56" s="173"/>
    </row>
    <row r="57" spans="1:11" x14ac:dyDescent="0.25">
      <c r="A57" s="3" t="s">
        <v>568</v>
      </c>
      <c r="B57" s="3" t="s">
        <v>347</v>
      </c>
      <c r="C57" s="3"/>
      <c r="D57" s="3">
        <f>'MAY 20'!H56:H82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559</v>
      </c>
      <c r="K57" s="173"/>
    </row>
    <row r="58" spans="1:11" x14ac:dyDescent="0.25">
      <c r="A58" s="3" t="s">
        <v>67</v>
      </c>
      <c r="B58" s="3" t="s">
        <v>348</v>
      </c>
      <c r="C58" s="3"/>
      <c r="D58" s="3">
        <f>'MAY 20'!H57:H83</f>
        <v>0</v>
      </c>
      <c r="E58" s="3">
        <v>7500</v>
      </c>
      <c r="F58" s="3">
        <f t="shared" si="3"/>
        <v>7500</v>
      </c>
      <c r="G58" s="3">
        <v>7500</v>
      </c>
      <c r="H58" s="3">
        <f t="shared" si="4"/>
        <v>0</v>
      </c>
      <c r="I58" s="3"/>
      <c r="J58" s="173" t="s">
        <v>142</v>
      </c>
      <c r="K58" s="173"/>
    </row>
    <row r="59" spans="1:11" x14ac:dyDescent="0.25">
      <c r="A59" s="3" t="s">
        <v>609</v>
      </c>
      <c r="B59" s="3" t="s">
        <v>349</v>
      </c>
      <c r="C59" s="3"/>
      <c r="D59" s="3">
        <f>'MAY 20'!H58:H84</f>
        <v>0</v>
      </c>
      <c r="E59" s="3">
        <v>7500</v>
      </c>
      <c r="F59" s="3">
        <f t="shared" si="3"/>
        <v>7500</v>
      </c>
      <c r="G59" s="3">
        <v>7500</v>
      </c>
      <c r="H59" s="3">
        <f>F59-G59</f>
        <v>0</v>
      </c>
      <c r="I59" s="3"/>
      <c r="J59" s="173" t="s">
        <v>142</v>
      </c>
      <c r="K59" s="173"/>
    </row>
    <row r="60" spans="1:11" x14ac:dyDescent="0.25">
      <c r="A60" s="367" t="s">
        <v>569</v>
      </c>
      <c r="B60" s="3" t="s">
        <v>350</v>
      </c>
      <c r="C60" s="3"/>
      <c r="D60" s="3"/>
      <c r="E60" s="3"/>
      <c r="F60" s="3"/>
      <c r="G60" s="367"/>
      <c r="H60" s="3">
        <f>F60-G60</f>
        <v>0</v>
      </c>
      <c r="I60" s="3"/>
      <c r="J60" s="173"/>
      <c r="K60" s="173"/>
    </row>
    <row r="61" spans="1:11" x14ac:dyDescent="0.25">
      <c r="A61" s="3" t="s">
        <v>557</v>
      </c>
      <c r="B61" s="3" t="s">
        <v>351</v>
      </c>
      <c r="C61" s="3"/>
      <c r="D61" s="3">
        <v>9000</v>
      </c>
      <c r="E61" s="3">
        <v>9000</v>
      </c>
      <c r="F61" s="3">
        <f t="shared" ref="F61:F73" si="5">C61+D61+E61</f>
        <v>18000</v>
      </c>
      <c r="G61" s="3">
        <v>2000</v>
      </c>
      <c r="H61" s="3">
        <f>F61-G61</f>
        <v>16000</v>
      </c>
      <c r="I61" s="3"/>
      <c r="J61" s="173" t="s">
        <v>638</v>
      </c>
      <c r="K61" s="173"/>
    </row>
    <row r="62" spans="1:11" x14ac:dyDescent="0.25">
      <c r="A62" s="3" t="s">
        <v>372</v>
      </c>
      <c r="B62" s="3" t="s">
        <v>352</v>
      </c>
      <c r="C62" s="3"/>
      <c r="D62" s="3">
        <v>10000</v>
      </c>
      <c r="E62" s="3"/>
      <c r="F62" s="3">
        <f t="shared" si="5"/>
        <v>10000</v>
      </c>
      <c r="G62" s="3">
        <v>10000</v>
      </c>
      <c r="H62" s="3">
        <f t="shared" si="4"/>
        <v>0</v>
      </c>
      <c r="I62" s="3"/>
      <c r="J62" s="173"/>
      <c r="K62" s="173"/>
    </row>
    <row r="63" spans="1:11" x14ac:dyDescent="0.25">
      <c r="A63" s="3" t="s">
        <v>571</v>
      </c>
      <c r="B63" s="3" t="s">
        <v>353</v>
      </c>
      <c r="C63" s="3"/>
      <c r="D63" s="3"/>
      <c r="E63" s="3"/>
      <c r="F63" s="3">
        <f t="shared" si="5"/>
        <v>0</v>
      </c>
      <c r="G63" s="3"/>
      <c r="H63" s="3">
        <f t="shared" si="4"/>
        <v>0</v>
      </c>
      <c r="I63" s="3"/>
      <c r="J63" s="173"/>
      <c r="K63" s="173"/>
    </row>
    <row r="64" spans="1:11" x14ac:dyDescent="0.25">
      <c r="A64" s="3" t="s">
        <v>570</v>
      </c>
      <c r="B64" s="3" t="s">
        <v>354</v>
      </c>
      <c r="C64" s="3"/>
      <c r="D64" s="3">
        <v>2500</v>
      </c>
      <c r="E64" s="3">
        <v>8500</v>
      </c>
      <c r="F64" s="3">
        <f t="shared" si="5"/>
        <v>11000</v>
      </c>
      <c r="G64" s="3">
        <v>8500</v>
      </c>
      <c r="H64" s="3">
        <f t="shared" si="4"/>
        <v>2500</v>
      </c>
      <c r="I64" s="3"/>
      <c r="J64" s="173" t="s">
        <v>560</v>
      </c>
      <c r="K64" s="173"/>
    </row>
    <row r="65" spans="1:11" x14ac:dyDescent="0.25">
      <c r="A65" s="3" t="s">
        <v>531</v>
      </c>
      <c r="B65" s="3" t="s">
        <v>355</v>
      </c>
      <c r="C65" s="3"/>
      <c r="D65" s="3">
        <f>'MAY 20'!H64:H90</f>
        <v>0</v>
      </c>
      <c r="E65" s="3">
        <v>8000</v>
      </c>
      <c r="F65" s="3">
        <f t="shared" si="5"/>
        <v>8000</v>
      </c>
      <c r="G65" s="3"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516</v>
      </c>
      <c r="B66" s="3" t="s">
        <v>356</v>
      </c>
      <c r="C66" s="3"/>
      <c r="D66" s="3"/>
      <c r="E66" s="3">
        <v>8000</v>
      </c>
      <c r="F66" s="3">
        <f t="shared" si="5"/>
        <v>8000</v>
      </c>
      <c r="G66" s="3">
        <f>7000+1000</f>
        <v>8000</v>
      </c>
      <c r="H66" s="3">
        <f t="shared" si="4"/>
        <v>0</v>
      </c>
      <c r="I66" s="3"/>
      <c r="J66" s="173"/>
      <c r="K66" s="173"/>
    </row>
    <row r="67" spans="1:11" x14ac:dyDescent="0.25">
      <c r="A67" s="3" t="s">
        <v>457</v>
      </c>
      <c r="B67" s="3" t="s">
        <v>357</v>
      </c>
      <c r="C67" s="3"/>
      <c r="D67" s="3">
        <v>12700</v>
      </c>
      <c r="E67" s="3">
        <v>9000</v>
      </c>
      <c r="F67" s="3">
        <f t="shared" si="5"/>
        <v>21700</v>
      </c>
      <c r="G67" s="3">
        <f>800+1000+1000+900</f>
        <v>3700</v>
      </c>
      <c r="H67" s="3">
        <f t="shared" si="4"/>
        <v>18000</v>
      </c>
      <c r="I67" s="3"/>
      <c r="J67" s="173"/>
      <c r="K67" s="362"/>
    </row>
    <row r="68" spans="1:11" x14ac:dyDescent="0.25">
      <c r="A68" s="3" t="s">
        <v>419</v>
      </c>
      <c r="B68" s="3" t="s">
        <v>358</v>
      </c>
      <c r="C68" s="3"/>
      <c r="D68" s="3">
        <f>'MAY 20'!H67:H93</f>
        <v>0</v>
      </c>
      <c r="E68" s="3">
        <v>5000</v>
      </c>
      <c r="F68" s="3">
        <f t="shared" si="5"/>
        <v>5000</v>
      </c>
      <c r="G68" s="3">
        <v>5000</v>
      </c>
      <c r="H68" s="3">
        <f t="shared" si="4"/>
        <v>0</v>
      </c>
      <c r="I68" s="3"/>
      <c r="J68" s="173"/>
      <c r="K68" s="173"/>
    </row>
    <row r="69" spans="1:11" x14ac:dyDescent="0.25">
      <c r="A69" s="3" t="s">
        <v>378</v>
      </c>
      <c r="B69" s="3" t="s">
        <v>359</v>
      </c>
      <c r="C69" s="3"/>
      <c r="D69" s="3">
        <f>'MAY 20'!H68:H94</f>
        <v>0</v>
      </c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 t="s">
        <v>142</v>
      </c>
      <c r="K69" s="173"/>
    </row>
    <row r="70" spans="1:11" x14ac:dyDescent="0.25">
      <c r="A70" s="3" t="s">
        <v>496</v>
      </c>
      <c r="B70" s="3" t="s">
        <v>360</v>
      </c>
      <c r="C70" s="3"/>
      <c r="D70" s="3">
        <f>'MAY 20'!H69:H95</f>
        <v>0</v>
      </c>
      <c r="E70" s="3">
        <v>8500</v>
      </c>
      <c r="F70" s="3">
        <f t="shared" si="5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380</v>
      </c>
      <c r="B71" s="3" t="s">
        <v>361</v>
      </c>
      <c r="C71" s="3"/>
      <c r="D71" s="3"/>
      <c r="E71" s="3">
        <v>8000</v>
      </c>
      <c r="F71" s="3">
        <f t="shared" si="5"/>
        <v>8000</v>
      </c>
      <c r="G71" s="3">
        <v>8000</v>
      </c>
      <c r="H71" s="3">
        <f t="shared" si="4"/>
        <v>0</v>
      </c>
      <c r="I71" s="3"/>
      <c r="J71" s="173" t="s">
        <v>142</v>
      </c>
      <c r="K71" s="362"/>
    </row>
    <row r="72" spans="1:11" x14ac:dyDescent="0.25">
      <c r="A72" s="375" t="s">
        <v>503</v>
      </c>
      <c r="B72" s="3" t="s">
        <v>362</v>
      </c>
      <c r="C72" s="3"/>
      <c r="D72" s="3">
        <v>8000</v>
      </c>
      <c r="E72" s="3">
        <v>8000</v>
      </c>
      <c r="F72" s="3">
        <f t="shared" si="5"/>
        <v>16000</v>
      </c>
      <c r="G72" s="3">
        <v>1000</v>
      </c>
      <c r="H72" s="3">
        <f t="shared" si="4"/>
        <v>15000</v>
      </c>
      <c r="I72" s="3"/>
      <c r="J72" s="173" t="s">
        <v>142</v>
      </c>
      <c r="K72" s="173"/>
    </row>
    <row r="73" spans="1:11" x14ac:dyDescent="0.25">
      <c r="A73" s="375" t="s">
        <v>440</v>
      </c>
      <c r="B73" s="3" t="s">
        <v>363</v>
      </c>
      <c r="C73" s="3"/>
      <c r="D73" s="3"/>
      <c r="E73" s="3">
        <v>8500</v>
      </c>
      <c r="F73" s="3">
        <f t="shared" si="5"/>
        <v>8500</v>
      </c>
      <c r="G73" s="3">
        <v>8500</v>
      </c>
      <c r="H73" s="3">
        <f t="shared" si="4"/>
        <v>0</v>
      </c>
      <c r="I73" s="3"/>
      <c r="J73" s="173" t="s">
        <v>142</v>
      </c>
      <c r="K73" s="173"/>
    </row>
    <row r="74" spans="1:11" x14ac:dyDescent="0.25">
      <c r="A74" s="375" t="s">
        <v>524</v>
      </c>
      <c r="B74" s="3" t="s">
        <v>364</v>
      </c>
      <c r="C74" s="3"/>
      <c r="D74" s="3">
        <v>1000</v>
      </c>
      <c r="E74" s="3">
        <v>5000</v>
      </c>
      <c r="F74" s="3">
        <f>C74+D74+E74</f>
        <v>6000</v>
      </c>
      <c r="G74" s="3">
        <v>6000</v>
      </c>
      <c r="H74" s="3">
        <f t="shared" si="4"/>
        <v>0</v>
      </c>
      <c r="I74" s="3"/>
      <c r="J74" s="173"/>
      <c r="K74" s="173">
        <f>G73+G69+G59+G58+E71</f>
        <v>40000</v>
      </c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  <c r="K75" s="173"/>
    </row>
    <row r="76" spans="1:11" x14ac:dyDescent="0.25">
      <c r="A76" s="343" t="s">
        <v>62</v>
      </c>
      <c r="B76" s="343"/>
      <c r="C76" s="343">
        <f t="shared" ref="C76:I76" si="6">SUM(C47:C75)</f>
        <v>0</v>
      </c>
      <c r="D76" s="3">
        <f>SUM(D47:D75)</f>
        <v>43200</v>
      </c>
      <c r="E76" s="343">
        <f t="shared" si="6"/>
        <v>149000</v>
      </c>
      <c r="F76" s="343">
        <f t="shared" si="6"/>
        <v>192200</v>
      </c>
      <c r="G76" s="343">
        <f t="shared" si="6"/>
        <v>140700</v>
      </c>
      <c r="H76" s="343">
        <f t="shared" si="6"/>
        <v>51500</v>
      </c>
      <c r="I76" s="343">
        <f t="shared" si="6"/>
        <v>0</v>
      </c>
      <c r="J76" s="173"/>
      <c r="K76" s="173"/>
    </row>
    <row r="77" spans="1:11" x14ac:dyDescent="0.25">
      <c r="A77" s="173"/>
      <c r="B77" s="173"/>
      <c r="C77" s="173"/>
      <c r="D77" s="173"/>
      <c r="E77" s="173"/>
      <c r="F77" s="173"/>
      <c r="G77" s="173"/>
      <c r="H77" s="173">
        <f>H66+H64</f>
        <v>2500</v>
      </c>
      <c r="I77" s="173"/>
      <c r="J77" s="173"/>
      <c r="K77" s="173"/>
    </row>
    <row r="78" spans="1:11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</row>
    <row r="79" spans="1:11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</row>
    <row r="80" spans="1:11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</row>
    <row r="81" spans="1:11" x14ac:dyDescent="0.25">
      <c r="A81" s="201" t="s">
        <v>219</v>
      </c>
      <c r="B81" s="350">
        <f>C76+E76</f>
        <v>149000</v>
      </c>
      <c r="C81" s="201"/>
      <c r="D81" s="201"/>
      <c r="E81" s="201" t="s">
        <v>219</v>
      </c>
      <c r="F81" s="350">
        <f>C76+G76</f>
        <v>140700</v>
      </c>
      <c r="G81" s="201"/>
      <c r="H81" s="201"/>
      <c r="I81" s="173"/>
      <c r="J81" s="173"/>
      <c r="K81" s="173"/>
    </row>
    <row r="82" spans="1:11" x14ac:dyDescent="0.25">
      <c r="A82" s="201" t="s">
        <v>147</v>
      </c>
      <c r="B82" s="350">
        <f>'MAY 20'!D92</f>
        <v>-6005</v>
      </c>
      <c r="C82" s="201"/>
      <c r="D82" s="201"/>
      <c r="E82" s="201" t="s">
        <v>147</v>
      </c>
      <c r="F82" s="350">
        <f>'MAY 20'!H92</f>
        <v>-23205</v>
      </c>
      <c r="G82" s="201"/>
      <c r="H82" s="201"/>
      <c r="I82" s="173"/>
      <c r="J82" s="54"/>
      <c r="K82" s="173"/>
    </row>
    <row r="83" spans="1:11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54"/>
      <c r="K83" s="173"/>
    </row>
    <row r="84" spans="1:11" x14ac:dyDescent="0.25">
      <c r="A84" s="201" t="s">
        <v>390</v>
      </c>
      <c r="B84" s="358">
        <v>4.4999999999999998E-2</v>
      </c>
      <c r="C84" s="350">
        <f>B84*B81</f>
        <v>6705</v>
      </c>
      <c r="D84" s="201"/>
      <c r="E84" s="201" t="s">
        <v>390</v>
      </c>
      <c r="F84" s="359">
        <v>4.4999999999999998E-2</v>
      </c>
      <c r="G84" s="350">
        <f>C84</f>
        <v>6705</v>
      </c>
      <c r="H84" s="201"/>
      <c r="I84" s="173"/>
      <c r="J84" s="54"/>
      <c r="K84" s="173"/>
    </row>
    <row r="85" spans="1:11" x14ac:dyDescent="0.25">
      <c r="A85" s="361" t="s">
        <v>391</v>
      </c>
      <c r="B85" s="201" t="s">
        <v>89</v>
      </c>
      <c r="C85" s="201"/>
      <c r="D85" s="201"/>
      <c r="E85" s="361" t="s">
        <v>391</v>
      </c>
      <c r="F85" s="350"/>
      <c r="G85" s="201"/>
      <c r="H85" s="201"/>
      <c r="I85" s="173"/>
      <c r="J85" s="360"/>
      <c r="K85" s="173"/>
    </row>
    <row r="86" spans="1:11" x14ac:dyDescent="0.25">
      <c r="A86" s="85" t="s">
        <v>546</v>
      </c>
      <c r="B86" s="85"/>
      <c r="C86" s="85">
        <f>E73+E69</f>
        <v>17000</v>
      </c>
      <c r="D86" s="85"/>
      <c r="E86" s="85" t="s">
        <v>546</v>
      </c>
      <c r="F86" s="85"/>
      <c r="G86" s="85">
        <f>E73+E69</f>
        <v>17000</v>
      </c>
      <c r="H86" s="85"/>
      <c r="I86" s="173"/>
      <c r="J86" s="371"/>
      <c r="K86" s="173"/>
    </row>
    <row r="87" spans="1:11" x14ac:dyDescent="0.25">
      <c r="A87" s="369" t="s">
        <v>272</v>
      </c>
      <c r="B87" s="85"/>
      <c r="C87" s="85">
        <f>F58+F71+F59</f>
        <v>23000</v>
      </c>
      <c r="D87" s="85"/>
      <c r="E87" s="369" t="s">
        <v>272</v>
      </c>
      <c r="F87" s="85"/>
      <c r="G87" s="85">
        <f>C87</f>
        <v>23000</v>
      </c>
      <c r="H87" s="85"/>
      <c r="I87" s="173"/>
      <c r="J87" s="173">
        <f>G86+G87</f>
        <v>40000</v>
      </c>
      <c r="K87" s="173"/>
    </row>
    <row r="88" spans="1:11" x14ac:dyDescent="0.25">
      <c r="A88" s="3" t="s">
        <v>561</v>
      </c>
      <c r="B88" s="3"/>
      <c r="C88" s="3">
        <v>4000</v>
      </c>
      <c r="D88" s="3"/>
      <c r="E88" s="3" t="s">
        <v>561</v>
      </c>
      <c r="F88" s="3"/>
      <c r="G88" s="3">
        <v>4000</v>
      </c>
      <c r="H88" s="85"/>
      <c r="I88" s="362"/>
      <c r="J88" s="362"/>
      <c r="K88" s="173"/>
    </row>
    <row r="89" spans="1:11" s="173" customFormat="1" x14ac:dyDescent="0.25">
      <c r="A89" s="3" t="s">
        <v>562</v>
      </c>
      <c r="B89" s="3"/>
      <c r="C89" s="3">
        <v>7500</v>
      </c>
      <c r="D89" s="3"/>
      <c r="E89" s="3" t="s">
        <v>562</v>
      </c>
      <c r="F89" s="3"/>
      <c r="G89" s="3">
        <v>7500</v>
      </c>
      <c r="H89" s="85"/>
      <c r="I89" s="362"/>
      <c r="J89" s="362"/>
    </row>
    <row r="90" spans="1:11" s="173" customFormat="1" x14ac:dyDescent="0.25">
      <c r="A90" s="3" t="s">
        <v>354</v>
      </c>
      <c r="B90" s="3"/>
      <c r="C90" s="3">
        <v>8500</v>
      </c>
      <c r="D90" s="3"/>
      <c r="E90" s="3" t="s">
        <v>354</v>
      </c>
      <c r="F90" s="3"/>
      <c r="G90" s="3">
        <v>8500</v>
      </c>
      <c r="H90" s="85"/>
      <c r="I90" s="362"/>
      <c r="J90" s="362"/>
    </row>
    <row r="91" spans="1:11" x14ac:dyDescent="0.25">
      <c r="A91" s="369" t="s">
        <v>548</v>
      </c>
      <c r="B91" s="85"/>
      <c r="C91" s="85">
        <v>8000</v>
      </c>
      <c r="D91" s="85"/>
      <c r="E91" s="369"/>
      <c r="F91" s="85"/>
      <c r="G91" s="85"/>
      <c r="H91" s="85"/>
      <c r="I91" s="173"/>
      <c r="J91" s="173"/>
      <c r="K91" s="173"/>
    </row>
    <row r="92" spans="1:11" x14ac:dyDescent="0.25">
      <c r="A92" s="369" t="s">
        <v>563</v>
      </c>
      <c r="B92" s="85"/>
      <c r="C92" s="85">
        <v>9000</v>
      </c>
      <c r="D92" s="85"/>
      <c r="E92" s="369" t="s">
        <v>637</v>
      </c>
      <c r="F92" s="85"/>
      <c r="G92" s="85">
        <v>2000</v>
      </c>
      <c r="H92" s="85"/>
      <c r="I92" s="362"/>
      <c r="J92" s="173"/>
      <c r="K92" s="173"/>
    </row>
    <row r="93" spans="1:11" x14ac:dyDescent="0.25">
      <c r="A93" s="369" t="s">
        <v>564</v>
      </c>
      <c r="B93" s="85"/>
      <c r="C93" s="85">
        <v>9000</v>
      </c>
      <c r="D93" s="85"/>
      <c r="E93" s="369"/>
      <c r="F93" s="85"/>
      <c r="G93" s="85"/>
      <c r="H93" s="85"/>
      <c r="I93" s="362"/>
      <c r="J93" s="173"/>
      <c r="K93" s="173"/>
    </row>
    <row r="94" spans="1:11" s="173" customFormat="1" x14ac:dyDescent="0.25">
      <c r="A94" s="369" t="s">
        <v>565</v>
      </c>
      <c r="B94" s="85"/>
      <c r="C94" s="86">
        <v>5000</v>
      </c>
      <c r="D94" s="85"/>
      <c r="E94" s="369" t="s">
        <v>565</v>
      </c>
      <c r="F94" s="85"/>
      <c r="G94" s="86">
        <v>5000</v>
      </c>
      <c r="H94" s="85"/>
      <c r="I94" s="362"/>
    </row>
    <row r="95" spans="1:11" x14ac:dyDescent="0.25">
      <c r="A95" s="369" t="s">
        <v>601</v>
      </c>
      <c r="B95" s="85"/>
      <c r="C95" s="86">
        <v>45590</v>
      </c>
      <c r="D95" s="85"/>
      <c r="E95" s="369" t="s">
        <v>601</v>
      </c>
      <c r="F95" s="85"/>
      <c r="G95" s="86">
        <v>45590</v>
      </c>
      <c r="H95" s="85"/>
      <c r="I95" s="173"/>
      <c r="J95" s="173"/>
      <c r="K95" s="173"/>
    </row>
    <row r="96" spans="1:11" x14ac:dyDescent="0.25">
      <c r="A96" s="363" t="s">
        <v>62</v>
      </c>
      <c r="B96" s="364">
        <f>B81+B82+B83-C84</f>
        <v>136290</v>
      </c>
      <c r="C96" s="364">
        <f>SUM(C86:C95)</f>
        <v>136590</v>
      </c>
      <c r="D96" s="364">
        <f>B96-C96</f>
        <v>-300</v>
      </c>
      <c r="E96" s="363" t="s">
        <v>62</v>
      </c>
      <c r="F96" s="364">
        <f>F81+F82+F83-G84</f>
        <v>110790</v>
      </c>
      <c r="G96" s="364">
        <f>SUM(G86:G95)</f>
        <v>112590</v>
      </c>
      <c r="H96" s="364">
        <f>F96-G96</f>
        <v>-1800</v>
      </c>
      <c r="I96" s="173"/>
      <c r="J96" s="362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  <row r="99" spans="1:11" x14ac:dyDescent="0.25">
      <c r="A99" s="17" t="s">
        <v>306</v>
      </c>
      <c r="B99" s="17"/>
      <c r="C99" s="17" t="s">
        <v>308</v>
      </c>
      <c r="D99" s="307"/>
      <c r="E99" s="376"/>
      <c r="F99" s="17" t="s">
        <v>309</v>
      </c>
      <c r="G99" s="173"/>
      <c r="H99" s="173"/>
      <c r="I99" s="173"/>
      <c r="J99" s="173"/>
      <c r="K99" s="173"/>
    </row>
    <row r="100" spans="1:11" x14ac:dyDescent="0.25">
      <c r="A100" s="17"/>
      <c r="B100" s="17"/>
      <c r="C100" s="308"/>
      <c r="D100" s="307"/>
      <c r="E100" s="17"/>
      <c r="F100" s="17"/>
      <c r="G100" s="173"/>
      <c r="H100" s="173"/>
      <c r="I100" s="173"/>
      <c r="J100" s="173"/>
      <c r="K100" s="173"/>
    </row>
    <row r="101" spans="1:11" x14ac:dyDescent="0.25">
      <c r="A101" s="17" t="s">
        <v>467</v>
      </c>
      <c r="B101" s="17"/>
      <c r="C101" s="17" t="s">
        <v>141</v>
      </c>
      <c r="D101" s="17"/>
      <c r="E101" s="17"/>
      <c r="F101" s="17" t="s">
        <v>198</v>
      </c>
      <c r="G101" s="173"/>
      <c r="H101" s="173"/>
      <c r="I101" s="173"/>
      <c r="J101" s="173"/>
      <c r="K101" s="173"/>
    </row>
    <row r="102" spans="1:11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52" workbookViewId="0">
      <selection activeCell="K64" sqref="K64"/>
    </sheetView>
  </sheetViews>
  <sheetFormatPr defaultRowHeight="15" x14ac:dyDescent="0.25"/>
  <cols>
    <col min="1" max="1" width="20.140625" customWidth="1"/>
    <col min="10" max="10" width="10" bestFit="1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</row>
    <row r="3" spans="1:14" x14ac:dyDescent="0.25">
      <c r="A3" s="173"/>
      <c r="B3" s="173"/>
      <c r="C3" s="173"/>
      <c r="D3" s="66" t="s">
        <v>614</v>
      </c>
      <c r="E3" s="164"/>
      <c r="F3" s="164"/>
      <c r="G3" s="173"/>
      <c r="H3" s="173"/>
      <c r="I3" s="173"/>
      <c r="J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4" x14ac:dyDescent="0.25">
      <c r="A5" s="273"/>
      <c r="B5" s="274">
        <v>1</v>
      </c>
      <c r="C5" s="275" t="s">
        <v>89</v>
      </c>
      <c r="D5" s="276">
        <f>'JUNE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4" x14ac:dyDescent="0.25">
      <c r="A6" s="273" t="s">
        <v>413</v>
      </c>
      <c r="B6" s="274">
        <v>2</v>
      </c>
      <c r="C6" s="265"/>
      <c r="D6" s="276">
        <f>'JUNE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4" x14ac:dyDescent="0.25">
      <c r="A7" s="273" t="s">
        <v>406</v>
      </c>
      <c r="B7" s="274">
        <v>3</v>
      </c>
      <c r="C7" s="265"/>
      <c r="D7" s="276">
        <f>'JUNE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4" x14ac:dyDescent="0.25">
      <c r="A8" s="279" t="s">
        <v>304</v>
      </c>
      <c r="B8" s="274">
        <v>4</v>
      </c>
      <c r="C8" s="265"/>
      <c r="D8" s="276">
        <f>'JUNE 20'!I8:I20</f>
        <v>1500</v>
      </c>
      <c r="E8" s="278"/>
      <c r="F8" s="278">
        <v>4500</v>
      </c>
      <c r="G8" s="263">
        <f t="shared" si="0"/>
        <v>6000</v>
      </c>
      <c r="H8" s="264">
        <f>3000</f>
        <v>3000</v>
      </c>
      <c r="I8" s="263">
        <f t="shared" si="1"/>
        <v>3000</v>
      </c>
      <c r="J8" s="17"/>
    </row>
    <row r="9" spans="1:14" x14ac:dyDescent="0.25">
      <c r="A9" s="279" t="s">
        <v>425</v>
      </c>
      <c r="B9" s="280">
        <v>5</v>
      </c>
      <c r="C9" s="265"/>
      <c r="D9" s="276">
        <f>'JUNE 20'!I9:I21</f>
        <v>2000</v>
      </c>
      <c r="E9" s="276"/>
      <c r="F9" s="278">
        <v>4500</v>
      </c>
      <c r="G9" s="263">
        <f t="shared" si="0"/>
        <v>6500</v>
      </c>
      <c r="H9" s="264">
        <f>4000+2422</f>
        <v>6422</v>
      </c>
      <c r="I9" s="263">
        <f t="shared" si="1"/>
        <v>78</v>
      </c>
      <c r="J9" s="17"/>
    </row>
    <row r="10" spans="1:14" x14ac:dyDescent="0.25">
      <c r="A10" s="279" t="s">
        <v>449</v>
      </c>
      <c r="B10" s="280">
        <v>6</v>
      </c>
      <c r="C10" s="265"/>
      <c r="D10" s="276">
        <f>'JUNE 20'!I10:I22</f>
        <v>6000</v>
      </c>
      <c r="E10" s="276"/>
      <c r="F10" s="278">
        <v>4500</v>
      </c>
      <c r="G10" s="263">
        <f t="shared" si="0"/>
        <v>10500</v>
      </c>
      <c r="H10" s="264">
        <f>4500+600</f>
        <v>5100</v>
      </c>
      <c r="I10" s="263">
        <f t="shared" si="1"/>
        <v>5400</v>
      </c>
      <c r="J10" s="17"/>
    </row>
    <row r="11" spans="1:14" x14ac:dyDescent="0.25">
      <c r="A11" s="273" t="s">
        <v>429</v>
      </c>
      <c r="B11" s="280">
        <v>7</v>
      </c>
      <c r="C11" s="265"/>
      <c r="D11" s="276">
        <f>'JUNE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4" x14ac:dyDescent="0.25">
      <c r="A12" s="279" t="s">
        <v>299</v>
      </c>
      <c r="B12" s="280">
        <v>8</v>
      </c>
      <c r="C12" s="265"/>
      <c r="D12" s="276">
        <f>'JUNE 20'!I12:I24</f>
        <v>16000</v>
      </c>
      <c r="E12" s="276"/>
      <c r="F12" s="278"/>
      <c r="G12" s="263">
        <f>F12+D12+4500</f>
        <v>20500</v>
      </c>
      <c r="H12" s="264"/>
      <c r="I12" s="263">
        <f t="shared" si="1"/>
        <v>20500</v>
      </c>
      <c r="J12" s="17"/>
    </row>
    <row r="13" spans="1:14" x14ac:dyDescent="0.25">
      <c r="A13" s="273" t="s">
        <v>283</v>
      </c>
      <c r="B13" s="274">
        <v>1</v>
      </c>
      <c r="C13" s="265"/>
      <c r="D13" s="276">
        <f>'JUNE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</row>
    <row r="14" spans="1:14" x14ac:dyDescent="0.25">
      <c r="A14" s="273" t="s">
        <v>212</v>
      </c>
      <c r="B14" s="274">
        <v>2</v>
      </c>
      <c r="C14" s="265"/>
      <c r="D14" s="276">
        <f>'JUNE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4" x14ac:dyDescent="0.25">
      <c r="A15" s="279" t="s">
        <v>480</v>
      </c>
      <c r="B15" s="274">
        <v>3</v>
      </c>
      <c r="C15" s="265"/>
      <c r="D15" s="276">
        <f>'JUNE 20'!I15:I27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>G15-H15</f>
        <v>0</v>
      </c>
      <c r="J15" s="17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'JUNE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5" x14ac:dyDescent="0.25">
      <c r="A17" s="273" t="s">
        <v>211</v>
      </c>
      <c r="B17" s="274">
        <v>5</v>
      </c>
      <c r="C17" s="265"/>
      <c r="D17" s="276">
        <f>'JUNE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5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25500</v>
      </c>
      <c r="E18" s="281">
        <f t="shared" si="2"/>
        <v>550</v>
      </c>
      <c r="F18" s="281">
        <f t="shared" si="2"/>
        <v>40500</v>
      </c>
      <c r="G18" s="282">
        <f t="shared" si="2"/>
        <v>70500</v>
      </c>
      <c r="H18" s="266">
        <f t="shared" si="2"/>
        <v>41522</v>
      </c>
      <c r="I18" s="366">
        <f>SUM(I5:I17)</f>
        <v>28978</v>
      </c>
      <c r="J18" s="17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O21" s="263">
        <f>C15+F15+D15</f>
        <v>3000</v>
      </c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5" x14ac:dyDescent="0.25">
      <c r="A23" s="201" t="s">
        <v>223</v>
      </c>
      <c r="B23" s="350">
        <f>F18</f>
        <v>40500</v>
      </c>
      <c r="C23" s="201"/>
      <c r="D23" s="201"/>
      <c r="E23" s="201" t="s">
        <v>223</v>
      </c>
      <c r="F23" s="350">
        <f>H18</f>
        <v>41522</v>
      </c>
      <c r="G23" s="201"/>
      <c r="H23" s="201"/>
      <c r="I23" s="54"/>
      <c r="J23" s="17"/>
    </row>
    <row r="24" spans="1:15" x14ac:dyDescent="0.25">
      <c r="A24" s="201" t="s">
        <v>147</v>
      </c>
      <c r="B24" s="350">
        <f>'JUNE 20'!D35</f>
        <v>38</v>
      </c>
      <c r="C24" s="201"/>
      <c r="D24" s="201"/>
      <c r="E24" s="201" t="s">
        <v>147</v>
      </c>
      <c r="F24" s="350">
        <f>'JUNE 20'!H35</f>
        <v>-9462</v>
      </c>
      <c r="G24" s="350"/>
      <c r="H24" s="201"/>
      <c r="I24" s="54"/>
      <c r="J24" s="17"/>
    </row>
    <row r="25" spans="1:15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</row>
    <row r="29" spans="1:15" x14ac:dyDescent="0.25">
      <c r="A29" s="354" t="s">
        <v>621</v>
      </c>
      <c r="B29" s="201"/>
      <c r="C29" s="201">
        <v>30203</v>
      </c>
      <c r="D29" s="201"/>
      <c r="E29" s="354" t="s">
        <v>621</v>
      </c>
      <c r="F29" s="201"/>
      <c r="G29" s="201">
        <f>C29</f>
        <v>30203</v>
      </c>
      <c r="H29" s="201"/>
      <c r="I29" s="292"/>
      <c r="J29" s="17"/>
    </row>
    <row r="30" spans="1:15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</row>
    <row r="33" spans="1:10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</row>
    <row r="34" spans="1:10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</row>
    <row r="35" spans="1:10" x14ac:dyDescent="0.25">
      <c r="A35" s="363" t="s">
        <v>62</v>
      </c>
      <c r="B35" s="364">
        <f>B23+B24+B26-C25</f>
        <v>37703</v>
      </c>
      <c r="C35" s="364">
        <f>SUM(C27:C34)</f>
        <v>37703</v>
      </c>
      <c r="D35" s="364">
        <f>B35-C35</f>
        <v>0</v>
      </c>
      <c r="E35" s="363" t="s">
        <v>62</v>
      </c>
      <c r="F35" s="364">
        <f>F23+F24-G25</f>
        <v>29225</v>
      </c>
      <c r="G35" s="364">
        <f>SUM(G27:G34)</f>
        <v>37703</v>
      </c>
      <c r="H35" s="365">
        <f>F35-G35</f>
        <v>-8478</v>
      </c>
      <c r="I35" s="292"/>
      <c r="J35" s="17"/>
    </row>
    <row r="36" spans="1:10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</row>
    <row r="37" spans="1:10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</row>
    <row r="38" spans="1:10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</row>
    <row r="39" spans="1:10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</row>
    <row r="40" spans="1:10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</row>
    <row r="41" spans="1:10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</row>
    <row r="43" spans="1:10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</row>
    <row r="44" spans="1:10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614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173"/>
    </row>
    <row r="47" spans="1:10" x14ac:dyDescent="0.25">
      <c r="A47" s="3" t="s">
        <v>365</v>
      </c>
      <c r="B47" s="3" t="s">
        <v>339</v>
      </c>
      <c r="C47" s="3"/>
      <c r="D47" s="3">
        <f>'JUNE 20'!H47:H75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173"/>
    </row>
    <row r="48" spans="1:10" x14ac:dyDescent="0.25">
      <c r="A48" s="3" t="s">
        <v>545</v>
      </c>
      <c r="B48" s="3" t="s">
        <v>340</v>
      </c>
      <c r="C48" s="3"/>
      <c r="D48" s="3">
        <f>'JUNE 20'!H48:H76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173"/>
    </row>
    <row r="49" spans="1:10" x14ac:dyDescent="0.25">
      <c r="A49" s="3" t="s">
        <v>433</v>
      </c>
      <c r="B49" s="3" t="s">
        <v>341</v>
      </c>
      <c r="C49" s="3"/>
      <c r="D49" s="3">
        <f>'JUNE 20'!H49:H77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</row>
    <row r="50" spans="1:10" x14ac:dyDescent="0.25">
      <c r="A50" s="3" t="s">
        <v>434</v>
      </c>
      <c r="B50" s="3" t="s">
        <v>428</v>
      </c>
      <c r="C50" s="3"/>
      <c r="D50" s="3">
        <f>'JUNE 20'!H50:H78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</row>
    <row r="51" spans="1:10" x14ac:dyDescent="0.25">
      <c r="A51" s="3" t="s">
        <v>533</v>
      </c>
      <c r="B51" s="3" t="s">
        <v>604</v>
      </c>
      <c r="C51" s="3"/>
      <c r="D51" s="3">
        <f>'JUNE 20'!H51:H79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</row>
    <row r="52" spans="1:10" x14ac:dyDescent="0.25">
      <c r="A52" s="3" t="s">
        <v>274</v>
      </c>
      <c r="B52" s="3" t="s">
        <v>605</v>
      </c>
      <c r="C52" s="3"/>
      <c r="D52" s="3">
        <f>'JUNE 20'!H52:H80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</row>
    <row r="53" spans="1:10" x14ac:dyDescent="0.25">
      <c r="A53" s="3" t="s">
        <v>566</v>
      </c>
      <c r="B53" s="3" t="s">
        <v>343</v>
      </c>
      <c r="C53" s="3"/>
      <c r="D53" s="3">
        <f>'JUNE 20'!H53:H81</f>
        <v>0</v>
      </c>
      <c r="E53" s="3">
        <v>8500</v>
      </c>
      <c r="F53" s="3">
        <f t="shared" si="3"/>
        <v>8500</v>
      </c>
      <c r="G53" s="3">
        <f>8000+500</f>
        <v>8500</v>
      </c>
      <c r="H53" s="3">
        <f>F53-G53</f>
        <v>0</v>
      </c>
      <c r="I53" s="3"/>
      <c r="J53" s="173"/>
    </row>
    <row r="54" spans="1:10" x14ac:dyDescent="0.25">
      <c r="A54" s="3" t="s">
        <v>567</v>
      </c>
      <c r="B54" s="3" t="s">
        <v>344</v>
      </c>
      <c r="C54" s="3"/>
      <c r="D54" s="3">
        <f>'JUNE 20'!H54:H82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/>
    </row>
    <row r="55" spans="1:10" x14ac:dyDescent="0.25">
      <c r="A55" s="363" t="s">
        <v>612</v>
      </c>
      <c r="B55" s="363" t="s">
        <v>345</v>
      </c>
      <c r="C55" s="361"/>
      <c r="D55" s="3">
        <f>'JUNE 20'!H55:H83</f>
        <v>0</v>
      </c>
      <c r="E55" s="363">
        <v>8000</v>
      </c>
      <c r="F55" s="3">
        <f t="shared" si="3"/>
        <v>8000</v>
      </c>
      <c r="G55" s="361">
        <f>4540+3460</f>
        <v>8000</v>
      </c>
      <c r="H55" s="363">
        <f>F55-G55</f>
        <v>0</v>
      </c>
      <c r="I55" s="3"/>
      <c r="J55" s="173"/>
    </row>
    <row r="56" spans="1:10" x14ac:dyDescent="0.25">
      <c r="A56" s="3" t="s">
        <v>393</v>
      </c>
      <c r="B56" s="3" t="s">
        <v>346</v>
      </c>
      <c r="C56" s="3"/>
      <c r="D56" s="3">
        <f>'JUNE 20'!H56:H84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</row>
    <row r="57" spans="1:10" x14ac:dyDescent="0.25">
      <c r="A57" s="3" t="s">
        <v>568</v>
      </c>
      <c r="B57" s="3" t="s">
        <v>347</v>
      </c>
      <c r="C57" s="3"/>
      <c r="D57" s="3">
        <f>'JUNE 20'!H57:H85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/>
    </row>
    <row r="58" spans="1:10" x14ac:dyDescent="0.25">
      <c r="A58" s="3" t="s">
        <v>67</v>
      </c>
      <c r="B58" s="3" t="s">
        <v>348</v>
      </c>
      <c r="C58" s="3"/>
      <c r="D58" s="3">
        <f>'JUNE 20'!H58:H86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173"/>
    </row>
    <row r="59" spans="1:10" x14ac:dyDescent="0.25">
      <c r="A59" s="3" t="s">
        <v>606</v>
      </c>
      <c r="B59" s="3" t="s">
        <v>349</v>
      </c>
      <c r="C59" s="3"/>
      <c r="D59" s="3">
        <f>'JUNE 20'!H59:H87</f>
        <v>0</v>
      </c>
      <c r="E59" s="3">
        <v>8000</v>
      </c>
      <c r="F59" s="3">
        <f t="shared" si="3"/>
        <v>8000</v>
      </c>
      <c r="G59" s="3">
        <v>8000</v>
      </c>
      <c r="H59" s="3">
        <f>F59-G59</f>
        <v>0</v>
      </c>
      <c r="I59" s="3"/>
      <c r="J59" s="173" t="s">
        <v>607</v>
      </c>
    </row>
    <row r="60" spans="1:10" x14ac:dyDescent="0.25">
      <c r="A60" s="367" t="s">
        <v>569</v>
      </c>
      <c r="B60" s="3" t="s">
        <v>350</v>
      </c>
      <c r="C60" s="3"/>
      <c r="D60" s="3">
        <f>'JUNE 20'!H60:H88</f>
        <v>0</v>
      </c>
      <c r="E60" s="3">
        <v>8000</v>
      </c>
      <c r="F60" s="3">
        <f t="shared" si="3"/>
        <v>8000</v>
      </c>
      <c r="G60" s="367">
        <f>7000+1000</f>
        <v>8000</v>
      </c>
      <c r="H60" s="3">
        <f>F60-G60</f>
        <v>0</v>
      </c>
      <c r="I60" s="3"/>
      <c r="J60" s="173"/>
    </row>
    <row r="61" spans="1:10" x14ac:dyDescent="0.25">
      <c r="A61" s="3" t="s">
        <v>557</v>
      </c>
      <c r="B61" s="3" t="s">
        <v>351</v>
      </c>
      <c r="C61" s="3"/>
      <c r="D61" s="3">
        <f>'JUNE 20'!H61:H89</f>
        <v>16000</v>
      </c>
      <c r="E61" s="3">
        <v>9000</v>
      </c>
      <c r="F61" s="3">
        <f t="shared" si="3"/>
        <v>25000</v>
      </c>
      <c r="G61" s="3">
        <v>10000</v>
      </c>
      <c r="H61" s="3">
        <f>F61-G61</f>
        <v>15000</v>
      </c>
      <c r="I61" s="3">
        <v>10000</v>
      </c>
      <c r="J61" s="173" t="s">
        <v>740</v>
      </c>
    </row>
    <row r="62" spans="1:10" x14ac:dyDescent="0.25">
      <c r="A62" s="3" t="s">
        <v>243</v>
      </c>
      <c r="B62" s="3" t="s">
        <v>352</v>
      </c>
      <c r="C62" s="3"/>
      <c r="D62" s="3">
        <f>'JUNE 20'!H62:H90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173"/>
    </row>
    <row r="63" spans="1:10" x14ac:dyDescent="0.25">
      <c r="A63" s="3" t="s">
        <v>611</v>
      </c>
      <c r="B63" s="3" t="s">
        <v>353</v>
      </c>
      <c r="C63" s="3"/>
      <c r="D63" s="3">
        <f>'JUNE 20'!H63:H91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>
        <v>702983953</v>
      </c>
    </row>
    <row r="64" spans="1:10" x14ac:dyDescent="0.25">
      <c r="A64" s="3" t="s">
        <v>570</v>
      </c>
      <c r="B64" s="3" t="s">
        <v>354</v>
      </c>
      <c r="C64" s="3"/>
      <c r="D64" s="3">
        <f>'JUNE 20'!H64:H92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173"/>
    </row>
    <row r="65" spans="1:14" x14ac:dyDescent="0.25">
      <c r="A65" s="3" t="s">
        <v>531</v>
      </c>
      <c r="B65" s="3" t="s">
        <v>355</v>
      </c>
      <c r="C65" s="3"/>
      <c r="D65" s="3">
        <f>'JUNE 20'!H65:H93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173"/>
    </row>
    <row r="66" spans="1:14" x14ac:dyDescent="0.25">
      <c r="A66" s="3" t="s">
        <v>516</v>
      </c>
      <c r="B66" s="3" t="s">
        <v>356</v>
      </c>
      <c r="C66" s="3"/>
      <c r="D66" s="3">
        <f>'JUNE 20'!H66:H94</f>
        <v>0</v>
      </c>
      <c r="E66" s="3">
        <v>8000</v>
      </c>
      <c r="F66" s="3">
        <f t="shared" si="3"/>
        <v>8000</v>
      </c>
      <c r="G66" s="3">
        <f>3650</f>
        <v>3650</v>
      </c>
      <c r="H66" s="3">
        <f t="shared" si="4"/>
        <v>4350</v>
      </c>
      <c r="I66" s="3"/>
      <c r="J66" s="173"/>
    </row>
    <row r="67" spans="1:14" x14ac:dyDescent="0.25">
      <c r="A67" s="3" t="s">
        <v>457</v>
      </c>
      <c r="B67" s="3" t="s">
        <v>357</v>
      </c>
      <c r="C67" s="3"/>
      <c r="D67" s="3">
        <f>'JUNE 20'!H67:H95</f>
        <v>18000</v>
      </c>
      <c r="E67" s="3">
        <v>9000</v>
      </c>
      <c r="F67" s="3">
        <f t="shared" si="3"/>
        <v>27000</v>
      </c>
      <c r="G67" s="3">
        <f>1200+1300+1400</f>
        <v>3900</v>
      </c>
      <c r="H67" s="3">
        <f t="shared" si="4"/>
        <v>23100</v>
      </c>
      <c r="I67" s="3"/>
      <c r="J67" s="173" t="s">
        <v>628</v>
      </c>
      <c r="K67">
        <f>9000-3900</f>
        <v>5100</v>
      </c>
    </row>
    <row r="68" spans="1:14" x14ac:dyDescent="0.25">
      <c r="A68" s="3" t="s">
        <v>419</v>
      </c>
      <c r="B68" s="3" t="s">
        <v>358</v>
      </c>
      <c r="C68" s="3"/>
      <c r="D68" s="3">
        <f>'JUNE 20'!H68:H96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173"/>
    </row>
    <row r="69" spans="1:14" x14ac:dyDescent="0.25">
      <c r="A69" s="3" t="s">
        <v>378</v>
      </c>
      <c r="B69" s="3" t="s">
        <v>359</v>
      </c>
      <c r="C69" s="3"/>
      <c r="D69" s="3">
        <f>'JUNE 20'!H69:H97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173"/>
    </row>
    <row r="70" spans="1:14" x14ac:dyDescent="0.25">
      <c r="A70" s="3" t="s">
        <v>496</v>
      </c>
      <c r="B70" s="3" t="s">
        <v>360</v>
      </c>
      <c r="C70" s="3"/>
      <c r="D70" s="3">
        <f>'JUNE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</row>
    <row r="71" spans="1:14" x14ac:dyDescent="0.25">
      <c r="A71" s="3" t="s">
        <v>380</v>
      </c>
      <c r="B71" s="3" t="s">
        <v>361</v>
      </c>
      <c r="C71" s="3"/>
      <c r="D71" s="3">
        <v>4500</v>
      </c>
      <c r="E71" s="3">
        <v>8000</v>
      </c>
      <c r="F71" s="3">
        <f t="shared" si="3"/>
        <v>12500</v>
      </c>
      <c r="G71" s="3">
        <f>8500</f>
        <v>8500</v>
      </c>
      <c r="H71" s="3">
        <f t="shared" si="4"/>
        <v>4000</v>
      </c>
      <c r="I71" s="3">
        <f>500</f>
        <v>500</v>
      </c>
      <c r="J71" s="173" t="s">
        <v>608</v>
      </c>
    </row>
    <row r="72" spans="1:14" x14ac:dyDescent="0.25">
      <c r="A72" s="375" t="s">
        <v>503</v>
      </c>
      <c r="B72" s="3" t="s">
        <v>362</v>
      </c>
      <c r="C72" s="3"/>
      <c r="D72" s="3">
        <v>15000</v>
      </c>
      <c r="E72" s="3">
        <v>8000</v>
      </c>
      <c r="F72" s="3">
        <f t="shared" si="3"/>
        <v>23000</v>
      </c>
      <c r="G72" s="3">
        <f>7000</f>
        <v>7000</v>
      </c>
      <c r="H72" s="3">
        <f t="shared" si="4"/>
        <v>16000</v>
      </c>
      <c r="I72" s="3"/>
      <c r="J72" s="173" t="s">
        <v>610</v>
      </c>
      <c r="N72">
        <v>350</v>
      </c>
    </row>
    <row r="73" spans="1:14" x14ac:dyDescent="0.25">
      <c r="A73" s="375" t="s">
        <v>440</v>
      </c>
      <c r="B73" s="3" t="s">
        <v>363</v>
      </c>
      <c r="C73" s="3"/>
      <c r="D73" s="3">
        <f>'JUNE 20'!H73:H101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173" t="s">
        <v>142</v>
      </c>
    </row>
    <row r="74" spans="1:14" x14ac:dyDescent="0.25">
      <c r="A74" s="375" t="s">
        <v>524</v>
      </c>
      <c r="B74" s="3" t="s">
        <v>364</v>
      </c>
      <c r="C74" s="3"/>
      <c r="D74" s="3">
        <f>'JUNE 20'!H74:H102</f>
        <v>0</v>
      </c>
      <c r="E74" s="3">
        <v>5000</v>
      </c>
      <c r="F74" s="3">
        <f t="shared" si="3"/>
        <v>5000</v>
      </c>
      <c r="G74" s="3">
        <f>4500+500</f>
        <v>5000</v>
      </c>
      <c r="H74" s="3">
        <f t="shared" si="4"/>
        <v>0</v>
      </c>
      <c r="I74" s="3"/>
      <c r="J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56000</v>
      </c>
      <c r="E76" s="343">
        <f t="shared" si="5"/>
        <v>180000</v>
      </c>
      <c r="F76" s="343">
        <f>SUM(F47:F75)</f>
        <v>236000</v>
      </c>
      <c r="G76" s="343">
        <f t="shared" si="5"/>
        <v>171050</v>
      </c>
      <c r="H76" s="343">
        <f t="shared" si="5"/>
        <v>64950</v>
      </c>
      <c r="I76" s="343">
        <f t="shared" si="5"/>
        <v>10500</v>
      </c>
      <c r="J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>
        <f>H74+H66+H64+E61+K67+1000</f>
        <v>21950</v>
      </c>
      <c r="I78" s="173"/>
      <c r="J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</row>
    <row r="81" spans="1:16" x14ac:dyDescent="0.25">
      <c r="A81" s="201" t="s">
        <v>223</v>
      </c>
      <c r="B81" s="350">
        <f>C76+E76</f>
        <v>180000</v>
      </c>
      <c r="C81" s="201"/>
      <c r="D81" s="201"/>
      <c r="E81" s="201" t="s">
        <v>223</v>
      </c>
      <c r="F81" s="350">
        <f>G76</f>
        <v>171050</v>
      </c>
      <c r="G81" s="201"/>
      <c r="H81" s="201"/>
      <c r="J81" s="377" t="s">
        <v>617</v>
      </c>
      <c r="K81" s="91"/>
      <c r="L81" s="91"/>
    </row>
    <row r="82" spans="1:16" x14ac:dyDescent="0.25">
      <c r="A82" s="201" t="s">
        <v>147</v>
      </c>
      <c r="B82" s="350">
        <f>'JUNE 20'!D96</f>
        <v>-300</v>
      </c>
      <c r="C82" s="201"/>
      <c r="D82" s="201"/>
      <c r="E82" s="201" t="s">
        <v>147</v>
      </c>
      <c r="F82" s="350">
        <f>'JUNE 20'!H96</f>
        <v>-1800</v>
      </c>
      <c r="G82" s="201"/>
      <c r="H82" s="201"/>
      <c r="I82" s="173"/>
      <c r="J82" s="148"/>
      <c r="K82" s="148"/>
      <c r="L82" s="148"/>
      <c r="M82" s="3"/>
      <c r="N82" s="3"/>
    </row>
    <row r="83" spans="1:16" s="173" customFormat="1" x14ac:dyDescent="0.25">
      <c r="A83" s="201" t="s">
        <v>563</v>
      </c>
      <c r="B83" s="350">
        <v>10000</v>
      </c>
      <c r="C83" s="201"/>
      <c r="D83" s="201"/>
      <c r="E83" s="201"/>
      <c r="F83" s="350"/>
      <c r="G83" s="201"/>
      <c r="H83" s="201"/>
      <c r="J83" s="148"/>
      <c r="K83" s="148"/>
      <c r="L83" s="148"/>
      <c r="M83" s="3"/>
      <c r="N83" s="3"/>
    </row>
    <row r="84" spans="1:16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 t="s">
        <v>529</v>
      </c>
      <c r="K84" s="148">
        <f>E73</f>
        <v>8500</v>
      </c>
      <c r="L84" s="148"/>
      <c r="M84" s="3"/>
      <c r="N84" s="3"/>
    </row>
    <row r="85" spans="1:16" x14ac:dyDescent="0.25">
      <c r="A85" s="201" t="s">
        <v>390</v>
      </c>
      <c r="B85" s="358">
        <v>4.4999999999999998E-2</v>
      </c>
      <c r="C85" s="350">
        <f>B85*B81</f>
        <v>8100</v>
      </c>
      <c r="D85" s="201"/>
      <c r="E85" s="201" t="s">
        <v>390</v>
      </c>
      <c r="F85" s="359">
        <v>4.4999999999999998E-2</v>
      </c>
      <c r="G85" s="350">
        <f>C85</f>
        <v>8100</v>
      </c>
      <c r="H85" s="201"/>
      <c r="I85" s="173"/>
      <c r="J85" s="148" t="s">
        <v>618</v>
      </c>
      <c r="K85" s="148">
        <v>5000</v>
      </c>
      <c r="L85" s="148"/>
      <c r="M85" s="3"/>
      <c r="N85" s="3"/>
    </row>
    <row r="86" spans="1:16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619</v>
      </c>
      <c r="K86" s="148">
        <v>3460</v>
      </c>
      <c r="L86" s="148"/>
      <c r="M86" s="3"/>
      <c r="N86" s="3"/>
    </row>
    <row r="87" spans="1:16" x14ac:dyDescent="0.25">
      <c r="A87" s="85" t="s">
        <v>613</v>
      </c>
      <c r="B87" s="85"/>
      <c r="C87" s="85">
        <f>176825+4775</f>
        <v>181600</v>
      </c>
      <c r="D87" s="85"/>
      <c r="E87" s="85" t="s">
        <v>613</v>
      </c>
      <c r="F87" s="85"/>
      <c r="G87" s="85">
        <f>176825+4775</f>
        <v>181600</v>
      </c>
      <c r="H87" s="85"/>
      <c r="I87" s="173"/>
      <c r="J87" s="378" t="s">
        <v>620</v>
      </c>
      <c r="K87" s="148">
        <v>1000</v>
      </c>
      <c r="L87" s="148"/>
      <c r="M87" s="3"/>
      <c r="N87" s="3"/>
    </row>
    <row r="88" spans="1:16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 t="s">
        <v>622</v>
      </c>
      <c r="K88" s="380">
        <v>500</v>
      </c>
      <c r="L88" s="380"/>
      <c r="M88" s="175"/>
      <c r="N88" s="381"/>
    </row>
    <row r="89" spans="1:16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>
        <f>SUM(K84:K88)</f>
        <v>18460</v>
      </c>
      <c r="L89" s="3"/>
    </row>
    <row r="90" spans="1:16" x14ac:dyDescent="0.25">
      <c r="A90" s="3"/>
      <c r="B90" s="3"/>
      <c r="C90" s="3"/>
      <c r="D90" s="3"/>
      <c r="E90" s="3"/>
      <c r="F90" s="3"/>
      <c r="G90" s="3"/>
      <c r="H90" s="85"/>
      <c r="I90" s="362"/>
      <c r="J90" s="3" t="s">
        <v>624</v>
      </c>
      <c r="K90" s="3">
        <v>18300</v>
      </c>
      <c r="L90" s="3"/>
      <c r="M90" s="175"/>
      <c r="N90" s="3"/>
    </row>
    <row r="91" spans="1:16" x14ac:dyDescent="0.25">
      <c r="A91" s="3"/>
      <c r="B91" s="3"/>
      <c r="C91" s="3"/>
      <c r="D91" s="3"/>
      <c r="E91" s="3"/>
      <c r="F91" s="3"/>
      <c r="G91" s="3"/>
      <c r="H91" s="85"/>
      <c r="I91" s="362"/>
      <c r="J91" s="363"/>
      <c r="K91" s="363"/>
      <c r="L91" s="363"/>
      <c r="M91" s="363"/>
      <c r="N91" s="363"/>
    </row>
    <row r="92" spans="1:16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6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P93">
        <f>7955-3500</f>
        <v>4455</v>
      </c>
    </row>
    <row r="94" spans="1:16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6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6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181600</v>
      </c>
      <c r="C97" s="364">
        <f>SUM(C87:C96)</f>
        <v>181600</v>
      </c>
      <c r="D97" s="364">
        <f>B97-C97</f>
        <v>0</v>
      </c>
      <c r="E97" s="363" t="s">
        <v>62</v>
      </c>
      <c r="F97" s="364">
        <f>F81+F82+F84-G85</f>
        <v>161150</v>
      </c>
      <c r="G97" s="364">
        <f>SUM(G87:G96)</f>
        <v>181600</v>
      </c>
      <c r="H97" s="364">
        <f>F97-G97</f>
        <v>-20450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</row>
    <row r="105" spans="1:14" x14ac:dyDescent="0.25">
      <c r="H10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61" workbookViewId="0">
      <selection activeCell="B83" sqref="B83"/>
    </sheetView>
  </sheetViews>
  <sheetFormatPr defaultRowHeight="15" x14ac:dyDescent="0.25"/>
  <cols>
    <col min="1" max="1" width="19.42578125" customWidth="1"/>
    <col min="5" max="5" width="11.85546875" customWidth="1"/>
    <col min="10" max="10" width="12.42578125" customWidth="1"/>
    <col min="11" max="11" width="12.140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625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>
        <f>'JULY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'JULY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'JULY 20'!I7:I19</f>
        <v>0</v>
      </c>
      <c r="E7" s="276">
        <v>100</v>
      </c>
      <c r="F7" s="278">
        <v>4500</v>
      </c>
      <c r="G7" s="263">
        <f>F7+D7</f>
        <v>4500</v>
      </c>
      <c r="H7" s="264">
        <f>4500</f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'JULY 20'!I8:I20</f>
        <v>3000</v>
      </c>
      <c r="E8" s="278"/>
      <c r="F8" s="278">
        <v>4500</v>
      </c>
      <c r="G8" s="263">
        <f t="shared" si="0"/>
        <v>7500</v>
      </c>
      <c r="H8" s="264">
        <f>3000</f>
        <v>3000</v>
      </c>
      <c r="I8" s="263">
        <f t="shared" si="1"/>
        <v>4500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'JULY 20'!I9:I21</f>
        <v>78</v>
      </c>
      <c r="E9" s="276"/>
      <c r="F9" s="278">
        <v>4500</v>
      </c>
      <c r="G9" s="263">
        <f t="shared" si="0"/>
        <v>4578</v>
      </c>
      <c r="H9" s="264">
        <f>4470</f>
        <v>4470</v>
      </c>
      <c r="I9" s="263">
        <f t="shared" si="1"/>
        <v>108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'JULY 20'!I10:I22</f>
        <v>5400</v>
      </c>
      <c r="E10" s="276"/>
      <c r="F10" s="278">
        <v>4500</v>
      </c>
      <c r="G10" s="263">
        <f t="shared" si="0"/>
        <v>9900</v>
      </c>
      <c r="H10" s="264">
        <f>4500</f>
        <v>4500</v>
      </c>
      <c r="I10" s="263">
        <f t="shared" si="1"/>
        <v>5400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'JULY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'JULY 20'!I12:I24</f>
        <v>20500</v>
      </c>
      <c r="E12" s="276"/>
      <c r="F12" s="278"/>
      <c r="G12" s="263">
        <f>F12+D12+4500</f>
        <v>25000</v>
      </c>
      <c r="H12" s="264"/>
      <c r="I12" s="263">
        <f t="shared" si="1"/>
        <v>25000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'JULY 20'!I13:I25</f>
        <v>0</v>
      </c>
      <c r="E13" s="276"/>
      <c r="F13" s="278">
        <v>3000</v>
      </c>
      <c r="G13" s="263">
        <f t="shared" si="0"/>
        <v>3000</v>
      </c>
      <c r="H13" s="264">
        <f>2000+1000</f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'JULY 20'!I14:I26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/>
      <c r="B15" s="274">
        <v>3</v>
      </c>
      <c r="C15" s="265"/>
      <c r="D15" s="276">
        <f>'JULY 20'!I15:I27</f>
        <v>0</v>
      </c>
      <c r="E15" s="276"/>
      <c r="F15" s="278"/>
      <c r="G15" s="263">
        <f>F15+D15</f>
        <v>0</v>
      </c>
      <c r="H15" s="264"/>
      <c r="I15" s="263">
        <f>G15-H15</f>
        <v>0</v>
      </c>
      <c r="J15" s="17"/>
      <c r="K15" s="173"/>
      <c r="L15" s="173"/>
      <c r="M15" s="173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'JULY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</row>
    <row r="17" spans="1:14" x14ac:dyDescent="0.25">
      <c r="A17" s="273" t="s">
        <v>211</v>
      </c>
      <c r="B17" s="274">
        <v>5</v>
      </c>
      <c r="C17" s="265"/>
      <c r="D17" s="276">
        <f>'JULY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28978</v>
      </c>
      <c r="E18" s="281">
        <f t="shared" si="2"/>
        <v>550</v>
      </c>
      <c r="F18" s="281">
        <f t="shared" si="2"/>
        <v>37500</v>
      </c>
      <c r="G18" s="282">
        <f t="shared" si="2"/>
        <v>70978</v>
      </c>
      <c r="H18" s="266">
        <f t="shared" si="2"/>
        <v>35970</v>
      </c>
      <c r="I18" s="366">
        <f t="shared" si="2"/>
        <v>35008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226</v>
      </c>
      <c r="B23" s="350">
        <f>F18</f>
        <v>37500</v>
      </c>
      <c r="C23" s="201"/>
      <c r="D23" s="201"/>
      <c r="E23" s="201" t="s">
        <v>226</v>
      </c>
      <c r="F23" s="350">
        <f>H18</f>
        <v>35970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'JULY 20'!D35</f>
        <v>0</v>
      </c>
      <c r="C24" s="201"/>
      <c r="D24" s="201"/>
      <c r="E24" s="201" t="s">
        <v>147</v>
      </c>
      <c r="F24" s="350">
        <f>'JULY 20'!H35</f>
        <v>-8478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2625.0000000000005</v>
      </c>
      <c r="D25" s="201"/>
      <c r="E25" s="201" t="s">
        <v>390</v>
      </c>
      <c r="F25" s="351">
        <v>7.0000000000000007E-2</v>
      </c>
      <c r="G25" s="350">
        <f>C25</f>
        <v>2625.0000000000005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4" t="s">
        <v>633</v>
      </c>
      <c r="B29" s="201"/>
      <c r="C29" s="201">
        <f>15087</f>
        <v>15087</v>
      </c>
      <c r="D29" s="201"/>
      <c r="E29" s="354" t="s">
        <v>633</v>
      </c>
      <c r="F29" s="201"/>
      <c r="G29" s="201">
        <f>15087</f>
        <v>15087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634</v>
      </c>
      <c r="B30" s="201"/>
      <c r="C30" s="201">
        <v>11500</v>
      </c>
      <c r="D30" s="201"/>
      <c r="E30" s="354" t="s">
        <v>634</v>
      </c>
      <c r="F30" s="201"/>
      <c r="G30" s="201">
        <v>11500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-10712</v>
      </c>
      <c r="L34" s="173"/>
      <c r="M34" s="173"/>
      <c r="N34" s="173"/>
    </row>
    <row r="35" spans="1:14" x14ac:dyDescent="0.25">
      <c r="A35" s="363" t="s">
        <v>62</v>
      </c>
      <c r="B35" s="364">
        <f>B23+B24+B26-C25</f>
        <v>34875</v>
      </c>
      <c r="C35" s="364">
        <f>SUM(C27:C34)</f>
        <v>34087</v>
      </c>
      <c r="D35" s="364">
        <f>B35-C35</f>
        <v>788</v>
      </c>
      <c r="E35" s="363" t="s">
        <v>62</v>
      </c>
      <c r="F35" s="364">
        <f>F23+F24-G25</f>
        <v>24867</v>
      </c>
      <c r="G35" s="364">
        <f>SUM(G27:G34)</f>
        <v>34087</v>
      </c>
      <c r="H35" s="365">
        <f>F35-G35</f>
        <v>-9220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11500</v>
      </c>
      <c r="H40" s="17"/>
      <c r="I40" s="17"/>
      <c r="J40" s="339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626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'JULY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'JULY 20'!H48:H75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'JULY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'JULY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'JULY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'JULY 20'!H52:H79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'JULY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'JULY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612</v>
      </c>
      <c r="B55" s="363" t="s">
        <v>345</v>
      </c>
      <c r="C55" s="361"/>
      <c r="D55" s="3">
        <f>'JULY 20'!H55:H82</f>
        <v>0</v>
      </c>
      <c r="E55" s="363">
        <v>8000</v>
      </c>
      <c r="F55" s="3">
        <f t="shared" si="3"/>
        <v>8000</v>
      </c>
      <c r="G55" s="361">
        <f>6000+2000</f>
        <v>8000</v>
      </c>
      <c r="H55" s="36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3" t="s">
        <v>393</v>
      </c>
      <c r="B56" s="3" t="s">
        <v>346</v>
      </c>
      <c r="C56" s="3"/>
      <c r="D56" s="3">
        <f>'JULY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'JULY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'JULY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v>13000</v>
      </c>
      <c r="E59" s="3">
        <v>8000</v>
      </c>
      <c r="F59" s="3">
        <f t="shared" si="3"/>
        <v>21000</v>
      </c>
      <c r="G59" s="3">
        <v>8000</v>
      </c>
      <c r="H59" s="3">
        <f>F59-G59</f>
        <v>13000</v>
      </c>
      <c r="I59" s="3"/>
      <c r="J59" s="3"/>
      <c r="K59" s="173"/>
      <c r="L59" s="173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'JULY 20'!H60:H87</f>
        <v>0</v>
      </c>
      <c r="E60" s="3">
        <v>7000</v>
      </c>
      <c r="F60" s="3">
        <f t="shared" si="3"/>
        <v>7000</v>
      </c>
      <c r="G60" s="367">
        <v>7000</v>
      </c>
      <c r="H60" s="3">
        <f>F60-G60</f>
        <v>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'JULY 20'!H61:H88</f>
        <v>15000</v>
      </c>
      <c r="E61" s="3">
        <v>9000</v>
      </c>
      <c r="F61" s="3">
        <f t="shared" si="3"/>
        <v>24000</v>
      </c>
      <c r="G61" s="3">
        <f>15000</f>
        <v>15000</v>
      </c>
      <c r="H61" s="3">
        <f>F61-G61</f>
        <v>9000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'JULY 20'!H62:H89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'JULY 20'!H63:H90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'JULY 20'!H64:H91</f>
        <v>2500</v>
      </c>
      <c r="E64" s="3">
        <v>8500</v>
      </c>
      <c r="F64" s="3">
        <f t="shared" si="3"/>
        <v>11000</v>
      </c>
      <c r="G64" s="3"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'JULY 20'!H65:H92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'JULY 20'!H66:H93</f>
        <v>4350</v>
      </c>
      <c r="E66" s="3">
        <v>8000</v>
      </c>
      <c r="F66" s="3">
        <f t="shared" si="3"/>
        <v>12350</v>
      </c>
      <c r="G66" s="3">
        <f>4350+4000</f>
        <v>8350</v>
      </c>
      <c r="H66" s="3">
        <f t="shared" si="4"/>
        <v>4000</v>
      </c>
      <c r="I66" s="3"/>
      <c r="J66" s="3"/>
      <c r="K66" s="173"/>
      <c r="L66" s="173"/>
      <c r="M66" s="173"/>
      <c r="N66" s="173"/>
    </row>
    <row r="67" spans="1:14" x14ac:dyDescent="0.25">
      <c r="A67" s="3" t="s">
        <v>457</v>
      </c>
      <c r="B67" s="3" t="s">
        <v>357</v>
      </c>
      <c r="C67" s="3"/>
      <c r="D67" s="3">
        <f>'JULY 20'!H67</f>
        <v>23100</v>
      </c>
      <c r="E67" s="3"/>
      <c r="F67" s="3">
        <f t="shared" si="3"/>
        <v>23100</v>
      </c>
      <c r="G67" s="3">
        <v>5100</v>
      </c>
      <c r="H67" s="3">
        <f t="shared" si="4"/>
        <v>18000</v>
      </c>
      <c r="I67" s="3"/>
      <c r="J67" s="3"/>
      <c r="K67" t="s">
        <v>504</v>
      </c>
      <c r="L67" s="173">
        <f>9000-3900</f>
        <v>5100</v>
      </c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'JULY 20'!H68:H95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'JULY 20'!H69:H96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3" t="s">
        <v>496</v>
      </c>
      <c r="B70" s="3" t="s">
        <v>360</v>
      </c>
      <c r="C70" s="3"/>
      <c r="D70" s="3">
        <f>'JULY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'JULY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'JULY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'JULY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'JULY 20'!H74:H101</f>
        <v>0</v>
      </c>
      <c r="E74" s="3">
        <v>5000</v>
      </c>
      <c r="F74" s="3">
        <f t="shared" si="3"/>
        <v>5000</v>
      </c>
      <c r="G74" s="3">
        <v>5000</v>
      </c>
      <c r="H74" s="3">
        <f t="shared" si="4"/>
        <v>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77950</v>
      </c>
      <c r="E76" s="343">
        <f t="shared" si="5"/>
        <v>174000</v>
      </c>
      <c r="F76" s="343">
        <f>SUM(F47:F75)</f>
        <v>251950</v>
      </c>
      <c r="G76" s="343">
        <f t="shared" si="5"/>
        <v>185450</v>
      </c>
      <c r="H76" s="343">
        <f t="shared" si="5"/>
        <v>66500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H76-H71-H67-H59-6000-15000</f>
        <v>10500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226</v>
      </c>
      <c r="B81" s="350">
        <f>C76+E76</f>
        <v>174000</v>
      </c>
      <c r="C81" s="201"/>
      <c r="D81" s="201"/>
      <c r="E81" s="201" t="s">
        <v>226</v>
      </c>
      <c r="F81" s="350">
        <f>G76</f>
        <v>185450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'JULY 20'!D97</f>
        <v>0</v>
      </c>
      <c r="C82" s="201"/>
      <c r="D82" s="201"/>
      <c r="E82" s="201" t="s">
        <v>147</v>
      </c>
      <c r="F82" s="350">
        <f>'JULY 20'!H97</f>
        <v>-20450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f>B83</f>
        <v>500</v>
      </c>
      <c r="G83" s="201"/>
      <c r="H83" s="201"/>
      <c r="I83" s="173"/>
      <c r="J83" s="148" t="s">
        <v>632</v>
      </c>
      <c r="K83" s="148">
        <v>3000</v>
      </c>
      <c r="L83" s="148">
        <v>3000</v>
      </c>
      <c r="M83" s="3"/>
      <c r="N83" s="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636</v>
      </c>
      <c r="K84" s="148">
        <v>8500</v>
      </c>
      <c r="L84" s="148">
        <v>8500</v>
      </c>
      <c r="M84" s="3"/>
      <c r="N84" s="3"/>
    </row>
    <row r="85" spans="1:14" x14ac:dyDescent="0.25">
      <c r="A85" s="201" t="s">
        <v>390</v>
      </c>
      <c r="B85" s="358">
        <v>4.4999999999999998E-2</v>
      </c>
      <c r="C85" s="350">
        <f>B85*B81</f>
        <v>7830</v>
      </c>
      <c r="D85" s="201"/>
      <c r="E85" s="201" t="s">
        <v>390</v>
      </c>
      <c r="F85" s="359">
        <v>4.4999999999999998E-2</v>
      </c>
      <c r="G85" s="350">
        <f>C85</f>
        <v>7830</v>
      </c>
      <c r="H85" s="201"/>
      <c r="I85" s="173"/>
      <c r="J85" s="148"/>
      <c r="K85" s="148"/>
      <c r="L85" s="148"/>
      <c r="M85" s="3"/>
      <c r="N85" s="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</row>
    <row r="87" spans="1:14" x14ac:dyDescent="0.25">
      <c r="A87" s="85"/>
      <c r="B87" s="85"/>
      <c r="C87" s="85"/>
      <c r="D87" s="85"/>
      <c r="E87" s="85"/>
      <c r="F87" s="85"/>
      <c r="G87" s="85"/>
      <c r="H87" s="85"/>
      <c r="I87" s="173"/>
      <c r="J87" s="378"/>
      <c r="K87" s="148"/>
      <c r="L87" s="148"/>
      <c r="M87" s="3"/>
      <c r="N87" s="3"/>
    </row>
    <row r="88" spans="1:14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</row>
    <row r="89" spans="1:14" x14ac:dyDescent="0.25">
      <c r="A89" s="3" t="s">
        <v>457</v>
      </c>
      <c r="B89" s="3"/>
      <c r="C89" s="3">
        <v>5100</v>
      </c>
      <c r="D89" s="3"/>
      <c r="E89" s="3" t="s">
        <v>457</v>
      </c>
      <c r="F89" s="3"/>
      <c r="G89" s="3">
        <v>5100</v>
      </c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631</v>
      </c>
      <c r="B90" s="3"/>
      <c r="C90" s="3">
        <v>161090</v>
      </c>
      <c r="D90" s="3"/>
      <c r="E90" s="3" t="s">
        <v>631</v>
      </c>
      <c r="F90" s="3"/>
      <c r="G90" s="3">
        <v>161090</v>
      </c>
      <c r="H90" s="85"/>
      <c r="I90" s="362"/>
      <c r="J90" s="3"/>
      <c r="K90" s="3"/>
      <c r="L90" s="3"/>
      <c r="M90" s="175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363"/>
    </row>
    <row r="92" spans="1:14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4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</row>
    <row r="94" spans="1:14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4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4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166670</v>
      </c>
      <c r="C97" s="364">
        <f>SUM(C87:C96)</f>
        <v>166190</v>
      </c>
      <c r="D97" s="364">
        <f>B97-C97</f>
        <v>480</v>
      </c>
      <c r="E97" s="363" t="s">
        <v>62</v>
      </c>
      <c r="F97" s="364">
        <f>F81+F82+F84-G85</f>
        <v>157170</v>
      </c>
      <c r="G97" s="364">
        <f>SUM(G87:G96)</f>
        <v>166190</v>
      </c>
      <c r="H97" s="364">
        <f>F97-G97</f>
        <v>-9020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0" workbookViewId="0">
      <selection activeCell="G67" sqref="G67"/>
    </sheetView>
  </sheetViews>
  <sheetFormatPr defaultRowHeight="15" x14ac:dyDescent="0.25"/>
  <cols>
    <col min="1" max="1" width="19.7109375" customWidth="1"/>
    <col min="10" max="10" width="13.2851562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639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f>6000</f>
        <v>6000</v>
      </c>
      <c r="I5" s="263">
        <f>G5-H5</f>
        <v>0</v>
      </c>
      <c r="J5" s="17"/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20'!I6:I18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20'!I8:I20</f>
        <v>4500</v>
      </c>
      <c r="E8" s="278"/>
      <c r="F8" s="278">
        <v>4500</v>
      </c>
      <c r="G8" s="263">
        <f t="shared" si="0"/>
        <v>9000</v>
      </c>
      <c r="H8" s="264">
        <f>3000</f>
        <v>3000</v>
      </c>
      <c r="I8" s="263">
        <f t="shared" si="1"/>
        <v>6000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20'!I9:I21</f>
        <v>108</v>
      </c>
      <c r="E9" s="276">
        <v>100</v>
      </c>
      <c r="F9" s="278">
        <v>4500</v>
      </c>
      <c r="G9" s="263">
        <f t="shared" si="0"/>
        <v>4608</v>
      </c>
      <c r="H9" s="264">
        <v>4600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20'!I10:I22</f>
        <v>5400</v>
      </c>
      <c r="E10" s="276"/>
      <c r="F10" s="278">
        <v>4500</v>
      </c>
      <c r="G10" s="263">
        <f t="shared" si="0"/>
        <v>9900</v>
      </c>
      <c r="H10" s="264">
        <f>4550+5300</f>
        <v>9850</v>
      </c>
      <c r="I10" s="263">
        <f t="shared" si="1"/>
        <v>50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20'!I11:I23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20'!I12:I24</f>
        <v>25000</v>
      </c>
      <c r="E12" s="276"/>
      <c r="F12" s="278"/>
      <c r="G12" s="263">
        <f>F12+D12+4500</f>
        <v>29500</v>
      </c>
      <c r="H12" s="264"/>
      <c r="I12" s="263">
        <f t="shared" si="1"/>
        <v>29500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243</v>
      </c>
      <c r="B15" s="274">
        <v>3</v>
      </c>
      <c r="C15" s="265"/>
      <c r="D15" s="276">
        <f>'AUGUST 20'!I15:I27</f>
        <v>0</v>
      </c>
      <c r="E15" s="276"/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 t="s">
        <v>142</v>
      </c>
      <c r="K15" s="173"/>
      <c r="L15" s="173"/>
      <c r="M15" s="173"/>
      <c r="N15" s="263">
        <f>O21-H15</f>
        <v>-3500</v>
      </c>
      <c r="O15" s="173"/>
    </row>
    <row r="16" spans="1:15" x14ac:dyDescent="0.25">
      <c r="A16" s="273"/>
      <c r="B16" s="274">
        <v>4</v>
      </c>
      <c r="C16" s="265"/>
      <c r="D16" s="276">
        <f>'AUGUST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35008</v>
      </c>
      <c r="E18" s="281">
        <f t="shared" si="2"/>
        <v>950</v>
      </c>
      <c r="F18" s="281">
        <f t="shared" si="2"/>
        <v>47000</v>
      </c>
      <c r="G18" s="282">
        <f t="shared" si="2"/>
        <v>86508</v>
      </c>
      <c r="H18" s="266">
        <f t="shared" si="2"/>
        <v>50950</v>
      </c>
      <c r="I18" s="366">
        <f t="shared" si="2"/>
        <v>35558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640</v>
      </c>
      <c r="B23" s="350">
        <f>F18</f>
        <v>47000</v>
      </c>
      <c r="C23" s="201"/>
      <c r="D23" s="201"/>
      <c r="E23" s="201" t="s">
        <v>640</v>
      </c>
      <c r="F23" s="350">
        <f>H18</f>
        <v>50950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'AUGUST 20'!D35</f>
        <v>788</v>
      </c>
      <c r="C24" s="201"/>
      <c r="D24" s="201"/>
      <c r="E24" s="201" t="s">
        <v>147</v>
      </c>
      <c r="F24" s="350">
        <f>'AUGUST 20'!H35</f>
        <v>-9220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643</v>
      </c>
      <c r="B29" s="201"/>
      <c r="C29" s="201">
        <v>3500</v>
      </c>
      <c r="D29" s="201"/>
      <c r="E29" s="354" t="s">
        <v>643</v>
      </c>
      <c r="F29" s="201"/>
      <c r="G29" s="201">
        <v>3500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644</v>
      </c>
      <c r="B30" s="201"/>
      <c r="C30" s="201">
        <v>33000</v>
      </c>
      <c r="D30" s="201"/>
      <c r="E30" s="354" t="s">
        <v>644</v>
      </c>
      <c r="F30" s="201"/>
      <c r="G30" s="201">
        <v>33000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-11002</v>
      </c>
      <c r="L34" s="173"/>
      <c r="M34" s="173"/>
      <c r="N34" s="173"/>
      <c r="O34" s="173"/>
    </row>
    <row r="35" spans="1:15" x14ac:dyDescent="0.25">
      <c r="A35" s="363" t="s">
        <v>62</v>
      </c>
      <c r="B35" s="364">
        <f>B23+B24+B26-C25</f>
        <v>44498</v>
      </c>
      <c r="C35" s="364">
        <f>SUM(C27:C34)</f>
        <v>44000</v>
      </c>
      <c r="D35" s="364">
        <f>B35-C35</f>
        <v>498</v>
      </c>
      <c r="E35" s="363" t="s">
        <v>62</v>
      </c>
      <c r="F35" s="364">
        <f>F23+F24-G25</f>
        <v>38440</v>
      </c>
      <c r="G35" s="364">
        <f>SUM(G27:G34)</f>
        <v>44000</v>
      </c>
      <c r="H35" s="365">
        <f>F35-G35</f>
        <v>-5560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33000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>
        <f>D35+D97</f>
        <v>698</v>
      </c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641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'AUGUST 20'!H47:H74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'AUGUST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'AUGUST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'AUGUST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3" t="s">
        <v>533</v>
      </c>
      <c r="B51" s="3" t="s">
        <v>604</v>
      </c>
      <c r="C51" s="3"/>
      <c r="D51" s="3">
        <f>'AUGUST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'AUGUST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'AUGUST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'AUGUST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3" t="s">
        <v>612</v>
      </c>
      <c r="B55" s="363" t="s">
        <v>345</v>
      </c>
      <c r="C55" s="361"/>
      <c r="D55" s="3">
        <f>'AUGUST 20'!H55:H82</f>
        <v>0</v>
      </c>
      <c r="E55" s="363">
        <v>8000</v>
      </c>
      <c r="F55" s="3">
        <f t="shared" si="3"/>
        <v>8000</v>
      </c>
      <c r="G55" s="363">
        <v>8000</v>
      </c>
      <c r="H55" s="36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3" t="s">
        <v>393</v>
      </c>
      <c r="B56" s="3" t="s">
        <v>346</v>
      </c>
      <c r="C56" s="3"/>
      <c r="D56" s="3">
        <f>'AUGUST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'AUGUST 20'!H57:H84</f>
        <v>0</v>
      </c>
      <c r="E57" s="3">
        <v>8000</v>
      </c>
      <c r="F57" s="3">
        <f t="shared" si="3"/>
        <v>8000</v>
      </c>
      <c r="G57" s="3">
        <f>8000</f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'AUGUST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'AUGUST 20'!H59:H86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173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'AUGUST 20'!H60:H87</f>
        <v>0</v>
      </c>
      <c r="E60" s="3">
        <v>8000</v>
      </c>
      <c r="F60" s="3">
        <f t="shared" si="3"/>
        <v>8000</v>
      </c>
      <c r="G60" s="367">
        <f>7000</f>
        <v>7000</v>
      </c>
      <c r="H60" s="3">
        <f>F60-G60</f>
        <v>1000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'AUGUST 20'!H61:H88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'AUGUST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'AUGUST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'AUGUST 20'!H64:H91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'AUGUST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'AUGUST 20'!H66:H93</f>
        <v>4000</v>
      </c>
      <c r="E66" s="3">
        <v>8000</v>
      </c>
      <c r="F66" s="3">
        <f t="shared" si="3"/>
        <v>12000</v>
      </c>
      <c r="G66" s="3">
        <f>4000+5000+2000</f>
        <v>11000</v>
      </c>
      <c r="H66" s="3">
        <f t="shared" si="4"/>
        <v>1000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148" t="s">
        <v>647</v>
      </c>
      <c r="B67" s="148" t="s">
        <v>357</v>
      </c>
      <c r="C67" s="148"/>
      <c r="D67" s="148"/>
      <c r="E67" s="3">
        <v>9000</v>
      </c>
      <c r="F67" s="3">
        <f t="shared" si="3"/>
        <v>9000</v>
      </c>
      <c r="G67" s="3">
        <v>5000</v>
      </c>
      <c r="H67" s="3">
        <f t="shared" si="4"/>
        <v>4000</v>
      </c>
      <c r="I67" s="3"/>
      <c r="J67" s="3"/>
      <c r="K67" s="173" t="s">
        <v>504</v>
      </c>
      <c r="L67" s="173">
        <f>9000-3900</f>
        <v>5100</v>
      </c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'AUGUST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'AUGUST 20'!H69:H96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'AUGUST 20'!H70:H97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'AUGUST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503</v>
      </c>
      <c r="B72" s="3" t="s">
        <v>362</v>
      </c>
      <c r="C72" s="3"/>
      <c r="D72" s="3">
        <f>'AUGUST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'AUGUST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'AUGUST 20'!H74:H101</f>
        <v>0</v>
      </c>
      <c r="E74" s="3">
        <v>5000</v>
      </c>
      <c r="F74" s="3">
        <f t="shared" si="3"/>
        <v>5000</v>
      </c>
      <c r="G74" s="3">
        <v>5000</v>
      </c>
      <c r="H74" s="3">
        <f>F74-G74</f>
        <v>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48500</v>
      </c>
      <c r="E76" s="343">
        <f t="shared" si="5"/>
        <v>184000</v>
      </c>
      <c r="F76" s="343">
        <f>SUM(F47:F75)</f>
        <v>232500</v>
      </c>
      <c r="G76" s="343">
        <f t="shared" si="5"/>
        <v>173000</v>
      </c>
      <c r="H76" s="343">
        <f t="shared" si="5"/>
        <v>59500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>
        <f>H76-H67-15000-6000-H59</f>
        <v>21500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640</v>
      </c>
      <c r="B81" s="350">
        <f>C76+E76</f>
        <v>184000</v>
      </c>
      <c r="C81" s="201"/>
      <c r="D81" s="201"/>
      <c r="E81" s="201" t="s">
        <v>640</v>
      </c>
      <c r="F81" s="350">
        <f>G76</f>
        <v>173000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'AUGUST 20'!D97</f>
        <v>480</v>
      </c>
      <c r="C82" s="201"/>
      <c r="D82" s="201"/>
      <c r="E82" s="201" t="s">
        <v>147</v>
      </c>
      <c r="F82" s="350">
        <f>'AUGUST 20'!H97</f>
        <v>-9020</v>
      </c>
      <c r="G82" s="201"/>
      <c r="H82" s="201"/>
      <c r="I82" s="173"/>
      <c r="J82" s="148" t="s">
        <v>529</v>
      </c>
      <c r="K82" s="148">
        <f>E73</f>
        <v>8500</v>
      </c>
      <c r="L82" s="148">
        <v>8500</v>
      </c>
      <c r="M82" s="3"/>
      <c r="N82" s="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>
        <v>8500</v>
      </c>
      <c r="M83" s="3"/>
      <c r="N83" s="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>
        <v>3000</v>
      </c>
      <c r="M84" s="3"/>
      <c r="N84" s="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8280</v>
      </c>
      <c r="D85" s="201"/>
      <c r="E85" s="201" t="s">
        <v>390</v>
      </c>
      <c r="F85" s="359">
        <v>4.4999999999999998E-2</v>
      </c>
      <c r="G85" s="350">
        <f>C85</f>
        <v>8280</v>
      </c>
      <c r="H85" s="201"/>
      <c r="I85" s="173"/>
      <c r="J85" s="148" t="s">
        <v>646</v>
      </c>
      <c r="K85" s="383">
        <f>F13</f>
        <v>3000</v>
      </c>
      <c r="L85" s="148">
        <v>3000</v>
      </c>
      <c r="M85" s="3"/>
      <c r="N85" s="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  <c r="O86" s="173"/>
    </row>
    <row r="87" spans="1:15" x14ac:dyDescent="0.25">
      <c r="A87" s="85" t="s">
        <v>644</v>
      </c>
      <c r="B87" s="85"/>
      <c r="C87" s="85">
        <v>176000</v>
      </c>
      <c r="D87" s="85"/>
      <c r="E87" s="85" t="s">
        <v>644</v>
      </c>
      <c r="F87" s="85"/>
      <c r="G87" s="85">
        <v>176000</v>
      </c>
      <c r="H87" s="85"/>
      <c r="I87" s="173"/>
      <c r="J87" s="378"/>
      <c r="K87" s="148"/>
      <c r="L87" s="148"/>
      <c r="M87" s="3"/>
      <c r="N87" s="3"/>
      <c r="O87" s="173"/>
    </row>
    <row r="88" spans="1:15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  <c r="O88" s="173"/>
    </row>
    <row r="89" spans="1:15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"/>
      <c r="D90" s="3"/>
      <c r="E90" s="3"/>
      <c r="F90" s="3"/>
      <c r="G90" s="3"/>
      <c r="H90" s="85"/>
      <c r="I90" s="362"/>
      <c r="J90" s="3"/>
      <c r="K90" s="3"/>
      <c r="L90" s="3"/>
      <c r="M90" s="175"/>
      <c r="N90" s="3"/>
      <c r="O90" s="173"/>
    </row>
    <row r="91" spans="1:15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23000</v>
      </c>
      <c r="L91" s="363">
        <f>SUM(L82:L90)</f>
        <v>23000</v>
      </c>
      <c r="M91" s="363">
        <f>K91-L91</f>
        <v>0</v>
      </c>
      <c r="N91" s="363"/>
      <c r="O91" s="173"/>
    </row>
    <row r="92" spans="1:15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  <c r="O92" s="173"/>
    </row>
    <row r="93" spans="1:15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O93" s="173"/>
    </row>
    <row r="94" spans="1:15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  <c r="O94" s="173"/>
    </row>
    <row r="95" spans="1:15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  <c r="O95" s="173"/>
    </row>
    <row r="96" spans="1:15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  <c r="O96" s="173"/>
    </row>
    <row r="97" spans="1:15" x14ac:dyDescent="0.25">
      <c r="A97" s="363" t="s">
        <v>62</v>
      </c>
      <c r="B97" s="364">
        <f>B81+B82+B83+B84-C85</f>
        <v>176200</v>
      </c>
      <c r="C97" s="364">
        <f>SUM(C87:C96)</f>
        <v>176000</v>
      </c>
      <c r="D97" s="364">
        <f>B97-C97</f>
        <v>200</v>
      </c>
      <c r="E97" s="363" t="s">
        <v>62</v>
      </c>
      <c r="F97" s="364">
        <f>F81+F82+F84-G85</f>
        <v>155700</v>
      </c>
      <c r="G97" s="364">
        <f>SUM(G87:G96)</f>
        <v>176000</v>
      </c>
      <c r="H97" s="364">
        <f>F97-G97</f>
        <v>-20300</v>
      </c>
      <c r="I97" s="173"/>
      <c r="J97" s="363"/>
      <c r="K97" s="363"/>
      <c r="L97" s="363"/>
      <c r="M97" s="363"/>
      <c r="N97" s="36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  <c r="O99" s="173"/>
    </row>
    <row r="100" spans="1:15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  <c r="O100" s="173"/>
    </row>
    <row r="101" spans="1:15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  <c r="O101" s="173"/>
    </row>
    <row r="102" spans="1:15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  <c r="O102" s="173"/>
    </row>
    <row r="103" spans="1:15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</row>
    <row r="104" spans="1:15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52" workbookViewId="0">
      <selection activeCell="G60" sqref="G60"/>
    </sheetView>
  </sheetViews>
  <sheetFormatPr defaultRowHeight="15" x14ac:dyDescent="0.25"/>
  <cols>
    <col min="1" max="1" width="19" customWidth="1"/>
    <col min="5" max="5" width="11.42578125" customWidth="1"/>
    <col min="10" max="10" width="12.85546875" customWidth="1"/>
  </cols>
  <sheetData>
    <row r="1" spans="1:13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</row>
    <row r="2" spans="1:13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</row>
    <row r="3" spans="1:13" x14ac:dyDescent="0.25">
      <c r="A3" s="173"/>
      <c r="B3" s="173"/>
      <c r="C3" s="173"/>
      <c r="D3" s="66" t="s">
        <v>651</v>
      </c>
      <c r="E3" s="164"/>
      <c r="F3" s="16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642</v>
      </c>
      <c r="B5" s="274">
        <v>1</v>
      </c>
      <c r="C5" s="275" t="s">
        <v>89</v>
      </c>
      <c r="D5" s="276">
        <f>'SEPTEMBER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'SEPTEMBER 20'!I6:I19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'SEPTEMBER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'SEPTEMBER 20'!I8:I21</f>
        <v>6000</v>
      </c>
      <c r="E8" s="278"/>
      <c r="F8" s="278">
        <v>4500</v>
      </c>
      <c r="G8" s="263">
        <f t="shared" si="0"/>
        <v>10500</v>
      </c>
      <c r="H8" s="264">
        <f>3000</f>
        <v>3000</v>
      </c>
      <c r="I8" s="263">
        <f t="shared" si="1"/>
        <v>7500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'SEPTEMBER 20'!I9:I22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'SEPTEMBER 20'!I10:I23</f>
        <v>50</v>
      </c>
      <c r="E10" s="276"/>
      <c r="F10" s="278">
        <v>4500</v>
      </c>
      <c r="G10" s="263">
        <f t="shared" si="0"/>
        <v>4550</v>
      </c>
      <c r="H10" s="264">
        <v>4550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'SEPTEMBER 20'!I11:I24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'SEPTEMBER 20'!I12:I25</f>
        <v>29500</v>
      </c>
      <c r="E12" s="276"/>
      <c r="F12" s="278"/>
      <c r="G12" s="263">
        <f>F12+D12+4500</f>
        <v>34000</v>
      </c>
      <c r="H12" s="264"/>
      <c r="I12" s="263">
        <f t="shared" si="1"/>
        <v>34000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'SEPTEMBER 20'!I13:I26</f>
        <v>0</v>
      </c>
      <c r="E13" s="276"/>
      <c r="F13" s="278">
        <v>3000</v>
      </c>
      <c r="G13" s="263">
        <f t="shared" si="0"/>
        <v>3000</v>
      </c>
      <c r="H13" s="264">
        <f>3000</f>
        <v>3000</v>
      </c>
      <c r="I13" s="263">
        <f t="shared" si="1"/>
        <v>0</v>
      </c>
      <c r="J13" s="17"/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'SEPTEMBER 20'!I14:I27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648</v>
      </c>
      <c r="B15" s="274">
        <v>3</v>
      </c>
      <c r="C15" s="265"/>
      <c r="D15" s="276">
        <f>'SEPTEMBER 20'!I15:I28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/>
      <c r="B16" s="274">
        <v>4</v>
      </c>
      <c r="C16" s="265"/>
      <c r="D16" s="276">
        <f>'SEPTEMBER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'SEPTEMBER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35558</v>
      </c>
      <c r="E18" s="281">
        <f t="shared" si="2"/>
        <v>1050</v>
      </c>
      <c r="F18" s="281">
        <f t="shared" si="2"/>
        <v>47000</v>
      </c>
      <c r="G18" s="282">
        <f t="shared" si="2"/>
        <v>87058</v>
      </c>
      <c r="H18" s="266">
        <f>SUM(H5:H17)</f>
        <v>45550</v>
      </c>
      <c r="I18" s="366">
        <f t="shared" si="2"/>
        <v>41508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481</v>
      </c>
      <c r="B23" s="350">
        <f>F18</f>
        <v>47000</v>
      </c>
      <c r="C23" s="201"/>
      <c r="D23" s="201"/>
      <c r="E23" s="201" t="s">
        <v>481</v>
      </c>
      <c r="F23" s="350">
        <f>H18</f>
        <v>45550</v>
      </c>
      <c r="G23" s="201"/>
      <c r="H23" s="201"/>
      <c r="I23" s="54"/>
      <c r="J23" s="17"/>
      <c r="K23" s="173"/>
      <c r="L23" s="173"/>
      <c r="M23" s="173"/>
    </row>
    <row r="24" spans="1:13" x14ac:dyDescent="0.25">
      <c r="A24" s="201" t="s">
        <v>147</v>
      </c>
      <c r="B24" s="350">
        <f>'SEPTEMBER 20'!D35</f>
        <v>498</v>
      </c>
      <c r="C24" s="201"/>
      <c r="D24" s="201"/>
      <c r="E24" s="201" t="s">
        <v>147</v>
      </c>
      <c r="F24" s="350">
        <f>'SEPTEMBER 20'!H35</f>
        <v>-5560</v>
      </c>
      <c r="G24" s="350"/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</row>
    <row r="29" spans="1:13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f>C29</f>
        <v>4500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652</v>
      </c>
      <c r="B30" s="201"/>
      <c r="C30" s="201">
        <v>36708</v>
      </c>
      <c r="D30" s="201"/>
      <c r="E30" s="354" t="s">
        <v>652</v>
      </c>
      <c r="F30" s="201"/>
      <c r="G30" s="201">
        <v>36708</v>
      </c>
      <c r="H30" s="201"/>
      <c r="I30" s="292"/>
      <c r="J30" s="17"/>
      <c r="K30" s="173"/>
      <c r="L30" s="173"/>
      <c r="M30" s="173"/>
    </row>
    <row r="31" spans="1:13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</row>
    <row r="32" spans="1:13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</row>
    <row r="33" spans="1:13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>
        <f>250000-D35</f>
        <v>253000</v>
      </c>
      <c r="M33" s="173"/>
    </row>
    <row r="34" spans="1:13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-14500</v>
      </c>
      <c r="L34" s="362">
        <f>L33-C30</f>
        <v>216292</v>
      </c>
      <c r="M34" s="173"/>
    </row>
    <row r="35" spans="1:13" x14ac:dyDescent="0.25">
      <c r="A35" s="363" t="s">
        <v>62</v>
      </c>
      <c r="B35" s="364">
        <f>B23+B24+B26-C25</f>
        <v>44208</v>
      </c>
      <c r="C35" s="364">
        <f>SUM(C27:C34)</f>
        <v>47208</v>
      </c>
      <c r="D35" s="364">
        <f>B35-C35</f>
        <v>-3000</v>
      </c>
      <c r="E35" s="363" t="s">
        <v>62</v>
      </c>
      <c r="F35" s="364">
        <f>F23+F24-G25</f>
        <v>36700</v>
      </c>
      <c r="G35" s="364">
        <f>SUM(G27:G34)</f>
        <v>47208</v>
      </c>
      <c r="H35" s="365">
        <f>F35-G35</f>
        <v>-10508</v>
      </c>
      <c r="I35" s="292"/>
      <c r="J35" s="17"/>
      <c r="K35" s="173"/>
      <c r="L35" s="173"/>
      <c r="M35" s="173"/>
    </row>
    <row r="36" spans="1:13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</row>
    <row r="37" spans="1:13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39708</v>
      </c>
      <c r="H40" s="17"/>
      <c r="I40" s="17"/>
      <c r="J40" s="17"/>
      <c r="K40" s="173"/>
      <c r="L40" s="173"/>
      <c r="M40" s="173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</row>
    <row r="42" spans="1:13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</row>
    <row r="43" spans="1:13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3" x14ac:dyDescent="0.25">
      <c r="A45" s="175"/>
      <c r="B45" s="175"/>
      <c r="C45" s="175" t="s">
        <v>650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3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</row>
    <row r="47" spans="1:13" x14ac:dyDescent="0.25">
      <c r="A47" s="3" t="s">
        <v>365</v>
      </c>
      <c r="B47" s="3" t="s">
        <v>339</v>
      </c>
      <c r="C47" s="3"/>
      <c r="D47" s="3">
        <f>'SEPTEMBER 20'!H47:H76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</row>
    <row r="48" spans="1:13" x14ac:dyDescent="0.25">
      <c r="A48" s="3" t="s">
        <v>545</v>
      </c>
      <c r="B48" s="3" t="s">
        <v>340</v>
      </c>
      <c r="C48" s="3"/>
      <c r="D48" s="3">
        <f>'SEPTEMBER 20'!H48:H77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433</v>
      </c>
      <c r="B49" s="3" t="s">
        <v>341</v>
      </c>
      <c r="C49" s="3"/>
      <c r="D49" s="3">
        <f>'SEPTEMBER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</row>
    <row r="50" spans="1:13" x14ac:dyDescent="0.25">
      <c r="A50" s="3" t="s">
        <v>434</v>
      </c>
      <c r="B50" s="3" t="s">
        <v>428</v>
      </c>
      <c r="C50" s="3"/>
      <c r="D50" s="3">
        <f>'SEPTEMBER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</row>
    <row r="51" spans="1:13" x14ac:dyDescent="0.25">
      <c r="A51" s="3" t="s">
        <v>533</v>
      </c>
      <c r="B51" s="3" t="s">
        <v>604</v>
      </c>
      <c r="C51" s="3"/>
      <c r="D51" s="3">
        <f>'SEPTEMBER 20'!H51:H80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" t="s">
        <v>480</v>
      </c>
      <c r="B52" s="3" t="s">
        <v>605</v>
      </c>
      <c r="C52" s="3"/>
      <c r="D52" s="3">
        <f>'SEPTEMBER 20'!H52:H81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</row>
    <row r="53" spans="1:13" x14ac:dyDescent="0.25">
      <c r="A53" s="3" t="s">
        <v>566</v>
      </c>
      <c r="B53" s="3" t="s">
        <v>343</v>
      </c>
      <c r="C53" s="3"/>
      <c r="D53" s="3">
        <f>'SEPTEMBER 20'!H53:H82</f>
        <v>0</v>
      </c>
      <c r="E53" s="3">
        <v>8000</v>
      </c>
      <c r="F53" s="3">
        <f t="shared" si="3"/>
        <v>8000</v>
      </c>
      <c r="G53" s="3">
        <f>8000</f>
        <v>8000</v>
      </c>
      <c r="H53" s="3">
        <f>F53-G53</f>
        <v>0</v>
      </c>
      <c r="I53" s="3"/>
      <c r="J53" s="3"/>
      <c r="K53" s="173"/>
      <c r="L53" s="173"/>
      <c r="M53" s="173"/>
    </row>
    <row r="54" spans="1:13" x14ac:dyDescent="0.25">
      <c r="A54" s="3" t="s">
        <v>567</v>
      </c>
      <c r="B54" s="3" t="s">
        <v>344</v>
      </c>
      <c r="C54" s="3"/>
      <c r="D54" s="3">
        <f>'SEPTEMBER 20'!H54:H83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</row>
    <row r="55" spans="1:13" x14ac:dyDescent="0.25">
      <c r="A55" s="363" t="s">
        <v>612</v>
      </c>
      <c r="B55" s="363" t="s">
        <v>345</v>
      </c>
      <c r="C55" s="361"/>
      <c r="D55" s="3">
        <f>'SEPTEMBER 20'!H55:H84</f>
        <v>0</v>
      </c>
      <c r="E55" s="363">
        <v>8000</v>
      </c>
      <c r="F55" s="3">
        <f t="shared" si="3"/>
        <v>8000</v>
      </c>
      <c r="G55" s="363"/>
      <c r="H55" s="363">
        <f>F55-G55</f>
        <v>8000</v>
      </c>
      <c r="I55" s="3"/>
      <c r="J55" s="3"/>
      <c r="K55" s="173" t="s">
        <v>504</v>
      </c>
      <c r="L55" s="173"/>
      <c r="M55" s="173"/>
    </row>
    <row r="56" spans="1:13" x14ac:dyDescent="0.25">
      <c r="A56" s="3" t="s">
        <v>393</v>
      </c>
      <c r="B56" s="3" t="s">
        <v>346</v>
      </c>
      <c r="C56" s="3"/>
      <c r="D56" s="3">
        <f>'SEPTEMBER 20'!H56:H85</f>
        <v>0</v>
      </c>
      <c r="E56" s="3">
        <v>8500</v>
      </c>
      <c r="F56" s="3">
        <f t="shared" si="3"/>
        <v>8500</v>
      </c>
      <c r="G56" s="3"/>
      <c r="H56" s="3">
        <f t="shared" si="4"/>
        <v>8500</v>
      </c>
      <c r="I56" s="3"/>
      <c r="J56" s="3"/>
      <c r="K56" s="173" t="s">
        <v>504</v>
      </c>
      <c r="L56" s="173"/>
      <c r="M56" s="173"/>
    </row>
    <row r="57" spans="1:13" x14ac:dyDescent="0.25">
      <c r="A57" s="3" t="s">
        <v>568</v>
      </c>
      <c r="B57" s="3" t="s">
        <v>347</v>
      </c>
      <c r="C57" s="3"/>
      <c r="D57" s="3">
        <f>'SEPTEMBER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</row>
    <row r="58" spans="1:13" x14ac:dyDescent="0.25">
      <c r="A58" s="3" t="s">
        <v>67</v>
      </c>
      <c r="B58" s="3" t="s">
        <v>348</v>
      </c>
      <c r="C58" s="3"/>
      <c r="D58" s="3">
        <f>'SEPTEMBER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</row>
    <row r="59" spans="1:13" x14ac:dyDescent="0.25">
      <c r="A59" s="3" t="s">
        <v>606</v>
      </c>
      <c r="B59" s="3" t="s">
        <v>349</v>
      </c>
      <c r="C59" s="3"/>
      <c r="D59" s="3">
        <f>'SEPTEMBER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>
        <f>D95+D35</f>
        <v>-78327</v>
      </c>
      <c r="M59" s="173"/>
    </row>
    <row r="60" spans="1:13" x14ac:dyDescent="0.25">
      <c r="A60" s="367" t="s">
        <v>569</v>
      </c>
      <c r="B60" s="3" t="s">
        <v>350</v>
      </c>
      <c r="C60" s="3"/>
      <c r="D60" s="3">
        <f>'SEPTEMBER 20'!H60:H89</f>
        <v>1000</v>
      </c>
      <c r="E60" s="3">
        <v>7000</v>
      </c>
      <c r="F60" s="3">
        <f t="shared" si="3"/>
        <v>8000</v>
      </c>
      <c r="G60" s="367">
        <f>1000</f>
        <v>1000</v>
      </c>
      <c r="H60" s="3">
        <f>F60-G60</f>
        <v>7000</v>
      </c>
      <c r="I60" s="3"/>
      <c r="J60" s="3"/>
      <c r="K60" s="173"/>
      <c r="L60" s="173"/>
      <c r="M60" s="173"/>
    </row>
    <row r="61" spans="1:13" x14ac:dyDescent="0.25">
      <c r="A61" s="3" t="s">
        <v>557</v>
      </c>
      <c r="B61" s="3" t="s">
        <v>351</v>
      </c>
      <c r="C61" s="3"/>
      <c r="D61" s="3">
        <f>'SEPTEMBER 20'!H61:H90</f>
        <v>18000</v>
      </c>
      <c r="E61" s="3">
        <v>9000</v>
      </c>
      <c r="F61" s="3">
        <f t="shared" si="3"/>
        <v>27000</v>
      </c>
      <c r="G61" s="3">
        <v>18000</v>
      </c>
      <c r="H61" s="3">
        <f>F61-G61</f>
        <v>9000</v>
      </c>
      <c r="I61" s="3"/>
      <c r="J61" s="3"/>
      <c r="K61" s="173"/>
      <c r="L61" s="173"/>
    </row>
    <row r="62" spans="1:13" x14ac:dyDescent="0.25">
      <c r="A62" s="3" t="s">
        <v>629</v>
      </c>
      <c r="B62" s="3" t="s">
        <v>352</v>
      </c>
      <c r="C62" s="3"/>
      <c r="D62" s="3">
        <f>'SEPTEMBER 20'!H62:H91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</row>
    <row r="63" spans="1:13" x14ac:dyDescent="0.25">
      <c r="A63" s="3" t="s">
        <v>611</v>
      </c>
      <c r="B63" s="3" t="s">
        <v>353</v>
      </c>
      <c r="C63" s="3"/>
      <c r="D63" s="3">
        <f>'SEPTEMBER 20'!H63:H92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</row>
    <row r="64" spans="1:13" x14ac:dyDescent="0.25">
      <c r="A64" s="3" t="s">
        <v>570</v>
      </c>
      <c r="B64" s="3" t="s">
        <v>354</v>
      </c>
      <c r="C64" s="3"/>
      <c r="D64" s="3">
        <f>'SEPTEMBER 20'!H64:H93</f>
        <v>2500</v>
      </c>
      <c r="E64" s="3">
        <v>8500</v>
      </c>
      <c r="F64" s="3">
        <f t="shared" si="3"/>
        <v>11000</v>
      </c>
      <c r="G64" s="3">
        <f>9000</f>
        <v>9000</v>
      </c>
      <c r="H64" s="3">
        <f t="shared" si="4"/>
        <v>2000</v>
      </c>
      <c r="I64" s="3"/>
      <c r="J64" s="3"/>
      <c r="K64" s="173"/>
      <c r="L64" s="173"/>
      <c r="M64" s="173"/>
    </row>
    <row r="65" spans="1:13" x14ac:dyDescent="0.25">
      <c r="A65" s="3" t="s">
        <v>531</v>
      </c>
      <c r="B65" s="3" t="s">
        <v>355</v>
      </c>
      <c r="C65" s="3"/>
      <c r="D65" s="3">
        <f>'SEPTEMBER 20'!H65:H94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516</v>
      </c>
      <c r="B66" s="3" t="s">
        <v>356</v>
      </c>
      <c r="C66" s="3"/>
      <c r="D66" s="3">
        <f>'SEPTEMBER 20'!H66:H95</f>
        <v>1000</v>
      </c>
      <c r="E66" s="3">
        <v>8000</v>
      </c>
      <c r="F66" s="3">
        <f t="shared" si="3"/>
        <v>9000</v>
      </c>
      <c r="G66" s="3">
        <f>4000</f>
        <v>4000</v>
      </c>
      <c r="H66" s="3">
        <f t="shared" si="4"/>
        <v>5000</v>
      </c>
      <c r="I66" s="3"/>
      <c r="J66" s="3"/>
      <c r="K66" s="173"/>
      <c r="L66" s="173"/>
      <c r="M66" s="173"/>
    </row>
    <row r="67" spans="1:13" x14ac:dyDescent="0.25">
      <c r="A67" s="148" t="s">
        <v>647</v>
      </c>
      <c r="B67" s="148" t="s">
        <v>357</v>
      </c>
      <c r="C67" s="148"/>
      <c r="D67" s="3">
        <f>'SEPTEMBER 20'!H67:H96</f>
        <v>4000</v>
      </c>
      <c r="E67" s="3">
        <v>9000</v>
      </c>
      <c r="F67" s="3">
        <f t="shared" si="3"/>
        <v>13000</v>
      </c>
      <c r="G67" s="3">
        <f>7000+3000</f>
        <v>10000</v>
      </c>
      <c r="H67" s="3">
        <f t="shared" si="4"/>
        <v>3000</v>
      </c>
      <c r="I67" s="3"/>
      <c r="J67" s="3"/>
      <c r="K67" s="173" t="s">
        <v>504</v>
      </c>
      <c r="L67" s="173">
        <f>9000-3900</f>
        <v>5100</v>
      </c>
      <c r="M67" s="173"/>
    </row>
    <row r="68" spans="1:13" x14ac:dyDescent="0.25">
      <c r="A68" s="3" t="s">
        <v>419</v>
      </c>
      <c r="B68" s="3" t="s">
        <v>358</v>
      </c>
      <c r="C68" s="3"/>
      <c r="D68" s="3">
        <f>'SEPTEMBER 20'!H68:H97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</row>
    <row r="69" spans="1:13" x14ac:dyDescent="0.25">
      <c r="A69" s="3" t="s">
        <v>378</v>
      </c>
      <c r="B69" s="3" t="s">
        <v>359</v>
      </c>
      <c r="C69" s="3"/>
      <c r="D69" s="3">
        <f>'SEPTEMBER 20'!H69:H98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3" t="s">
        <v>496</v>
      </c>
      <c r="B70" s="3" t="s">
        <v>360</v>
      </c>
      <c r="C70" s="3"/>
      <c r="D70" s="3">
        <f>'SEPTEMBER 20'!H70:H99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</row>
    <row r="71" spans="1:13" x14ac:dyDescent="0.25">
      <c r="A71" s="3" t="s">
        <v>380</v>
      </c>
      <c r="B71" s="3" t="s">
        <v>361</v>
      </c>
      <c r="C71" s="3"/>
      <c r="D71" s="3">
        <f>'SEPTEMBER 20'!H71:H100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</row>
    <row r="72" spans="1:13" x14ac:dyDescent="0.25">
      <c r="A72" s="375" t="s">
        <v>503</v>
      </c>
      <c r="B72" s="3" t="s">
        <v>362</v>
      </c>
      <c r="C72" s="3"/>
      <c r="D72" s="3">
        <f>'SEPTEMBER 20'!H72:H101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</row>
    <row r="73" spans="1:13" x14ac:dyDescent="0.25">
      <c r="A73" s="375" t="s">
        <v>440</v>
      </c>
      <c r="B73" s="3" t="s">
        <v>363</v>
      </c>
      <c r="C73" s="3"/>
      <c r="D73" s="3">
        <f>'SEPTEMBER 20'!H73:H102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</row>
    <row r="74" spans="1:13" x14ac:dyDescent="0.25">
      <c r="A74" s="375" t="s">
        <v>524</v>
      </c>
      <c r="B74" s="3" t="s">
        <v>364</v>
      </c>
      <c r="C74" s="3"/>
      <c r="D74" s="3">
        <f>'SEPTEMBER 20'!H74:H103</f>
        <v>0</v>
      </c>
      <c r="E74" s="3">
        <v>5000</v>
      </c>
      <c r="F74" s="3">
        <f t="shared" si="3"/>
        <v>5000</v>
      </c>
      <c r="G74" s="3">
        <f>3500</f>
        <v>3500</v>
      </c>
      <c r="H74" s="3">
        <f>F74-G74</f>
        <v>1500</v>
      </c>
      <c r="I74" s="3"/>
      <c r="J74" s="3"/>
      <c r="K74" s="173"/>
      <c r="L74" s="173"/>
      <c r="M74" s="173"/>
    </row>
    <row r="75" spans="1:13" x14ac:dyDescent="0.25">
      <c r="A75" s="3"/>
      <c r="B75" s="3"/>
      <c r="C75" s="3"/>
      <c r="D75" s="3">
        <f>'SEPTEMBER 20'!H75:H104</f>
        <v>0</v>
      </c>
      <c r="E75" s="3"/>
      <c r="F75" s="3"/>
      <c r="G75" s="3"/>
      <c r="H75" s="3"/>
      <c r="I75" s="3"/>
      <c r="J75" s="3"/>
      <c r="K75" s="173"/>
      <c r="L75" s="173"/>
      <c r="M75" s="173"/>
    </row>
    <row r="76" spans="1:13" x14ac:dyDescent="0.25">
      <c r="A76" s="343" t="s">
        <v>62</v>
      </c>
      <c r="B76" s="343"/>
      <c r="C76" s="343">
        <f t="shared" ref="C76:I76" si="5">SUM(C47:C75)</f>
        <v>0</v>
      </c>
      <c r="D76" s="3">
        <f>'SEPTEMBER 20'!H76:H105</f>
        <v>59500</v>
      </c>
      <c r="E76" s="343">
        <f t="shared" si="5"/>
        <v>183000</v>
      </c>
      <c r="F76" s="343">
        <f>SUM(F47:F75)</f>
        <v>242500</v>
      </c>
      <c r="G76" s="343">
        <f t="shared" si="5"/>
        <v>165500</v>
      </c>
      <c r="H76" s="343">
        <f t="shared" si="5"/>
        <v>77000</v>
      </c>
      <c r="I76" s="343">
        <f t="shared" si="5"/>
        <v>0</v>
      </c>
      <c r="J76" s="3">
        <f>SUM(J47:J75)</f>
        <v>500</v>
      </c>
      <c r="K76" s="173"/>
      <c r="L76" s="382"/>
      <c r="M76" s="173"/>
    </row>
    <row r="77" spans="1:13" x14ac:dyDescent="0.25">
      <c r="A77" s="173"/>
      <c r="B77" s="173"/>
      <c r="C77" s="173"/>
      <c r="D77" s="173"/>
      <c r="E77" s="173"/>
      <c r="F77" s="173"/>
      <c r="G77" s="173"/>
      <c r="H77" s="173">
        <f>H76-H72-H71-H59-H56-H55</f>
        <v>27500</v>
      </c>
      <c r="I77" s="173"/>
      <c r="J77" s="173"/>
      <c r="K77" s="173"/>
      <c r="L77" s="173"/>
      <c r="M77" s="173"/>
    </row>
    <row r="78" spans="1:13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</row>
    <row r="79" spans="1:13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</row>
    <row r="80" spans="1:13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</row>
    <row r="81" spans="1:13" x14ac:dyDescent="0.25">
      <c r="A81" s="201" t="s">
        <v>481</v>
      </c>
      <c r="B81" s="350">
        <f>E76</f>
        <v>183000</v>
      </c>
      <c r="C81" s="201"/>
      <c r="D81" s="201"/>
      <c r="E81" s="201" t="s">
        <v>481</v>
      </c>
      <c r="F81" s="350">
        <f>G76</f>
        <v>165500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</row>
    <row r="82" spans="1:13" x14ac:dyDescent="0.25">
      <c r="A82" s="201" t="s">
        <v>147</v>
      </c>
      <c r="B82" s="350">
        <f>'SEPTEMBER 20'!D97</f>
        <v>200</v>
      </c>
      <c r="C82" s="201"/>
      <c r="D82" s="201"/>
      <c r="E82" s="201" t="s">
        <v>147</v>
      </c>
      <c r="F82" s="350">
        <f>'SEPTEMBER 20'!H97</f>
        <v>-20300</v>
      </c>
      <c r="G82" s="201"/>
      <c r="H82" s="201"/>
      <c r="I82" s="173"/>
      <c r="J82" s="148" t="s">
        <v>529</v>
      </c>
      <c r="K82" s="148">
        <f>E73</f>
        <v>8500</v>
      </c>
      <c r="L82" s="148"/>
      <c r="M82" s="3"/>
    </row>
    <row r="83" spans="1:13" x14ac:dyDescent="0.25">
      <c r="A83" s="201" t="s">
        <v>662</v>
      </c>
      <c r="B83" s="350">
        <v>500</v>
      </c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/>
      <c r="M83" s="3"/>
    </row>
    <row r="84" spans="1:13" x14ac:dyDescent="0.25">
      <c r="A84" s="201" t="s">
        <v>649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/>
      <c r="M84" s="3"/>
    </row>
    <row r="85" spans="1:13" x14ac:dyDescent="0.25">
      <c r="A85" s="201" t="s">
        <v>390</v>
      </c>
      <c r="B85" s="358">
        <v>4.4999999999999998E-2</v>
      </c>
      <c r="C85" s="350">
        <f>B85*B81</f>
        <v>8235</v>
      </c>
      <c r="D85" s="201"/>
      <c r="E85" s="201" t="s">
        <v>390</v>
      </c>
      <c r="F85" s="359">
        <v>4.4999999999999998E-2</v>
      </c>
      <c r="G85" s="350">
        <f>C85</f>
        <v>8235</v>
      </c>
      <c r="H85" s="201"/>
      <c r="I85" s="173"/>
      <c r="J85" s="148" t="s">
        <v>646</v>
      </c>
      <c r="K85" s="383">
        <v>3000</v>
      </c>
      <c r="L85" s="148"/>
      <c r="M85" s="3"/>
    </row>
    <row r="86" spans="1:13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653</v>
      </c>
      <c r="K86" s="148">
        <v>1000</v>
      </c>
      <c r="L86" s="148"/>
      <c r="M86" s="3"/>
    </row>
    <row r="87" spans="1:13" x14ac:dyDescent="0.25">
      <c r="A87" s="85" t="s">
        <v>652</v>
      </c>
      <c r="B87" s="85"/>
      <c r="C87" s="384">
        <v>213292</v>
      </c>
      <c r="D87" s="85"/>
      <c r="E87" s="85" t="s">
        <v>652</v>
      </c>
      <c r="F87" s="85"/>
      <c r="G87" s="384">
        <f>C87</f>
        <v>213292</v>
      </c>
      <c r="H87" s="85"/>
      <c r="I87" s="173"/>
      <c r="J87" s="378"/>
      <c r="K87" s="148"/>
      <c r="L87" s="148"/>
      <c r="M87" s="3"/>
    </row>
    <row r="88" spans="1:13" x14ac:dyDescent="0.25">
      <c r="A88" s="369" t="s">
        <v>654</v>
      </c>
      <c r="B88" s="85"/>
      <c r="C88" s="384">
        <v>8000</v>
      </c>
      <c r="D88" s="85"/>
      <c r="E88" s="369"/>
      <c r="F88" s="85"/>
      <c r="G88" s="384"/>
      <c r="H88" s="85"/>
      <c r="I88" s="173"/>
      <c r="J88" s="379"/>
      <c r="K88" s="380"/>
      <c r="L88" s="380"/>
      <c r="M88" s="175"/>
    </row>
    <row r="89" spans="1:13" x14ac:dyDescent="0.25">
      <c r="A89" s="3" t="s">
        <v>655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362"/>
      <c r="J90" s="3"/>
      <c r="K90" s="3"/>
      <c r="L90" s="3"/>
      <c r="M90" s="175"/>
    </row>
    <row r="91" spans="1:13" x14ac:dyDescent="0.25">
      <c r="A91" s="3" t="s">
        <v>660</v>
      </c>
      <c r="B91" s="3"/>
      <c r="C91" s="385">
        <v>8500</v>
      </c>
      <c r="D91" s="3"/>
      <c r="E91" s="3" t="s">
        <v>660</v>
      </c>
      <c r="F91" s="3"/>
      <c r="G91" s="385">
        <v>8500</v>
      </c>
      <c r="H91" s="85"/>
      <c r="I91" s="362"/>
      <c r="J91" s="363" t="s">
        <v>62</v>
      </c>
      <c r="K91" s="363">
        <f>SUM(K82:K90)</f>
        <v>24000</v>
      </c>
      <c r="L91" s="363">
        <f>SUM(L82:L90)</f>
        <v>0</v>
      </c>
      <c r="M91" s="363">
        <f>K91-L91</f>
        <v>24000</v>
      </c>
    </row>
    <row r="92" spans="1:13" x14ac:dyDescent="0.25">
      <c r="A92" s="369" t="s">
        <v>658</v>
      </c>
      <c r="B92" s="85"/>
      <c r="C92" s="384">
        <v>3000</v>
      </c>
      <c r="D92" s="85"/>
      <c r="E92" s="369" t="s">
        <v>658</v>
      </c>
      <c r="F92" s="85"/>
      <c r="G92" s="384">
        <v>3000</v>
      </c>
      <c r="H92" s="85"/>
      <c r="I92" s="362"/>
      <c r="J92" s="364"/>
      <c r="K92" s="363"/>
      <c r="L92" s="363"/>
      <c r="M92" s="363"/>
    </row>
    <row r="93" spans="1:13" s="173" customFormat="1" x14ac:dyDescent="0.25">
      <c r="A93" s="369" t="s">
        <v>663</v>
      </c>
      <c r="B93" s="85"/>
      <c r="C93" s="384">
        <v>1000</v>
      </c>
      <c r="D93" s="85"/>
      <c r="E93" s="369" t="s">
        <v>663</v>
      </c>
      <c r="F93" s="85"/>
      <c r="G93" s="384">
        <v>1000</v>
      </c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B81+B82+B83+B84-C85</f>
        <v>175465</v>
      </c>
      <c r="C95" s="384">
        <f>SUM(C87:C94)</f>
        <v>250792</v>
      </c>
      <c r="D95" s="384">
        <f>B95-C95</f>
        <v>-75327</v>
      </c>
      <c r="E95" s="369"/>
      <c r="F95" s="384">
        <f>F81+F82-G85</f>
        <v>136965</v>
      </c>
      <c r="G95" s="384">
        <f>SUM(G87:G94)</f>
        <v>234292</v>
      </c>
      <c r="H95" s="384">
        <f>F95-G95</f>
        <v>-97327</v>
      </c>
      <c r="I95" s="362"/>
      <c r="J95" s="364"/>
      <c r="K95" s="363"/>
      <c r="L95" s="363"/>
      <c r="M95" s="363"/>
    </row>
    <row r="98" spans="11:13" x14ac:dyDescent="0.25">
      <c r="K98">
        <f>24000+8000+8500</f>
        <v>40500</v>
      </c>
    </row>
    <row r="99" spans="11:13" x14ac:dyDescent="0.25">
      <c r="M99">
        <f>24000-1000</f>
        <v>23000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49" workbookViewId="0">
      <selection activeCell="G64" sqref="G64"/>
    </sheetView>
  </sheetViews>
  <sheetFormatPr defaultRowHeight="15" x14ac:dyDescent="0.25"/>
  <cols>
    <col min="1" max="1" width="19.28515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656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 t="s">
        <v>642</v>
      </c>
      <c r="B5" s="274">
        <v>1</v>
      </c>
      <c r="C5" s="275" t="s">
        <v>89</v>
      </c>
      <c r="D5" s="276">
        <f>'OCTOBER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'OCTOBER 20'!I6:I19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'OCTOBER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'OCTOBER 20'!I8:I21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'OCTOBER 20'!I9:I22</f>
        <v>8</v>
      </c>
      <c r="E9" s="276"/>
      <c r="F9" s="278">
        <v>4500</v>
      </c>
      <c r="G9" s="263">
        <f t="shared" si="0"/>
        <v>4508</v>
      </c>
      <c r="H9" s="264"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'OCTOBER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'OCTOBER 20'!I11:I24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'OCTOBER 20'!I12:I25</f>
        <v>34000</v>
      </c>
      <c r="E12" s="276"/>
      <c r="F12" s="278"/>
      <c r="G12" s="263">
        <f>F12+D12+4500</f>
        <v>38500</v>
      </c>
      <c r="H12" s="264"/>
      <c r="I12" s="263"/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'OCTOBER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'OCTOBER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'OCTOBER 20'!I15:I28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'OCTOBER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'OCTOBER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'OCTOBER 20'!I18:I31</f>
        <v>41508</v>
      </c>
      <c r="E18" s="281">
        <f t="shared" si="2"/>
        <v>550</v>
      </c>
      <c r="F18" s="281">
        <f t="shared" si="2"/>
        <v>47000</v>
      </c>
      <c r="G18" s="282">
        <f t="shared" si="2"/>
        <v>93008</v>
      </c>
      <c r="H18" s="266">
        <f>SUM(H5:H17)</f>
        <v>47000</v>
      </c>
      <c r="I18" s="366">
        <f t="shared" si="2"/>
        <v>7508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491</v>
      </c>
      <c r="B23" s="350">
        <f>F18</f>
        <v>47000</v>
      </c>
      <c r="C23" s="201"/>
      <c r="D23" s="201"/>
      <c r="E23" s="201" t="s">
        <v>491</v>
      </c>
      <c r="F23" s="350">
        <f>H18</f>
        <v>47000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'OCTOBER 20'!D35</f>
        <v>-3000</v>
      </c>
      <c r="C24" s="201"/>
      <c r="D24" s="201"/>
      <c r="E24" s="201" t="s">
        <v>147</v>
      </c>
      <c r="F24" s="350">
        <f>'OCTOBER 20'!H35</f>
        <v>-10508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665</v>
      </c>
      <c r="B30" s="201"/>
      <c r="C30" s="201">
        <v>33220</v>
      </c>
      <c r="D30" s="201"/>
      <c r="E30" s="354" t="s">
        <v>665</v>
      </c>
      <c r="F30" s="201"/>
      <c r="G30" s="201">
        <v>33220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40710</v>
      </c>
      <c r="C35" s="364">
        <f>SUM(C27:C34)</f>
        <v>40720</v>
      </c>
      <c r="D35" s="364">
        <f>B35-C35</f>
        <v>-10</v>
      </c>
      <c r="E35" s="363" t="s">
        <v>62</v>
      </c>
      <c r="F35" s="364">
        <f>F23+F24-G25</f>
        <v>33202</v>
      </c>
      <c r="G35" s="364">
        <f>SUM(G27:G34)</f>
        <v>40720</v>
      </c>
      <c r="H35" s="365">
        <f>F35-G35</f>
        <v>-7518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33220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657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'OCTOBER 20'!H47:H76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'OCTOBER 20'!H48:H77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'OCTOBER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'OCTOBER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'OCTOBER 20'!H51:H80</f>
        <v>0</v>
      </c>
      <c r="E51" s="3">
        <v>5000</v>
      </c>
      <c r="F51" s="3">
        <f t="shared" si="3"/>
        <v>5000</v>
      </c>
      <c r="G51" s="3">
        <v>5000</v>
      </c>
      <c r="H51" s="3"/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'OCTOBER 20'!H52:H81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'OCTOBER 20'!H53:H82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'OCTOBER 20'!H54:H83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1" t="s">
        <v>274</v>
      </c>
      <c r="B55" s="361" t="s">
        <v>345</v>
      </c>
      <c r="C55" s="361"/>
      <c r="D55" s="3"/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148" t="s">
        <v>243</v>
      </c>
      <c r="B56" s="148" t="s">
        <v>346</v>
      </c>
      <c r="C56" s="3"/>
      <c r="D56" s="3"/>
      <c r="E56" s="3"/>
      <c r="F56" s="3">
        <f t="shared" si="3"/>
        <v>0</v>
      </c>
      <c r="G56" s="3"/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'OCTOBER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'OCTOBER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'OCTOBER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'OCTOBER 20'!H60:H89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'OCTOBER 20'!H61:H90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'OCTOBER 20'!H62:H91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'OCTOBER 20'!H63:H92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'OCTOBER 20'!H64:H94</f>
        <v>2000</v>
      </c>
      <c r="E64" s="3">
        <v>8500</v>
      </c>
      <c r="F64" s="3">
        <f t="shared" si="3"/>
        <v>10500</v>
      </c>
      <c r="G64" s="3">
        <v>9000</v>
      </c>
      <c r="H64" s="3">
        <f t="shared" si="4"/>
        <v>1500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'OCTOBER 20'!H65:H95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'OCTOBER 20'!H66:H96</f>
        <v>5000</v>
      </c>
      <c r="E66" s="3">
        <v>8000</v>
      </c>
      <c r="F66" s="3">
        <f t="shared" si="3"/>
        <v>13000</v>
      </c>
      <c r="G66" s="3">
        <f>4000</f>
        <v>4000</v>
      </c>
      <c r="H66" s="3">
        <f t="shared" si="4"/>
        <v>9000</v>
      </c>
      <c r="I66" s="3"/>
      <c r="J66" s="3"/>
      <c r="K66" s="173"/>
      <c r="L66" s="173"/>
      <c r="M66" s="173"/>
      <c r="N66" s="173"/>
    </row>
    <row r="67" spans="1:14" x14ac:dyDescent="0.25">
      <c r="A67" s="148" t="s">
        <v>664</v>
      </c>
      <c r="B67" s="148" t="s">
        <v>357</v>
      </c>
      <c r="C67" s="148"/>
      <c r="D67" s="3">
        <f>'OCTOBER 20'!H67:H97</f>
        <v>3000</v>
      </c>
      <c r="E67" s="3">
        <v>9000</v>
      </c>
      <c r="F67" s="3">
        <f t="shared" si="3"/>
        <v>12000</v>
      </c>
      <c r="G67" s="3">
        <f>9000</f>
        <v>9000</v>
      </c>
      <c r="H67" s="3">
        <f>F67-G67</f>
        <v>3000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'OCTOBER 20'!H68:H98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'OCTOBER 20'!H69:H99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362">
        <f>D94+D35</f>
        <v>-9.5</v>
      </c>
      <c r="N69" s="173"/>
    </row>
    <row r="70" spans="1:14" x14ac:dyDescent="0.25">
      <c r="A70" s="3" t="s">
        <v>496</v>
      </c>
      <c r="B70" s="3" t="s">
        <v>360</v>
      </c>
      <c r="C70" s="3"/>
      <c r="D70" s="3">
        <f>'OCTOBER 20'!H70:H100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'OCTOBER 20'!H71:H101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'OCTOBER 20'!H72:H102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'OCTOBER 20'!H73:H103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'OCTOBER 20'!H74:H104</f>
        <v>1500</v>
      </c>
      <c r="E74" s="3">
        <v>5000</v>
      </c>
      <c r="F74" s="3">
        <f t="shared" si="3"/>
        <v>6500</v>
      </c>
      <c r="G74" s="3">
        <f>5000</f>
        <v>5000</v>
      </c>
      <c r="H74" s="3">
        <f>F74-G74</f>
        <v>1500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'OCTOBER 20'!H75:H105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'OCTOBER 20'!H76:H106</f>
        <v>77000</v>
      </c>
      <c r="E76" s="343">
        <f>SUM(E47:E75)</f>
        <v>166500</v>
      </c>
      <c r="F76" s="343">
        <f>SUM(F47:F75)</f>
        <v>227000</v>
      </c>
      <c r="G76" s="343">
        <f t="shared" si="5"/>
        <v>154000</v>
      </c>
      <c r="H76" s="343">
        <f t="shared" si="5"/>
        <v>73000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491</v>
      </c>
      <c r="B81" s="350">
        <f>E76</f>
        <v>166500</v>
      </c>
      <c r="C81" s="201"/>
      <c r="D81" s="201"/>
      <c r="E81" s="201" t="s">
        <v>491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'OCTOBER 20'!D95</f>
        <v>-75327</v>
      </c>
      <c r="C82" s="201"/>
      <c r="D82" s="201"/>
      <c r="E82" s="201" t="s">
        <v>147</v>
      </c>
      <c r="F82" s="350">
        <f>'OCTOBER 20'!H95</f>
        <v>-97327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173"/>
    </row>
    <row r="83" spans="1:14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v>8500</v>
      </c>
      <c r="L83" s="148">
        <v>8500</v>
      </c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7492.5</v>
      </c>
      <c r="D85" s="201"/>
      <c r="E85" s="201" t="s">
        <v>390</v>
      </c>
      <c r="F85" s="359">
        <v>4.4999999999999998E-2</v>
      </c>
      <c r="G85" s="350">
        <f>C85</f>
        <v>7492.5</v>
      </c>
      <c r="H85" s="201"/>
      <c r="I85" s="173"/>
      <c r="J85" s="148" t="s">
        <v>646</v>
      </c>
      <c r="K85" s="383">
        <v>3000</v>
      </c>
      <c r="L85" s="148">
        <v>3000</v>
      </c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665</v>
      </c>
      <c r="B87" s="85"/>
      <c r="C87" s="384">
        <v>83680</v>
      </c>
      <c r="D87" s="85"/>
      <c r="E87" s="85" t="s">
        <v>665</v>
      </c>
      <c r="F87" s="85"/>
      <c r="G87" s="384">
        <v>83680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/>
      <c r="B88" s="85"/>
      <c r="C88" s="384"/>
      <c r="D88" s="85"/>
      <c r="E88" s="369"/>
      <c r="F88" s="85"/>
      <c r="G88" s="384"/>
      <c r="H88" s="85"/>
      <c r="I88" s="173"/>
      <c r="J88" s="379"/>
      <c r="K88" s="380"/>
      <c r="L88" s="380"/>
      <c r="M88" s="175"/>
      <c r="N88" s="173"/>
    </row>
    <row r="89" spans="1:14" x14ac:dyDescent="0.25">
      <c r="A89" s="3"/>
      <c r="B89" s="3"/>
      <c r="C89" s="385"/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</row>
    <row r="91" spans="1:14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B81+B82+B84-C85</f>
        <v>83680.5</v>
      </c>
      <c r="C94" s="384">
        <f>SUM(C87:C93)</f>
        <v>83680</v>
      </c>
      <c r="D94" s="384">
        <f>B94-C94</f>
        <v>0.5</v>
      </c>
      <c r="E94" s="369"/>
      <c r="F94" s="384">
        <f>F81+F82-G85</f>
        <v>49180.5</v>
      </c>
      <c r="G94" s="384">
        <f>SUM(G87:G93)</f>
        <v>83680</v>
      </c>
      <c r="H94" s="384">
        <f>F94-G94</f>
        <v>-34499.5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4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</row>
    <row r="105" spans="1:14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  <row r="106" spans="1:14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</row>
    <row r="107" spans="1:14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</row>
    <row r="108" spans="1:14" x14ac:dyDescent="0.25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</row>
    <row r="109" spans="1:14" x14ac:dyDescent="0.25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</row>
    <row r="110" spans="1:14" x14ac:dyDescent="0.25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</row>
  </sheetData>
  <hyperlinks>
    <hyperlink ref="G1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43" workbookViewId="0">
      <selection activeCell="J29" sqref="J29"/>
    </sheetView>
  </sheetViews>
  <sheetFormatPr defaultRowHeight="15" x14ac:dyDescent="0.25"/>
  <cols>
    <col min="1" max="1" width="19.8554687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666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>
        <f>NOVEMBER20!I5:I17</f>
        <v>0</v>
      </c>
      <c r="E5" s="277"/>
      <c r="F5" s="278">
        <v>6000</v>
      </c>
      <c r="G5" s="263">
        <f>F5+D5</f>
        <v>6000</v>
      </c>
      <c r="H5" s="264">
        <v>2000</v>
      </c>
      <c r="I5" s="263">
        <f>G5-H5</f>
        <v>4000</v>
      </c>
      <c r="J5" s="17" t="s">
        <v>504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NOVEMBER20!I6:I18</f>
        <v>0</v>
      </c>
      <c r="E6" s="277"/>
      <c r="F6" s="278">
        <v>6000</v>
      </c>
      <c r="G6" s="263">
        <f t="shared" ref="G6:G17" si="0">F6+D6</f>
        <v>6000</v>
      </c>
      <c r="H6" s="264"/>
      <c r="I6" s="263">
        <f t="shared" ref="I6:I17" si="1">G6-H6</f>
        <v>6000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NOVEMBER20!I7:I19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NOVEMBER20!I8:I20</f>
        <v>7500</v>
      </c>
      <c r="E8" s="278"/>
      <c r="F8" s="278">
        <v>4500</v>
      </c>
      <c r="G8" s="263">
        <f t="shared" si="0"/>
        <v>12000</v>
      </c>
      <c r="H8" s="264">
        <v>4500</v>
      </c>
      <c r="I8" s="263">
        <f t="shared" si="1"/>
        <v>7500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NOVEMBER20!I9:I21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NOVEMBER20!I10:I22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NOVEMBER20!I11:I23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274</v>
      </c>
      <c r="B12" s="280">
        <v>8</v>
      </c>
      <c r="C12" s="265"/>
      <c r="D12" s="276">
        <f>NOVEMBER20!I12:I24</f>
        <v>0</v>
      </c>
      <c r="E12" s="276"/>
      <c r="F12" s="278"/>
      <c r="G12" s="263">
        <f>F12+D12</f>
        <v>0</v>
      </c>
      <c r="H12" s="264"/>
      <c r="I12" s="263">
        <f t="shared" si="1"/>
        <v>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NOVEMBER20!I13:I25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NOVEMBER20!I14:I26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648</v>
      </c>
      <c r="B15" s="274">
        <v>3</v>
      </c>
      <c r="C15" s="265"/>
      <c r="D15" s="276">
        <f>NOVEMBER20!I15:I27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L15" s="173"/>
      <c r="M15" s="173"/>
      <c r="N15" s="173"/>
      <c r="O15" s="173"/>
    </row>
    <row r="16" spans="1:15" x14ac:dyDescent="0.25">
      <c r="A16" s="273"/>
      <c r="B16" s="274">
        <v>4</v>
      </c>
      <c r="C16" s="265"/>
      <c r="D16" s="276">
        <f>NOVEMBER20!I16:I28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NOVEMBER20!I17:I29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7508</v>
      </c>
      <c r="E18" s="281">
        <f t="shared" si="2"/>
        <v>550</v>
      </c>
      <c r="F18" s="281">
        <f t="shared" si="2"/>
        <v>47000</v>
      </c>
      <c r="G18" s="282">
        <f t="shared" si="2"/>
        <v>54508</v>
      </c>
      <c r="H18" s="266">
        <f>SUM(H5:H17)</f>
        <v>37000</v>
      </c>
      <c r="I18" s="366">
        <f t="shared" si="2"/>
        <v>17508</v>
      </c>
      <c r="J18" s="17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497</v>
      </c>
      <c r="B23" s="350">
        <f>F18</f>
        <v>47000</v>
      </c>
      <c r="C23" s="201"/>
      <c r="D23" s="201"/>
      <c r="E23" s="201" t="s">
        <v>497</v>
      </c>
      <c r="F23" s="350">
        <f>H18</f>
        <v>37000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NOVEMBER20!D35</f>
        <v>-10</v>
      </c>
      <c r="C24" s="201"/>
      <c r="D24" s="201"/>
      <c r="E24" s="201" t="s">
        <v>147</v>
      </c>
      <c r="F24" s="350">
        <f>NOVEMBER20!H35</f>
        <v>-7518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669</v>
      </c>
      <c r="B30" s="201"/>
      <c r="C30" s="201">
        <v>36200</v>
      </c>
      <c r="D30" s="201"/>
      <c r="E30" s="354" t="s">
        <v>669</v>
      </c>
      <c r="F30" s="201"/>
      <c r="G30" s="201">
        <v>36200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 t="s">
        <v>676</v>
      </c>
      <c r="B32" s="201"/>
      <c r="C32" s="201">
        <v>4000</v>
      </c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  <c r="O34" s="173"/>
    </row>
    <row r="35" spans="1:15" x14ac:dyDescent="0.25">
      <c r="A35" s="363" t="s">
        <v>62</v>
      </c>
      <c r="B35" s="364">
        <f>B23+B24+B26-C25</f>
        <v>43700</v>
      </c>
      <c r="C35" s="364">
        <f>SUM(C27:C34)</f>
        <v>50700</v>
      </c>
      <c r="D35" s="364">
        <f>B35-C35</f>
        <v>-7000</v>
      </c>
      <c r="E35" s="363" t="s">
        <v>62</v>
      </c>
      <c r="F35" s="364">
        <f>F23+F24-G25</f>
        <v>26192</v>
      </c>
      <c r="G35" s="364">
        <f>SUM(G27:G34)</f>
        <v>46700</v>
      </c>
      <c r="H35" s="365">
        <f>F35-G35</f>
        <v>-20508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43200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667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NOVEMBER20!H47:H75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NOVEMBER20!H48:H76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NOVEMBER20!H49:H77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NOVEMBER20!H50:H78</f>
        <v>0</v>
      </c>
      <c r="E50" s="3">
        <v>3000</v>
      </c>
      <c r="F50" s="3">
        <f t="shared" si="3"/>
        <v>3000</v>
      </c>
      <c r="G50" s="3">
        <f>3000</f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148" t="s">
        <v>274</v>
      </c>
      <c r="B51" s="148" t="s">
        <v>604</v>
      </c>
      <c r="C51" s="3"/>
      <c r="D51" s="3">
        <f>NOVEMBER20!H51:H79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NOVEMBER20!H52:H80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NOVEMBER20!H53:H81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NOVEMBER20!H54:H82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1" t="s">
        <v>274</v>
      </c>
      <c r="B55" s="361" t="s">
        <v>345</v>
      </c>
      <c r="C55" s="361"/>
      <c r="D55" s="3">
        <f>NOVEMBER20!H55:H83</f>
        <v>0</v>
      </c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148" t="s">
        <v>668</v>
      </c>
      <c r="B56" s="148" t="s">
        <v>346</v>
      </c>
      <c r="C56" s="3"/>
      <c r="D56" s="3">
        <f>NOVEMBER20!H56:H84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NOVEMBER20!H57:H85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NOVEMBER20!H58:H86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NOVEMBER20!H59:H87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NOVEMBER20!H60:H88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NOVEMBER20!H61:H89</f>
        <v>18000</v>
      </c>
      <c r="E61" s="3">
        <v>9000</v>
      </c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NOVEMBER20!H62:H90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NOVEMBER20!H63:H91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/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NOVEMBER20!H64:H92</f>
        <v>1500</v>
      </c>
      <c r="E64" s="3">
        <v>8500</v>
      </c>
      <c r="F64" s="3">
        <f t="shared" si="3"/>
        <v>10000</v>
      </c>
      <c r="G64" s="3">
        <f>9000</f>
        <v>9000</v>
      </c>
      <c r="H64" s="3">
        <f t="shared" si="4"/>
        <v>1000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NOVEMBER20!H65:H93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NOVEMBER20!H66:H94</f>
        <v>9000</v>
      </c>
      <c r="E66" s="3">
        <v>8000</v>
      </c>
      <c r="F66" s="3">
        <f t="shared" si="3"/>
        <v>17000</v>
      </c>
      <c r="G66" s="3">
        <f>4000+4000</f>
        <v>8000</v>
      </c>
      <c r="H66" s="3">
        <f t="shared" si="4"/>
        <v>9000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375" t="s">
        <v>664</v>
      </c>
      <c r="B67" s="375" t="s">
        <v>357</v>
      </c>
      <c r="C67" s="148"/>
      <c r="D67" s="3">
        <f>NOVEMBER20!H67:H95</f>
        <v>3000</v>
      </c>
      <c r="E67" s="3">
        <v>9000</v>
      </c>
      <c r="F67" s="3">
        <f t="shared" si="3"/>
        <v>12000</v>
      </c>
      <c r="G67" s="3">
        <f>8500</f>
        <v>8500</v>
      </c>
      <c r="H67" s="3">
        <f>F67-G67</f>
        <v>3500</v>
      </c>
      <c r="I67" s="3"/>
      <c r="J67" s="3"/>
      <c r="K67" s="173"/>
      <c r="L67" s="173"/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NOVEMBER20!H68:H96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NOVEMBER20!H69:H97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362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NOVEMBER20!H70:H98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NOVEMBER20!H71:H99</f>
        <v>4000</v>
      </c>
      <c r="E71" s="3">
        <v>8000</v>
      </c>
      <c r="F71" s="3">
        <f t="shared" si="3"/>
        <v>12000</v>
      </c>
      <c r="G71" s="3"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670</v>
      </c>
      <c r="B72" s="3" t="s">
        <v>362</v>
      </c>
      <c r="C72" s="3"/>
      <c r="D72" s="3">
        <f>NOVEMBER20!H72:H100</f>
        <v>16000</v>
      </c>
      <c r="E72" s="3">
        <v>8000</v>
      </c>
      <c r="F72" s="3">
        <f t="shared" si="3"/>
        <v>24000</v>
      </c>
      <c r="G72" s="3">
        <v>8000</v>
      </c>
      <c r="H72" s="3">
        <f>F72-G72</f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NOVEMBER20!H73:H101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NOVEMBER20!H74:H102</f>
        <v>1500</v>
      </c>
      <c r="E74" s="3">
        <v>5000</v>
      </c>
      <c r="F74" s="3">
        <f t="shared" si="3"/>
        <v>6500</v>
      </c>
      <c r="G74" s="3">
        <v>5500</v>
      </c>
      <c r="H74" s="3">
        <f>F74-G74</f>
        <v>1000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73000</v>
      </c>
      <c r="E76" s="343">
        <f>SUM(E47:E75)</f>
        <v>170000</v>
      </c>
      <c r="F76" s="343">
        <f>SUM(F47:F75)</f>
        <v>243000</v>
      </c>
      <c r="G76" s="343">
        <f t="shared" si="5"/>
        <v>161500</v>
      </c>
      <c r="H76" s="343">
        <f t="shared" si="5"/>
        <v>81500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497</v>
      </c>
      <c r="B81" s="350">
        <f>E76</f>
        <v>170000</v>
      </c>
      <c r="C81" s="201"/>
      <c r="D81" s="201"/>
      <c r="E81" s="201" t="s">
        <v>497</v>
      </c>
      <c r="F81" s="350">
        <f>G76</f>
        <v>161500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NOVEMBER20!D94</f>
        <v>0.5</v>
      </c>
      <c r="C82" s="201"/>
      <c r="D82" s="201"/>
      <c r="E82" s="201" t="s">
        <v>147</v>
      </c>
      <c r="F82" s="350">
        <f>NOVEMBER20!H94</f>
        <v>-34499.5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/>
      <c r="K83" s="148"/>
      <c r="L83" s="148"/>
      <c r="M83" s="3"/>
      <c r="N83" s="17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7650</v>
      </c>
      <c r="D85" s="201"/>
      <c r="E85" s="201" t="s">
        <v>390</v>
      </c>
      <c r="F85" s="359">
        <v>4.4999999999999998E-2</v>
      </c>
      <c r="G85" s="350">
        <f>C85</f>
        <v>7650</v>
      </c>
      <c r="H85" s="201"/>
      <c r="I85" s="173"/>
      <c r="J85" s="148" t="s">
        <v>646</v>
      </c>
      <c r="K85" s="383">
        <v>3000</v>
      </c>
      <c r="L85" s="148"/>
      <c r="M85" s="3"/>
      <c r="N85" s="17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  <c r="O86" s="173"/>
    </row>
    <row r="87" spans="1:15" x14ac:dyDescent="0.25">
      <c r="A87" s="85"/>
      <c r="B87" s="85"/>
      <c r="C87" s="384"/>
      <c r="D87" s="85"/>
      <c r="E87" s="85"/>
      <c r="F87" s="85"/>
      <c r="G87" s="384"/>
      <c r="H87" s="85"/>
      <c r="I87" s="173"/>
      <c r="J87" s="378"/>
      <c r="K87" s="148"/>
      <c r="L87" s="148"/>
      <c r="M87" s="3"/>
      <c r="N87" s="173"/>
      <c r="O87" s="173"/>
    </row>
    <row r="88" spans="1:15" x14ac:dyDescent="0.25">
      <c r="A88" s="369" t="s">
        <v>669</v>
      </c>
      <c r="B88" s="85"/>
      <c r="C88" s="384">
        <v>162300</v>
      </c>
      <c r="D88" s="85"/>
      <c r="E88" s="369" t="s">
        <v>669</v>
      </c>
      <c r="F88" s="85"/>
      <c r="G88" s="384">
        <v>162300</v>
      </c>
      <c r="H88" s="85"/>
      <c r="I88" s="173"/>
      <c r="J88" s="379"/>
      <c r="K88" s="380"/>
      <c r="L88" s="380"/>
      <c r="M88" s="175"/>
      <c r="N88" s="173"/>
      <c r="O88" s="173"/>
    </row>
    <row r="89" spans="1:15" x14ac:dyDescent="0.25">
      <c r="A89" s="3" t="s">
        <v>675</v>
      </c>
      <c r="B89" s="3"/>
      <c r="C89" s="385">
        <v>8500</v>
      </c>
      <c r="D89" s="3"/>
      <c r="E89" s="3" t="s">
        <v>675</v>
      </c>
      <c r="F89" s="3"/>
      <c r="G89" s="385">
        <v>8500</v>
      </c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  <c r="O90" s="173"/>
    </row>
    <row r="91" spans="1:15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  <c r="O91" s="173"/>
    </row>
    <row r="92" spans="1:15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  <c r="O92" s="173"/>
    </row>
    <row r="93" spans="1:15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  <c r="O93" s="173"/>
    </row>
    <row r="94" spans="1:15" x14ac:dyDescent="0.25">
      <c r="A94" s="369"/>
      <c r="B94" s="384">
        <f>B81+B82+B84-C85</f>
        <v>162350.5</v>
      </c>
      <c r="C94" s="384">
        <f>SUM(C87:C93)</f>
        <v>170800</v>
      </c>
      <c r="D94" s="384">
        <f>B94-C94</f>
        <v>-8449.5</v>
      </c>
      <c r="E94" s="369"/>
      <c r="F94" s="384">
        <f>F81+F82-G85</f>
        <v>119350.5</v>
      </c>
      <c r="G94" s="384">
        <f>SUM(G87:G93)</f>
        <v>170800</v>
      </c>
      <c r="H94" s="384">
        <f>F94-G94</f>
        <v>-51449.5</v>
      </c>
      <c r="I94" s="362"/>
      <c r="J94" s="364"/>
      <c r="K94" s="363"/>
      <c r="L94" s="363"/>
      <c r="M94" s="36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</row>
    <row r="96" spans="1:15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</row>
    <row r="97" spans="1:15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</row>
    <row r="100" spans="1:15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</row>
    <row r="101" spans="1:15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>
        <f>C88+C30</f>
        <v>198500</v>
      </c>
      <c r="L101" s="173"/>
      <c r="M101" s="173"/>
      <c r="N101" s="173"/>
      <c r="O101" s="173"/>
    </row>
    <row r="102" spans="1:15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</row>
  </sheetData>
  <hyperlinks>
    <hyperlink ref="G1" r:id="rId1"/>
  </hyperlinks>
  <pageMargins left="0.7" right="0.7" top="0.75" bottom="0.75" header="0.3" footer="0.3"/>
  <pageSetup paperSize="0" orientation="portrait" horizontalDpi="203" verticalDpi="20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workbookViewId="0">
      <selection activeCell="I32" sqref="I32:I33"/>
    </sheetView>
  </sheetViews>
  <sheetFormatPr defaultRowHeight="15" x14ac:dyDescent="0.25"/>
  <cols>
    <col min="1" max="1" width="13.140625" customWidth="1"/>
    <col min="2" max="2" width="3.5703125" customWidth="1"/>
    <col min="4" max="4" width="11.710937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93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400</v>
      </c>
      <c r="G6" s="33">
        <v>4000</v>
      </c>
      <c r="H6" s="33">
        <f>SUM(E6:G6)</f>
        <v>11000</v>
      </c>
      <c r="I6" s="33"/>
      <c r="J6" s="7"/>
      <c r="K6" s="7"/>
      <c r="L6" s="6"/>
      <c r="M6" s="7">
        <f>SUM(H6-K6)</f>
        <v>11000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500</v>
      </c>
      <c r="K7" s="7">
        <v>4500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2200</v>
      </c>
      <c r="F9" s="74">
        <v>500</v>
      </c>
      <c r="G9" s="7">
        <v>4000</v>
      </c>
      <c r="H9" s="7">
        <f>SUM(E9:G9)</f>
        <v>6700</v>
      </c>
      <c r="I9" s="7">
        <v>2500</v>
      </c>
      <c r="J9" s="7"/>
      <c r="K9" s="7"/>
      <c r="L9" s="10"/>
      <c r="M9" s="64">
        <f>SUM(L28+H9-I9)</f>
        <v>4200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700</v>
      </c>
      <c r="K10" s="7">
        <v>4700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>
        <v>8000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400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200</v>
      </c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74500</v>
      </c>
      <c r="I17" s="71">
        <f t="shared" si="0"/>
        <v>43000</v>
      </c>
      <c r="J17" s="78">
        <f t="shared" si="0"/>
        <v>2900</v>
      </c>
      <c r="K17" s="78">
        <f t="shared" si="0"/>
        <v>35300</v>
      </c>
      <c r="L17" s="69"/>
      <c r="M17" s="78">
        <f>SUM(M5:M16)</f>
        <v>28600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43000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2900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45900</v>
      </c>
      <c r="E21" s="1"/>
      <c r="G21" s="1" t="s">
        <v>92</v>
      </c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 t="s">
        <v>66</v>
      </c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3010.0000000000005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12845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95</v>
      </c>
      <c r="B25" s="2"/>
      <c r="C25" s="38"/>
      <c r="D25" s="40">
        <v>33125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48980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-3080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49" workbookViewId="0">
      <selection activeCell="E61" sqref="E61"/>
    </sheetView>
  </sheetViews>
  <sheetFormatPr defaultRowHeight="15" x14ac:dyDescent="0.25"/>
  <cols>
    <col min="1" max="1" width="18.710937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671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/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'DECEMBER 20'!I6:I18</f>
        <v>6000</v>
      </c>
      <c r="E6" s="277"/>
      <c r="F6" s="278">
        <v>6000</v>
      </c>
      <c r="G6" s="263">
        <f t="shared" ref="G6:G17" si="0">F6+D6</f>
        <v>12000</v>
      </c>
      <c r="H6" s="264">
        <f>9000</f>
        <v>9000</v>
      </c>
      <c r="I6" s="263">
        <f t="shared" ref="I6:I17" si="1">G6-H6</f>
        <v>3000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'DECEMBER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'DECEMBER 20'!I8:I20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'DECEMBER 20'!I9:I21</f>
        <v>8</v>
      </c>
      <c r="E9" s="276"/>
      <c r="F9" s="278">
        <v>4500</v>
      </c>
      <c r="G9" s="263">
        <f t="shared" si="0"/>
        <v>4508</v>
      </c>
      <c r="H9" s="264">
        <f>4000+500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'DECEMBER 20'!I10:I22</f>
        <v>0</v>
      </c>
      <c r="E10" s="276"/>
      <c r="F10" s="278">
        <v>4500</v>
      </c>
      <c r="G10" s="263">
        <f t="shared" si="0"/>
        <v>4500</v>
      </c>
      <c r="H10" s="264"/>
      <c r="I10" s="263"/>
      <c r="J10" s="17" t="s">
        <v>504</v>
      </c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'DECEMBER 20'!I11:I23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674</v>
      </c>
      <c r="B12" s="280">
        <v>8</v>
      </c>
      <c r="C12" s="265"/>
      <c r="D12" s="276">
        <f>'DECEMBER 20'!I12:I24</f>
        <v>0</v>
      </c>
      <c r="E12" s="276"/>
      <c r="F12" s="278">
        <v>4500</v>
      </c>
      <c r="G12" s="263">
        <f>F12+D12</f>
        <v>4500</v>
      </c>
      <c r="H12" s="264">
        <f>4500</f>
        <v>4500</v>
      </c>
      <c r="I12" s="263">
        <f t="shared" si="1"/>
        <v>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9</v>
      </c>
      <c r="C13" s="265"/>
      <c r="D13" s="276">
        <f>'DECEMBER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'DECEMBER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'DECEMBER 20'!I15:I27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'DECEMBER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'DECEMBER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13508</v>
      </c>
      <c r="E18" s="281">
        <f t="shared" si="2"/>
        <v>450</v>
      </c>
      <c r="F18" s="281">
        <f t="shared" si="2"/>
        <v>45500</v>
      </c>
      <c r="G18" s="282">
        <f t="shared" si="2"/>
        <v>59008</v>
      </c>
      <c r="H18" s="266">
        <f>SUM(H5:H17)</f>
        <v>44000</v>
      </c>
      <c r="I18" s="366">
        <f t="shared" si="2"/>
        <v>10508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509</v>
      </c>
      <c r="B23" s="350">
        <f>F18</f>
        <v>45500</v>
      </c>
      <c r="C23" s="201"/>
      <c r="D23" s="201"/>
      <c r="E23" s="201" t="s">
        <v>509</v>
      </c>
      <c r="F23" s="350">
        <f>H18</f>
        <v>44000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'DECEMBER 20'!D35</f>
        <v>-7000</v>
      </c>
      <c r="C24" s="201"/>
      <c r="D24" s="201"/>
      <c r="E24" s="201" t="s">
        <v>147</v>
      </c>
      <c r="F24" s="350">
        <f>'DECEMBER 20'!H35</f>
        <v>-20508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3185.0000000000005</v>
      </c>
      <c r="D25" s="201"/>
      <c r="E25" s="201" t="s">
        <v>390</v>
      </c>
      <c r="F25" s="351">
        <v>7.0000000000000007E-2</v>
      </c>
      <c r="G25" s="350">
        <f>C25</f>
        <v>3185.0000000000005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679</v>
      </c>
      <c r="B30" s="201"/>
      <c r="C30" s="201">
        <v>27800</v>
      </c>
      <c r="D30" s="201"/>
      <c r="E30" s="354" t="s">
        <v>679</v>
      </c>
      <c r="F30" s="201"/>
      <c r="G30" s="201">
        <v>27800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 t="s">
        <v>680</v>
      </c>
      <c r="B31" s="201"/>
      <c r="C31" s="201">
        <v>4500</v>
      </c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35315</v>
      </c>
      <c r="C35" s="364">
        <f>SUM(C27:C34)</f>
        <v>42800</v>
      </c>
      <c r="D35" s="364">
        <f>B35-C35</f>
        <v>-7485</v>
      </c>
      <c r="E35" s="363" t="s">
        <v>62</v>
      </c>
      <c r="F35" s="364">
        <f>F23+F24-G25</f>
        <v>20307</v>
      </c>
      <c r="G35" s="364">
        <f>SUM(G27:G34)</f>
        <v>38300</v>
      </c>
      <c r="H35" s="365">
        <f>F35-G35</f>
        <v>-17993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35300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672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'DECEMBER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'DECEMBER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'DECEMBER 20'!H49:H76</f>
        <v>0</v>
      </c>
      <c r="E49" s="3">
        <v>3000</v>
      </c>
      <c r="F49" s="3">
        <f t="shared" si="3"/>
        <v>3000</v>
      </c>
      <c r="G49" s="3"/>
      <c r="H49" s="3">
        <f t="shared" ref="H49:H71" si="4">F49-G49</f>
        <v>3000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'DECEMBER 20'!H50:H77</f>
        <v>0</v>
      </c>
      <c r="E50" s="3">
        <v>3000</v>
      </c>
      <c r="F50" s="3">
        <f t="shared" si="3"/>
        <v>3000</v>
      </c>
      <c r="G50" s="3"/>
      <c r="H50" s="3">
        <f t="shared" si="4"/>
        <v>3000</v>
      </c>
      <c r="I50" s="3"/>
      <c r="J50" s="3"/>
      <c r="K50" s="173" t="s">
        <v>398</v>
      </c>
      <c r="L50" s="173"/>
      <c r="M50" s="173"/>
      <c r="N50" s="173"/>
    </row>
    <row r="51" spans="1:14" x14ac:dyDescent="0.25">
      <c r="A51" s="148" t="s">
        <v>274</v>
      </c>
      <c r="B51" s="148" t="s">
        <v>604</v>
      </c>
      <c r="C51" s="3"/>
      <c r="D51" s="3">
        <f>'DECEMBER 20'!H51:H78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'DECEMBER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'DECEMBER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'DECEMBER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673</v>
      </c>
      <c r="B55" s="363" t="s">
        <v>345</v>
      </c>
      <c r="C55" s="361"/>
      <c r="D55" s="3">
        <f>'DECEMBER 20'!H55:H82</f>
        <v>0</v>
      </c>
      <c r="E55" s="363">
        <v>7000</v>
      </c>
      <c r="F55" s="3">
        <f t="shared" si="3"/>
        <v>7000</v>
      </c>
      <c r="G55" s="363">
        <v>7000</v>
      </c>
      <c r="H55" s="3">
        <f>F55-G55</f>
        <v>0</v>
      </c>
      <c r="I55" s="3"/>
      <c r="J55" s="3"/>
      <c r="K55" s="173"/>
      <c r="L55" s="173"/>
      <c r="M55" s="362"/>
      <c r="N55" s="173"/>
    </row>
    <row r="56" spans="1:14" x14ac:dyDescent="0.25">
      <c r="A56" s="375" t="s">
        <v>668</v>
      </c>
      <c r="B56" s="375" t="s">
        <v>346</v>
      </c>
      <c r="C56" s="3"/>
      <c r="D56" s="3">
        <f>'DECEMBER 20'!H56:H83</f>
        <v>0</v>
      </c>
      <c r="E56" s="3">
        <v>8500</v>
      </c>
      <c r="F56" s="3">
        <f t="shared" si="3"/>
        <v>8500</v>
      </c>
      <c r="G56" s="3">
        <f>8500</f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'DECEMBER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'DECEMBER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'DECEMBER 20'!H59:H86</f>
        <v>13000</v>
      </c>
      <c r="E59" s="3">
        <v>8000</v>
      </c>
      <c r="F59" s="3">
        <f t="shared" si="3"/>
        <v>21000</v>
      </c>
      <c r="G59" s="3">
        <f>7000</f>
        <v>7000</v>
      </c>
      <c r="H59" s="3">
        <f>F59-G59</f>
        <v>14000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'DECEMBER 20'!H60:H87</f>
        <v>7000</v>
      </c>
      <c r="E60" s="3">
        <v>7000</v>
      </c>
      <c r="F60" s="3">
        <f t="shared" si="3"/>
        <v>14000</v>
      </c>
      <c r="G60" s="367">
        <f>7000+6000</f>
        <v>13000</v>
      </c>
      <c r="H60" s="3">
        <f>F60-G60</f>
        <v>1000</v>
      </c>
      <c r="I60" s="3"/>
      <c r="J60" s="3"/>
      <c r="K60" s="173"/>
      <c r="L60" s="173"/>
      <c r="M60" s="173"/>
      <c r="N60" s="173"/>
    </row>
    <row r="61" spans="1:14" x14ac:dyDescent="0.25">
      <c r="A61" s="148" t="s">
        <v>557</v>
      </c>
      <c r="B61" s="148" t="s">
        <v>351</v>
      </c>
      <c r="C61" s="148"/>
      <c r="D61" s="148">
        <f>'DECEMBER 20'!H61:H88</f>
        <v>27000</v>
      </c>
      <c r="E61" s="3"/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'DECEMBER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'DECEMBER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'DECEMBER 20'!H64:H91</f>
        <v>1000</v>
      </c>
      <c r="E64" s="3">
        <v>8500</v>
      </c>
      <c r="F64" s="3">
        <f t="shared" si="3"/>
        <v>9500</v>
      </c>
      <c r="G64" s="3">
        <v>8500</v>
      </c>
      <c r="H64" s="3">
        <f t="shared" si="4"/>
        <v>1000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'DECEMBER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'DECEMBER 20'!H66:H93</f>
        <v>9000</v>
      </c>
      <c r="E66" s="3">
        <v>8000</v>
      </c>
      <c r="F66" s="3">
        <f t="shared" si="3"/>
        <v>17000</v>
      </c>
      <c r="G66" s="3">
        <f>4000</f>
        <v>4000</v>
      </c>
      <c r="H66" s="3">
        <f t="shared" si="4"/>
        <v>13000</v>
      </c>
      <c r="I66" s="3"/>
      <c r="J66" s="3"/>
      <c r="K66" s="173"/>
      <c r="L66" s="173"/>
      <c r="M66" s="173"/>
      <c r="N66" s="173"/>
    </row>
    <row r="67" spans="1:14" x14ac:dyDescent="0.25">
      <c r="A67" s="375" t="s">
        <v>664</v>
      </c>
      <c r="B67" s="375" t="s">
        <v>357</v>
      </c>
      <c r="C67" s="148"/>
      <c r="D67" s="3">
        <f>'DECEMBER 20'!H67:H94</f>
        <v>3500</v>
      </c>
      <c r="E67" s="3">
        <v>9000</v>
      </c>
      <c r="F67" s="3">
        <f t="shared" si="3"/>
        <v>12500</v>
      </c>
      <c r="G67" s="3">
        <f>8500</f>
        <v>8500</v>
      </c>
      <c r="H67" s="3">
        <f>F67-G67</f>
        <v>4000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'DECEMBER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'DECEMBER 20'!H69:H96</f>
        <v>0</v>
      </c>
      <c r="E69" s="3">
        <v>8500</v>
      </c>
      <c r="F69" s="3">
        <f t="shared" si="3"/>
        <v>8500</v>
      </c>
      <c r="G69" s="3"/>
      <c r="H69" s="3">
        <f t="shared" si="4"/>
        <v>8500</v>
      </c>
      <c r="I69" s="3"/>
      <c r="J69" s="3"/>
      <c r="K69" s="173" t="s">
        <v>504</v>
      </c>
      <c r="L69" s="173"/>
      <c r="M69" s="362"/>
      <c r="N69" s="173"/>
    </row>
    <row r="70" spans="1:14" x14ac:dyDescent="0.25">
      <c r="A70" s="3" t="s">
        <v>496</v>
      </c>
      <c r="B70" s="3" t="s">
        <v>360</v>
      </c>
      <c r="C70" s="3"/>
      <c r="D70" s="3">
        <f>'DECEMBER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'DECEMBER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670</v>
      </c>
      <c r="B72" s="3" t="s">
        <v>362</v>
      </c>
      <c r="C72" s="3"/>
      <c r="D72" s="3">
        <f>'DECEMBER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'DECEMBER 20'!H73:H100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 t="s">
        <v>142</v>
      </c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'DECEMBER 20'!H74:H101</f>
        <v>1000</v>
      </c>
      <c r="E74" s="3">
        <v>5000</v>
      </c>
      <c r="F74" s="3">
        <f t="shared" si="3"/>
        <v>6000</v>
      </c>
      <c r="G74" s="3">
        <f>5000</f>
        <v>5000</v>
      </c>
      <c r="H74" s="3">
        <f>F74-G74</f>
        <v>1000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81500</v>
      </c>
      <c r="E76" s="343">
        <f>SUM(E47:E75)</f>
        <v>168000</v>
      </c>
      <c r="F76" s="343">
        <f>SUM(F47:F75)</f>
        <v>249500</v>
      </c>
      <c r="G76" s="343">
        <f t="shared" si="5"/>
        <v>154000</v>
      </c>
      <c r="H76" s="343">
        <f t="shared" si="5"/>
        <v>95500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H74+H73+H69+H67+H66+H64+H60+1000+H50+H49+21000</f>
        <v>56500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509</v>
      </c>
      <c r="B81" s="350">
        <f>E76</f>
        <v>168000</v>
      </c>
      <c r="C81" s="201"/>
      <c r="D81" s="201"/>
      <c r="E81" s="201" t="s">
        <v>509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'DECEMBER 20'!D94</f>
        <v>-8449.5</v>
      </c>
      <c r="C82" s="201"/>
      <c r="D82" s="201"/>
      <c r="E82" s="201" t="s">
        <v>147</v>
      </c>
      <c r="F82" s="350">
        <f>'DECEMBER 20'!H94</f>
        <v>-51449.5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v>500</v>
      </c>
      <c r="G83" s="201"/>
      <c r="H83" s="201"/>
      <c r="I83" s="173"/>
      <c r="J83" s="148" t="s">
        <v>636</v>
      </c>
      <c r="K83" s="148"/>
      <c r="L83" s="148"/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7560</v>
      </c>
      <c r="D85" s="201"/>
      <c r="E85" s="201" t="s">
        <v>390</v>
      </c>
      <c r="F85" s="359">
        <v>4.4999999999999998E-2</v>
      </c>
      <c r="G85" s="350">
        <f>C85</f>
        <v>7560</v>
      </c>
      <c r="H85" s="201"/>
      <c r="I85" s="173"/>
      <c r="J85" s="148" t="s">
        <v>646</v>
      </c>
      <c r="K85" s="383">
        <v>3000</v>
      </c>
      <c r="L85" s="148"/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677</v>
      </c>
      <c r="B87" s="85"/>
      <c r="C87" s="384">
        <v>100000</v>
      </c>
      <c r="D87" s="85"/>
      <c r="E87" s="85" t="s">
        <v>677</v>
      </c>
      <c r="F87" s="85"/>
      <c r="G87" s="384">
        <v>100000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 t="s">
        <v>678</v>
      </c>
      <c r="B88" s="85"/>
      <c r="C88" s="384">
        <v>51990</v>
      </c>
      <c r="D88" s="85"/>
      <c r="E88" s="369" t="s">
        <v>678</v>
      </c>
      <c r="F88" s="85"/>
      <c r="G88" s="384">
        <v>51990</v>
      </c>
      <c r="H88" s="85"/>
      <c r="I88" s="173"/>
      <c r="J88" s="379"/>
      <c r="K88" s="380"/>
      <c r="L88" s="380"/>
      <c r="M88" s="175"/>
      <c r="N88" s="173"/>
    </row>
    <row r="89" spans="1:14" x14ac:dyDescent="0.25">
      <c r="A89" s="3" t="s">
        <v>687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684</v>
      </c>
      <c r="B90" s="3"/>
      <c r="C90" s="385">
        <v>8500</v>
      </c>
      <c r="D90" s="3"/>
      <c r="E90" s="3" t="s">
        <v>684</v>
      </c>
      <c r="F90" s="3"/>
      <c r="G90" s="385">
        <v>8500</v>
      </c>
      <c r="H90" s="85"/>
      <c r="I90" s="362"/>
      <c r="J90" s="3"/>
      <c r="K90" s="3"/>
      <c r="L90" s="3"/>
      <c r="M90" s="175"/>
      <c r="N90" s="173"/>
    </row>
    <row r="91" spans="1:14" x14ac:dyDescent="0.25">
      <c r="A91" s="3" t="s">
        <v>688</v>
      </c>
      <c r="B91" s="3"/>
      <c r="C91" s="385">
        <v>3000</v>
      </c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B81+B82+B84+B83-C85</f>
        <v>152490.5</v>
      </c>
      <c r="C94" s="384">
        <f>SUM(C87:C93)</f>
        <v>171990</v>
      </c>
      <c r="D94" s="384">
        <f>B94-C94</f>
        <v>-19499.5</v>
      </c>
      <c r="E94" s="369"/>
      <c r="F94" s="384">
        <f>F81+F82+F83-G85</f>
        <v>95490.5</v>
      </c>
      <c r="G94" s="384">
        <f>SUM(G87:G93)</f>
        <v>160490</v>
      </c>
      <c r="H94" s="384">
        <f>F94-G94</f>
        <v>-64999.5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362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63" workbookViewId="0">
      <selection activeCell="I46" sqref="I46"/>
    </sheetView>
  </sheetViews>
  <sheetFormatPr defaultRowHeight="15" x14ac:dyDescent="0.25"/>
  <cols>
    <col min="1" max="1" width="18.85546875" customWidth="1"/>
    <col min="5" max="5" width="11.5703125" customWidth="1"/>
    <col min="6" max="6" width="10.85546875" bestFit="1" customWidth="1"/>
    <col min="11" max="11" width="10" bestFit="1" customWidth="1"/>
  </cols>
  <sheetData>
    <row r="1" spans="1:14" x14ac:dyDescent="0.25">
      <c r="K1" s="173"/>
      <c r="L1" s="173"/>
      <c r="M1" s="173"/>
      <c r="N1" s="173"/>
    </row>
    <row r="2" spans="1:14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  <c r="N3" s="173"/>
    </row>
    <row r="4" spans="1:14" x14ac:dyDescent="0.25">
      <c r="A4" s="173"/>
      <c r="B4" s="173"/>
      <c r="C4" s="173"/>
      <c r="D4" s="66" t="s">
        <v>681</v>
      </c>
      <c r="E4" s="164"/>
      <c r="F4" s="164"/>
      <c r="G4" s="173"/>
      <c r="H4" s="173"/>
      <c r="I4" s="173"/>
      <c r="J4" s="173"/>
      <c r="K4" s="173"/>
      <c r="L4" s="173"/>
      <c r="M4" s="173"/>
      <c r="N4" s="173"/>
    </row>
    <row r="5" spans="1:14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  <c r="N5" s="173"/>
    </row>
    <row r="6" spans="1:14" x14ac:dyDescent="0.25">
      <c r="A6" s="273" t="s">
        <v>683</v>
      </c>
      <c r="B6" s="274">
        <v>1</v>
      </c>
      <c r="C6" s="387">
        <v>6000</v>
      </c>
      <c r="D6" s="276"/>
      <c r="E6" s="277"/>
      <c r="F6" s="278">
        <v>6000</v>
      </c>
      <c r="G6" s="263">
        <f>F6+D6+C6</f>
        <v>12000</v>
      </c>
      <c r="H6" s="264">
        <v>4500</v>
      </c>
      <c r="I6" s="263">
        <f>G6-H6</f>
        <v>7500</v>
      </c>
      <c r="J6" s="17"/>
      <c r="K6" s="173"/>
      <c r="L6" s="173"/>
      <c r="M6" s="173"/>
      <c r="N6" s="173"/>
    </row>
    <row r="7" spans="1:14" x14ac:dyDescent="0.25">
      <c r="A7" s="273" t="s">
        <v>413</v>
      </c>
      <c r="B7" s="274">
        <v>2</v>
      </c>
      <c r="C7" s="265"/>
      <c r="D7" s="276">
        <v>3000</v>
      </c>
      <c r="E7" s="277"/>
      <c r="F7" s="278">
        <v>6000</v>
      </c>
      <c r="G7" s="263">
        <f t="shared" ref="G7:G18" si="0">F7+D7</f>
        <v>9000</v>
      </c>
      <c r="H7" s="264">
        <f>9000</f>
        <v>9000</v>
      </c>
      <c r="I7" s="263">
        <f t="shared" ref="I7:I18" si="1">G7-H7</f>
        <v>0</v>
      </c>
      <c r="J7" s="17"/>
      <c r="K7" s="173"/>
      <c r="L7" s="173"/>
      <c r="M7" s="173"/>
      <c r="N7" s="173"/>
    </row>
    <row r="8" spans="1:14" x14ac:dyDescent="0.25">
      <c r="A8" s="273" t="s">
        <v>406</v>
      </c>
      <c r="B8" s="274">
        <v>3</v>
      </c>
      <c r="C8" s="265"/>
      <c r="D8" s="276">
        <f>'JANUARY 21'!I7:I19</f>
        <v>7500</v>
      </c>
      <c r="E8" s="276">
        <v>100</v>
      </c>
      <c r="F8" s="278">
        <v>4500</v>
      </c>
      <c r="G8" s="263">
        <f>F8+D8</f>
        <v>12000</v>
      </c>
      <c r="H8" s="264">
        <f>4500+1000</f>
        <v>5500</v>
      </c>
      <c r="I8" s="263">
        <f t="shared" si="1"/>
        <v>6500</v>
      </c>
      <c r="J8" s="17"/>
      <c r="K8" s="173"/>
      <c r="L8" s="173"/>
      <c r="M8" s="173"/>
      <c r="N8" s="173"/>
    </row>
    <row r="9" spans="1:14" x14ac:dyDescent="0.25">
      <c r="A9" s="279" t="s">
        <v>304</v>
      </c>
      <c r="B9" s="274">
        <v>4</v>
      </c>
      <c r="C9" s="265"/>
      <c r="D9" s="276">
        <f>'JANUARY 21'!I8:I20</f>
        <v>8</v>
      </c>
      <c r="E9" s="278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425</v>
      </c>
      <c r="B10" s="280">
        <v>5</v>
      </c>
      <c r="C10" s="265"/>
      <c r="D10" s="276">
        <f>'JANUARY 21'!I9:I21</f>
        <v>0</v>
      </c>
      <c r="E10" s="276"/>
      <c r="F10" s="278">
        <v>4500</v>
      </c>
      <c r="G10" s="263">
        <f t="shared" si="0"/>
        <v>4500</v>
      </c>
      <c r="H10" s="264">
        <f>4500</f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386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/>
      <c r="K11" s="173"/>
      <c r="L11" s="173"/>
      <c r="M11" s="173"/>
      <c r="N11" s="173"/>
    </row>
    <row r="12" spans="1:14" x14ac:dyDescent="0.25">
      <c r="A12" s="273" t="s">
        <v>429</v>
      </c>
      <c r="B12" s="280">
        <v>7</v>
      </c>
      <c r="C12" s="265"/>
      <c r="D12" s="276">
        <f>'JANUARY 21'!I11:I23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  <c r="N12" s="173"/>
    </row>
    <row r="13" spans="1:14" x14ac:dyDescent="0.25">
      <c r="A13" s="279" t="s">
        <v>674</v>
      </c>
      <c r="B13" s="280">
        <v>8</v>
      </c>
      <c r="C13" s="265"/>
      <c r="D13" s="276">
        <f>'JANUARY 21'!I12:I24</f>
        <v>0</v>
      </c>
      <c r="E13" s="276"/>
      <c r="F13" s="278">
        <v>4500</v>
      </c>
      <c r="G13" s="263">
        <f>F13+D13</f>
        <v>4500</v>
      </c>
      <c r="H13" s="264"/>
      <c r="I13" s="263">
        <f t="shared" si="1"/>
        <v>4500</v>
      </c>
      <c r="J13" s="17">
        <v>755906418</v>
      </c>
      <c r="K13" s="173"/>
      <c r="L13" s="173"/>
      <c r="M13" s="173"/>
      <c r="N13" s="173"/>
    </row>
    <row r="14" spans="1:14" x14ac:dyDescent="0.25">
      <c r="A14" s="273" t="s">
        <v>283</v>
      </c>
      <c r="B14" s="274">
        <v>9</v>
      </c>
      <c r="C14" s="265"/>
      <c r="D14" s="276">
        <f>'JANUARY 21'!I13:I25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3" t="s">
        <v>212</v>
      </c>
      <c r="B15" s="274">
        <v>2</v>
      </c>
      <c r="C15" s="265"/>
      <c r="D15" s="276">
        <f>'JANUARY 21'!I14:I26</f>
        <v>0</v>
      </c>
      <c r="E15" s="276">
        <v>250</v>
      </c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  <c r="K15" s="173"/>
      <c r="L15" s="173"/>
      <c r="M15" s="173"/>
      <c r="N15" s="173"/>
    </row>
    <row r="16" spans="1:14" x14ac:dyDescent="0.25">
      <c r="A16" s="279" t="s">
        <v>648</v>
      </c>
      <c r="B16" s="274">
        <v>3</v>
      </c>
      <c r="C16" s="265"/>
      <c r="D16" s="276">
        <f>'JANUARY 21'!I15:I27</f>
        <v>0</v>
      </c>
      <c r="E16" s="276">
        <v>200</v>
      </c>
      <c r="F16" s="278">
        <v>3500</v>
      </c>
      <c r="G16" s="263">
        <f>F16+D16</f>
        <v>3500</v>
      </c>
      <c r="H16" s="264">
        <f>3500</f>
        <v>3500</v>
      </c>
      <c r="I16" s="263">
        <f>G16-H16</f>
        <v>0</v>
      </c>
      <c r="J16" s="17"/>
      <c r="K16" s="173"/>
      <c r="L16" s="173"/>
      <c r="M16" s="173"/>
      <c r="N16" s="173"/>
    </row>
    <row r="17" spans="1:14" x14ac:dyDescent="0.25">
      <c r="A17" s="273"/>
      <c r="B17" s="274">
        <v>4</v>
      </c>
      <c r="C17" s="265"/>
      <c r="D17" s="276">
        <f>'JANUARY 21'!I16:I28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  <c r="N17" s="173"/>
    </row>
    <row r="18" spans="1:14" x14ac:dyDescent="0.25">
      <c r="A18" s="273" t="s">
        <v>211</v>
      </c>
      <c r="B18" s="274">
        <v>5</v>
      </c>
      <c r="C18" s="265"/>
      <c r="D18" s="276"/>
      <c r="E18" s="276"/>
      <c r="F18" s="278">
        <v>3000</v>
      </c>
      <c r="G18" s="263">
        <f t="shared" si="0"/>
        <v>3000</v>
      </c>
      <c r="H18" s="264">
        <v>3000</v>
      </c>
      <c r="I18" s="263">
        <f t="shared" si="1"/>
        <v>0</v>
      </c>
      <c r="J18" s="17" t="s">
        <v>142</v>
      </c>
      <c r="K18" s="173"/>
      <c r="L18" s="173"/>
      <c r="M18" s="173"/>
      <c r="N18" s="173"/>
    </row>
    <row r="19" spans="1:14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10508</v>
      </c>
      <c r="E19" s="281">
        <f t="shared" si="2"/>
        <v>550</v>
      </c>
      <c r="F19" s="281">
        <f t="shared" si="2"/>
        <v>47000</v>
      </c>
      <c r="G19" s="282">
        <f t="shared" si="2"/>
        <v>63508</v>
      </c>
      <c r="H19" s="266">
        <f>SUM(H6:H18)</f>
        <v>45000</v>
      </c>
      <c r="I19" s="366">
        <f t="shared" si="2"/>
        <v>18508</v>
      </c>
      <c r="J19" s="17"/>
      <c r="K19" s="173"/>
      <c r="L19" s="173"/>
      <c r="M19" s="173"/>
      <c r="N19" s="173"/>
    </row>
    <row r="20" spans="1:14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  <c r="N20" s="173"/>
    </row>
    <row r="21" spans="1:14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  <c r="N21" s="173"/>
    </row>
    <row r="22" spans="1:14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  <c r="N22" s="173"/>
    </row>
    <row r="23" spans="1:14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  <c r="N23" s="173"/>
    </row>
    <row r="24" spans="1:14" s="173" customFormat="1" x14ac:dyDescent="0.25">
      <c r="A24" s="201" t="s">
        <v>518</v>
      </c>
      <c r="B24" s="350">
        <f>F19</f>
        <v>47000</v>
      </c>
      <c r="C24" s="201"/>
      <c r="D24" s="201"/>
      <c r="E24" s="201" t="s">
        <v>518</v>
      </c>
      <c r="F24" s="350">
        <f>H19</f>
        <v>45000</v>
      </c>
      <c r="G24" s="201"/>
      <c r="H24" s="201"/>
      <c r="I24" s="54"/>
      <c r="J24" s="17"/>
    </row>
    <row r="25" spans="1:14" x14ac:dyDescent="0.25">
      <c r="A25" s="201" t="s">
        <v>147</v>
      </c>
      <c r="B25" s="350">
        <f>'JANUARY 21'!D35</f>
        <v>-7485</v>
      </c>
      <c r="C25" s="201"/>
      <c r="D25" s="201"/>
      <c r="E25" s="201" t="s">
        <v>147</v>
      </c>
      <c r="F25" s="350">
        <f>'JANUARY 21'!H35</f>
        <v>-17993</v>
      </c>
      <c r="G25" s="201"/>
      <c r="H25" s="201"/>
      <c r="I25" s="54"/>
      <c r="J25" s="17"/>
      <c r="K25" s="173"/>
      <c r="L25" s="173"/>
      <c r="M25" s="173"/>
      <c r="N25" s="173"/>
    </row>
    <row r="26" spans="1:14" x14ac:dyDescent="0.25">
      <c r="A26" s="201" t="s">
        <v>284</v>
      </c>
      <c r="B26" s="350">
        <v>6000</v>
      </c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  <c r="N26" s="173"/>
    </row>
    <row r="27" spans="1:14" x14ac:dyDescent="0.25">
      <c r="A27" s="201" t="s">
        <v>390</v>
      </c>
      <c r="B27" s="351">
        <v>7.0000000000000007E-2</v>
      </c>
      <c r="C27" s="350">
        <f>B24*B27</f>
        <v>3290.0000000000005</v>
      </c>
      <c r="D27" s="201"/>
      <c r="E27" s="201" t="s">
        <v>390</v>
      </c>
      <c r="F27" s="351">
        <v>7.0000000000000007E-2</v>
      </c>
      <c r="G27" s="350">
        <f>C27</f>
        <v>3290.0000000000005</v>
      </c>
      <c r="H27" s="201"/>
      <c r="I27" s="292"/>
      <c r="J27" s="17"/>
      <c r="K27" s="173"/>
      <c r="L27" s="173"/>
      <c r="M27" s="173"/>
      <c r="N27" s="173"/>
    </row>
    <row r="28" spans="1:14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  <c r="M28" s="173"/>
      <c r="N28" s="173"/>
    </row>
    <row r="29" spans="1:14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376"/>
      <c r="K29" s="173"/>
      <c r="L29" s="173"/>
      <c r="M29" s="173"/>
      <c r="N29" s="173"/>
    </row>
    <row r="30" spans="1:14" x14ac:dyDescent="0.25">
      <c r="A30" s="353" t="s">
        <v>272</v>
      </c>
      <c r="B30" s="247"/>
      <c r="C30" s="247">
        <f>F18</f>
        <v>3000</v>
      </c>
      <c r="D30" s="3"/>
      <c r="E30" s="353" t="s">
        <v>272</v>
      </c>
      <c r="F30" s="3"/>
      <c r="G30" s="247">
        <f>C30</f>
        <v>3000</v>
      </c>
      <c r="H30" s="3"/>
      <c r="I30" s="292"/>
      <c r="J30" s="339"/>
      <c r="K30" s="173"/>
      <c r="L30" s="173"/>
      <c r="M30" s="173"/>
      <c r="N30" s="173"/>
    </row>
    <row r="31" spans="1:14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689</v>
      </c>
      <c r="B32" s="201"/>
      <c r="C32" s="201">
        <v>8087</v>
      </c>
      <c r="D32" s="201"/>
      <c r="E32" s="354" t="s">
        <v>689</v>
      </c>
      <c r="F32" s="201"/>
      <c r="G32" s="201">
        <v>8087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4" t="s">
        <v>691</v>
      </c>
      <c r="B33" s="201"/>
      <c r="C33" s="201">
        <v>34000</v>
      </c>
      <c r="D33" s="201"/>
      <c r="E33" s="354" t="s">
        <v>691</v>
      </c>
      <c r="F33" s="201"/>
      <c r="G33" s="201">
        <v>34000</v>
      </c>
      <c r="H33" s="201"/>
      <c r="I33" s="292"/>
      <c r="J33" s="17"/>
      <c r="K33" s="173"/>
      <c r="L33" s="173"/>
      <c r="M33" s="173"/>
      <c r="N33" s="173"/>
    </row>
    <row r="34" spans="1:14" x14ac:dyDescent="0.25">
      <c r="A34" s="354" t="s">
        <v>694</v>
      </c>
      <c r="B34" s="201"/>
      <c r="C34" s="201">
        <v>3000</v>
      </c>
      <c r="D34" s="201"/>
      <c r="E34" s="354" t="s">
        <v>694</v>
      </c>
      <c r="F34" s="201"/>
      <c r="G34" s="201">
        <v>3000</v>
      </c>
      <c r="H34" s="201"/>
      <c r="I34" s="292"/>
      <c r="J34" s="17"/>
      <c r="K34" s="173"/>
      <c r="L34" s="362"/>
      <c r="M34" s="173"/>
      <c r="N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  <c r="N35" s="173"/>
    </row>
    <row r="36" spans="1:14" x14ac:dyDescent="0.25">
      <c r="A36" s="363" t="s">
        <v>62</v>
      </c>
      <c r="B36" s="364">
        <f>B24+B26+B25+B28-C27</f>
        <v>42225</v>
      </c>
      <c r="C36" s="364">
        <f>SUM(C29:C35)</f>
        <v>52587</v>
      </c>
      <c r="D36" s="364">
        <f>B36-C36</f>
        <v>-10362</v>
      </c>
      <c r="E36" s="363" t="s">
        <v>62</v>
      </c>
      <c r="F36" s="364">
        <f>F24+F26+F25-G27</f>
        <v>23717</v>
      </c>
      <c r="G36" s="364">
        <f>SUM(G29:G35)</f>
        <v>52587</v>
      </c>
      <c r="H36" s="365">
        <f>F36-G36</f>
        <v>-28870</v>
      </c>
      <c r="I36" s="292"/>
      <c r="J36" s="17"/>
      <c r="K36" s="173"/>
      <c r="L36" s="173"/>
      <c r="M36" s="173"/>
      <c r="N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  <c r="N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  <c r="N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  <c r="N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175"/>
      <c r="B46" s="175"/>
      <c r="C46" s="175" t="s">
        <v>682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  <c r="N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  <c r="N47" s="173"/>
    </row>
    <row r="48" spans="1:14" x14ac:dyDescent="0.25">
      <c r="A48" s="3" t="s">
        <v>365</v>
      </c>
      <c r="B48" s="3" t="s">
        <v>339</v>
      </c>
      <c r="C48" s="3"/>
      <c r="D48" s="3">
        <f>'JANUARY 21'!H47:H75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545</v>
      </c>
      <c r="B49" s="3" t="s">
        <v>340</v>
      </c>
      <c r="C49" s="3"/>
      <c r="D49" s="3"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433</v>
      </c>
      <c r="B50" s="3" t="s">
        <v>341</v>
      </c>
      <c r="C50" s="3"/>
      <c r="D50" s="3">
        <f>'JANUARY 21'!H49:H77</f>
        <v>3000</v>
      </c>
      <c r="E50" s="3">
        <v>3000</v>
      </c>
      <c r="F50" s="3">
        <f t="shared" si="3"/>
        <v>6000</v>
      </c>
      <c r="G50" s="3">
        <v>3000</v>
      </c>
      <c r="H50" s="3">
        <f t="shared" ref="H50:H72" si="4">F50-G50</f>
        <v>3000</v>
      </c>
      <c r="I50" s="3"/>
      <c r="J50" s="3"/>
      <c r="K50" s="173"/>
      <c r="L50" s="173"/>
      <c r="M50" s="173"/>
      <c r="N50" s="173"/>
    </row>
    <row r="51" spans="1:14" x14ac:dyDescent="0.25">
      <c r="A51" s="148" t="s">
        <v>434</v>
      </c>
      <c r="B51" s="148" t="s">
        <v>428</v>
      </c>
      <c r="C51" s="3"/>
      <c r="D51" s="3">
        <v>3000</v>
      </c>
      <c r="E51" s="3"/>
      <c r="F51" s="3">
        <f t="shared" si="3"/>
        <v>3000</v>
      </c>
      <c r="G51" s="3">
        <v>3000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75" t="s">
        <v>243</v>
      </c>
      <c r="B52" s="375" t="s">
        <v>604</v>
      </c>
      <c r="C52" s="3"/>
      <c r="D52" s="3">
        <f>'JANUARY 21'!H51:H79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  <c r="N52" s="173"/>
    </row>
    <row r="53" spans="1:14" x14ac:dyDescent="0.25">
      <c r="A53" s="3" t="s">
        <v>480</v>
      </c>
      <c r="B53" s="3" t="s">
        <v>605</v>
      </c>
      <c r="C53" s="3"/>
      <c r="D53" s="3">
        <f>'JANUARY 21'!H52:H80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566</v>
      </c>
      <c r="B54" s="3" t="s">
        <v>343</v>
      </c>
      <c r="C54" s="3"/>
      <c r="D54" s="3">
        <f>'JANUARY 21'!H53:H81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  <c r="M54" s="173"/>
      <c r="N54" s="173"/>
    </row>
    <row r="55" spans="1:14" x14ac:dyDescent="0.25">
      <c r="A55" s="3" t="s">
        <v>567</v>
      </c>
      <c r="B55" s="3" t="s">
        <v>344</v>
      </c>
      <c r="C55" s="3"/>
      <c r="D55" s="3">
        <f>'JANUARY 21'!H54:H82</f>
        <v>0</v>
      </c>
      <c r="E55" s="3">
        <v>5000</v>
      </c>
      <c r="F55" s="3">
        <f t="shared" si="3"/>
        <v>5000</v>
      </c>
      <c r="G55" s="3">
        <f>5000</f>
        <v>5000</v>
      </c>
      <c r="H55" s="3">
        <f t="shared" si="4"/>
        <v>0</v>
      </c>
      <c r="I55" s="3"/>
      <c r="J55" s="3"/>
      <c r="K55" s="173"/>
      <c r="L55" s="173"/>
      <c r="M55" s="173"/>
      <c r="N55" s="173"/>
    </row>
    <row r="56" spans="1:14" x14ac:dyDescent="0.25">
      <c r="A56" s="363" t="s">
        <v>673</v>
      </c>
      <c r="B56" s="363" t="s">
        <v>345</v>
      </c>
      <c r="C56" s="361"/>
      <c r="D56" s="3">
        <f>'JANUARY 21'!H55:H83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  <c r="N56" s="173"/>
    </row>
    <row r="57" spans="1:14" x14ac:dyDescent="0.25">
      <c r="A57" s="375" t="s">
        <v>668</v>
      </c>
      <c r="B57" s="375" t="s">
        <v>346</v>
      </c>
      <c r="C57" s="3"/>
      <c r="D57" s="3">
        <f>'JANUARY 21'!H56:H84</f>
        <v>0</v>
      </c>
      <c r="E57" s="3">
        <v>8500</v>
      </c>
      <c r="F57" s="3">
        <f t="shared" si="3"/>
        <v>8500</v>
      </c>
      <c r="G57" s="3">
        <f>8500</f>
        <v>8500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568</v>
      </c>
      <c r="B58" s="3" t="s">
        <v>347</v>
      </c>
      <c r="C58" s="3"/>
      <c r="D58" s="3">
        <f>'JANUARY 21'!H57:H85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  <c r="L58" s="173"/>
      <c r="N58" s="173"/>
    </row>
    <row r="59" spans="1:14" x14ac:dyDescent="0.25">
      <c r="A59" s="3" t="s">
        <v>67</v>
      </c>
      <c r="B59" s="3" t="s">
        <v>348</v>
      </c>
      <c r="C59" s="3"/>
      <c r="D59" s="3"/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  <c r="N59" s="173"/>
    </row>
    <row r="60" spans="1:14" x14ac:dyDescent="0.25">
      <c r="A60" s="3" t="s">
        <v>606</v>
      </c>
      <c r="B60" s="3" t="s">
        <v>349</v>
      </c>
      <c r="C60" s="3"/>
      <c r="D60" s="3">
        <v>14000</v>
      </c>
      <c r="E60" s="3">
        <v>8000</v>
      </c>
      <c r="F60" s="3">
        <f t="shared" si="3"/>
        <v>22000</v>
      </c>
      <c r="G60" s="3"/>
      <c r="H60" s="3">
        <f>F60-G60</f>
        <v>22000</v>
      </c>
      <c r="I60" s="3"/>
      <c r="J60" s="3"/>
      <c r="K60" s="173"/>
      <c r="L60" s="362"/>
      <c r="M60" s="173"/>
      <c r="N60" s="173"/>
    </row>
    <row r="61" spans="1:14" x14ac:dyDescent="0.25">
      <c r="A61" s="367" t="s">
        <v>569</v>
      </c>
      <c r="B61" s="3" t="s">
        <v>350</v>
      </c>
      <c r="C61" s="3"/>
      <c r="D61" s="3">
        <v>1000</v>
      </c>
      <c r="E61" s="3">
        <v>7000</v>
      </c>
      <c r="F61" s="3">
        <f t="shared" si="3"/>
        <v>8000</v>
      </c>
      <c r="G61" s="367">
        <v>7000</v>
      </c>
      <c r="H61" s="3">
        <f>F61-G61</f>
        <v>1000</v>
      </c>
      <c r="I61" s="3"/>
      <c r="J61" s="3"/>
      <c r="K61" s="173"/>
      <c r="L61" s="173"/>
      <c r="M61" s="173"/>
      <c r="N61" s="173"/>
    </row>
    <row r="62" spans="1:14" x14ac:dyDescent="0.25">
      <c r="A62" s="148" t="s">
        <v>611</v>
      </c>
      <c r="B62" s="148" t="s">
        <v>351</v>
      </c>
      <c r="C62" s="148"/>
      <c r="D62" s="3"/>
      <c r="E62" s="3">
        <v>9000</v>
      </c>
      <c r="F62" s="148">
        <f t="shared" si="3"/>
        <v>9000</v>
      </c>
      <c r="G62" s="3">
        <f>9000</f>
        <v>9000</v>
      </c>
      <c r="H62" s="148">
        <f>F62-G62</f>
        <v>0</v>
      </c>
      <c r="I62" s="3"/>
      <c r="J62" s="3"/>
      <c r="K62" s="173" t="s">
        <v>686</v>
      </c>
      <c r="L62" s="173"/>
      <c r="M62" s="173"/>
      <c r="N62" s="173"/>
    </row>
    <row r="63" spans="1:14" x14ac:dyDescent="0.25">
      <c r="A63" s="3" t="s">
        <v>629</v>
      </c>
      <c r="B63" s="3" t="s">
        <v>352</v>
      </c>
      <c r="C63" s="3"/>
      <c r="D63" s="3">
        <f>'JANUARY 21'!H62:H90</f>
        <v>0</v>
      </c>
      <c r="E63" s="3">
        <v>5000</v>
      </c>
      <c r="F63" s="3">
        <f t="shared" si="3"/>
        <v>5000</v>
      </c>
      <c r="G63" s="3">
        <f>5000</f>
        <v>5000</v>
      </c>
      <c r="H63" s="3">
        <f t="shared" si="4"/>
        <v>0</v>
      </c>
      <c r="I63" s="3"/>
      <c r="J63" s="3">
        <v>500</v>
      </c>
      <c r="K63" s="173"/>
      <c r="L63" s="173"/>
      <c r="M63" s="173"/>
      <c r="N63" s="173"/>
    </row>
    <row r="64" spans="1:14" x14ac:dyDescent="0.25">
      <c r="A64" s="3"/>
      <c r="B64" s="3" t="s">
        <v>353</v>
      </c>
      <c r="C64" s="3"/>
      <c r="D64" s="3"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570</v>
      </c>
      <c r="B65" s="3" t="s">
        <v>354</v>
      </c>
      <c r="C65" s="3"/>
      <c r="D65" s="3">
        <v>1000</v>
      </c>
      <c r="E65" s="3">
        <v>8500</v>
      </c>
      <c r="F65" s="3">
        <f t="shared" si="3"/>
        <v>9500</v>
      </c>
      <c r="G65" s="3">
        <f>8500</f>
        <v>8500</v>
      </c>
      <c r="H65" s="3">
        <f t="shared" si="4"/>
        <v>1000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531</v>
      </c>
      <c r="B66" s="3" t="s">
        <v>355</v>
      </c>
      <c r="C66" s="3"/>
      <c r="D66" s="3"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4" x14ac:dyDescent="0.25">
      <c r="A67" s="3" t="s">
        <v>516</v>
      </c>
      <c r="B67" s="3" t="s">
        <v>356</v>
      </c>
      <c r="C67" s="3"/>
      <c r="D67" s="3">
        <f>'JANUARY 21'!H66</f>
        <v>13000</v>
      </c>
      <c r="E67" s="3">
        <v>8000</v>
      </c>
      <c r="F67" s="3">
        <f t="shared" si="3"/>
        <v>21000</v>
      </c>
      <c r="G67" s="3">
        <f>4000+8000+4000</f>
        <v>16000</v>
      </c>
      <c r="H67" s="3">
        <f t="shared" si="4"/>
        <v>5000</v>
      </c>
      <c r="I67" s="3"/>
      <c r="J67" s="3"/>
      <c r="K67" s="173"/>
      <c r="L67" s="173"/>
      <c r="M67" s="173"/>
      <c r="N67" s="173"/>
    </row>
    <row r="68" spans="1:14" x14ac:dyDescent="0.25">
      <c r="A68" s="375" t="s">
        <v>664</v>
      </c>
      <c r="B68" s="375" t="s">
        <v>357</v>
      </c>
      <c r="C68" s="148"/>
      <c r="D68" s="3"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419</v>
      </c>
      <c r="B69" s="3" t="s">
        <v>358</v>
      </c>
      <c r="C69" s="3"/>
      <c r="D69" s="3"/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148"/>
      <c r="B70" s="3" t="s">
        <v>359</v>
      </c>
      <c r="C70" s="3"/>
      <c r="D70" s="148"/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496</v>
      </c>
      <c r="B71" s="3" t="s">
        <v>360</v>
      </c>
      <c r="C71" s="3"/>
      <c r="D71" s="3"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  <c r="M71" s="173"/>
      <c r="N71" s="173"/>
    </row>
    <row r="72" spans="1:14" x14ac:dyDescent="0.25">
      <c r="A72" s="3" t="s">
        <v>380</v>
      </c>
      <c r="B72" s="3" t="s">
        <v>361</v>
      </c>
      <c r="C72" s="3"/>
      <c r="D72" s="3"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  <c r="N72" s="362">
        <f>D95+D36</f>
        <v>-19253.5</v>
      </c>
    </row>
    <row r="73" spans="1:14" x14ac:dyDescent="0.25">
      <c r="A73" s="375" t="s">
        <v>670</v>
      </c>
      <c r="B73" s="3" t="s">
        <v>362</v>
      </c>
      <c r="C73" s="3"/>
      <c r="D73" s="3">
        <v>16000</v>
      </c>
      <c r="E73" s="3">
        <v>8000</v>
      </c>
      <c r="F73" s="3">
        <f t="shared" si="3"/>
        <v>24000</v>
      </c>
      <c r="G73" s="3">
        <f>8000</f>
        <v>8000</v>
      </c>
      <c r="H73" s="3">
        <f>F73-G73</f>
        <v>16000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440</v>
      </c>
      <c r="B74" s="3" t="s">
        <v>363</v>
      </c>
      <c r="C74" s="3"/>
      <c r="D74" s="3"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  <c r="N74" s="173"/>
    </row>
    <row r="75" spans="1:14" x14ac:dyDescent="0.25">
      <c r="A75" s="375" t="s">
        <v>524</v>
      </c>
      <c r="B75" s="3" t="s">
        <v>364</v>
      </c>
      <c r="C75" s="3"/>
      <c r="D75" s="3"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/>
      <c r="L75" s="173"/>
      <c r="M75" s="173"/>
      <c r="N75" s="17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  <c r="N76" s="173"/>
    </row>
    <row r="77" spans="1:14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60000</v>
      </c>
      <c r="E77" s="343">
        <f>SUM(E48:E76)</f>
        <v>162000</v>
      </c>
      <c r="F77" s="343">
        <f>SUM(F48:F76)</f>
        <v>222000</v>
      </c>
      <c r="G77" s="343">
        <f t="shared" si="5"/>
        <v>164000</v>
      </c>
      <c r="H77" s="343">
        <f t="shared" si="5"/>
        <v>58000</v>
      </c>
      <c r="I77" s="343">
        <f t="shared" si="5"/>
        <v>0</v>
      </c>
      <c r="J77" s="3">
        <f>SUM(J48:J76)</f>
        <v>500</v>
      </c>
      <c r="K77" s="173"/>
      <c r="L77" s="382"/>
      <c r="M77" s="173"/>
      <c r="N77" s="173"/>
    </row>
    <row r="78" spans="1:14" x14ac:dyDescent="0.25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</row>
    <row r="79" spans="1:14" x14ac:dyDescent="0.25">
      <c r="A79" s="91" t="s">
        <v>317</v>
      </c>
      <c r="B79" s="344"/>
      <c r="C79" s="345"/>
      <c r="D79" s="346"/>
      <c r="E79" s="347"/>
      <c r="F79" s="348"/>
      <c r="G79" s="347"/>
      <c r="H79" s="173"/>
      <c r="I79" s="173"/>
      <c r="J79" s="173"/>
      <c r="K79" s="173"/>
      <c r="L79" s="173"/>
      <c r="M79" s="173"/>
      <c r="N79" s="173"/>
    </row>
    <row r="80" spans="1:14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  <c r="N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  <c r="N81" s="173"/>
    </row>
    <row r="82" spans="1:14" x14ac:dyDescent="0.25">
      <c r="A82" s="201" t="s">
        <v>518</v>
      </c>
      <c r="B82" s="350">
        <f>E77</f>
        <v>162000</v>
      </c>
      <c r="C82" s="201"/>
      <c r="D82" s="201"/>
      <c r="E82" s="201" t="s">
        <v>518</v>
      </c>
      <c r="F82" s="350">
        <f>G77</f>
        <v>164000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  <c r="N82" s="173"/>
    </row>
    <row r="83" spans="1:14" x14ac:dyDescent="0.25">
      <c r="A83" s="201" t="s">
        <v>147</v>
      </c>
      <c r="B83" s="350">
        <f>'JANUARY 21'!D94</f>
        <v>-19499.5</v>
      </c>
      <c r="C83" s="201"/>
      <c r="D83" s="201"/>
      <c r="E83" s="201" t="s">
        <v>147</v>
      </c>
      <c r="F83" s="350">
        <f>'JANUARY 21'!H94</f>
        <v>-64999.5</v>
      </c>
      <c r="G83" s="201"/>
      <c r="H83" s="201"/>
      <c r="I83" s="173"/>
      <c r="J83" s="148" t="s">
        <v>529</v>
      </c>
      <c r="K83" s="148">
        <v>8500</v>
      </c>
      <c r="L83" s="148"/>
      <c r="M83" s="3"/>
      <c r="N83" s="173"/>
    </row>
    <row r="84" spans="1:14" x14ac:dyDescent="0.25">
      <c r="A84" s="201" t="s">
        <v>630</v>
      </c>
      <c r="B84" s="350">
        <v>500</v>
      </c>
      <c r="C84" s="201"/>
      <c r="D84" s="201"/>
      <c r="E84" s="201" t="s">
        <v>630</v>
      </c>
      <c r="F84" s="350">
        <v>500</v>
      </c>
      <c r="G84" s="201"/>
      <c r="H84" s="201"/>
      <c r="I84" s="173"/>
      <c r="J84" s="148" t="s">
        <v>636</v>
      </c>
      <c r="K84" s="148"/>
      <c r="L84" s="148"/>
      <c r="M84" s="3"/>
      <c r="N84" s="173"/>
    </row>
    <row r="85" spans="1:14" x14ac:dyDescent="0.25">
      <c r="A85" s="201" t="s">
        <v>627</v>
      </c>
      <c r="B85" s="350">
        <f>I77</f>
        <v>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  <c r="N85" s="173"/>
    </row>
    <row r="86" spans="1:14" x14ac:dyDescent="0.25">
      <c r="A86" s="201" t="s">
        <v>390</v>
      </c>
      <c r="B86" s="358">
        <v>4.4999999999999998E-2</v>
      </c>
      <c r="C86" s="350">
        <f>B86*B82</f>
        <v>7290</v>
      </c>
      <c r="D86" s="201"/>
      <c r="E86" s="201" t="s">
        <v>390</v>
      </c>
      <c r="F86" s="359">
        <v>4.4999999999999998E-2</v>
      </c>
      <c r="G86" s="350">
        <f>C86</f>
        <v>7290</v>
      </c>
      <c r="H86" s="201"/>
      <c r="I86" s="173"/>
      <c r="J86" s="148" t="s">
        <v>646</v>
      </c>
      <c r="K86" s="383"/>
      <c r="L86" s="148"/>
      <c r="M86" s="3"/>
      <c r="N86" s="173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  <c r="N87" s="173"/>
    </row>
    <row r="88" spans="1:14" x14ac:dyDescent="0.25">
      <c r="A88" s="85" t="s">
        <v>685</v>
      </c>
      <c r="B88" s="85"/>
      <c r="C88" s="384">
        <v>20102</v>
      </c>
      <c r="D88" s="85"/>
      <c r="E88" s="85" t="s">
        <v>685</v>
      </c>
      <c r="F88" s="85"/>
      <c r="G88" s="384">
        <v>20102</v>
      </c>
      <c r="H88" s="85"/>
      <c r="I88" s="173"/>
      <c r="J88" s="378"/>
      <c r="K88" s="148"/>
      <c r="L88" s="148"/>
      <c r="M88" s="3"/>
      <c r="N88" s="173"/>
    </row>
    <row r="89" spans="1:14" x14ac:dyDescent="0.25">
      <c r="A89" s="369" t="s">
        <v>690</v>
      </c>
      <c r="B89" s="85"/>
      <c r="C89" s="384">
        <v>115000</v>
      </c>
      <c r="D89" s="85"/>
      <c r="E89" s="369" t="s">
        <v>690</v>
      </c>
      <c r="F89" s="85"/>
      <c r="G89" s="384">
        <v>115000</v>
      </c>
      <c r="H89" s="85"/>
      <c r="I89" s="173"/>
      <c r="J89" s="379"/>
      <c r="K89" s="380"/>
      <c r="L89" s="380"/>
      <c r="M89" s="175"/>
      <c r="N89" s="173"/>
    </row>
    <row r="90" spans="1:14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  <c r="N90" s="173"/>
    </row>
    <row r="91" spans="1:14" x14ac:dyDescent="0.25">
      <c r="A91" s="3" t="s">
        <v>695</v>
      </c>
      <c r="B91" s="3"/>
      <c r="C91" s="385">
        <v>1000</v>
      </c>
      <c r="D91" s="3"/>
      <c r="E91" s="3"/>
      <c r="F91" s="3"/>
      <c r="G91" s="385"/>
      <c r="H91" s="85"/>
      <c r="I91" s="362"/>
      <c r="J91" s="3"/>
      <c r="K91" s="3"/>
      <c r="L91" s="3"/>
      <c r="M91" s="175"/>
      <c r="N91" s="17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8500</v>
      </c>
      <c r="L92" s="363">
        <f>SUM(L83:L91)</f>
        <v>0</v>
      </c>
      <c r="M92" s="363">
        <f>K92-L92</f>
        <v>8500</v>
      </c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  <c r="N93" s="17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  <c r="N94" s="173"/>
    </row>
    <row r="95" spans="1:14" x14ac:dyDescent="0.25">
      <c r="A95" s="369"/>
      <c r="B95" s="384">
        <f>B82+B83+B85+B84-C86</f>
        <v>135710.5</v>
      </c>
      <c r="C95" s="384">
        <f>SUM(C88:C94)</f>
        <v>144602</v>
      </c>
      <c r="D95" s="384">
        <f>B95-C95</f>
        <v>-8891.5</v>
      </c>
      <c r="E95" s="369"/>
      <c r="F95" s="384">
        <f>F82+F83+F84-G86</f>
        <v>92210.5</v>
      </c>
      <c r="G95" s="384">
        <f>SUM(G88:G94)</f>
        <v>143602</v>
      </c>
      <c r="H95" s="384">
        <f>F95-G95</f>
        <v>-51391.5</v>
      </c>
      <c r="I95" s="362"/>
      <c r="J95" s="364"/>
      <c r="K95" s="363"/>
      <c r="L95" s="363"/>
      <c r="M95" s="36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6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P97">
        <f>6800-6300</f>
        <v>500</v>
      </c>
    </row>
    <row r="98" spans="1:16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  <c r="N98" s="173"/>
      <c r="P98">
        <v>5</v>
      </c>
    </row>
    <row r="99" spans="1:16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6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6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6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C89+C32</f>
        <v>123087</v>
      </c>
      <c r="L102" s="173"/>
      <c r="M102" s="173"/>
      <c r="N102" s="173"/>
    </row>
    <row r="103" spans="1:16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6" x14ac:dyDescent="0.25">
      <c r="A104" s="173"/>
      <c r="B104" s="173"/>
      <c r="C104" s="173"/>
      <c r="D104" s="173"/>
      <c r="E104" s="173"/>
      <c r="F104" s="173"/>
      <c r="G104" s="173"/>
      <c r="H104" s="362">
        <f>D95-H95</f>
        <v>42500</v>
      </c>
      <c r="I104" s="173"/>
      <c r="J104" s="173"/>
      <c r="K104" s="173"/>
      <c r="L104" s="173"/>
      <c r="M104" s="173"/>
      <c r="N104" s="173"/>
    </row>
    <row r="105" spans="1:16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4" workbookViewId="0">
      <selection activeCell="I34" sqref="I34"/>
    </sheetView>
  </sheetViews>
  <sheetFormatPr defaultRowHeight="15" x14ac:dyDescent="0.25"/>
  <cols>
    <col min="1" max="1" width="25.85546875" customWidth="1"/>
  </cols>
  <sheetData>
    <row r="1" spans="1:13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3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</row>
    <row r="3" spans="1:13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</row>
    <row r="4" spans="1:13" x14ac:dyDescent="0.25">
      <c r="A4" s="173"/>
      <c r="B4" s="173"/>
      <c r="C4" s="173"/>
      <c r="D4" s="66" t="s">
        <v>692</v>
      </c>
      <c r="E4" s="164"/>
      <c r="F4" s="164"/>
      <c r="G4" s="173"/>
      <c r="H4" s="173"/>
      <c r="I4" s="173"/>
      <c r="J4" s="173"/>
      <c r="K4" s="173"/>
      <c r="L4" s="173"/>
      <c r="M4" s="173"/>
    </row>
    <row r="5" spans="1:13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</row>
    <row r="6" spans="1:13" x14ac:dyDescent="0.25">
      <c r="A6" s="273" t="s">
        <v>683</v>
      </c>
      <c r="B6" s="274">
        <v>1</v>
      </c>
      <c r="C6" s="387">
        <v>6000</v>
      </c>
      <c r="D6" s="276">
        <v>1500</v>
      </c>
      <c r="E6" s="277"/>
      <c r="F6" s="278">
        <v>6000</v>
      </c>
      <c r="G6" s="263">
        <f>F6+D6+C6</f>
        <v>13500</v>
      </c>
      <c r="H6" s="264">
        <v>6000</v>
      </c>
      <c r="I6" s="263">
        <f>G6-H6</f>
        <v>7500</v>
      </c>
      <c r="J6" s="17"/>
      <c r="K6" s="173"/>
      <c r="L6" s="173"/>
      <c r="M6" s="173"/>
    </row>
    <row r="7" spans="1:13" x14ac:dyDescent="0.25">
      <c r="A7" s="273" t="s">
        <v>413</v>
      </c>
      <c r="B7" s="274">
        <v>2</v>
      </c>
      <c r="C7" s="265"/>
      <c r="D7" s="276">
        <f>'FEBRUARY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  <c r="M7" s="173"/>
    </row>
    <row r="8" spans="1:13" x14ac:dyDescent="0.25">
      <c r="A8" s="273" t="s">
        <v>406</v>
      </c>
      <c r="B8" s="274">
        <v>3</v>
      </c>
      <c r="C8" s="265"/>
      <c r="D8" s="276"/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304</v>
      </c>
      <c r="B9" s="274">
        <v>4</v>
      </c>
      <c r="C9" s="265"/>
      <c r="D9" s="276">
        <f>'FEBRUARY 21'!I8</f>
        <v>6500</v>
      </c>
      <c r="E9" s="278"/>
      <c r="F9" s="278">
        <v>4500</v>
      </c>
      <c r="G9" s="263">
        <f t="shared" si="0"/>
        <v>11000</v>
      </c>
      <c r="H9" s="264">
        <f>5500</f>
        <v>5500</v>
      </c>
      <c r="I9" s="263">
        <f t="shared" si="1"/>
        <v>5500</v>
      </c>
      <c r="J9" s="17"/>
      <c r="K9" s="173"/>
      <c r="L9" s="173"/>
      <c r="M9" s="173"/>
    </row>
    <row r="10" spans="1:13" x14ac:dyDescent="0.25">
      <c r="A10" s="279" t="s">
        <v>425</v>
      </c>
      <c r="B10" s="280">
        <v>5</v>
      </c>
      <c r="C10" s="265"/>
      <c r="D10" s="276">
        <f>'FEBRUARY 21'!I9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  <c r="M10" s="173"/>
    </row>
    <row r="11" spans="1:13" x14ac:dyDescent="0.25">
      <c r="A11" s="386" t="s">
        <v>243</v>
      </c>
      <c r="B11" s="280">
        <v>6</v>
      </c>
      <c r="C11" s="265"/>
      <c r="D11" s="276">
        <f>'FEBRUARY 21'!I11:I23</f>
        <v>0</v>
      </c>
      <c r="E11" s="276"/>
      <c r="F11" s="278">
        <v>4500</v>
      </c>
      <c r="G11" s="263">
        <f t="shared" si="0"/>
        <v>4500</v>
      </c>
      <c r="H11" s="264">
        <f>3000</f>
        <v>3000</v>
      </c>
      <c r="I11" s="263">
        <f t="shared" si="1"/>
        <v>1500</v>
      </c>
      <c r="J11" s="17"/>
      <c r="K11" s="173"/>
      <c r="L11" s="173"/>
      <c r="M11" s="173"/>
    </row>
    <row r="12" spans="1:13" x14ac:dyDescent="0.25">
      <c r="A12" s="273" t="s">
        <v>429</v>
      </c>
      <c r="B12" s="280">
        <v>7</v>
      </c>
      <c r="C12" s="265"/>
      <c r="D12" s="276">
        <f>'FEBRUARY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</row>
    <row r="13" spans="1:13" x14ac:dyDescent="0.25">
      <c r="A13" s="279" t="s">
        <v>674</v>
      </c>
      <c r="B13" s="280">
        <v>8</v>
      </c>
      <c r="C13" s="265"/>
      <c r="D13" s="276">
        <f>'FEBRUARY 21'!I13:I25</f>
        <v>4500</v>
      </c>
      <c r="E13" s="276"/>
      <c r="F13" s="278">
        <v>4500</v>
      </c>
      <c r="G13" s="263">
        <f>F13+D13</f>
        <v>9000</v>
      </c>
      <c r="H13" s="264">
        <v>9000</v>
      </c>
      <c r="I13" s="263">
        <f t="shared" si="1"/>
        <v>0</v>
      </c>
      <c r="J13" s="17">
        <v>755906418</v>
      </c>
      <c r="K13" s="173"/>
      <c r="L13" s="173"/>
      <c r="M13" s="173"/>
    </row>
    <row r="14" spans="1:13" x14ac:dyDescent="0.25">
      <c r="A14" s="273" t="s">
        <v>283</v>
      </c>
      <c r="B14" s="274">
        <v>9</v>
      </c>
      <c r="C14" s="265"/>
      <c r="D14" s="276">
        <f>'FEBRUARY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3" t="s">
        <v>212</v>
      </c>
      <c r="B15" s="274">
        <v>2</v>
      </c>
      <c r="C15" s="265"/>
      <c r="D15" s="276">
        <f>'FEBRUARY 21'!I15:I27</f>
        <v>0</v>
      </c>
      <c r="E15" s="276"/>
      <c r="F15" s="278">
        <v>3000</v>
      </c>
      <c r="G15" s="263">
        <f>F15+D15</f>
        <v>3000</v>
      </c>
      <c r="H15" s="264">
        <v>3000</v>
      </c>
      <c r="I15" s="263">
        <f t="shared" si="1"/>
        <v>0</v>
      </c>
      <c r="J15" s="17"/>
      <c r="K15" s="173"/>
      <c r="L15" s="173"/>
      <c r="M15" s="173"/>
    </row>
    <row r="16" spans="1:13" x14ac:dyDescent="0.25">
      <c r="A16" s="279" t="s">
        <v>648</v>
      </c>
      <c r="B16" s="274">
        <v>3</v>
      </c>
      <c r="C16" s="265"/>
      <c r="D16" s="276">
        <f>'FEBRUARY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  <c r="M16" s="173"/>
    </row>
    <row r="17" spans="1:13" x14ac:dyDescent="0.25">
      <c r="A17" s="273"/>
      <c r="B17" s="274">
        <v>4</v>
      </c>
      <c r="C17" s="265"/>
      <c r="D17" s="276">
        <f>'FEBRUARY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</row>
    <row r="18" spans="1:13" x14ac:dyDescent="0.25">
      <c r="A18" s="273" t="s">
        <v>211</v>
      </c>
      <c r="B18" s="274">
        <v>5</v>
      </c>
      <c r="C18" s="265"/>
      <c r="D18" s="276"/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  <c r="M18" s="173"/>
    </row>
    <row r="19" spans="1:13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12508</v>
      </c>
      <c r="E19" s="281">
        <f t="shared" si="2"/>
        <v>0</v>
      </c>
      <c r="F19" s="281">
        <f t="shared" si="2"/>
        <v>48500</v>
      </c>
      <c r="G19" s="282">
        <f t="shared" si="2"/>
        <v>67008</v>
      </c>
      <c r="H19" s="266">
        <f>SUM(H6:H18)</f>
        <v>52500</v>
      </c>
      <c r="I19" s="366">
        <f t="shared" si="2"/>
        <v>14508</v>
      </c>
      <c r="J19" s="17"/>
      <c r="K19" s="173"/>
      <c r="L19" s="173"/>
      <c r="M19" s="173"/>
    </row>
    <row r="20" spans="1:13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</row>
    <row r="21" spans="1:13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</row>
    <row r="22" spans="1:13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</row>
    <row r="23" spans="1:13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</row>
    <row r="24" spans="1:13" x14ac:dyDescent="0.25">
      <c r="A24" s="201" t="s">
        <v>417</v>
      </c>
      <c r="B24" s="350">
        <f>F19</f>
        <v>48500</v>
      </c>
      <c r="C24" s="201"/>
      <c r="D24" s="201"/>
      <c r="E24" s="201" t="s">
        <v>417</v>
      </c>
      <c r="F24" s="350">
        <f>H19</f>
        <v>52500</v>
      </c>
      <c r="G24" s="201"/>
      <c r="H24" s="201"/>
      <c r="I24" s="54"/>
      <c r="J24" s="17"/>
      <c r="K24" s="173"/>
      <c r="L24" s="173"/>
      <c r="M24" s="173"/>
    </row>
    <row r="25" spans="1:13" x14ac:dyDescent="0.25">
      <c r="A25" s="201" t="s">
        <v>147</v>
      </c>
      <c r="B25" s="350">
        <f>'FEBRUARY 21'!D36</f>
        <v>-10362</v>
      </c>
      <c r="C25" s="201"/>
      <c r="D25" s="201"/>
      <c r="E25" s="201" t="s">
        <v>147</v>
      </c>
      <c r="F25" s="350">
        <f>'FEBRUARY 21'!H36</f>
        <v>-28870</v>
      </c>
      <c r="G25" s="201"/>
      <c r="H25" s="201"/>
      <c r="I25" s="54"/>
      <c r="J25" s="17"/>
      <c r="K25" s="173"/>
      <c r="L25" s="173"/>
      <c r="M25" s="173"/>
    </row>
    <row r="26" spans="1:13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</row>
    <row r="27" spans="1:13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  <c r="K27" s="173"/>
      <c r="L27" s="173"/>
      <c r="M27" s="173"/>
    </row>
    <row r="28" spans="1:13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339"/>
      <c r="K28" s="173"/>
      <c r="L28" s="173"/>
      <c r="M28" s="173"/>
    </row>
    <row r="29" spans="1:13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  <c r="M29" s="173"/>
    </row>
    <row r="30" spans="1:13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  <c r="M30" s="173"/>
    </row>
    <row r="31" spans="1:13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</row>
    <row r="32" spans="1:13" x14ac:dyDescent="0.25">
      <c r="A32" s="354" t="s">
        <v>699</v>
      </c>
      <c r="B32" s="201"/>
      <c r="C32" s="201">
        <v>40600</v>
      </c>
      <c r="D32" s="201"/>
      <c r="E32" s="354" t="s">
        <v>699</v>
      </c>
      <c r="F32" s="201"/>
      <c r="G32" s="201">
        <v>40600</v>
      </c>
      <c r="H32" s="201"/>
      <c r="I32" s="292"/>
      <c r="J32" s="17"/>
      <c r="K32" s="173"/>
      <c r="L32" s="173"/>
      <c r="M32" s="173"/>
    </row>
    <row r="33" spans="1:14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  <c r="L33" s="173"/>
      <c r="M33" s="173"/>
      <c r="N33" s="362"/>
    </row>
    <row r="34" spans="1:14" x14ac:dyDescent="0.25">
      <c r="A34" s="354"/>
      <c r="B34" s="201"/>
      <c r="C34" s="201"/>
      <c r="D34" s="201"/>
      <c r="E34" s="354"/>
      <c r="F34" s="201"/>
      <c r="G34" s="201"/>
      <c r="H34" s="201"/>
      <c r="I34" s="292"/>
      <c r="J34" s="17"/>
      <c r="K34" s="173"/>
      <c r="L34" s="362"/>
      <c r="M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</row>
    <row r="36" spans="1:14" x14ac:dyDescent="0.25">
      <c r="A36" s="363" t="s">
        <v>62</v>
      </c>
      <c r="B36" s="364">
        <f>B24++B25+B26+B28-C27</f>
        <v>34743</v>
      </c>
      <c r="C36" s="364">
        <f>SUM(C29:C35)</f>
        <v>48100</v>
      </c>
      <c r="D36" s="364">
        <f>B36-C36</f>
        <v>-13357</v>
      </c>
      <c r="E36" s="363" t="s">
        <v>62</v>
      </c>
      <c r="F36" s="364">
        <f>F24+F26+F25-G27</f>
        <v>20235</v>
      </c>
      <c r="G36" s="364">
        <f>SUM(G29:G35)</f>
        <v>48100</v>
      </c>
      <c r="H36" s="365">
        <f>F36-G36</f>
        <v>-27865</v>
      </c>
      <c r="I36" s="292"/>
      <c r="J36" s="17"/>
      <c r="K36" s="173"/>
      <c r="L36" s="173"/>
      <c r="M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4" x14ac:dyDescent="0.25">
      <c r="A46" s="175"/>
      <c r="B46" s="175"/>
      <c r="C46" s="175" t="s">
        <v>693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</row>
    <row r="48" spans="1:14" x14ac:dyDescent="0.25">
      <c r="A48" s="3" t="s">
        <v>365</v>
      </c>
      <c r="B48" s="3" t="s">
        <v>339</v>
      </c>
      <c r="C48" s="3"/>
      <c r="D48" s="3">
        <f>'FEBRUARY 21'!H48:H74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545</v>
      </c>
      <c r="B49" s="3" t="s">
        <v>340</v>
      </c>
      <c r="C49" s="3"/>
      <c r="D49" s="3">
        <f>'FEBRUARY 21'!H49:H75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</row>
    <row r="50" spans="1:13" x14ac:dyDescent="0.25">
      <c r="A50" s="3" t="s">
        <v>433</v>
      </c>
      <c r="B50" s="3" t="s">
        <v>341</v>
      </c>
      <c r="C50" s="3"/>
      <c r="D50" s="3">
        <f>'FEBRUARY 21'!H50:H76</f>
        <v>3000</v>
      </c>
      <c r="E50" s="3">
        <v>3000</v>
      </c>
      <c r="F50" s="3">
        <f t="shared" si="3"/>
        <v>6000</v>
      </c>
      <c r="G50" s="3"/>
      <c r="H50" s="3">
        <f t="shared" ref="H50:H72" si="4">F50-G50</f>
        <v>6000</v>
      </c>
      <c r="I50" s="3"/>
      <c r="J50" s="3"/>
      <c r="K50" s="173"/>
      <c r="L50" s="173"/>
      <c r="M50" s="173"/>
    </row>
    <row r="51" spans="1:13" x14ac:dyDescent="0.25">
      <c r="A51" s="148"/>
      <c r="B51" s="148" t="s">
        <v>428</v>
      </c>
      <c r="C51" s="3"/>
      <c r="D51" s="3">
        <f>'FEBRUARY 21'!H51:H77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75" t="s">
        <v>696</v>
      </c>
      <c r="B52" s="375" t="s">
        <v>604</v>
      </c>
      <c r="C52" s="3"/>
      <c r="D52" s="3">
        <f>'FEBRUARY 21'!H52:H78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</row>
    <row r="53" spans="1:13" x14ac:dyDescent="0.25">
      <c r="A53" s="3" t="s">
        <v>480</v>
      </c>
      <c r="B53" s="3" t="s">
        <v>605</v>
      </c>
      <c r="C53" s="3"/>
      <c r="D53" s="3">
        <f>'FEBRUARY 21'!H53:H79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</row>
    <row r="54" spans="1:13" x14ac:dyDescent="0.25">
      <c r="A54" s="3" t="s">
        <v>566</v>
      </c>
      <c r="B54" s="3" t="s">
        <v>343</v>
      </c>
      <c r="C54" s="3"/>
      <c r="D54" s="3">
        <f>'FEBRUARY 21'!H54:H80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  <c r="M54" s="173"/>
    </row>
    <row r="55" spans="1:13" x14ac:dyDescent="0.25">
      <c r="A55" s="3" t="s">
        <v>567</v>
      </c>
      <c r="B55" s="3" t="s">
        <v>344</v>
      </c>
      <c r="C55" s="3"/>
      <c r="D55" s="3">
        <f>'FEBRUARY 21'!H55:H81</f>
        <v>0</v>
      </c>
      <c r="E55" s="3">
        <v>5000</v>
      </c>
      <c r="F55" s="3">
        <f t="shared" si="3"/>
        <v>5000</v>
      </c>
      <c r="G55" s="3">
        <v>4000</v>
      </c>
      <c r="H55" s="3">
        <f t="shared" si="4"/>
        <v>1000</v>
      </c>
      <c r="I55" s="3"/>
      <c r="J55" s="3"/>
      <c r="K55" s="173"/>
      <c r="L55" s="173"/>
      <c r="M55" s="173"/>
    </row>
    <row r="56" spans="1:13" x14ac:dyDescent="0.25">
      <c r="A56" s="363" t="s">
        <v>673</v>
      </c>
      <c r="B56" s="363" t="s">
        <v>345</v>
      </c>
      <c r="C56" s="361"/>
      <c r="D56" s="3">
        <f>'FEBRUARY 21'!H56:H82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</row>
    <row r="57" spans="1:13" x14ac:dyDescent="0.25">
      <c r="A57" s="375" t="s">
        <v>668</v>
      </c>
      <c r="B57" s="375" t="s">
        <v>346</v>
      </c>
      <c r="C57" s="3"/>
      <c r="D57" s="3">
        <f>'FEBRUARY 21'!H57:H83</f>
        <v>0</v>
      </c>
      <c r="E57" s="3">
        <v>8500</v>
      </c>
      <c r="F57" s="3">
        <f t="shared" si="3"/>
        <v>8500</v>
      </c>
      <c r="G57" s="3">
        <f>4000</f>
        <v>4000</v>
      </c>
      <c r="H57" s="3">
        <f t="shared" si="4"/>
        <v>4500</v>
      </c>
      <c r="I57" s="3"/>
      <c r="J57" s="3"/>
      <c r="K57" s="173"/>
      <c r="L57" s="173"/>
      <c r="M57" s="173"/>
    </row>
    <row r="58" spans="1:13" x14ac:dyDescent="0.25">
      <c r="A58" s="3" t="s">
        <v>568</v>
      </c>
      <c r="B58" s="3" t="s">
        <v>347</v>
      </c>
      <c r="C58" s="3"/>
      <c r="D58" s="3">
        <f>'FEBRUARY 21'!H58:H84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>
        <f>H50+H55+H57+H61+H67+H68+H75+17000+21000</f>
        <v>58500</v>
      </c>
      <c r="L58" s="173"/>
      <c r="M58" s="173"/>
    </row>
    <row r="59" spans="1:13" x14ac:dyDescent="0.25">
      <c r="A59" s="3" t="s">
        <v>67</v>
      </c>
      <c r="B59" s="3" t="s">
        <v>348</v>
      </c>
      <c r="C59" s="3"/>
      <c r="D59" s="3">
        <f>'FEBRUARY 21'!H59:H85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</row>
    <row r="60" spans="1:13" x14ac:dyDescent="0.25">
      <c r="A60" s="3" t="s">
        <v>606</v>
      </c>
      <c r="B60" s="3" t="s">
        <v>349</v>
      </c>
      <c r="C60" s="3"/>
      <c r="D60" s="3">
        <f>'FEBRUARY 21'!H60:H86</f>
        <v>22000</v>
      </c>
      <c r="E60" s="3">
        <v>8000</v>
      </c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  <c r="M60" s="173"/>
    </row>
    <row r="61" spans="1:13" x14ac:dyDescent="0.25">
      <c r="A61" s="367" t="s">
        <v>569</v>
      </c>
      <c r="B61" s="3" t="s">
        <v>350</v>
      </c>
      <c r="C61" s="3"/>
      <c r="D61" s="3">
        <f>'FEBRUARY 21'!H61:H87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  <c r="M61" s="173"/>
    </row>
    <row r="62" spans="1:13" x14ac:dyDescent="0.25">
      <c r="A62" s="201" t="s">
        <v>611</v>
      </c>
      <c r="B62" s="375" t="s">
        <v>351</v>
      </c>
      <c r="C62" s="148"/>
      <c r="D62" s="3">
        <f>'FEBRUARY 21'!H62:H88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  <c r="K62" s="173"/>
      <c r="L62" s="173"/>
      <c r="M62" s="173"/>
    </row>
    <row r="63" spans="1:13" x14ac:dyDescent="0.25">
      <c r="A63" s="148" t="s">
        <v>243</v>
      </c>
      <c r="B63" s="3" t="s">
        <v>352</v>
      </c>
      <c r="C63" s="3"/>
      <c r="D63" s="3">
        <f>'FEBRUARY 21'!H63:H89</f>
        <v>0</v>
      </c>
      <c r="E63" s="3"/>
      <c r="F63" s="3">
        <f t="shared" si="3"/>
        <v>0</v>
      </c>
      <c r="G63" s="3"/>
      <c r="H63" s="3">
        <f t="shared" si="4"/>
        <v>0</v>
      </c>
      <c r="I63" s="3"/>
      <c r="J63" s="3"/>
      <c r="K63" s="173"/>
      <c r="L63" s="173"/>
      <c r="M63" s="173"/>
    </row>
    <row r="64" spans="1:13" x14ac:dyDescent="0.25">
      <c r="A64" s="148" t="s">
        <v>170</v>
      </c>
      <c r="B64" s="3" t="s">
        <v>353</v>
      </c>
      <c r="C64" s="3"/>
      <c r="D64" s="3">
        <f>'FEBRUARY 21'!H64:H90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</row>
    <row r="65" spans="1:13" x14ac:dyDescent="0.25">
      <c r="A65" s="3" t="s">
        <v>629</v>
      </c>
      <c r="B65" s="3" t="s">
        <v>354</v>
      </c>
      <c r="C65" s="3"/>
      <c r="D65" s="3"/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531</v>
      </c>
      <c r="B66" s="3" t="s">
        <v>355</v>
      </c>
      <c r="C66" s="3"/>
      <c r="D66" s="3">
        <f>'FEBRUARY 21'!H66:H92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3" x14ac:dyDescent="0.25">
      <c r="A67" s="3" t="s">
        <v>516</v>
      </c>
      <c r="B67" s="3" t="s">
        <v>356</v>
      </c>
      <c r="C67" s="3"/>
      <c r="D67" s="3">
        <f>'FEBRUARY 21'!H67:H93</f>
        <v>5000</v>
      </c>
      <c r="E67" s="3">
        <v>8000</v>
      </c>
      <c r="F67" s="3">
        <f t="shared" si="3"/>
        <v>13000</v>
      </c>
      <c r="G67" s="3">
        <f>2000+3000+2000+4000</f>
        <v>11000</v>
      </c>
      <c r="H67" s="3">
        <f t="shared" si="4"/>
        <v>2000</v>
      </c>
      <c r="I67" s="3"/>
      <c r="J67" s="3"/>
      <c r="K67" s="173"/>
      <c r="L67" s="173"/>
      <c r="M67" s="173"/>
    </row>
    <row r="68" spans="1:13" x14ac:dyDescent="0.25">
      <c r="A68" s="375" t="s">
        <v>664</v>
      </c>
      <c r="B68" s="375" t="s">
        <v>357</v>
      </c>
      <c r="C68" s="148"/>
      <c r="D68" s="3">
        <f>'FEBRUARY 21'!H68:H94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</row>
    <row r="69" spans="1:13" x14ac:dyDescent="0.25">
      <c r="A69" s="3" t="s">
        <v>419</v>
      </c>
      <c r="B69" s="3" t="s">
        <v>358</v>
      </c>
      <c r="C69" s="3"/>
      <c r="D69" s="3">
        <f>'FEBRUARY 21'!H69:H95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201" t="s">
        <v>698</v>
      </c>
      <c r="B70" s="3" t="s">
        <v>359</v>
      </c>
      <c r="C70" s="3"/>
      <c r="D70" s="3">
        <f>'FEBRUARY 21'!H70:H96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362"/>
      <c r="M70" s="362"/>
    </row>
    <row r="71" spans="1:13" x14ac:dyDescent="0.25">
      <c r="A71" s="3" t="s">
        <v>496</v>
      </c>
      <c r="B71" s="3" t="s">
        <v>360</v>
      </c>
      <c r="C71" s="3"/>
      <c r="D71" s="3">
        <f>'FEBRUARY 21'!H71:H97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  <c r="M71" s="173"/>
    </row>
    <row r="72" spans="1:13" x14ac:dyDescent="0.25">
      <c r="A72" s="3" t="s">
        <v>380</v>
      </c>
      <c r="B72" s="3" t="s">
        <v>361</v>
      </c>
      <c r="C72" s="3"/>
      <c r="D72" s="3">
        <f>'FEBRUARY 21'!H72:H98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</row>
    <row r="73" spans="1:13" x14ac:dyDescent="0.25">
      <c r="A73" s="375" t="s">
        <v>670</v>
      </c>
      <c r="B73" s="3" t="s">
        <v>362</v>
      </c>
      <c r="C73" s="3"/>
      <c r="D73" s="3">
        <f>'FEBRUARY 21'!H73:H99</f>
        <v>16000</v>
      </c>
      <c r="E73" s="3">
        <v>8000</v>
      </c>
      <c r="F73" s="3">
        <f t="shared" si="3"/>
        <v>24000</v>
      </c>
      <c r="G73" s="3">
        <f>5000+5000</f>
        <v>10000</v>
      </c>
      <c r="H73" s="3">
        <f>F73-G73</f>
        <v>14000</v>
      </c>
      <c r="I73" s="3">
        <v>1000</v>
      </c>
      <c r="J73" s="3"/>
      <c r="K73" s="173"/>
      <c r="L73" s="173"/>
      <c r="M73" s="173"/>
    </row>
    <row r="74" spans="1:13" x14ac:dyDescent="0.25">
      <c r="A74" s="375" t="s">
        <v>440</v>
      </c>
      <c r="B74" s="3" t="s">
        <v>363</v>
      </c>
      <c r="C74" s="3"/>
      <c r="D74" s="3">
        <f>'FEBRUARY 21'!H74:H100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</row>
    <row r="75" spans="1:13" x14ac:dyDescent="0.25">
      <c r="A75" s="375" t="s">
        <v>524</v>
      </c>
      <c r="B75" s="3" t="s">
        <v>364</v>
      </c>
      <c r="C75" s="3"/>
      <c r="D75" s="3">
        <f>'FEBRUARY 21'!H75:H101</f>
        <v>2000</v>
      </c>
      <c r="E75" s="3">
        <v>5000</v>
      </c>
      <c r="F75" s="3">
        <f t="shared" si="3"/>
        <v>7000</v>
      </c>
      <c r="G75" s="3">
        <f>1000+1500+1200+1300</f>
        <v>5000</v>
      </c>
      <c r="H75" s="3">
        <f>F75-G75</f>
        <v>2000</v>
      </c>
      <c r="I75" s="3"/>
      <c r="J75" s="3"/>
      <c r="K75" s="173"/>
      <c r="L75" s="173"/>
      <c r="M75" s="17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57000</v>
      </c>
      <c r="E77" s="343">
        <f>SUM(E48:E76)</f>
        <v>164500</v>
      </c>
      <c r="F77" s="343">
        <f>SUM(F48:F76)</f>
        <v>221500</v>
      </c>
      <c r="G77" s="343">
        <f>SUM(G48:G76)</f>
        <v>153000</v>
      </c>
      <c r="H77" s="343">
        <f t="shared" si="5"/>
        <v>68500</v>
      </c>
      <c r="I77" s="343">
        <f t="shared" si="5"/>
        <v>1000</v>
      </c>
      <c r="J77" s="3">
        <f>SUM(J48:J76)</f>
        <v>0</v>
      </c>
      <c r="K77" s="173"/>
      <c r="L77" s="382"/>
      <c r="M77" s="173"/>
    </row>
    <row r="78" spans="1:13" x14ac:dyDescent="0.25">
      <c r="A78" s="173"/>
      <c r="B78" s="173"/>
      <c r="C78" s="173"/>
      <c r="D78" s="173"/>
      <c r="E78" s="173"/>
      <c r="F78" s="173"/>
      <c r="G78" s="347"/>
      <c r="H78" s="173"/>
      <c r="I78" s="173"/>
      <c r="J78" s="173"/>
      <c r="K78" s="173"/>
      <c r="L78" s="173"/>
      <c r="M78" s="173"/>
    </row>
    <row r="79" spans="1:13" x14ac:dyDescent="0.25">
      <c r="A79" s="91" t="s">
        <v>317</v>
      </c>
      <c r="B79" s="344"/>
      <c r="C79" s="345"/>
      <c r="D79" s="346"/>
      <c r="E79" s="347"/>
      <c r="F79" s="348"/>
      <c r="H79" s="173"/>
      <c r="I79" s="173"/>
      <c r="J79" s="173"/>
      <c r="K79" s="173"/>
      <c r="L79" s="173"/>
      <c r="M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</row>
    <row r="82" spans="1:13" x14ac:dyDescent="0.25">
      <c r="A82" s="201" t="s">
        <v>417</v>
      </c>
      <c r="B82" s="350">
        <f>E77</f>
        <v>164500</v>
      </c>
      <c r="C82" s="201"/>
      <c r="D82" s="201"/>
      <c r="E82" s="201" t="s">
        <v>417</v>
      </c>
      <c r="F82" s="350">
        <f>G77</f>
        <v>153000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</row>
    <row r="83" spans="1:13" x14ac:dyDescent="0.25">
      <c r="A83" s="201" t="s">
        <v>147</v>
      </c>
      <c r="B83" s="350">
        <f>'FEBRUARY 21'!D95</f>
        <v>-8891.5</v>
      </c>
      <c r="C83" s="201"/>
      <c r="D83" s="201"/>
      <c r="E83" s="201" t="s">
        <v>147</v>
      </c>
      <c r="F83" s="350">
        <f>'FEBRUARY 21'!H95</f>
        <v>-51391.5</v>
      </c>
      <c r="G83" s="201"/>
      <c r="H83" s="201"/>
      <c r="I83" s="173"/>
      <c r="J83" s="148" t="s">
        <v>529</v>
      </c>
      <c r="K83" s="148"/>
      <c r="L83" s="148"/>
      <c r="M83" s="3"/>
    </row>
    <row r="84" spans="1:13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  <c r="M84" s="3"/>
    </row>
    <row r="85" spans="1:13" x14ac:dyDescent="0.25">
      <c r="A85" s="201" t="s">
        <v>627</v>
      </c>
      <c r="B85" s="350">
        <f>I77</f>
        <v>1000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</row>
    <row r="86" spans="1:13" x14ac:dyDescent="0.25">
      <c r="A86" s="201" t="s">
        <v>390</v>
      </c>
      <c r="B86" s="358">
        <v>4.4999999999999998E-2</v>
      </c>
      <c r="C86" s="350">
        <f>B86*B82</f>
        <v>7402.5</v>
      </c>
      <c r="D86" s="201"/>
      <c r="E86" s="201" t="s">
        <v>390</v>
      </c>
      <c r="F86" s="359">
        <v>4.4999999999999998E-2</v>
      </c>
      <c r="G86" s="350">
        <f>C86</f>
        <v>7402.5</v>
      </c>
      <c r="H86" s="201"/>
      <c r="I86" s="173"/>
      <c r="J86" s="148" t="s">
        <v>646</v>
      </c>
      <c r="K86" s="383"/>
      <c r="L86" s="148"/>
      <c r="M86" s="3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  <c r="M88" s="3"/>
    </row>
    <row r="89" spans="1:13" x14ac:dyDescent="0.25">
      <c r="A89" s="369" t="s">
        <v>534</v>
      </c>
      <c r="B89" s="85"/>
      <c r="C89" s="384">
        <v>148200</v>
      </c>
      <c r="D89" s="85"/>
      <c r="E89" s="369" t="s">
        <v>534</v>
      </c>
      <c r="F89" s="85"/>
      <c r="G89" s="384">
        <v>148200</v>
      </c>
      <c r="H89" s="85"/>
      <c r="I89" s="173"/>
      <c r="J89" s="379"/>
      <c r="K89" s="380"/>
      <c r="L89" s="380"/>
      <c r="M89" s="175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3"/>
      <c r="L91" s="3"/>
      <c r="M91" s="175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  <c r="M92" s="363">
        <f>K92-L92</f>
        <v>0</v>
      </c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B82+B83+B85+B84-C86</f>
        <v>149206</v>
      </c>
      <c r="C95" s="384">
        <f>SUM(C88:C94)</f>
        <v>156700</v>
      </c>
      <c r="D95" s="384">
        <f>B95-C95</f>
        <v>-7494</v>
      </c>
      <c r="E95" s="369"/>
      <c r="F95" s="384">
        <f>F82+F83+F84-G86</f>
        <v>94206</v>
      </c>
      <c r="G95" s="384">
        <f>SUM(G88:G94)</f>
        <v>156700</v>
      </c>
      <c r="H95" s="384">
        <f>F95-G95</f>
        <v>-62494</v>
      </c>
      <c r="I95" s="362"/>
      <c r="J95" s="364"/>
      <c r="K95" s="363"/>
      <c r="L95" s="363"/>
      <c r="M95" s="36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  <row r="98" spans="1:13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</row>
    <row r="99" spans="1:13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</row>
    <row r="100" spans="1:13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</row>
    <row r="101" spans="1:13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</row>
    <row r="102" spans="1:13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/>
      <c r="L102" s="173"/>
      <c r="M102" s="173"/>
    </row>
    <row r="103" spans="1:13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K26" sqref="K26"/>
    </sheetView>
  </sheetViews>
  <sheetFormatPr defaultRowHeight="15" x14ac:dyDescent="0.25"/>
  <cols>
    <col min="1" max="1" width="18.7109375" customWidth="1"/>
    <col min="11" max="11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700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'MARCH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'MARCH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'MARCH 21'!I8:I20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'MARCH 21'!I9:I21</f>
        <v>5500</v>
      </c>
      <c r="E9" s="278"/>
      <c r="F9" s="278">
        <v>4500</v>
      </c>
      <c r="G9" s="263">
        <f t="shared" si="0"/>
        <v>10000</v>
      </c>
      <c r="H9" s="264">
        <f>5500</f>
        <v>5500</v>
      </c>
      <c r="I9" s="263">
        <f t="shared" si="1"/>
        <v>4500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'MARCH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702</v>
      </c>
      <c r="B11" s="280">
        <v>6</v>
      </c>
      <c r="C11" s="265"/>
      <c r="D11" s="276">
        <f>'MARCH 21'!I11:I23</f>
        <v>1500</v>
      </c>
      <c r="E11" s="276"/>
      <c r="F11" s="278">
        <v>4500</v>
      </c>
      <c r="G11" s="263">
        <f t="shared" si="0"/>
        <v>6000</v>
      </c>
      <c r="H11" s="264"/>
      <c r="I11" s="263">
        <f t="shared" si="1"/>
        <v>6000</v>
      </c>
      <c r="J11" s="17" t="s">
        <v>504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'MARCH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274</v>
      </c>
      <c r="B13" s="280">
        <v>8</v>
      </c>
      <c r="C13" s="265"/>
      <c r="D13" s="276">
        <f>'MARCH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9</v>
      </c>
      <c r="C14" s="265"/>
      <c r="D14" s="276">
        <f>'MARCH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142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'MARCH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'MARCH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'MARCH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'MARCH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14508</v>
      </c>
      <c r="E19" s="281">
        <f t="shared" si="2"/>
        <v>0</v>
      </c>
      <c r="F19" s="281">
        <f t="shared" si="2"/>
        <v>44000</v>
      </c>
      <c r="G19" s="282">
        <f t="shared" si="2"/>
        <v>58508</v>
      </c>
      <c r="H19" s="266">
        <f>SUM(H6:H18)</f>
        <v>37500</v>
      </c>
      <c r="I19" s="366">
        <f t="shared" si="2"/>
        <v>21008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423</v>
      </c>
      <c r="B24" s="350">
        <f>F19</f>
        <v>44000</v>
      </c>
      <c r="C24" s="201"/>
      <c r="D24" s="201"/>
      <c r="E24" s="201" t="s">
        <v>423</v>
      </c>
      <c r="F24" s="350">
        <f>H19</f>
        <v>37500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'MARCH 21'!D36</f>
        <v>-13357</v>
      </c>
      <c r="C25" s="201"/>
      <c r="D25" s="201"/>
      <c r="E25" s="201" t="s">
        <v>147</v>
      </c>
      <c r="F25" s="350">
        <f>'MARCH 21'!H36</f>
        <v>-27865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3080.0000000000005</v>
      </c>
      <c r="D27" s="201"/>
      <c r="E27" s="201" t="s">
        <v>390</v>
      </c>
      <c r="F27" s="351">
        <v>7.0000000000000007E-2</v>
      </c>
      <c r="G27" s="350">
        <f>C27</f>
        <v>3080.0000000000005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707</v>
      </c>
      <c r="B32" s="201"/>
      <c r="C32" s="201">
        <v>23060</v>
      </c>
      <c r="D32" s="201"/>
      <c r="E32" s="354" t="s">
        <v>707</v>
      </c>
      <c r="F32" s="201"/>
      <c r="G32" s="201">
        <v>23060</v>
      </c>
      <c r="H32" s="201"/>
      <c r="I32" s="292"/>
      <c r="J32" s="17"/>
      <c r="K32" s="173"/>
      <c r="L32" s="173"/>
    </row>
    <row r="33" spans="1:17" x14ac:dyDescent="0.25">
      <c r="A33" s="354" t="s">
        <v>708</v>
      </c>
      <c r="B33" s="201"/>
      <c r="C33" s="201">
        <f>6000</f>
        <v>6000</v>
      </c>
      <c r="D33" s="201"/>
      <c r="E33" s="354"/>
      <c r="F33" s="201"/>
      <c r="G33" s="201"/>
      <c r="H33" s="201"/>
      <c r="I33" s="292"/>
      <c r="J33" s="17"/>
      <c r="K33" s="173"/>
      <c r="L33" s="173"/>
    </row>
    <row r="34" spans="1:17" x14ac:dyDescent="0.25">
      <c r="A34" s="354" t="s">
        <v>661</v>
      </c>
      <c r="B34" s="201"/>
      <c r="C34" s="201">
        <v>3000</v>
      </c>
      <c r="D34" s="201"/>
      <c r="E34" s="354" t="s">
        <v>661</v>
      </c>
      <c r="F34" s="201"/>
      <c r="G34" s="201">
        <v>3000</v>
      </c>
      <c r="H34" s="201"/>
      <c r="I34" s="292"/>
      <c r="J34" s="17"/>
      <c r="K34" s="173"/>
      <c r="L34" s="362"/>
      <c r="M34">
        <f>10600/30</f>
        <v>353.33333333333331</v>
      </c>
      <c r="O34">
        <f>10000/30</f>
        <v>333.33333333333331</v>
      </c>
      <c r="Q34">
        <f>O35+1500</f>
        <v>6166.6666666666661</v>
      </c>
    </row>
    <row r="35" spans="1:17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>
        <f>M34*14</f>
        <v>4946.6666666666661</v>
      </c>
      <c r="O35">
        <f>O34*14</f>
        <v>4666.6666666666661</v>
      </c>
    </row>
    <row r="36" spans="1:17" x14ac:dyDescent="0.25">
      <c r="A36" s="363" t="s">
        <v>62</v>
      </c>
      <c r="B36" s="364">
        <f>B24+B25+B28-C27</f>
        <v>27563</v>
      </c>
      <c r="C36" s="364">
        <f>SUM(C29:C35)</f>
        <v>36560</v>
      </c>
      <c r="D36" s="364">
        <f>B36-C36</f>
        <v>-8997</v>
      </c>
      <c r="E36" s="363" t="s">
        <v>62</v>
      </c>
      <c r="F36" s="364">
        <f>F24++F25+F26-G27</f>
        <v>6555</v>
      </c>
      <c r="G36" s="364">
        <f>SUM(G29:G35)</f>
        <v>30560</v>
      </c>
      <c r="H36" s="365">
        <f>F36-G36</f>
        <v>-24005</v>
      </c>
      <c r="I36" s="292"/>
      <c r="J36" s="17"/>
      <c r="K36" s="173"/>
      <c r="L36" s="173"/>
    </row>
    <row r="37" spans="1:17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P37" t="s">
        <v>706</v>
      </c>
    </row>
    <row r="38" spans="1:1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7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7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7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7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7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7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7" x14ac:dyDescent="0.25">
      <c r="A46" s="175"/>
      <c r="B46" s="175"/>
      <c r="C46" s="175" t="s">
        <v>701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7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7" x14ac:dyDescent="0.25">
      <c r="A48" s="3" t="s">
        <v>365</v>
      </c>
      <c r="B48" s="3" t="s">
        <v>339</v>
      </c>
      <c r="C48" s="3"/>
      <c r="D48" s="3">
        <f>'MARCH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'MARCH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'MARCH 21'!H50:H78</f>
        <v>6000</v>
      </c>
      <c r="E50" s="3">
        <v>3000</v>
      </c>
      <c r="F50" s="3">
        <f t="shared" si="3"/>
        <v>9000</v>
      </c>
      <c r="G50" s="3">
        <f>3000</f>
        <v>3000</v>
      </c>
      <c r="H50" s="3">
        <f t="shared" ref="H50:H72" si="4">F50-G50</f>
        <v>6000</v>
      </c>
      <c r="I50" s="3"/>
      <c r="J50" s="3"/>
      <c r="K50" s="173"/>
      <c r="L50" s="173"/>
    </row>
    <row r="51" spans="1:12" x14ac:dyDescent="0.25">
      <c r="A51" s="148"/>
      <c r="B51" s="148" t="s">
        <v>428</v>
      </c>
      <c r="C51" s="3"/>
      <c r="D51" s="3">
        <f>'MARCH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'MARCH 21'!H52:H80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'MARCH 21'!H53:H80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'MARCH 21'!H54:H81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'MARCH 21'!H55:H82</f>
        <v>1000</v>
      </c>
      <c r="E55" s="3">
        <v>5000</v>
      </c>
      <c r="F55" s="3">
        <f t="shared" si="3"/>
        <v>6000</v>
      </c>
      <c r="G55" s="3">
        <v>4500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'MARCH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'MARCH 21'!H57:H84</f>
        <v>4500</v>
      </c>
      <c r="E57" s="3">
        <v>8500</v>
      </c>
      <c r="F57" s="3">
        <f t="shared" si="3"/>
        <v>13000</v>
      </c>
      <c r="G57" s="3">
        <f>5350</f>
        <v>5350</v>
      </c>
      <c r="H57" s="3">
        <f t="shared" si="4"/>
        <v>7650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'MARCH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'MARCH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148">
        <f>'MARCH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'MARCH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'MARCH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'MARCH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148" t="s">
        <v>170</v>
      </c>
      <c r="B64" s="3" t="s">
        <v>353</v>
      </c>
      <c r="C64" s="3"/>
      <c r="D64" s="3">
        <f>'MARCH 21'!H64:H91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'MARCH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'MARCH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'MARCH 21'!H67:H94</f>
        <v>2000</v>
      </c>
      <c r="E67" s="3">
        <v>8000</v>
      </c>
      <c r="F67" s="3">
        <f t="shared" si="3"/>
        <v>10000</v>
      </c>
      <c r="G67" s="3">
        <f>2000+3000+4000</f>
        <v>9000</v>
      </c>
      <c r="H67" s="3">
        <f t="shared" si="4"/>
        <v>1000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'MARCH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'MARCH 21'!H69:H96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'MARCH 21'!H70:H97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'MARCH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'MARCH 21'!H72:H99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375" t="s">
        <v>670</v>
      </c>
      <c r="B73" s="3" t="s">
        <v>362</v>
      </c>
      <c r="C73" s="3"/>
      <c r="D73" s="3">
        <f>'MARCH 21'!H73:H100</f>
        <v>14000</v>
      </c>
      <c r="E73" s="3"/>
      <c r="F73" s="3">
        <f t="shared" si="3"/>
        <v>14000</v>
      </c>
      <c r="G73" s="3"/>
      <c r="H73" s="3">
        <f>F73-G73</f>
        <v>14000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'MARCH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'MARCH 21'!H75:H102</f>
        <v>2000</v>
      </c>
      <c r="E75" s="3">
        <v>5000</v>
      </c>
      <c r="F75" s="3">
        <f t="shared" si="3"/>
        <v>7000</v>
      </c>
      <c r="G75" s="3">
        <f>6000</f>
        <v>6000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'MARCH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68500</v>
      </c>
      <c r="E77" s="343">
        <f>SUM(E48:E76)</f>
        <v>147500</v>
      </c>
      <c r="F77" s="343">
        <f>SUM(F48:F76)</f>
        <v>216000</v>
      </c>
      <c r="G77" s="343">
        <f>SUM(G48:G76)</f>
        <v>145850</v>
      </c>
      <c r="H77" s="343">
        <f t="shared" si="5"/>
        <v>70150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423</v>
      </c>
      <c r="B82" s="350">
        <f>E77</f>
        <v>147500</v>
      </c>
      <c r="C82" s="201"/>
      <c r="D82" s="201"/>
      <c r="E82" s="201" t="s">
        <v>423</v>
      </c>
      <c r="F82" s="350">
        <f>G77</f>
        <v>145850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2" x14ac:dyDescent="0.25">
      <c r="A83" s="201" t="s">
        <v>147</v>
      </c>
      <c r="B83" s="350">
        <f>'MARCH 21'!D95</f>
        <v>-7494</v>
      </c>
      <c r="C83" s="201"/>
      <c r="D83" s="201"/>
      <c r="E83" s="201" t="s">
        <v>147</v>
      </c>
      <c r="F83" s="350">
        <f>'MARCH 21'!H95</f>
        <v>-62494</v>
      </c>
      <c r="G83" s="201"/>
      <c r="H83" s="201"/>
      <c r="I83" s="173"/>
      <c r="J83" s="148" t="s">
        <v>529</v>
      </c>
      <c r="K83" s="148"/>
      <c r="L83" s="148"/>
    </row>
    <row r="84" spans="1:12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2" x14ac:dyDescent="0.25">
      <c r="A86" s="201" t="s">
        <v>390</v>
      </c>
      <c r="B86" s="358">
        <v>4.4999999999999998E-2</v>
      </c>
      <c r="C86" s="350">
        <f>B86*B82</f>
        <v>6637.5</v>
      </c>
      <c r="D86" s="201"/>
      <c r="E86" s="201" t="s">
        <v>390</v>
      </c>
      <c r="F86" s="359">
        <v>4.4999999999999998E-2</v>
      </c>
      <c r="G86" s="350">
        <f>C86</f>
        <v>6637.5</v>
      </c>
      <c r="H86" s="201"/>
      <c r="I86" s="173"/>
      <c r="J86" s="148" t="s">
        <v>646</v>
      </c>
      <c r="K86" s="383"/>
      <c r="L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2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</row>
    <row r="89" spans="1:12" x14ac:dyDescent="0.25">
      <c r="A89" s="388" t="s">
        <v>704</v>
      </c>
      <c r="B89" s="369"/>
      <c r="C89" s="85">
        <f>2600+1000</f>
        <v>3600</v>
      </c>
      <c r="D89" s="384"/>
      <c r="E89" s="388" t="s">
        <v>705</v>
      </c>
      <c r="F89" s="369"/>
      <c r="G89" s="85">
        <f>2600+1000</f>
        <v>3600</v>
      </c>
      <c r="H89" s="85"/>
      <c r="I89" s="173"/>
      <c r="J89" s="379"/>
      <c r="K89" s="380"/>
      <c r="L89" s="380"/>
    </row>
    <row r="90" spans="1:12" x14ac:dyDescent="0.25">
      <c r="A90" s="3" t="s">
        <v>707</v>
      </c>
      <c r="B90" s="3"/>
      <c r="C90" s="385">
        <v>129760</v>
      </c>
      <c r="D90" s="3"/>
      <c r="E90" s="3" t="s">
        <v>707</v>
      </c>
      <c r="F90" s="3"/>
      <c r="G90" s="385">
        <v>129760</v>
      </c>
      <c r="H90" s="85"/>
      <c r="I90" s="173"/>
      <c r="J90" s="3"/>
      <c r="K90" s="3"/>
      <c r="L90" s="3"/>
    </row>
    <row r="91" spans="1:12" x14ac:dyDescent="0.25">
      <c r="A91" s="3" t="s">
        <v>675</v>
      </c>
      <c r="B91" s="3"/>
      <c r="C91" s="385">
        <f>E74</f>
        <v>8500</v>
      </c>
      <c r="D91" s="3"/>
      <c r="E91" s="3" t="s">
        <v>675</v>
      </c>
      <c r="F91" s="3"/>
      <c r="G91" s="385">
        <f>C91</f>
        <v>8500</v>
      </c>
      <c r="H91" s="85"/>
      <c r="I91" s="362"/>
      <c r="J91" s="3"/>
      <c r="K91" s="3"/>
      <c r="L91" s="3"/>
    </row>
    <row r="92" spans="1:12" x14ac:dyDescent="0.25">
      <c r="A92" s="3" t="s">
        <v>711</v>
      </c>
      <c r="B92" s="3"/>
      <c r="C92" s="385">
        <v>30105</v>
      </c>
      <c r="D92" s="3"/>
      <c r="E92" s="3" t="s">
        <v>711</v>
      </c>
      <c r="F92" s="3"/>
      <c r="G92" s="385">
        <v>30105</v>
      </c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2" x14ac:dyDescent="0.25">
      <c r="A95" s="369"/>
      <c r="B95" s="384">
        <f>B82+B83+B85+B84-C86</f>
        <v>133368.5</v>
      </c>
      <c r="C95" s="384">
        <f>SUM(C88:C94)</f>
        <v>171965</v>
      </c>
      <c r="D95" s="384">
        <f>B95-C95</f>
        <v>-38596.5</v>
      </c>
      <c r="E95" s="369"/>
      <c r="F95" s="384">
        <f>F82+F83+F84-G86</f>
        <v>76718.5</v>
      </c>
      <c r="G95" s="384">
        <f>SUM(G88:G94)</f>
        <v>171965</v>
      </c>
      <c r="H95" s="384">
        <f>F95-G95</f>
        <v>-95246.5</v>
      </c>
      <c r="I95" s="362"/>
      <c r="J95" s="364"/>
      <c r="K95" s="363"/>
      <c r="L95" s="36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-47593.5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D89+C32</f>
        <v>23060</v>
      </c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49" sqref="A49:G49"/>
    </sheetView>
  </sheetViews>
  <sheetFormatPr defaultRowHeight="15" x14ac:dyDescent="0.25"/>
  <cols>
    <col min="1" max="1" width="19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709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'APRIL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'APRIL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'APRIL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'APRIL 21'!I9:I21</f>
        <v>4500</v>
      </c>
      <c r="E9" s="278"/>
      <c r="F9" s="278">
        <v>4500</v>
      </c>
      <c r="G9" s="263">
        <f t="shared" si="0"/>
        <v>9000</v>
      </c>
      <c r="H9" s="264">
        <f>4800</f>
        <v>4800</v>
      </c>
      <c r="I9" s="263">
        <f t="shared" si="1"/>
        <v>4200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'APRIL 21'!I10:I22</f>
        <v>8</v>
      </c>
      <c r="E10" s="276"/>
      <c r="F10" s="278">
        <v>4500</v>
      </c>
      <c r="G10" s="263">
        <f t="shared" si="0"/>
        <v>4508</v>
      </c>
      <c r="H10" s="264">
        <f>3000+1500</f>
        <v>4500</v>
      </c>
      <c r="I10" s="263">
        <f t="shared" si="1"/>
        <v>8</v>
      </c>
      <c r="J10" s="17" t="s">
        <v>720</v>
      </c>
      <c r="K10" s="173"/>
      <c r="L10" s="173"/>
    </row>
    <row r="11" spans="1:12" x14ac:dyDescent="0.25">
      <c r="A11" s="389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 t="s">
        <v>219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'APRIL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243</v>
      </c>
      <c r="B13" s="280">
        <v>8</v>
      </c>
      <c r="C13" s="265"/>
      <c r="D13" s="276">
        <f>'APRIL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 t="s">
        <v>219</v>
      </c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'APRIL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'APRIL 21'!I15:I27</f>
        <v>3000</v>
      </c>
      <c r="E15" s="276"/>
      <c r="F15" s="278">
        <v>3000</v>
      </c>
      <c r="G15" s="263">
        <f>F15+D15</f>
        <v>6000</v>
      </c>
      <c r="H15" s="264">
        <f>3000</f>
        <v>3000</v>
      </c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'APRIL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'APRIL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'APRIL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15008</v>
      </c>
      <c r="E19" s="281">
        <f t="shared" si="2"/>
        <v>0</v>
      </c>
      <c r="F19" s="281">
        <f>SUM(F6:F18)</f>
        <v>39500</v>
      </c>
      <c r="G19" s="282">
        <f t="shared" si="2"/>
        <v>54508</v>
      </c>
      <c r="H19" s="266">
        <f>SUM(H6:H18)</f>
        <v>39800</v>
      </c>
      <c r="I19" s="366">
        <f t="shared" si="2"/>
        <v>14708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432</v>
      </c>
      <c r="B24" s="350">
        <f>F19</f>
        <v>39500</v>
      </c>
      <c r="C24" s="201"/>
      <c r="D24" s="201"/>
      <c r="E24" s="201" t="s">
        <v>432</v>
      </c>
      <c r="F24" s="350">
        <f>H19</f>
        <v>39800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'APRIL 21'!D36</f>
        <v>-8997</v>
      </c>
      <c r="C25" s="201"/>
      <c r="D25" s="201"/>
      <c r="E25" s="201" t="s">
        <v>147</v>
      </c>
      <c r="F25" s="350">
        <f>'APRIL 21'!H36</f>
        <v>-24005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2765.0000000000005</v>
      </c>
      <c r="D27" s="201"/>
      <c r="E27" s="201" t="s">
        <v>390</v>
      </c>
      <c r="F27" s="351">
        <v>7.0000000000000007E-2</v>
      </c>
      <c r="G27" s="350">
        <f>C27</f>
        <v>2765.0000000000005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713</v>
      </c>
      <c r="B32" s="201"/>
      <c r="C32" s="201">
        <v>23200</v>
      </c>
      <c r="D32" s="201"/>
      <c r="E32" s="354" t="s">
        <v>713</v>
      </c>
      <c r="F32" s="201"/>
      <c r="G32" s="201">
        <v>23200</v>
      </c>
      <c r="H32" s="201"/>
      <c r="I32" s="292"/>
      <c r="J32" s="17"/>
      <c r="K32" s="173"/>
      <c r="L32" s="173"/>
    </row>
    <row r="33" spans="1:12" x14ac:dyDescent="0.25">
      <c r="A33" s="354" t="s">
        <v>718</v>
      </c>
      <c r="B33" s="201"/>
      <c r="C33" s="201">
        <v>3000</v>
      </c>
      <c r="D33" s="201"/>
      <c r="E33" s="354" t="s">
        <v>718</v>
      </c>
      <c r="F33" s="201"/>
      <c r="G33" s="201">
        <v>3000</v>
      </c>
      <c r="H33" s="201"/>
      <c r="I33" s="292"/>
      <c r="J33" s="17"/>
      <c r="K33" s="173"/>
      <c r="L33" s="173"/>
    </row>
    <row r="34" spans="1:12" x14ac:dyDescent="0.25">
      <c r="A34" s="354" t="s">
        <v>719</v>
      </c>
      <c r="B34" s="201"/>
      <c r="C34" s="201">
        <v>1500</v>
      </c>
      <c r="D34" s="201"/>
      <c r="E34" s="354" t="s">
        <v>719</v>
      </c>
      <c r="F34" s="201"/>
      <c r="G34" s="201">
        <v>1500</v>
      </c>
      <c r="H34" s="201"/>
      <c r="I34" s="292"/>
      <c r="J34" s="17"/>
      <c r="K34" s="173"/>
      <c r="L34" s="362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27738</v>
      </c>
      <c r="C36" s="364">
        <f>SUM(C29:C35)</f>
        <v>32200</v>
      </c>
      <c r="D36" s="364">
        <f>B36-C36</f>
        <v>-4462</v>
      </c>
      <c r="E36" s="363" t="s">
        <v>62</v>
      </c>
      <c r="F36" s="364">
        <f>F24++F25+F26-G27</f>
        <v>13030</v>
      </c>
      <c r="G36" s="364">
        <f>SUM(G29:G35)</f>
        <v>32200</v>
      </c>
      <c r="H36" s="365">
        <f>F36-G36</f>
        <v>-19170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710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'APRIL 21'!H48:H75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'APRIL 21'!H49:H76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'APRIL 21'!H50:H77</f>
        <v>6000</v>
      </c>
      <c r="E50" s="3">
        <v>3000</v>
      </c>
      <c r="F50" s="3">
        <f t="shared" si="3"/>
        <v>9000</v>
      </c>
      <c r="G50" s="3">
        <f>5600</f>
        <v>5600</v>
      </c>
      <c r="H50" s="3">
        <f t="shared" ref="H50:H72" si="4">F50-G50</f>
        <v>3400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'APRIL 21'!H51:H78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'APRIL 21'!H52:H79</f>
        <v>0</v>
      </c>
      <c r="E52" s="3">
        <v>5000</v>
      </c>
      <c r="F52" s="3">
        <f t="shared" si="3"/>
        <v>5000</v>
      </c>
      <c r="G52" s="3">
        <f>4000</f>
        <v>4000</v>
      </c>
      <c r="H52" s="3">
        <f t="shared" si="4"/>
        <v>1000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'APRIL 21'!H53:H80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'APRIL 21'!H54:H81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'APRIL 21'!H55:H82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'APRIL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'APRIL 21'!H57:H84</f>
        <v>7650</v>
      </c>
      <c r="E57" s="3">
        <v>8500</v>
      </c>
      <c r="F57" s="3">
        <f t="shared" si="3"/>
        <v>16150</v>
      </c>
      <c r="G57" s="3">
        <f>1000+1000+1500+1500+1000+1000+1500+1000+1000+1000+1000+2700+950</f>
        <v>16150</v>
      </c>
      <c r="H57" s="3">
        <f t="shared" si="4"/>
        <v>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'APRIL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'APRIL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3">
        <f>'APRIL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'APRIL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'APRIL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'APRIL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170</v>
      </c>
      <c r="B64" s="3" t="s">
        <v>353</v>
      </c>
      <c r="C64" s="3"/>
      <c r="D64" s="3">
        <f>'APRIL 21'!H64:H91</f>
        <v>0</v>
      </c>
      <c r="E64" s="3">
        <v>8500</v>
      </c>
      <c r="F64" s="3">
        <f t="shared" si="3"/>
        <v>8500</v>
      </c>
      <c r="G64" s="3">
        <f>5000</f>
        <v>5000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'APRIL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'APRIL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'APRIL 21'!H67:H94</f>
        <v>1000</v>
      </c>
      <c r="E67" s="3">
        <v>8000</v>
      </c>
      <c r="F67" s="3">
        <f t="shared" si="3"/>
        <v>9000</v>
      </c>
      <c r="G67" s="3">
        <f>4000+3000</f>
        <v>7000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'APRIL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'APRIL 21'!H69:H96</f>
        <v>0</v>
      </c>
      <c r="E69" s="3">
        <v>5000</v>
      </c>
      <c r="F69" s="3">
        <f t="shared" si="3"/>
        <v>5000</v>
      </c>
      <c r="G69" s="3">
        <f>3000+2000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'APRIL 21'!H70:H97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'APRIL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'APRIL 21'!H72:H99</f>
        <v>4000</v>
      </c>
      <c r="E72" s="3">
        <v>8000</v>
      </c>
      <c r="F72" s="3">
        <f t="shared" si="3"/>
        <v>12000</v>
      </c>
      <c r="G72" s="3"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148" t="s">
        <v>170</v>
      </c>
      <c r="B73" s="3" t="s">
        <v>362</v>
      </c>
      <c r="C73" s="3"/>
      <c r="D73" s="3"/>
      <c r="E73" s="3"/>
      <c r="F73" s="3">
        <f t="shared" si="3"/>
        <v>0</v>
      </c>
      <c r="G73" s="3"/>
      <c r="H73" s="3">
        <f>F73-G73</f>
        <v>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'APRIL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'APRIL 21'!H75:H102</f>
        <v>1000</v>
      </c>
      <c r="E75" s="3">
        <v>5000</v>
      </c>
      <c r="F75" s="3">
        <f t="shared" si="3"/>
        <v>6000</v>
      </c>
      <c r="G75" s="3">
        <f>5000</f>
        <v>5000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'APRIL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56150</v>
      </c>
      <c r="E77" s="343">
        <f>SUM(E48:E76)</f>
        <v>156000</v>
      </c>
      <c r="F77" s="343">
        <f>SUM(F48:F76)</f>
        <v>212150</v>
      </c>
      <c r="G77" s="343">
        <f>SUM(G48:G76)</f>
        <v>160750</v>
      </c>
      <c r="H77" s="343">
        <f t="shared" si="5"/>
        <v>51400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432</v>
      </c>
      <c r="B82" s="350">
        <f>E77</f>
        <v>156000</v>
      </c>
      <c r="C82" s="201"/>
      <c r="D82" s="201"/>
      <c r="E82" s="201" t="s">
        <v>432</v>
      </c>
      <c r="F82" s="350">
        <f>G77</f>
        <v>160750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4" x14ac:dyDescent="0.25">
      <c r="A83" s="201" t="s">
        <v>147</v>
      </c>
      <c r="B83" s="350">
        <f>'APRIL 21'!D95</f>
        <v>-38596.5</v>
      </c>
      <c r="C83" s="201"/>
      <c r="D83" s="201"/>
      <c r="E83" s="201" t="s">
        <v>147</v>
      </c>
      <c r="F83" s="350">
        <f>'APRIL 21'!H95</f>
        <v>-95246.5</v>
      </c>
      <c r="G83" s="201"/>
      <c r="H83" s="201"/>
      <c r="I83" s="173"/>
      <c r="J83" s="148" t="s">
        <v>529</v>
      </c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7020</v>
      </c>
      <c r="D86" s="201"/>
      <c r="E86" s="201" t="s">
        <v>390</v>
      </c>
      <c r="F86" s="359">
        <v>4.4999999999999998E-2</v>
      </c>
      <c r="G86" s="350">
        <f>C86</f>
        <v>7020</v>
      </c>
      <c r="H86" s="201"/>
      <c r="I86" s="173"/>
      <c r="J86" s="148" t="s">
        <v>646</v>
      </c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714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713</v>
      </c>
      <c r="B89" s="369"/>
      <c r="C89" s="85">
        <v>101800</v>
      </c>
      <c r="D89" s="384"/>
      <c r="E89" s="388" t="s">
        <v>713</v>
      </c>
      <c r="F89" s="369"/>
      <c r="G89" s="85">
        <v>101800</v>
      </c>
      <c r="H89" s="85"/>
      <c r="I89" s="173"/>
      <c r="J89" s="379"/>
      <c r="K89" s="380"/>
      <c r="L89" s="380"/>
    </row>
    <row r="90" spans="1:14" x14ac:dyDescent="0.25">
      <c r="A90" s="3" t="s">
        <v>440</v>
      </c>
      <c r="B90" s="3"/>
      <c r="C90" s="385">
        <v>8500</v>
      </c>
      <c r="D90" s="3"/>
      <c r="E90" s="3" t="s">
        <v>440</v>
      </c>
      <c r="F90" s="3"/>
      <c r="G90" s="385">
        <v>8500</v>
      </c>
      <c r="H90" s="85"/>
      <c r="I90" s="173"/>
      <c r="J90" s="3"/>
      <c r="K90" s="3"/>
      <c r="L90" s="3"/>
      <c r="N90">
        <f>125000-C32</f>
        <v>101800</v>
      </c>
    </row>
    <row r="91" spans="1:14" x14ac:dyDescent="0.25">
      <c r="A91" s="3" t="s">
        <v>721</v>
      </c>
      <c r="B91" s="3"/>
      <c r="C91" s="385">
        <v>30105</v>
      </c>
      <c r="D91" s="3"/>
      <c r="E91" s="3" t="s">
        <v>721</v>
      </c>
      <c r="F91" s="3"/>
      <c r="G91" s="385">
        <v>30105</v>
      </c>
      <c r="H91" s="85"/>
      <c r="I91" s="362"/>
      <c r="J91" s="3"/>
      <c r="K91" s="3"/>
      <c r="L91" s="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110383.5</v>
      </c>
      <c r="C95" s="384">
        <f>SUM(C88:C94)</f>
        <v>148905</v>
      </c>
      <c r="D95" s="384">
        <f>B95-C95</f>
        <v>-38521.5</v>
      </c>
      <c r="E95" s="369"/>
      <c r="F95" s="384">
        <f>F82+F83+F84-G86</f>
        <v>58483.5</v>
      </c>
      <c r="G95" s="384">
        <f>SUM(G88:G94)</f>
        <v>140405</v>
      </c>
      <c r="H95" s="384">
        <f>F95-G95</f>
        <v>-81921.5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 t="s">
        <v>712</v>
      </c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-42983.5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" workbookViewId="0">
      <selection activeCell="E61" sqref="E61"/>
    </sheetView>
  </sheetViews>
  <sheetFormatPr defaultRowHeight="15" x14ac:dyDescent="0.25"/>
  <cols>
    <col min="1" max="1" width="30.7109375" customWidth="1"/>
    <col min="2" max="2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715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/>
      <c r="B6" s="274">
        <v>1</v>
      </c>
      <c r="C6" s="387"/>
      <c r="D6" s="276"/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'MAY 21'!I7:I20</f>
        <v>0</v>
      </c>
      <c r="E7" s="277"/>
      <c r="F7" s="278">
        <v>6000</v>
      </c>
      <c r="G7" s="263">
        <f t="shared" ref="G7:G18" si="0">F7+D7</f>
        <v>6000</v>
      </c>
      <c r="H7" s="264">
        <f>4000</f>
        <v>4000</v>
      </c>
      <c r="I7" s="263">
        <f t="shared" ref="I7:I18" si="1">G7-H7</f>
        <v>2000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'MAY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386" t="s">
        <v>304</v>
      </c>
      <c r="B9" s="390">
        <v>4</v>
      </c>
      <c r="C9" s="391"/>
      <c r="D9" s="392">
        <f>'MAY 21'!I9:I22</f>
        <v>4200</v>
      </c>
      <c r="E9" s="278"/>
      <c r="F9" s="278"/>
      <c r="G9" s="393">
        <f t="shared" si="0"/>
        <v>4200</v>
      </c>
      <c r="H9" s="264"/>
      <c r="I9" s="393">
        <f t="shared" si="1"/>
        <v>4200</v>
      </c>
      <c r="J9" s="394" t="s">
        <v>504</v>
      </c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'MAY 21'!I10:I23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'MAY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'MAY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'MAY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'MAY 21'!I15:I28</f>
        <v>3000</v>
      </c>
      <c r="E15" s="276"/>
      <c r="F15" s="278">
        <v>3000</v>
      </c>
      <c r="G15" s="263">
        <f>F15+D15</f>
        <v>6000</v>
      </c>
      <c r="H15" s="264">
        <v>6000</v>
      </c>
      <c r="I15" s="263">
        <f t="shared" si="1"/>
        <v>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'MAY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'MAY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'MAY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14708</v>
      </c>
      <c r="E19" s="281">
        <f t="shared" si="2"/>
        <v>0</v>
      </c>
      <c r="F19" s="281">
        <f t="shared" si="2"/>
        <v>38000</v>
      </c>
      <c r="G19" s="282">
        <f t="shared" si="2"/>
        <v>52708</v>
      </c>
      <c r="H19" s="266">
        <f>SUM(H6:H18)</f>
        <v>39000</v>
      </c>
      <c r="I19" s="366">
        <f t="shared" si="2"/>
        <v>13708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219</v>
      </c>
      <c r="B24" s="350">
        <f>F19</f>
        <v>38000</v>
      </c>
      <c r="C24" s="201"/>
      <c r="D24" s="201"/>
      <c r="E24" s="201" t="s">
        <v>219</v>
      </c>
      <c r="F24" s="350">
        <f>H19</f>
        <v>39000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'MAY 21'!D36</f>
        <v>-4462</v>
      </c>
      <c r="C25" s="201"/>
      <c r="D25" s="201"/>
      <c r="E25" s="201" t="s">
        <v>147</v>
      </c>
      <c r="F25" s="350">
        <f>'MAY 21'!H36</f>
        <v>-19170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2660.0000000000005</v>
      </c>
      <c r="D27" s="201"/>
      <c r="E27" s="201" t="s">
        <v>390</v>
      </c>
      <c r="F27" s="351">
        <v>7.0000000000000007E-2</v>
      </c>
      <c r="G27" s="350">
        <f>C27</f>
        <v>2660.0000000000005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  <c r="L31" s="173"/>
    </row>
    <row r="32" spans="1:12" x14ac:dyDescent="0.25">
      <c r="A32" s="354" t="s">
        <v>728</v>
      </c>
      <c r="B32" s="201"/>
      <c r="C32" s="201">
        <v>4200</v>
      </c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 t="s">
        <v>730</v>
      </c>
      <c r="B33" s="201"/>
      <c r="C33" s="201">
        <v>8500</v>
      </c>
      <c r="D33" s="201"/>
      <c r="E33" s="354" t="s">
        <v>730</v>
      </c>
      <c r="F33" s="201"/>
      <c r="G33" s="201">
        <v>8500</v>
      </c>
      <c r="H33" s="201"/>
      <c r="I33" s="292"/>
      <c r="J33" s="17"/>
      <c r="K33" s="173"/>
      <c r="L33" s="173"/>
    </row>
    <row r="34" spans="1:12" x14ac:dyDescent="0.25">
      <c r="A34" s="354" t="s">
        <v>731</v>
      </c>
      <c r="B34" s="201"/>
      <c r="C34" s="201">
        <v>13775</v>
      </c>
      <c r="D34" s="201"/>
      <c r="E34" s="354" t="s">
        <v>731</v>
      </c>
      <c r="F34" s="201"/>
      <c r="G34" s="201">
        <v>13775</v>
      </c>
      <c r="H34" s="201"/>
      <c r="I34" s="292"/>
      <c r="J34" s="17"/>
      <c r="K34" s="173"/>
      <c r="L34" s="362"/>
    </row>
    <row r="35" spans="1:12" x14ac:dyDescent="0.25">
      <c r="A35" s="353" t="s">
        <v>661</v>
      </c>
      <c r="B35" s="3"/>
      <c r="C35" s="372">
        <v>3000</v>
      </c>
      <c r="D35" s="201"/>
      <c r="E35" s="353" t="s">
        <v>661</v>
      </c>
      <c r="F35" s="3"/>
      <c r="G35" s="372">
        <v>3000</v>
      </c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30878</v>
      </c>
      <c r="C36" s="364">
        <f>SUM(C29:C35)</f>
        <v>33975</v>
      </c>
      <c r="D36" s="364">
        <f>B36-C36</f>
        <v>-3097</v>
      </c>
      <c r="E36" s="363" t="s">
        <v>62</v>
      </c>
      <c r="F36" s="364">
        <f>F24++F25+F26-G27</f>
        <v>17170</v>
      </c>
      <c r="G36" s="364">
        <f>SUM(G29:G35)</f>
        <v>29775</v>
      </c>
      <c r="H36" s="365">
        <f>F36-G36</f>
        <v>-12605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716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'MAY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'MAY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'MAY 21'!H50:H79</f>
        <v>3400</v>
      </c>
      <c r="E50" s="3">
        <v>3000</v>
      </c>
      <c r="F50" s="3">
        <f t="shared" si="3"/>
        <v>6400</v>
      </c>
      <c r="G50" s="3">
        <f>6000</f>
        <v>6000</v>
      </c>
      <c r="H50" s="3">
        <f t="shared" ref="H50:H72" si="4">F50-G50</f>
        <v>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'MAY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'MAY 21'!H52:H81</f>
        <v>1000</v>
      </c>
      <c r="E52" s="3">
        <v>5000</v>
      </c>
      <c r="F52" s="3">
        <f t="shared" si="3"/>
        <v>6000</v>
      </c>
      <c r="G52" s="3">
        <f>6000</f>
        <v>6000</v>
      </c>
      <c r="H52" s="3">
        <f t="shared" si="4"/>
        <v>0</v>
      </c>
      <c r="I52" s="3"/>
      <c r="J52" s="3"/>
      <c r="K52" s="173"/>
      <c r="L52" s="173"/>
    </row>
    <row r="53" spans="1:12" x14ac:dyDescent="0.25">
      <c r="A53" s="3" t="s">
        <v>480</v>
      </c>
      <c r="B53" s="3" t="s">
        <v>605</v>
      </c>
      <c r="C53" s="3"/>
      <c r="D53" s="3">
        <f>'MAY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'MAY 21'!H56:H85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'MAY 21'!H57:H86</f>
        <v>0</v>
      </c>
      <c r="E57" s="3">
        <v>8500</v>
      </c>
      <c r="F57" s="3">
        <f t="shared" si="3"/>
        <v>8500</v>
      </c>
      <c r="G57" s="3">
        <f>1700</f>
        <v>1700</v>
      </c>
      <c r="H57" s="3">
        <f t="shared" si="4"/>
        <v>6800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'MAY 21'!H58:H87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722</v>
      </c>
      <c r="B60" s="3" t="s">
        <v>349</v>
      </c>
      <c r="C60" s="3"/>
      <c r="D60" s="3"/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'MAY 21'!H61:H90</f>
        <v>1000</v>
      </c>
      <c r="E61" s="3">
        <v>7000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'MAY 21'!H64:H93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'MAY 21'!H67:H96</f>
        <v>2000</v>
      </c>
      <c r="E67" s="3">
        <v>8000</v>
      </c>
      <c r="F67" s="3">
        <f t="shared" si="3"/>
        <v>10000</v>
      </c>
      <c r="G67" s="3">
        <f>4000+4000</f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'MAY 21'!H69:H98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  <c r="L70" s="173"/>
    </row>
    <row r="71" spans="1:12" x14ac:dyDescent="0.25">
      <c r="A71" s="3" t="s">
        <v>496</v>
      </c>
      <c r="B71" s="3" t="s">
        <v>360</v>
      </c>
      <c r="C71" s="3"/>
      <c r="D71" s="3">
        <f>'MAY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148" t="s">
        <v>274</v>
      </c>
      <c r="B72" s="3" t="s">
        <v>361</v>
      </c>
      <c r="C72" s="3"/>
      <c r="D72" s="3"/>
      <c r="E72" s="3"/>
      <c r="F72" s="3">
        <f t="shared" si="3"/>
        <v>0</v>
      </c>
      <c r="G72" s="3"/>
      <c r="H72" s="3">
        <f t="shared" si="4"/>
        <v>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'MAY 21'!H73:H102</f>
        <v>0</v>
      </c>
      <c r="E73" s="3">
        <v>8000</v>
      </c>
      <c r="F73" s="3">
        <f t="shared" si="3"/>
        <v>8000</v>
      </c>
      <c r="G73" s="3">
        <f>7500</f>
        <v>7500</v>
      </c>
      <c r="H73" s="3">
        <f>F73-G73</f>
        <v>500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'MAY 21'!H75:H104</f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 t="s">
        <v>504</v>
      </c>
      <c r="L75" s="173"/>
    </row>
    <row r="76" spans="1:12" x14ac:dyDescent="0.25">
      <c r="A76" s="3"/>
      <c r="B76" s="3"/>
      <c r="C76" s="3"/>
      <c r="D76" s="3">
        <f>'MAY 21'!H76:H105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17400</v>
      </c>
      <c r="E77" s="343">
        <f>SUM(E48:E76)</f>
        <v>164000</v>
      </c>
      <c r="F77" s="343">
        <f>SUM(F48:F76)</f>
        <v>181400</v>
      </c>
      <c r="G77" s="343">
        <f>SUM(G48:G76)</f>
        <v>160700</v>
      </c>
      <c r="H77" s="343">
        <f t="shared" si="5"/>
        <v>20700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219</v>
      </c>
      <c r="B82" s="350">
        <f>E77</f>
        <v>164000</v>
      </c>
      <c r="C82" s="201"/>
      <c r="D82" s="201"/>
      <c r="E82" s="201" t="s">
        <v>219</v>
      </c>
      <c r="F82" s="350">
        <f>G77</f>
        <v>160700</v>
      </c>
      <c r="G82" s="201"/>
      <c r="H82" s="201"/>
      <c r="I82" s="173"/>
      <c r="J82" s="377"/>
      <c r="K82" s="91"/>
      <c r="L82" s="91"/>
    </row>
    <row r="83" spans="1:14" x14ac:dyDescent="0.25">
      <c r="A83" s="201" t="s">
        <v>147</v>
      </c>
      <c r="B83" s="350">
        <f>'MAY 21'!D95</f>
        <v>-38521.5</v>
      </c>
      <c r="C83" s="201"/>
      <c r="D83" s="201"/>
      <c r="E83" s="201" t="s">
        <v>147</v>
      </c>
      <c r="F83" s="350">
        <f>'MAY 21'!H95</f>
        <v>-81921.5</v>
      </c>
      <c r="G83" s="201"/>
      <c r="H83" s="201"/>
      <c r="I83" s="173"/>
      <c r="J83" s="148"/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7380</v>
      </c>
      <c r="D86" s="201"/>
      <c r="E86" s="201" t="s">
        <v>390</v>
      </c>
      <c r="F86" s="359">
        <v>4.4999999999999998E-2</v>
      </c>
      <c r="G86" s="350">
        <f>C86</f>
        <v>7380</v>
      </c>
      <c r="H86" s="201"/>
      <c r="I86" s="173"/>
      <c r="J86" s="148"/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726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727</v>
      </c>
      <c r="B89" s="369"/>
      <c r="C89" s="85">
        <v>98234</v>
      </c>
      <c r="D89" s="384"/>
      <c r="E89" s="388" t="s">
        <v>727</v>
      </c>
      <c r="F89" s="369"/>
      <c r="G89" s="85">
        <v>98234</v>
      </c>
      <c r="H89" s="85"/>
      <c r="I89" s="173"/>
      <c r="J89" s="379"/>
      <c r="K89" s="380"/>
      <c r="L89" s="380"/>
    </row>
    <row r="90" spans="1:14" x14ac:dyDescent="0.25">
      <c r="A90" s="3" t="s">
        <v>729</v>
      </c>
      <c r="B90" s="3"/>
      <c r="C90" s="385">
        <v>8500</v>
      </c>
      <c r="D90" s="3"/>
      <c r="E90" s="3" t="s">
        <v>729</v>
      </c>
      <c r="F90" s="3"/>
      <c r="G90" s="385">
        <v>8500</v>
      </c>
      <c r="H90" s="85"/>
      <c r="I90" s="173"/>
      <c r="J90" s="3"/>
      <c r="K90" s="3"/>
      <c r="L90" s="3"/>
    </row>
    <row r="91" spans="1:14" x14ac:dyDescent="0.25">
      <c r="A91" s="3" t="s">
        <v>732</v>
      </c>
      <c r="B91" s="3"/>
      <c r="C91" s="385">
        <v>8500</v>
      </c>
      <c r="D91" s="3"/>
      <c r="E91" s="3" t="s">
        <v>732</v>
      </c>
      <c r="F91" s="3"/>
      <c r="G91" s="385">
        <v>8500</v>
      </c>
      <c r="H91" s="85"/>
      <c r="I91" s="362"/>
      <c r="J91" s="3"/>
      <c r="K91" s="3"/>
      <c r="L91" s="3"/>
    </row>
    <row r="92" spans="1:14" x14ac:dyDescent="0.25">
      <c r="A92" s="3" t="s">
        <v>735</v>
      </c>
      <c r="B92" s="3"/>
      <c r="C92" s="385">
        <v>2000</v>
      </c>
      <c r="D92" s="3"/>
      <c r="E92" s="3"/>
      <c r="F92" s="3"/>
      <c r="G92" s="385"/>
      <c r="H92" s="85"/>
      <c r="I92" s="362"/>
      <c r="J92" s="363"/>
      <c r="K92" s="363"/>
      <c r="L92" s="36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N93" s="362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118098.5</v>
      </c>
      <c r="C95" s="384">
        <f>SUM(C88:C94)</f>
        <v>125734</v>
      </c>
      <c r="D95" s="384">
        <f>B95-C95</f>
        <v>-7635.5</v>
      </c>
      <c r="E95" s="369"/>
      <c r="F95" s="384">
        <f>F82+F83+F84-G86</f>
        <v>71398.5</v>
      </c>
      <c r="G95" s="384">
        <f>SUM(G88:G94)</f>
        <v>115234</v>
      </c>
      <c r="H95" s="384">
        <f>F95-G95</f>
        <v>-43835.5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49" workbookViewId="0">
      <selection activeCell="G62" sqref="G62"/>
    </sheetView>
  </sheetViews>
  <sheetFormatPr defaultRowHeight="15" x14ac:dyDescent="0.25"/>
  <cols>
    <col min="1" max="1" width="16.71093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734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'JUNE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'JUNE 21'!I7:I19</f>
        <v>2000</v>
      </c>
      <c r="E7" s="277"/>
      <c r="F7" s="278">
        <v>6000</v>
      </c>
      <c r="G7" s="263">
        <f t="shared" ref="G7:G18" si="0">F7+D7</f>
        <v>8000</v>
      </c>
      <c r="H7" s="264">
        <v>8000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'JUNE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274</v>
      </c>
      <c r="B9" s="390">
        <v>4</v>
      </c>
      <c r="C9" s="391"/>
      <c r="D9" s="276"/>
      <c r="E9" s="278"/>
      <c r="F9" s="278"/>
      <c r="G9" s="393">
        <f t="shared" si="0"/>
        <v>0</v>
      </c>
      <c r="H9" s="264"/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'JUNE 21'!I10:I22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'JUNE 21'!I11:I23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'JUNE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'JUNE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'JUNE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3" t="s">
        <v>212</v>
      </c>
      <c r="B15" s="274">
        <v>2</v>
      </c>
      <c r="C15" s="265"/>
      <c r="D15" s="276">
        <f>'JUNE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</row>
    <row r="16" spans="1:11" x14ac:dyDescent="0.25">
      <c r="A16" s="386" t="s">
        <v>274</v>
      </c>
      <c r="B16" s="274">
        <v>3</v>
      </c>
      <c r="C16" s="265"/>
      <c r="D16" s="276">
        <f>'JUNE 21'!I16:I28</f>
        <v>0</v>
      </c>
      <c r="E16" s="276"/>
      <c r="F16" s="278"/>
      <c r="G16" s="263">
        <f>F16+D16</f>
        <v>0</v>
      </c>
      <c r="H16" s="264"/>
      <c r="I16" s="263">
        <f>G16-H16</f>
        <v>0</v>
      </c>
      <c r="J16" s="17"/>
      <c r="K16" s="173"/>
    </row>
    <row r="17" spans="1:11" x14ac:dyDescent="0.25">
      <c r="A17" s="273"/>
      <c r="B17" s="274">
        <v>4</v>
      </c>
      <c r="C17" s="265"/>
      <c r="D17" s="276">
        <f>'JUNE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'JUNE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9508</v>
      </c>
      <c r="E19" s="281">
        <f t="shared" si="2"/>
        <v>0</v>
      </c>
      <c r="F19" s="281">
        <f t="shared" si="2"/>
        <v>34500</v>
      </c>
      <c r="G19" s="282">
        <f t="shared" si="2"/>
        <v>44008</v>
      </c>
      <c r="H19" s="266">
        <f>SUM(H6:H18)</f>
        <v>33500</v>
      </c>
      <c r="I19" s="366">
        <f t="shared" si="2"/>
        <v>10508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223</v>
      </c>
      <c r="B24" s="350">
        <f>F19</f>
        <v>34500</v>
      </c>
      <c r="C24" s="201"/>
      <c r="D24" s="201"/>
      <c r="E24" s="201" t="s">
        <v>223</v>
      </c>
      <c r="F24" s="350">
        <f>H19</f>
        <v>33500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'JUNE 21'!D36</f>
        <v>-3097</v>
      </c>
      <c r="C25" s="201"/>
      <c r="D25" s="201"/>
      <c r="E25" s="201" t="s">
        <v>147</v>
      </c>
      <c r="F25" s="350">
        <f>'JUNE 21'!H36</f>
        <v>-12605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2415.0000000000005</v>
      </c>
      <c r="D27" s="201"/>
      <c r="E27" s="201" t="s">
        <v>390</v>
      </c>
      <c r="F27" s="351">
        <v>7.0000000000000007E-2</v>
      </c>
      <c r="G27" s="350">
        <f>C27</f>
        <v>2415.0000000000005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737</v>
      </c>
      <c r="B32" s="201"/>
      <c r="C32" s="201">
        <v>4688</v>
      </c>
      <c r="D32" s="201"/>
      <c r="E32" s="354" t="s">
        <v>737</v>
      </c>
      <c r="F32" s="201"/>
      <c r="G32" s="201">
        <v>4688</v>
      </c>
      <c r="H32" s="201"/>
      <c r="I32" s="292"/>
      <c r="J32" s="17"/>
      <c r="K32" s="173"/>
    </row>
    <row r="33" spans="1:11" x14ac:dyDescent="0.25">
      <c r="A33" s="354" t="s">
        <v>738</v>
      </c>
      <c r="B33" s="201"/>
      <c r="C33" s="201">
        <v>19902</v>
      </c>
      <c r="D33" s="201"/>
      <c r="E33" s="354" t="s">
        <v>738</v>
      </c>
      <c r="F33" s="201"/>
      <c r="G33" s="201">
        <v>19902</v>
      </c>
      <c r="H33" s="201"/>
      <c r="I33" s="292"/>
      <c r="J33" s="17"/>
      <c r="K33" s="173"/>
    </row>
    <row r="34" spans="1:11" x14ac:dyDescent="0.25">
      <c r="A34" s="354" t="s">
        <v>741</v>
      </c>
      <c r="B34" s="201"/>
      <c r="C34" s="201">
        <v>3000</v>
      </c>
      <c r="D34" s="201"/>
      <c r="E34" s="354" t="s">
        <v>741</v>
      </c>
      <c r="F34" s="201"/>
      <c r="G34" s="201">
        <v>3000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28988</v>
      </c>
      <c r="C36" s="364">
        <f>SUM(C29:C35)</f>
        <v>32090</v>
      </c>
      <c r="D36" s="364">
        <f>B36-C36</f>
        <v>-3102</v>
      </c>
      <c r="E36" s="363" t="s">
        <v>62</v>
      </c>
      <c r="F36" s="364">
        <f>F24++F25+F26-G27</f>
        <v>18480</v>
      </c>
      <c r="G36" s="364">
        <f>SUM(G29:G35)</f>
        <v>32090</v>
      </c>
      <c r="H36" s="365">
        <f>F36-G36</f>
        <v>-13610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733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'JUNE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545</v>
      </c>
      <c r="B49" s="3" t="s">
        <v>340</v>
      </c>
      <c r="C49" s="3"/>
      <c r="D49" s="3">
        <f>'JUNE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'JUNE 21'!H50:H78</f>
        <v>400</v>
      </c>
      <c r="E50" s="3">
        <v>3000</v>
      </c>
      <c r="F50" s="3">
        <f t="shared" si="3"/>
        <v>3400</v>
      </c>
      <c r="G50" s="3">
        <f>3000</f>
        <v>3000</v>
      </c>
      <c r="H50" s="3">
        <f t="shared" ref="H50:H72" si="4">F50-G50</f>
        <v>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'JUNE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'JUNE 21'!H52:H80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'JUNE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'JUNE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'JUNE 21'!H55:H83</f>
        <v>1500</v>
      </c>
      <c r="E55" s="3">
        <v>5000</v>
      </c>
      <c r="F55" s="3">
        <f t="shared" si="3"/>
        <v>6500</v>
      </c>
      <c r="G55" s="3"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'JUNE 21'!H56:H84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'JUNE 21'!H57:H85</f>
        <v>6800</v>
      </c>
      <c r="E57" s="3">
        <v>8500</v>
      </c>
      <c r="F57" s="3">
        <f t="shared" si="3"/>
        <v>15300</v>
      </c>
      <c r="G57" s="3">
        <f>7500+7800</f>
        <v>15300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'JUNE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'JUNE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'JUNE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'JUNE 21'!H61:H89</f>
        <v>0</v>
      </c>
      <c r="E61" s="3">
        <v>7000</v>
      </c>
      <c r="F61" s="3">
        <f t="shared" si="3"/>
        <v>7000</v>
      </c>
      <c r="G61" s="367">
        <f>3000</f>
        <v>3000</v>
      </c>
      <c r="H61" s="3">
        <f>F61-G61</f>
        <v>4000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'JUNE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'JUNE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'JUNE 21'!H64:H92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</row>
    <row r="65" spans="1:13" x14ac:dyDescent="0.25">
      <c r="A65" s="3" t="s">
        <v>629</v>
      </c>
      <c r="B65" s="3" t="s">
        <v>354</v>
      </c>
      <c r="C65" s="3"/>
      <c r="D65" s="3">
        <f>'JUNE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3" x14ac:dyDescent="0.25">
      <c r="A66" s="3" t="s">
        <v>531</v>
      </c>
      <c r="B66" s="3" t="s">
        <v>355</v>
      </c>
      <c r="C66" s="3"/>
      <c r="D66" s="3">
        <f>'JUNE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3" x14ac:dyDescent="0.25">
      <c r="A67" s="3" t="s">
        <v>516</v>
      </c>
      <c r="B67" s="3" t="s">
        <v>356</v>
      </c>
      <c r="C67" s="3"/>
      <c r="D67" s="3">
        <f>'JUNE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  <c r="K67" s="173"/>
    </row>
    <row r="68" spans="1:13" x14ac:dyDescent="0.25">
      <c r="A68" s="375" t="s">
        <v>664</v>
      </c>
      <c r="B68" s="375" t="s">
        <v>357</v>
      </c>
      <c r="C68" s="148"/>
      <c r="D68" s="3">
        <f>'JUNE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3" x14ac:dyDescent="0.25">
      <c r="A69" s="3" t="s">
        <v>419</v>
      </c>
      <c r="B69" s="3" t="s">
        <v>358</v>
      </c>
      <c r="C69" s="3"/>
      <c r="D69" s="3">
        <f>'JUNE 21'!H69:H97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</row>
    <row r="70" spans="1:13" x14ac:dyDescent="0.25">
      <c r="A70" s="201" t="s">
        <v>698</v>
      </c>
      <c r="B70" s="3" t="s">
        <v>359</v>
      </c>
      <c r="C70" s="3"/>
      <c r="D70" s="3">
        <f>'JUNE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3" x14ac:dyDescent="0.25">
      <c r="A71" s="3" t="s">
        <v>496</v>
      </c>
      <c r="B71" s="3" t="s">
        <v>360</v>
      </c>
      <c r="C71" s="3"/>
      <c r="D71" s="3">
        <f>'JUNE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3" x14ac:dyDescent="0.25">
      <c r="A72" s="375" t="s">
        <v>742</v>
      </c>
      <c r="B72" s="3" t="s">
        <v>361</v>
      </c>
      <c r="C72" s="3"/>
      <c r="D72" s="3">
        <f>'JUNE 21'!H72:H100</f>
        <v>0</v>
      </c>
      <c r="E72" s="3">
        <v>4000</v>
      </c>
      <c r="F72" s="3">
        <f t="shared" si="3"/>
        <v>4000</v>
      </c>
      <c r="G72" s="3">
        <v>4000</v>
      </c>
      <c r="H72" s="3">
        <f t="shared" si="4"/>
        <v>0</v>
      </c>
      <c r="I72" s="3"/>
      <c r="J72" s="3"/>
      <c r="K72" s="173"/>
    </row>
    <row r="73" spans="1:13" x14ac:dyDescent="0.25">
      <c r="A73" s="375" t="s">
        <v>724</v>
      </c>
      <c r="B73" s="3" t="s">
        <v>362</v>
      </c>
      <c r="C73" s="3"/>
      <c r="D73" s="3">
        <f>'JUNE 21'!H73:H101</f>
        <v>500</v>
      </c>
      <c r="E73" s="3">
        <v>7000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3" x14ac:dyDescent="0.25">
      <c r="A74" s="375" t="s">
        <v>440</v>
      </c>
      <c r="B74" s="3" t="s">
        <v>363</v>
      </c>
      <c r="C74" s="3"/>
      <c r="D74" s="3">
        <f>'JUNE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3" x14ac:dyDescent="0.25">
      <c r="A75" s="375" t="s">
        <v>648</v>
      </c>
      <c r="B75" s="3" t="s">
        <v>364</v>
      </c>
      <c r="C75" s="3"/>
      <c r="D75" s="3"/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  <c r="K75" s="173"/>
      <c r="M75">
        <f>600-300</f>
        <v>300</v>
      </c>
    </row>
    <row r="76" spans="1:13" x14ac:dyDescent="0.25">
      <c r="A76" s="3"/>
      <c r="B76" s="3"/>
      <c r="C76" s="3"/>
      <c r="D76" s="3">
        <f>'JUNE 21'!H76:H104</f>
        <v>0</v>
      </c>
      <c r="E76" s="3"/>
      <c r="F76" s="3"/>
      <c r="G76" s="3"/>
      <c r="H76" s="3"/>
      <c r="I76" s="3"/>
      <c r="J76" s="3"/>
      <c r="K76" s="173"/>
      <c r="M76">
        <f>E54</f>
        <v>8000</v>
      </c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18700</v>
      </c>
      <c r="E77" s="343">
        <f>SUM(E48:E76)</f>
        <v>174500</v>
      </c>
      <c r="F77" s="343">
        <f>SUM(F48:F76)</f>
        <v>193200</v>
      </c>
      <c r="G77" s="343">
        <f>SUM(G48:G76)</f>
        <v>177800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3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3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223</v>
      </c>
      <c r="B82" s="350">
        <f>E77</f>
        <v>174500</v>
      </c>
      <c r="C82" s="201"/>
      <c r="D82" s="201"/>
      <c r="E82" s="201" t="s">
        <v>223</v>
      </c>
      <c r="F82" s="350">
        <f>G77</f>
        <v>177800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'JUNE 21'!D95</f>
        <v>-7635.5</v>
      </c>
      <c r="C83" s="201"/>
      <c r="D83" s="201"/>
      <c r="E83" s="201" t="s">
        <v>147</v>
      </c>
      <c r="F83" s="350">
        <f>'JUNE 21'!H95</f>
        <v>-43835.5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7852.5</v>
      </c>
      <c r="D86" s="201"/>
      <c r="E86" s="201" t="s">
        <v>390</v>
      </c>
      <c r="F86" s="359">
        <v>4.4999999999999998E-2</v>
      </c>
      <c r="G86" s="350">
        <f>C86</f>
        <v>7852.5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380"/>
    </row>
    <row r="90" spans="1:11" x14ac:dyDescent="0.25">
      <c r="A90" s="3" t="s">
        <v>737</v>
      </c>
      <c r="B90" s="3"/>
      <c r="C90" s="385">
        <v>159012</v>
      </c>
      <c r="D90" s="3"/>
      <c r="E90" s="3" t="s">
        <v>737</v>
      </c>
      <c r="F90" s="3"/>
      <c r="G90" s="385">
        <v>159012</v>
      </c>
      <c r="H90" s="85"/>
      <c r="I90" s="173"/>
      <c r="J90" s="3"/>
      <c r="K90" s="3"/>
    </row>
    <row r="91" spans="1:11" x14ac:dyDescent="0.25">
      <c r="A91" s="3" t="s">
        <v>675</v>
      </c>
      <c r="B91" s="3"/>
      <c r="C91" s="385">
        <v>8500</v>
      </c>
      <c r="D91" s="3"/>
      <c r="E91" s="3" t="s">
        <v>675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363"/>
    </row>
    <row r="93" spans="1:11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159012</v>
      </c>
      <c r="C95" s="384">
        <f>SUM(C88:C94)</f>
        <v>167512</v>
      </c>
      <c r="D95" s="384">
        <f>B95-C95</f>
        <v>-8500</v>
      </c>
      <c r="E95" s="369"/>
      <c r="F95" s="384">
        <f>F82+F83+F84-G86</f>
        <v>126112</v>
      </c>
      <c r="G95" s="384">
        <f>SUM(G88:G94)</f>
        <v>167512</v>
      </c>
      <c r="H95" s="384">
        <f>F95-G95</f>
        <v>-41400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4" workbookViewId="0">
      <selection activeCell="E73" sqref="E73"/>
    </sheetView>
  </sheetViews>
  <sheetFormatPr defaultRowHeight="15" x14ac:dyDescent="0.25"/>
  <cols>
    <col min="1" max="1" width="22.855468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743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'JULY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'JULY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'JULY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746</v>
      </c>
      <c r="B9" s="390">
        <v>4</v>
      </c>
      <c r="C9" s="391"/>
      <c r="D9" s="276">
        <f>'JULY 21'!I9:I21</f>
        <v>0</v>
      </c>
      <c r="E9" s="278"/>
      <c r="F9" s="278">
        <v>4500</v>
      </c>
      <c r="G9" s="393">
        <f t="shared" si="0"/>
        <v>4500</v>
      </c>
      <c r="H9" s="264">
        <v>4500</v>
      </c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'JULY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'JULY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'JULY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'JULY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'JULY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  <c r="K14" s="173"/>
    </row>
    <row r="15" spans="1:11" x14ac:dyDescent="0.25">
      <c r="A15" s="273" t="s">
        <v>212</v>
      </c>
      <c r="B15" s="274">
        <v>2</v>
      </c>
      <c r="C15" s="265"/>
      <c r="D15" s="276">
        <f>'JULY 21'!I15:I27</f>
        <v>3000</v>
      </c>
      <c r="E15" s="276"/>
      <c r="F15" s="278">
        <v>3000</v>
      </c>
      <c r="G15" s="263">
        <f>F15+D15</f>
        <v>6000</v>
      </c>
      <c r="H15" s="264">
        <f>6000</f>
        <v>6000</v>
      </c>
      <c r="I15" s="263">
        <f t="shared" si="1"/>
        <v>0</v>
      </c>
      <c r="J15" s="17"/>
      <c r="K15" s="173"/>
    </row>
    <row r="16" spans="1:11" x14ac:dyDescent="0.25">
      <c r="A16" s="386" t="s">
        <v>745</v>
      </c>
      <c r="B16" s="274">
        <v>3</v>
      </c>
      <c r="C16" s="265"/>
      <c r="D16" s="276">
        <f>'JULY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142</v>
      </c>
      <c r="K16" s="173"/>
    </row>
    <row r="17" spans="1:11" x14ac:dyDescent="0.25">
      <c r="A17" s="273"/>
      <c r="B17" s="274">
        <v>4</v>
      </c>
      <c r="C17" s="265"/>
      <c r="D17" s="276">
        <f>'JULY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'JULY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10508</v>
      </c>
      <c r="E19" s="281">
        <f t="shared" si="2"/>
        <v>0</v>
      </c>
      <c r="F19" s="281">
        <f t="shared" si="2"/>
        <v>42500</v>
      </c>
      <c r="G19" s="282">
        <f t="shared" si="2"/>
        <v>53008</v>
      </c>
      <c r="H19" s="266">
        <f>SUM(H6:H18)</f>
        <v>45500</v>
      </c>
      <c r="I19" s="366">
        <f t="shared" si="2"/>
        <v>7508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226</v>
      </c>
      <c r="B24" s="350">
        <f>F19</f>
        <v>42500</v>
      </c>
      <c r="C24" s="201"/>
      <c r="D24" s="201"/>
      <c r="E24" s="201" t="s">
        <v>226</v>
      </c>
      <c r="F24" s="350">
        <f>H19</f>
        <v>45500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'JULY 21'!D36</f>
        <v>-3102</v>
      </c>
      <c r="C25" s="201"/>
      <c r="D25" s="201"/>
      <c r="E25" s="201" t="s">
        <v>147</v>
      </c>
      <c r="F25" s="350">
        <f>'JULY 21'!H36</f>
        <v>-13610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2975.0000000000005</v>
      </c>
      <c r="D27" s="201"/>
      <c r="E27" s="201" t="s">
        <v>390</v>
      </c>
      <c r="F27" s="351">
        <v>7.0000000000000007E-2</v>
      </c>
      <c r="G27" s="350">
        <f>C27</f>
        <v>2975.0000000000005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466</v>
      </c>
      <c r="B32" s="201"/>
      <c r="C32" s="201">
        <v>31900</v>
      </c>
      <c r="D32" s="201"/>
      <c r="E32" s="354" t="s">
        <v>466</v>
      </c>
      <c r="F32" s="201"/>
      <c r="G32" s="201">
        <v>31900</v>
      </c>
      <c r="H32" s="201"/>
      <c r="I32" s="292"/>
      <c r="J32" s="17"/>
      <c r="K32" s="173"/>
    </row>
    <row r="33" spans="1:11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</row>
    <row r="34" spans="1:11" x14ac:dyDescent="0.25">
      <c r="A34" s="354" t="s">
        <v>751</v>
      </c>
      <c r="B34" s="201"/>
      <c r="C34" s="201">
        <v>3500</v>
      </c>
      <c r="D34" s="201"/>
      <c r="E34" s="354" t="s">
        <v>751</v>
      </c>
      <c r="F34" s="201"/>
      <c r="G34" s="201">
        <v>3500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36423</v>
      </c>
      <c r="C36" s="364">
        <f>SUM(C29:C35)</f>
        <v>42900</v>
      </c>
      <c r="D36" s="364">
        <f>B36-C36</f>
        <v>-6477</v>
      </c>
      <c r="E36" s="363" t="s">
        <v>62</v>
      </c>
      <c r="F36" s="364">
        <f>F24++F25+F26-G27</f>
        <v>28915</v>
      </c>
      <c r="G36" s="364">
        <f>SUM(G29:G35)</f>
        <v>42900</v>
      </c>
      <c r="H36" s="365">
        <f>F36-G36</f>
        <v>-13985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744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'JULY 21'!H48:H77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749</v>
      </c>
      <c r="B49" s="3" t="s">
        <v>340</v>
      </c>
      <c r="C49" s="3"/>
      <c r="D49" s="3">
        <f>'JULY 21'!H49:H78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'JULY 21'!H50:H79</f>
        <v>400</v>
      </c>
      <c r="E50" s="3">
        <v>3000</v>
      </c>
      <c r="F50" s="3">
        <f t="shared" si="3"/>
        <v>3400</v>
      </c>
      <c r="G50" s="3"/>
      <c r="H50" s="3">
        <f t="shared" ref="H50:H72" si="4">F50-G50</f>
        <v>3400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'JULY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'JULY 21'!H52:H81</f>
        <v>0</v>
      </c>
      <c r="E52" s="3">
        <v>5000</v>
      </c>
      <c r="F52" s="3">
        <f t="shared" si="3"/>
        <v>5000</v>
      </c>
      <c r="G52" s="3">
        <v>3000</v>
      </c>
      <c r="H52" s="3">
        <f t="shared" si="4"/>
        <v>2000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'JULY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'JULY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'JULY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'JULY 21'!H56:H85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'JULY 21'!H57:H86</f>
        <v>0</v>
      </c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'JULY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'JULY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'JULY 21'!H60:H89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'JULY 21'!H61:H90</f>
        <v>4000</v>
      </c>
      <c r="E61" s="3">
        <v>7000</v>
      </c>
      <c r="F61" s="3">
        <f t="shared" si="3"/>
        <v>11000</v>
      </c>
      <c r="G61" s="367">
        <f>5000+6000</f>
        <v>11000</v>
      </c>
      <c r="H61" s="3">
        <f>F61-G61</f>
        <v>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'JULY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'JULY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'JULY 21'!H64:H93</f>
        <v>3500</v>
      </c>
      <c r="E64" s="3">
        <v>8500</v>
      </c>
      <c r="F64" s="3">
        <f t="shared" si="3"/>
        <v>12000</v>
      </c>
      <c r="G64" s="3">
        <f>1500+8500</f>
        <v>10000</v>
      </c>
      <c r="H64" s="3">
        <f t="shared" si="4"/>
        <v>2000</v>
      </c>
      <c r="I64" s="3"/>
      <c r="J64" s="3"/>
      <c r="K64" s="173"/>
    </row>
    <row r="65" spans="1:11" x14ac:dyDescent="0.25">
      <c r="A65" s="3" t="s">
        <v>629</v>
      </c>
      <c r="B65" s="3" t="s">
        <v>354</v>
      </c>
      <c r="C65" s="3"/>
      <c r="D65" s="3">
        <f>'JULY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1" x14ac:dyDescent="0.25">
      <c r="A66" s="3" t="s">
        <v>531</v>
      </c>
      <c r="B66" s="3" t="s">
        <v>355</v>
      </c>
      <c r="C66" s="3"/>
      <c r="D66" s="3">
        <f>'JULY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1" x14ac:dyDescent="0.25">
      <c r="A67" s="3" t="s">
        <v>516</v>
      </c>
      <c r="B67" s="3" t="s">
        <v>356</v>
      </c>
      <c r="C67" s="3"/>
      <c r="D67" s="3">
        <f>'JULY 21'!H67:H96</f>
        <v>2000</v>
      </c>
      <c r="E67" s="3">
        <v>8000</v>
      </c>
      <c r="F67" s="3">
        <f t="shared" si="3"/>
        <v>10000</v>
      </c>
      <c r="G67" s="3">
        <f>5000+2500</f>
        <v>7500</v>
      </c>
      <c r="H67" s="3">
        <f t="shared" si="4"/>
        <v>2500</v>
      </c>
      <c r="I67" s="3"/>
      <c r="J67" s="3"/>
      <c r="K67" s="173"/>
    </row>
    <row r="68" spans="1:11" x14ac:dyDescent="0.25">
      <c r="A68" s="375" t="s">
        <v>664</v>
      </c>
      <c r="B68" s="375" t="s">
        <v>357</v>
      </c>
      <c r="C68" s="148"/>
      <c r="D68" s="3">
        <f>'JULY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1" x14ac:dyDescent="0.25">
      <c r="A69" s="3" t="s">
        <v>419</v>
      </c>
      <c r="B69" s="3" t="s">
        <v>358</v>
      </c>
      <c r="C69" s="3"/>
      <c r="D69" s="3">
        <f>'JULY 21'!H69:H98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</row>
    <row r="70" spans="1:11" x14ac:dyDescent="0.25">
      <c r="A70" s="201" t="s">
        <v>698</v>
      </c>
      <c r="B70" s="3" t="s">
        <v>359</v>
      </c>
      <c r="C70" s="3"/>
      <c r="D70" s="3">
        <f>'JULY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1" x14ac:dyDescent="0.25">
      <c r="A71" s="3" t="s">
        <v>496</v>
      </c>
      <c r="B71" s="3" t="s">
        <v>360</v>
      </c>
      <c r="C71" s="3"/>
      <c r="D71" s="3">
        <f>'JULY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1" x14ac:dyDescent="0.25">
      <c r="A72" s="375" t="s">
        <v>742</v>
      </c>
      <c r="B72" s="3" t="s">
        <v>361</v>
      </c>
      <c r="C72" s="3"/>
      <c r="D72" s="3">
        <f>'JULY 21'!H72:H101</f>
        <v>0</v>
      </c>
      <c r="E72" s="3">
        <v>8000</v>
      </c>
      <c r="F72" s="3">
        <f t="shared" si="3"/>
        <v>8000</v>
      </c>
      <c r="G72" s="3">
        <f>8000</f>
        <v>8000</v>
      </c>
      <c r="H72" s="3">
        <f t="shared" si="4"/>
        <v>0</v>
      </c>
      <c r="I72" s="3"/>
      <c r="J72" s="3"/>
      <c r="K72" s="173"/>
    </row>
    <row r="73" spans="1:11" x14ac:dyDescent="0.25">
      <c r="A73" s="375" t="s">
        <v>724</v>
      </c>
      <c r="B73" s="3" t="s">
        <v>362</v>
      </c>
      <c r="C73" s="3"/>
      <c r="D73" s="3">
        <f>'JULY 21'!H73:H102</f>
        <v>0</v>
      </c>
      <c r="E73" s="3">
        <v>7500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1" x14ac:dyDescent="0.25">
      <c r="A74" s="375" t="s">
        <v>440</v>
      </c>
      <c r="B74" s="3" t="s">
        <v>363</v>
      </c>
      <c r="C74" s="3"/>
      <c r="D74" s="3">
        <f>'JULY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1" x14ac:dyDescent="0.25">
      <c r="A75" s="375" t="s">
        <v>648</v>
      </c>
      <c r="B75" s="3" t="s">
        <v>364</v>
      </c>
      <c r="C75" s="3"/>
      <c r="D75" s="3">
        <f>'JULY 21'!H75:H104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  <c r="K75" s="173"/>
    </row>
    <row r="76" spans="1:11" x14ac:dyDescent="0.25">
      <c r="A76" s="3"/>
      <c r="B76" s="3"/>
      <c r="C76" s="3"/>
      <c r="D76" s="3">
        <f>'JULY 21'!H76:H105</f>
        <v>0</v>
      </c>
      <c r="E76" s="3"/>
      <c r="F76" s="3"/>
      <c r="G76" s="3"/>
      <c r="H76" s="3"/>
      <c r="I76" s="3"/>
      <c r="J76" s="3"/>
      <c r="K76" s="173"/>
    </row>
    <row r="77" spans="1:11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179000</v>
      </c>
      <c r="F77" s="343">
        <f>SUM(F48:F76)</f>
        <v>194400</v>
      </c>
      <c r="G77" s="343">
        <f>SUM(G48:G76)</f>
        <v>179000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1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1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1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226</v>
      </c>
      <c r="B82" s="350">
        <f>E77</f>
        <v>179000</v>
      </c>
      <c r="C82" s="201"/>
      <c r="D82" s="201"/>
      <c r="E82" s="201" t="s">
        <v>226</v>
      </c>
      <c r="F82" s="350">
        <f>G77</f>
        <v>179000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'JULY 21'!D95</f>
        <v>-8500</v>
      </c>
      <c r="C83" s="201"/>
      <c r="D83" s="201"/>
      <c r="E83" s="201" t="s">
        <v>147</v>
      </c>
      <c r="F83" s="350">
        <f>'JULY 21'!H95</f>
        <v>-41400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8055</v>
      </c>
      <c r="D86" s="201"/>
      <c r="E86" s="201" t="s">
        <v>390</v>
      </c>
      <c r="F86" s="359">
        <v>4.4999999999999998E-2</v>
      </c>
      <c r="G86" s="350">
        <f>C86</f>
        <v>8055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 t="s">
        <v>747</v>
      </c>
      <c r="B89" s="369"/>
      <c r="C89" s="85">
        <v>50105</v>
      </c>
      <c r="D89" s="384"/>
      <c r="E89" s="388" t="s">
        <v>747</v>
      </c>
      <c r="F89" s="369"/>
      <c r="G89" s="85">
        <v>50105</v>
      </c>
      <c r="H89" s="85"/>
      <c r="I89" s="173"/>
      <c r="J89" s="379"/>
      <c r="K89" s="380"/>
    </row>
    <row r="90" spans="1:11" x14ac:dyDescent="0.25">
      <c r="A90" s="3" t="s">
        <v>748</v>
      </c>
      <c r="B90" s="3"/>
      <c r="C90" s="385">
        <v>105655</v>
      </c>
      <c r="D90" s="3"/>
      <c r="E90" s="3" t="s">
        <v>748</v>
      </c>
      <c r="F90" s="3"/>
      <c r="G90" s="385">
        <v>105655</v>
      </c>
      <c r="H90" s="85"/>
      <c r="I90" s="173"/>
      <c r="J90" s="3"/>
      <c r="K90" s="3"/>
    </row>
    <row r="91" spans="1:11" x14ac:dyDescent="0.25">
      <c r="A91" s="3" t="s">
        <v>525</v>
      </c>
      <c r="B91" s="3"/>
      <c r="C91" s="385">
        <v>8500</v>
      </c>
      <c r="D91" s="3"/>
      <c r="E91" s="3" t="s">
        <v>525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 t="s">
        <v>754</v>
      </c>
      <c r="B92" s="3"/>
      <c r="C92" s="385">
        <v>10087</v>
      </c>
      <c r="D92" s="3"/>
      <c r="E92" s="3" t="s">
        <v>754</v>
      </c>
      <c r="F92" s="3"/>
      <c r="G92" s="385">
        <v>10087</v>
      </c>
      <c r="H92" s="85"/>
      <c r="I92" s="362"/>
      <c r="J92" s="363"/>
      <c r="K92" s="363"/>
    </row>
    <row r="93" spans="1:11" x14ac:dyDescent="0.25">
      <c r="A93" s="369" t="s">
        <v>755</v>
      </c>
      <c r="B93" s="85"/>
      <c r="C93" s="384">
        <v>10087</v>
      </c>
      <c r="D93" s="85"/>
      <c r="E93" s="369" t="s">
        <v>755</v>
      </c>
      <c r="F93" s="85"/>
      <c r="G93" s="384">
        <v>10087</v>
      </c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162445</v>
      </c>
      <c r="C95" s="384">
        <f>SUM(C88:C94)</f>
        <v>184434</v>
      </c>
      <c r="D95" s="384">
        <f>B95-C95</f>
        <v>-21989</v>
      </c>
      <c r="E95" s="369"/>
      <c r="F95" s="384">
        <f>F82+F83+F84-G86</f>
        <v>129545</v>
      </c>
      <c r="G95" s="384">
        <f>SUM(G88:G94)</f>
        <v>184434</v>
      </c>
      <c r="H95" s="384">
        <f>F95-G95</f>
        <v>-54889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0" workbookViewId="0">
      <selection activeCell="E35" sqref="E35"/>
    </sheetView>
  </sheetViews>
  <sheetFormatPr defaultRowHeight="15" x14ac:dyDescent="0.25"/>
  <cols>
    <col min="1" max="1" width="18.7109375" customWidth="1"/>
    <col min="5" max="5" width="13.8554687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753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243</v>
      </c>
      <c r="B6" s="274">
        <v>1</v>
      </c>
      <c r="C6" s="387"/>
      <c r="D6" s="276">
        <f>'AUGUST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'AUGUST 21'!I7:I19</f>
        <v>0</v>
      </c>
      <c r="E7" s="277"/>
      <c r="F7" s="278">
        <v>6000</v>
      </c>
      <c r="G7" s="263">
        <f t="shared" ref="G7:G18" si="0">F7+D7</f>
        <v>6000</v>
      </c>
      <c r="H7" s="264">
        <v>6000</v>
      </c>
      <c r="I7" s="263">
        <f t="shared" ref="I7:I18" si="1">G7-H7</f>
        <v>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'AUGUST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397">
        <f>'AUGUST 21'!I9:I21</f>
        <v>0</v>
      </c>
      <c r="E9" s="278"/>
      <c r="F9" s="278">
        <v>4500</v>
      </c>
      <c r="G9" s="398">
        <f t="shared" si="0"/>
        <v>4500</v>
      </c>
      <c r="H9" s="264">
        <f>4500</f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'AUGUST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'AUGUST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'AUGUST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'AUGUST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'AUGUST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'AUGUST 21'!I15:I27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'AUGUST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'AUGUST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'AUGUST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48500</v>
      </c>
      <c r="I19" s="366">
        <f t="shared" si="2"/>
        <v>7508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640</v>
      </c>
      <c r="B24" s="350">
        <f>F19</f>
        <v>48500</v>
      </c>
      <c r="C24" s="201"/>
      <c r="D24" s="201"/>
      <c r="E24" s="201" t="s">
        <v>640</v>
      </c>
      <c r="F24" s="350">
        <f>H19</f>
        <v>48500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'AUGUST 21'!D36</f>
        <v>-6477</v>
      </c>
      <c r="C25" s="201"/>
      <c r="D25" s="201"/>
      <c r="E25" s="201" t="s">
        <v>147</v>
      </c>
      <c r="F25" s="350">
        <f>'AUGUST 21'!H36</f>
        <v>-13985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/>
      <c r="B30" s="247"/>
      <c r="C30" s="247"/>
      <c r="D30" s="3"/>
      <c r="E30" s="353"/>
      <c r="F30" s="3"/>
      <c r="G30" s="247"/>
      <c r="H30" s="3"/>
      <c r="I30" s="292"/>
      <c r="J30" s="17"/>
    </row>
    <row r="31" spans="1:10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</row>
    <row r="32" spans="1:10" x14ac:dyDescent="0.25">
      <c r="A32" s="354" t="s">
        <v>474</v>
      </c>
      <c r="B32" s="201"/>
      <c r="C32" s="201">
        <v>34125</v>
      </c>
      <c r="D32" s="201"/>
      <c r="E32" s="354" t="s">
        <v>474</v>
      </c>
      <c r="F32" s="201"/>
      <c r="G32" s="201">
        <v>34125</v>
      </c>
      <c r="H32" s="201"/>
      <c r="I32" s="292"/>
      <c r="J32" s="17"/>
    </row>
    <row r="33" spans="1:10" x14ac:dyDescent="0.25">
      <c r="A33" s="354" t="s">
        <v>661</v>
      </c>
      <c r="B33" s="201"/>
      <c r="C33" s="321">
        <f>F14</f>
        <v>3000</v>
      </c>
      <c r="D33" s="201"/>
      <c r="E33" s="354" t="s">
        <v>661</v>
      </c>
      <c r="F33" s="201"/>
      <c r="G33" s="321">
        <v>3000</v>
      </c>
      <c r="H33" s="201"/>
      <c r="I33" s="292"/>
      <c r="J33" s="17"/>
    </row>
    <row r="34" spans="1:10" x14ac:dyDescent="0.25">
      <c r="A34" s="354" t="s">
        <v>751</v>
      </c>
      <c r="B34" s="201"/>
      <c r="C34" s="321">
        <f>F16</f>
        <v>3500</v>
      </c>
      <c r="D34" s="201"/>
      <c r="E34" s="354" t="s">
        <v>751</v>
      </c>
      <c r="F34" s="201"/>
      <c r="G34" s="321">
        <v>3500</v>
      </c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38628</v>
      </c>
      <c r="C36" s="364">
        <f>SUM(C29:C35)</f>
        <v>45125</v>
      </c>
      <c r="D36" s="364">
        <f>B36-C36</f>
        <v>-6497</v>
      </c>
      <c r="E36" s="363" t="s">
        <v>62</v>
      </c>
      <c r="F36" s="364">
        <f>F24++F25+F26-G27</f>
        <v>31120</v>
      </c>
      <c r="G36" s="364">
        <f>SUM(G29:G35)</f>
        <v>45125</v>
      </c>
      <c r="H36" s="365">
        <f>F36-G36</f>
        <v>-14005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'AUGUST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</row>
    <row r="49" spans="1:10" x14ac:dyDescent="0.25">
      <c r="A49" s="3" t="s">
        <v>749</v>
      </c>
      <c r="B49" s="3" t="s">
        <v>340</v>
      </c>
      <c r="C49" s="3"/>
      <c r="D49" s="3">
        <f>'AUGUST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</row>
    <row r="50" spans="1:10" x14ac:dyDescent="0.25">
      <c r="A50" s="3" t="s">
        <v>433</v>
      </c>
      <c r="B50" s="3" t="s">
        <v>341</v>
      </c>
      <c r="C50" s="3"/>
      <c r="D50" s="3">
        <f>'AUGUST 21'!H50:H78</f>
        <v>3400</v>
      </c>
      <c r="E50" s="3">
        <v>3000</v>
      </c>
      <c r="F50" s="3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0" x14ac:dyDescent="0.25">
      <c r="A51" s="148" t="s">
        <v>142</v>
      </c>
      <c r="B51" s="148" t="s">
        <v>428</v>
      </c>
      <c r="C51" s="3"/>
      <c r="D51" s="3">
        <f>'AUGUST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0" x14ac:dyDescent="0.25">
      <c r="A52" s="375" t="s">
        <v>696</v>
      </c>
      <c r="B52" s="375" t="s">
        <v>604</v>
      </c>
      <c r="C52" s="3"/>
      <c r="D52" s="3">
        <f>'AUGUST 21'!H52:H80</f>
        <v>2000</v>
      </c>
      <c r="E52" s="3">
        <v>5000</v>
      </c>
      <c r="F52" s="3">
        <f t="shared" si="3"/>
        <v>7000</v>
      </c>
      <c r="G52" s="3"/>
      <c r="H52" s="3">
        <f t="shared" si="4"/>
        <v>7000</v>
      </c>
      <c r="I52" s="3"/>
      <c r="J52" s="3"/>
    </row>
    <row r="53" spans="1:10" x14ac:dyDescent="0.25">
      <c r="A53" s="3" t="s">
        <v>480</v>
      </c>
      <c r="B53" s="3" t="s">
        <v>605</v>
      </c>
      <c r="C53" s="3"/>
      <c r="D53" s="3">
        <f>'AUGUST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</row>
    <row r="54" spans="1:10" x14ac:dyDescent="0.25">
      <c r="A54" s="3" t="s">
        <v>566</v>
      </c>
      <c r="B54" s="3" t="s">
        <v>343</v>
      </c>
      <c r="C54" s="3"/>
      <c r="D54" s="3">
        <f>'AUGUST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</row>
    <row r="55" spans="1:10" x14ac:dyDescent="0.25">
      <c r="A55" s="3" t="s">
        <v>567</v>
      </c>
      <c r="B55" s="3" t="s">
        <v>344</v>
      </c>
      <c r="C55" s="3"/>
      <c r="D55" s="3">
        <f>'AUGUST 21'!H55:H83</f>
        <v>1500</v>
      </c>
      <c r="E55" s="3">
        <v>5000</v>
      </c>
      <c r="F55" s="3">
        <f t="shared" si="3"/>
        <v>6500</v>
      </c>
      <c r="G55" s="3">
        <f>4500</f>
        <v>4500</v>
      </c>
      <c r="H55" s="3">
        <f t="shared" si="4"/>
        <v>2000</v>
      </c>
      <c r="I55" s="3"/>
      <c r="J55" s="3"/>
    </row>
    <row r="56" spans="1:10" x14ac:dyDescent="0.25">
      <c r="A56" s="363" t="s">
        <v>739</v>
      </c>
      <c r="B56" s="363" t="s">
        <v>345</v>
      </c>
      <c r="C56" s="361"/>
      <c r="D56" s="3">
        <f>'AUGUST 21'!H56:H84</f>
        <v>0</v>
      </c>
      <c r="E56" s="363">
        <v>8000</v>
      </c>
      <c r="F56" s="3">
        <f t="shared" si="3"/>
        <v>8000</v>
      </c>
      <c r="G56" s="363">
        <f>7000</f>
        <v>7000</v>
      </c>
      <c r="H56" s="3">
        <f>F56-G56</f>
        <v>1000</v>
      </c>
      <c r="I56" s="3"/>
      <c r="J56" s="3"/>
    </row>
    <row r="57" spans="1:10" x14ac:dyDescent="0.25">
      <c r="A57" s="375" t="s">
        <v>668</v>
      </c>
      <c r="B57" s="375" t="s">
        <v>346</v>
      </c>
      <c r="C57" s="3"/>
      <c r="D57" s="3">
        <f>'AUGUST 21'!H57:H85</f>
        <v>0</v>
      </c>
      <c r="E57" s="3">
        <v>8500</v>
      </c>
      <c r="F57" s="3">
        <f t="shared" si="3"/>
        <v>8500</v>
      </c>
      <c r="G57" s="3"/>
      <c r="H57" s="3">
        <f t="shared" si="4"/>
        <v>8500</v>
      </c>
      <c r="I57" s="3"/>
      <c r="J57" s="3"/>
    </row>
    <row r="58" spans="1:10" x14ac:dyDescent="0.25">
      <c r="A58" s="3" t="s">
        <v>568</v>
      </c>
      <c r="B58" s="3" t="s">
        <v>347</v>
      </c>
      <c r="C58" s="3"/>
      <c r="D58" s="3">
        <f>'AUGUST 21'!H58:H86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</row>
    <row r="59" spans="1:10" x14ac:dyDescent="0.25">
      <c r="A59" s="3" t="s">
        <v>67</v>
      </c>
      <c r="B59" s="3" t="s">
        <v>348</v>
      </c>
      <c r="C59" s="3"/>
      <c r="D59" s="3">
        <f>'AUGUST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0" x14ac:dyDescent="0.25">
      <c r="A60" s="375" t="s">
        <v>722</v>
      </c>
      <c r="B60" s="3" t="s">
        <v>349</v>
      </c>
      <c r="C60" s="3"/>
      <c r="D60" s="3">
        <f>'AUGUST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</row>
    <row r="61" spans="1:10" x14ac:dyDescent="0.25">
      <c r="A61" s="399" t="s">
        <v>569</v>
      </c>
      <c r="B61" s="3" t="s">
        <v>350</v>
      </c>
      <c r="C61" s="3"/>
      <c r="D61" s="3">
        <f>'AUGUST 21'!H61:H89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</row>
    <row r="62" spans="1:10" x14ac:dyDescent="0.25">
      <c r="A62" s="201" t="s">
        <v>611</v>
      </c>
      <c r="B62" s="375" t="s">
        <v>351</v>
      </c>
      <c r="C62" s="148"/>
      <c r="D62" s="3">
        <f>'AUGUST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</row>
    <row r="63" spans="1:10" x14ac:dyDescent="0.25">
      <c r="A63" s="375" t="s">
        <v>736</v>
      </c>
      <c r="B63" s="3" t="s">
        <v>352</v>
      </c>
      <c r="C63" s="3"/>
      <c r="D63" s="3">
        <f>'AUGUST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</row>
    <row r="64" spans="1:10" x14ac:dyDescent="0.25">
      <c r="A64" s="375" t="s">
        <v>723</v>
      </c>
      <c r="B64" s="3" t="s">
        <v>353</v>
      </c>
      <c r="C64" s="3"/>
      <c r="D64" s="3">
        <f>'AUGUST 21'!H64:H92</f>
        <v>2000</v>
      </c>
      <c r="E64" s="3">
        <v>8500</v>
      </c>
      <c r="F64" s="3">
        <f t="shared" si="3"/>
        <v>10500</v>
      </c>
      <c r="G64" s="3">
        <f>8500</f>
        <v>8500</v>
      </c>
      <c r="H64" s="3">
        <f t="shared" si="4"/>
        <v>2000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'AUGUST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'AUGUST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'AUGUST 21'!H67:H95</f>
        <v>2500</v>
      </c>
      <c r="E67" s="3">
        <v>8000</v>
      </c>
      <c r="F67" s="3">
        <f t="shared" si="3"/>
        <v>10500</v>
      </c>
      <c r="G67" s="3">
        <f>8500</f>
        <v>8500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'AUGUST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'AUGUST 21'!H69:H97</f>
        <v>0</v>
      </c>
      <c r="E69" s="3">
        <v>5000</v>
      </c>
      <c r="F69" s="3">
        <f t="shared" si="3"/>
        <v>5000</v>
      </c>
      <c r="G69" s="3">
        <f>7000</f>
        <v>7000</v>
      </c>
      <c r="H69" s="3">
        <f t="shared" si="4"/>
        <v>-2000</v>
      </c>
      <c r="I69" s="3"/>
      <c r="J69" s="3"/>
    </row>
    <row r="70" spans="1:10" x14ac:dyDescent="0.25">
      <c r="A70" s="148" t="s">
        <v>698</v>
      </c>
      <c r="B70" s="148" t="s">
        <v>359</v>
      </c>
      <c r="C70" s="3"/>
      <c r="D70" s="3">
        <f>'AUGUST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'AUGUST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</row>
    <row r="72" spans="1:10" x14ac:dyDescent="0.25">
      <c r="A72" s="148"/>
      <c r="B72" s="148" t="s">
        <v>361</v>
      </c>
      <c r="C72" s="3"/>
      <c r="D72" s="3">
        <f>'AUGUST 21'!H72:H100</f>
        <v>0</v>
      </c>
      <c r="E72" s="3"/>
      <c r="F72" s="3">
        <f t="shared" si="3"/>
        <v>0</v>
      </c>
      <c r="G72" s="3"/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'AUGUST 21'!H73:H101</f>
        <v>0</v>
      </c>
      <c r="E73" s="3">
        <v>7500</v>
      </c>
      <c r="F73" s="3">
        <f t="shared" si="3"/>
        <v>7500</v>
      </c>
      <c r="G73" s="3"/>
      <c r="H73" s="3">
        <f>F73-G73</f>
        <v>7500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'AUGUST 21'!H74:H102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</row>
    <row r="75" spans="1:10" x14ac:dyDescent="0.25">
      <c r="A75" s="375" t="s">
        <v>648</v>
      </c>
      <c r="B75" s="3" t="s">
        <v>364</v>
      </c>
      <c r="C75" s="3"/>
      <c r="D75" s="3">
        <f>'AUGUST 21'!H75:H103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'AUGUST 21'!H76:H104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165000</v>
      </c>
      <c r="F77" s="343">
        <f>SUM(F48:F76)</f>
        <v>180400</v>
      </c>
      <c r="G77" s="343">
        <f>SUM(G48:G76)</f>
        <v>142000</v>
      </c>
      <c r="H77" s="343">
        <f t="shared" si="5"/>
        <v>38400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3" x14ac:dyDescent="0.25">
      <c r="A82" s="201" t="s">
        <v>640</v>
      </c>
      <c r="B82" s="350">
        <f>E77</f>
        <v>165000</v>
      </c>
      <c r="C82" s="201"/>
      <c r="D82" s="201"/>
      <c r="E82" s="201" t="s">
        <v>640</v>
      </c>
      <c r="F82" s="350">
        <f>G77</f>
        <v>142000</v>
      </c>
      <c r="G82" s="201"/>
      <c r="H82" s="201"/>
      <c r="I82" s="173"/>
      <c r="J82" s="377"/>
    </row>
    <row r="83" spans="1:13" x14ac:dyDescent="0.25">
      <c r="A83" s="201" t="s">
        <v>147</v>
      </c>
      <c r="B83" s="350">
        <f>'AUGUST 21'!D95</f>
        <v>-21989</v>
      </c>
      <c r="C83" s="201"/>
      <c r="D83" s="201"/>
      <c r="E83" s="201" t="s">
        <v>147</v>
      </c>
      <c r="F83" s="350">
        <f>'AUGUST 21'!H95</f>
        <v>-54889</v>
      </c>
      <c r="G83" s="201"/>
      <c r="H83" s="201"/>
      <c r="I83" s="173"/>
      <c r="J83" s="148"/>
    </row>
    <row r="84" spans="1:13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3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3" x14ac:dyDescent="0.25">
      <c r="A86" s="201" t="s">
        <v>390</v>
      </c>
      <c r="B86" s="358">
        <v>4.4999999999999998E-2</v>
      </c>
      <c r="C86" s="350">
        <f>B86*B82</f>
        <v>7425</v>
      </c>
      <c r="D86" s="201"/>
      <c r="E86" s="201" t="s">
        <v>390</v>
      </c>
      <c r="F86" s="359">
        <v>4.4999999999999998E-2</v>
      </c>
      <c r="G86" s="350">
        <f>C86</f>
        <v>7425</v>
      </c>
      <c r="H86" s="201"/>
      <c r="I86" s="173"/>
      <c r="J86" s="148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</row>
    <row r="89" spans="1:13" x14ac:dyDescent="0.25">
      <c r="A89" s="388" t="s">
        <v>474</v>
      </c>
      <c r="B89" s="369"/>
      <c r="C89" s="85">
        <v>135585</v>
      </c>
      <c r="D89" s="384"/>
      <c r="E89" s="388" t="s">
        <v>474</v>
      </c>
      <c r="F89" s="369"/>
      <c r="G89" s="85">
        <v>135585</v>
      </c>
      <c r="H89" s="85"/>
      <c r="I89" s="173"/>
      <c r="J89" s="379"/>
    </row>
    <row r="90" spans="1:13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M94">
        <f>2000/7</f>
        <v>285.71428571428572</v>
      </c>
    </row>
    <row r="95" spans="1:13" x14ac:dyDescent="0.25">
      <c r="A95" s="369"/>
      <c r="B95" s="384">
        <f>B82+B83+B85+B84-C86</f>
        <v>135586</v>
      </c>
      <c r="C95" s="384">
        <f>SUM(C88:C94)</f>
        <v>135585</v>
      </c>
      <c r="D95" s="384">
        <f>B95-C95</f>
        <v>1</v>
      </c>
      <c r="E95" s="369"/>
      <c r="F95" s="384">
        <f>F82+F83+F84-G86</f>
        <v>79686</v>
      </c>
      <c r="G95" s="384">
        <f>SUM(G88:G94)</f>
        <v>135585</v>
      </c>
      <c r="H95" s="384">
        <f>F95-G95</f>
        <v>-55899</v>
      </c>
      <c r="I95" s="362"/>
      <c r="J95" s="364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</row>
    <row r="97" spans="1:10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</row>
    <row r="98" spans="1:10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</row>
    <row r="99" spans="1:10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</row>
    <row r="100" spans="1:10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31" workbookViewId="0">
      <selection activeCell="E52" sqref="E52"/>
    </sheetView>
  </sheetViews>
  <sheetFormatPr defaultRowHeight="15" x14ac:dyDescent="0.25"/>
  <cols>
    <col min="1" max="1" width="20.140625" customWidth="1"/>
    <col min="6" max="6" width="14.14062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757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'SEPTEMBER 21'!I6:I19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'SEPTEMBER 21'!I7:I20</f>
        <v>0</v>
      </c>
      <c r="E7" s="277"/>
      <c r="F7" s="278">
        <v>6000</v>
      </c>
      <c r="G7" s="263">
        <f t="shared" ref="G7:G18" si="0">F7+D7</f>
        <v>6000</v>
      </c>
      <c r="H7" s="264">
        <v>3000</v>
      </c>
      <c r="I7" s="263">
        <f t="shared" ref="I7:I18" si="1">G7-H7</f>
        <v>3000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'SEPTEMBER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'SEPTEMBER 21'!I9:I22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'SEPTEMBER 21'!I10:I23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'SEPTEMBER 21'!I11:I24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'SEPTEMBER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'SEPTEMBER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'SEPTEMBER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'SEPTEMBER 21'!I15:I28</f>
        <v>0</v>
      </c>
      <c r="E15" s="276"/>
      <c r="F15" s="278">
        <v>3000</v>
      </c>
      <c r="G15" s="263">
        <f>F15+D15</f>
        <v>3000</v>
      </c>
      <c r="H15" s="264">
        <v>3000</v>
      </c>
      <c r="I15" s="263">
        <f t="shared" si="1"/>
        <v>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'SEPTEMBER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'SEPTEMBER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'SEPTEMBER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'SEPTEMBER 21'!I19:I32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45500</v>
      </c>
      <c r="I19" s="366">
        <f t="shared" si="2"/>
        <v>10508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481</v>
      </c>
      <c r="B24" s="350">
        <f>F19</f>
        <v>48500</v>
      </c>
      <c r="C24" s="201"/>
      <c r="D24" s="201"/>
      <c r="E24" s="201" t="s">
        <v>481</v>
      </c>
      <c r="F24" s="350">
        <f>H19</f>
        <v>45500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'SEPTEMBER 21'!D36</f>
        <v>-6497</v>
      </c>
      <c r="C25" s="201"/>
      <c r="D25" s="201"/>
      <c r="E25" s="201" t="s">
        <v>147</v>
      </c>
      <c r="F25" s="350">
        <f>'SEPTEMBER 21'!H36</f>
        <v>-14005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 t="s">
        <v>759</v>
      </c>
      <c r="B31" s="3"/>
      <c r="C31" s="247">
        <v>34100</v>
      </c>
      <c r="D31" s="3"/>
      <c r="E31" s="353" t="s">
        <v>759</v>
      </c>
      <c r="F31" s="3"/>
      <c r="G31" s="247">
        <v>34100</v>
      </c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38608</v>
      </c>
      <c r="C36" s="364">
        <f>SUM(C29:C35)</f>
        <v>45100</v>
      </c>
      <c r="D36" s="364">
        <f>B36-C36</f>
        <v>-6492</v>
      </c>
      <c r="E36" s="363" t="s">
        <v>62</v>
      </c>
      <c r="F36" s="364">
        <f>F24++F25+F26-G27</f>
        <v>28100</v>
      </c>
      <c r="G36" s="364">
        <f>SUM(G29:G35)</f>
        <v>45100</v>
      </c>
      <c r="H36" s="365">
        <f>F36-G36</f>
        <v>-17000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339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'SEPTEMBER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'SEPTEMBER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148">
        <f>'SEPTEMBER 21'!H50:H79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'SEPTEMBER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375" t="s">
        <v>696</v>
      </c>
      <c r="B52" s="375" t="s">
        <v>604</v>
      </c>
      <c r="C52" s="3"/>
      <c r="D52" s="3">
        <f>'SEPTEMBER 21'!H52:H81</f>
        <v>7000</v>
      </c>
      <c r="E52" s="3">
        <v>5000</v>
      </c>
      <c r="F52" s="3">
        <f t="shared" si="3"/>
        <v>12000</v>
      </c>
      <c r="G52" s="3"/>
      <c r="H52" s="3">
        <f t="shared" si="4"/>
        <v>12000</v>
      </c>
      <c r="I52" s="3"/>
      <c r="J52" s="3"/>
      <c r="K52" t="s">
        <v>522</v>
      </c>
    </row>
    <row r="53" spans="1:11" x14ac:dyDescent="0.25">
      <c r="A53" s="3" t="s">
        <v>480</v>
      </c>
      <c r="B53" s="3" t="s">
        <v>605</v>
      </c>
      <c r="C53" s="3"/>
      <c r="D53" s="3">
        <f>'SEPTEMBER 21'!H53:H82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'SEPTEMBER 21'!H54:H83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'SEPTEMBER 21'!H55:H84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'SEPTEMBER 21'!H56:H85</f>
        <v>1000</v>
      </c>
      <c r="E56" s="363">
        <v>8000</v>
      </c>
      <c r="F56" s="3">
        <f t="shared" si="3"/>
        <v>9000</v>
      </c>
      <c r="G56" s="363">
        <v>7000</v>
      </c>
      <c r="H56" s="3">
        <f>F56-G56</f>
        <v>2000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'SEPTEMBER 21'!H57:H86</f>
        <v>8500</v>
      </c>
      <c r="E57" s="3">
        <v>8500</v>
      </c>
      <c r="F57" s="3">
        <f t="shared" si="3"/>
        <v>17000</v>
      </c>
      <c r="G57" s="3">
        <f>14000</f>
        <v>14000</v>
      </c>
      <c r="H57" s="3">
        <f t="shared" si="4"/>
        <v>3000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'SEPTEMBER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'SEPTEMBER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'SEPTEMBER 21'!H60:H89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243</v>
      </c>
      <c r="B61" s="3" t="s">
        <v>350</v>
      </c>
      <c r="C61" s="3"/>
      <c r="D61" s="3">
        <f>'SEPTEMBER 21'!H61:H90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  <c r="K61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'SEPTEMBER 21'!H62:H91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'SEPTEMBER 21'!H63:H92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'SEPTEMBER 21'!H64:H93</f>
        <v>2000</v>
      </c>
      <c r="E64" s="3">
        <v>8500</v>
      </c>
      <c r="F64" s="3">
        <f t="shared" si="3"/>
        <v>10500</v>
      </c>
      <c r="G64" s="3"/>
      <c r="H64" s="3">
        <f t="shared" si="4"/>
        <v>10500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'SEPTEMBER 21'!H65:H94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'SEPTEMBER 21'!H66:H95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'SEPTEMBER 21'!H67:H96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'SEPTEMBER 21'!H68:H97</f>
        <v>4000</v>
      </c>
      <c r="E68" s="3">
        <v>9000</v>
      </c>
      <c r="F68" s="3">
        <f t="shared" si="3"/>
        <v>13000</v>
      </c>
      <c r="G68" s="3">
        <f>7000</f>
        <v>7000</v>
      </c>
      <c r="H68" s="3">
        <f>F68-G68</f>
        <v>6000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'SEPTEMBER 21'!H69:H98</f>
        <v>-2000</v>
      </c>
      <c r="E69" s="3">
        <v>5000</v>
      </c>
      <c r="F69" s="3">
        <f t="shared" si="3"/>
        <v>3000</v>
      </c>
      <c r="G69" s="3">
        <v>3000</v>
      </c>
      <c r="H69" s="3">
        <f t="shared" si="4"/>
        <v>0</v>
      </c>
      <c r="I69" s="3"/>
      <c r="J69" s="3"/>
    </row>
    <row r="70" spans="1:10" x14ac:dyDescent="0.25">
      <c r="A70" s="375" t="s">
        <v>698</v>
      </c>
      <c r="B70" s="375" t="s">
        <v>359</v>
      </c>
      <c r="C70" s="3"/>
      <c r="D70" s="3">
        <f>'SEPTEMBER 21'!H70:H99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'SEPTEMBER 21'!H71:H100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0" x14ac:dyDescent="0.25">
      <c r="A72" s="375" t="s">
        <v>764</v>
      </c>
      <c r="B72" s="375" t="s">
        <v>361</v>
      </c>
      <c r="C72" s="3"/>
      <c r="D72" s="3">
        <f>'SEPTEMBER 21'!H72:H101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'SEPTEMBER 21'!H73:H102</f>
        <v>7500</v>
      </c>
      <c r="E73" s="3">
        <v>8000</v>
      </c>
      <c r="F73" s="3">
        <f t="shared" si="3"/>
        <v>15500</v>
      </c>
      <c r="G73" s="3">
        <f>14000</f>
        <v>14000</v>
      </c>
      <c r="H73" s="3">
        <f>F73-G73</f>
        <v>1500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'SEPTEMBER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0" x14ac:dyDescent="0.25">
      <c r="A75" s="375" t="s">
        <v>648</v>
      </c>
      <c r="B75" s="3" t="s">
        <v>364</v>
      </c>
      <c r="C75" s="3"/>
      <c r="D75" s="3">
        <f>'SEPTEMBER 21'!H75:H104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'SEPTEMBER 21'!H76:H105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38400</v>
      </c>
      <c r="E77" s="343">
        <f>SUM(E48:E76)</f>
        <v>171000</v>
      </c>
      <c r="F77" s="343">
        <f>SUM(F48:F76)</f>
        <v>209400</v>
      </c>
      <c r="G77" s="343">
        <f>SUM(G48:G76)</f>
        <v>164000</v>
      </c>
      <c r="H77" s="343">
        <f t="shared" si="5"/>
        <v>45400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0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0" x14ac:dyDescent="0.25">
      <c r="A82" s="201" t="s">
        <v>481</v>
      </c>
      <c r="B82" s="350">
        <f>E77</f>
        <v>171000</v>
      </c>
      <c r="C82" s="201"/>
      <c r="D82" s="201"/>
      <c r="E82" s="201" t="s">
        <v>481</v>
      </c>
      <c r="F82" s="350">
        <f>G77</f>
        <v>164000</v>
      </c>
      <c r="G82" s="201"/>
      <c r="H82" s="201"/>
      <c r="I82" s="173"/>
      <c r="J82" s="377"/>
    </row>
    <row r="83" spans="1:10" x14ac:dyDescent="0.25">
      <c r="A83" s="201" t="s">
        <v>147</v>
      </c>
      <c r="B83" s="350">
        <f>'SEPTEMBER 21'!D95</f>
        <v>1</v>
      </c>
      <c r="C83" s="201"/>
      <c r="D83" s="201"/>
      <c r="E83" s="201" t="s">
        <v>147</v>
      </c>
      <c r="F83" s="350">
        <f>'SEPTEMBER 21'!H95</f>
        <v>-55899</v>
      </c>
      <c r="G83" s="201"/>
      <c r="H83" s="201"/>
      <c r="I83" s="173"/>
      <c r="J83" s="148"/>
    </row>
    <row r="84" spans="1:10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0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0" x14ac:dyDescent="0.25">
      <c r="A86" s="201" t="s">
        <v>390</v>
      </c>
      <c r="B86" s="358">
        <v>4.4999999999999998E-2</v>
      </c>
      <c r="C86" s="350">
        <f>B86*B82</f>
        <v>7695</v>
      </c>
      <c r="D86" s="201"/>
      <c r="E86" s="201" t="s">
        <v>390</v>
      </c>
      <c r="F86" s="359">
        <v>4.4999999999999998E-2</v>
      </c>
      <c r="G86" s="350">
        <f>C86</f>
        <v>7695</v>
      </c>
      <c r="H86" s="201"/>
      <c r="I86" s="173"/>
      <c r="J86" s="148"/>
    </row>
    <row r="87" spans="1:10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0" x14ac:dyDescent="0.25">
      <c r="A88" s="85" t="s">
        <v>758</v>
      </c>
      <c r="B88" s="85"/>
      <c r="C88" s="384">
        <v>159000</v>
      </c>
      <c r="D88" s="85"/>
      <c r="E88" s="85" t="s">
        <v>758</v>
      </c>
      <c r="F88" s="85"/>
      <c r="G88" s="384">
        <v>159000</v>
      </c>
      <c r="H88" s="85"/>
      <c r="I88" s="173"/>
      <c r="J88" s="378"/>
    </row>
    <row r="89" spans="1:10" x14ac:dyDescent="0.25">
      <c r="A89" s="388" t="s">
        <v>675</v>
      </c>
      <c r="B89" s="369"/>
      <c r="C89" s="85">
        <v>8500</v>
      </c>
      <c r="D89" s="384"/>
      <c r="E89" s="388" t="s">
        <v>675</v>
      </c>
      <c r="F89" s="369"/>
      <c r="G89" s="85">
        <v>8500</v>
      </c>
      <c r="H89" s="85"/>
      <c r="I89" s="173"/>
      <c r="J89" s="379"/>
    </row>
    <row r="90" spans="1:10" x14ac:dyDescent="0.25">
      <c r="A90" s="3" t="s">
        <v>763</v>
      </c>
      <c r="B90" s="3"/>
      <c r="C90" s="385">
        <v>7000</v>
      </c>
      <c r="D90" s="3"/>
      <c r="E90" s="3"/>
      <c r="F90" s="3"/>
      <c r="G90" s="385"/>
      <c r="H90" s="85"/>
      <c r="I90" s="173"/>
      <c r="J90" s="3"/>
    </row>
    <row r="91" spans="1:10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0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0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0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</row>
    <row r="95" spans="1:10" x14ac:dyDescent="0.25">
      <c r="A95" s="369"/>
      <c r="B95" s="384">
        <f>B82+B83+B85+B84-C86</f>
        <v>163306</v>
      </c>
      <c r="C95" s="384">
        <f>SUM(C88:C94)</f>
        <v>174500</v>
      </c>
      <c r="D95" s="384">
        <f>B95-C95</f>
        <v>-11194</v>
      </c>
      <c r="E95" s="369"/>
      <c r="F95" s="384">
        <f>F82+F83+F84-G86</f>
        <v>100406</v>
      </c>
      <c r="G95" s="384">
        <f>SUM(G88:G94)</f>
        <v>167500</v>
      </c>
      <c r="H95" s="384">
        <f>F95-G95</f>
        <v>-67094</v>
      </c>
      <c r="I95" s="362"/>
      <c r="J95" s="364"/>
    </row>
  </sheetData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</vt:lpstr>
      <vt:lpstr>payments</vt:lpstr>
      <vt:lpstr>SEP</vt:lpstr>
      <vt:lpstr>oct</vt:lpstr>
      <vt:lpstr>NOV</vt:lpstr>
      <vt:lpstr>DEC</vt:lpstr>
      <vt:lpstr>JAN15</vt:lpstr>
      <vt:lpstr>FEB 15</vt:lpstr>
      <vt:lpstr>MARCH </vt:lpstr>
      <vt:lpstr>APRIL2015</vt:lpstr>
      <vt:lpstr>MAY 2015</vt:lpstr>
      <vt:lpstr>JUNE 2015 </vt:lpstr>
      <vt:lpstr>JULY 2015</vt:lpstr>
      <vt:lpstr>AUGUST</vt:lpstr>
      <vt:lpstr>SEPTEMBER</vt:lpstr>
      <vt:lpstr>OCT 2015</vt:lpstr>
      <vt:lpstr>NOV 2015</vt:lpstr>
      <vt:lpstr>DEC 2015</vt:lpstr>
      <vt:lpstr>dec 2 instal</vt:lpstr>
      <vt:lpstr>JAN 2016</vt:lpstr>
      <vt:lpstr>FEB 2016</vt:lpstr>
      <vt:lpstr>MARCH 2016</vt:lpstr>
      <vt:lpstr>APRIL 2016</vt:lpstr>
      <vt:lpstr>MAY </vt:lpstr>
      <vt:lpstr>Sheet1</vt:lpstr>
      <vt:lpstr>JULY STATMENT</vt:lpstr>
      <vt:lpstr>AUGUST 201</vt:lpstr>
      <vt:lpstr>SEPT 2016</vt:lpstr>
      <vt:lpstr>OCTO 2016</vt:lpstr>
      <vt:lpstr>NOVEMBER 2016</vt:lpstr>
      <vt:lpstr>DEC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2017</vt:lpstr>
      <vt:lpstr>SEPT</vt:lpstr>
      <vt:lpstr>OCTOMBER</vt:lpstr>
      <vt:lpstr>NOV 17</vt:lpstr>
      <vt:lpstr>DEC STATMENT</vt:lpstr>
      <vt:lpstr>JAN</vt:lpstr>
      <vt:lpstr>FEB18</vt:lpstr>
      <vt:lpstr>MAR 18</vt:lpstr>
      <vt:lpstr>APRL</vt:lpstr>
      <vt:lpstr>MAY18</vt:lpstr>
      <vt:lpstr>JUNE18</vt:lpstr>
      <vt:lpstr>JULY7</vt:lpstr>
      <vt:lpstr>AUGUST </vt:lpstr>
      <vt:lpstr>SEPT </vt:lpstr>
      <vt:lpstr>OCTOBER </vt:lpstr>
      <vt:lpstr>NOVEMBER </vt:lpstr>
      <vt:lpstr>DECEMBER </vt:lpstr>
      <vt:lpstr>JANUARY </vt:lpstr>
      <vt:lpstr>FEBRUARY </vt:lpstr>
      <vt:lpstr>MARCH 19</vt:lpstr>
      <vt:lpstr>APRIL </vt:lpstr>
      <vt:lpstr>MAY1 </vt:lpstr>
      <vt:lpstr>JUNEE</vt:lpstr>
      <vt:lpstr>JULY  </vt:lpstr>
      <vt:lpstr>AUGUST 19</vt:lpstr>
      <vt:lpstr>SEPT 19</vt:lpstr>
      <vt:lpstr>OCTOBER 19</vt:lpstr>
      <vt:lpstr>NOVEMBER19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</cp:lastModifiedBy>
  <cp:lastPrinted>2020-11-06T14:26:05Z</cp:lastPrinted>
  <dcterms:created xsi:type="dcterms:W3CDTF">2013-06-10T16:25:01Z</dcterms:created>
  <dcterms:modified xsi:type="dcterms:W3CDTF">2021-12-08T07:28:11Z</dcterms:modified>
</cp:coreProperties>
</file>