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SSETFLOW-PC\Desktop\FLORENCE\CLIENTS\"/>
    </mc:Choice>
  </mc:AlternateContent>
  <bookViews>
    <workbookView xWindow="480" yWindow="210" windowWidth="18195" windowHeight="11655" firstSheet="20" activeTab="24"/>
  </bookViews>
  <sheets>
    <sheet name="DECEMBER 19" sheetId="1" r:id="rId1"/>
    <sheet name="JANUARY 20" sheetId="2" r:id="rId2"/>
    <sheet name="FEBRUARY 20" sheetId="3" r:id="rId3"/>
    <sheet name="MARCH 20" sheetId="4" r:id="rId4"/>
    <sheet name="APRIL 20" sheetId="5" r:id="rId5"/>
    <sheet name="MAY 20" sheetId="6" r:id="rId6"/>
    <sheet name="JUNE 20" sheetId="7" r:id="rId7"/>
    <sheet name="JULY 20" sheetId="8" r:id="rId8"/>
    <sheet name="AUGUST 20" sheetId="9" r:id="rId9"/>
    <sheet name="SEPTEMBER 20" sheetId="10" r:id="rId10"/>
    <sheet name="OCTOBER 20" sheetId="11" r:id="rId11"/>
    <sheet name="NOVEMBER20" sheetId="12" r:id="rId12"/>
    <sheet name="DECEMBER 20" sheetId="13" r:id="rId13"/>
    <sheet name="JANUARY 21" sheetId="14" r:id="rId14"/>
    <sheet name="FEBRUARY21" sheetId="15" r:id="rId15"/>
    <sheet name="MARCH 21" sheetId="16" r:id="rId16"/>
    <sheet name="APRIL 21" sheetId="17" r:id="rId17"/>
    <sheet name="MAY 21" sheetId="18" r:id="rId18"/>
    <sheet name="JUNE 21" sheetId="19" r:id="rId19"/>
    <sheet name="JULY 21" sheetId="20" r:id="rId20"/>
    <sheet name="AUGUST 21" sheetId="21" r:id="rId21"/>
    <sheet name="SEPT 21" sheetId="22" r:id="rId22"/>
    <sheet name="OCT21" sheetId="23" r:id="rId23"/>
    <sheet name="NOVEMBER 21" sheetId="24" r:id="rId24"/>
    <sheet name="DECEMBER 21" sheetId="25" r:id="rId25"/>
  </sheets>
  <calcPr calcId="162913"/>
</workbook>
</file>

<file path=xl/calcChain.xml><?xml version="1.0" encoding="utf-8"?>
<calcChain xmlns="http://schemas.openxmlformats.org/spreadsheetml/2006/main">
  <c r="N56" i="25" l="1"/>
  <c r="N39" i="25" l="1"/>
  <c r="O18" i="25" l="1"/>
  <c r="I38" i="24" l="1"/>
  <c r="I26" i="23" l="1"/>
  <c r="G40" i="25" l="1"/>
  <c r="I35" i="24"/>
  <c r="I34" i="24"/>
  <c r="I34" i="23"/>
  <c r="I19" i="24"/>
  <c r="I26" i="24"/>
  <c r="L40" i="25" l="1"/>
  <c r="B55" i="25" s="1"/>
  <c r="K40" i="25"/>
  <c r="B52" i="25" s="1"/>
  <c r="B53" i="25"/>
  <c r="F40" i="25"/>
  <c r="B51" i="25" s="1"/>
  <c r="E40" i="25"/>
  <c r="I57" i="25" s="1"/>
  <c r="I63" i="25" s="1"/>
  <c r="I64" i="25" s="1"/>
  <c r="C40" i="25"/>
  <c r="B50" i="25" s="1"/>
  <c r="I40" i="25"/>
  <c r="H47" i="25" s="1"/>
  <c r="B47" i="25" l="1"/>
  <c r="H53" i="25"/>
  <c r="C57" i="25"/>
  <c r="C63" i="25" s="1"/>
  <c r="C64" i="25" s="1"/>
  <c r="I17" i="24" l="1"/>
  <c r="I36" i="24" l="1"/>
  <c r="N22" i="24" l="1"/>
  <c r="O22" i="24" s="1"/>
  <c r="O24" i="24" s="1"/>
  <c r="I17" i="23"/>
  <c r="M13" i="24" l="1"/>
  <c r="M12" i="24"/>
  <c r="M15" i="24"/>
  <c r="L40" i="24" l="1"/>
  <c r="H53" i="24" s="1"/>
  <c r="K40" i="24"/>
  <c r="B52" i="24" s="1"/>
  <c r="G40" i="24"/>
  <c r="B53" i="24" s="1"/>
  <c r="F40" i="24"/>
  <c r="B51" i="24" s="1"/>
  <c r="E40" i="24"/>
  <c r="C57" i="24" s="1"/>
  <c r="C63" i="24" s="1"/>
  <c r="C64" i="24" s="1"/>
  <c r="C40" i="24"/>
  <c r="B50" i="24" s="1"/>
  <c r="I11" i="23"/>
  <c r="I13" i="23"/>
  <c r="I22" i="23"/>
  <c r="I30" i="23"/>
  <c r="I31" i="23"/>
  <c r="I35" i="23"/>
  <c r="I38" i="23"/>
  <c r="I40" i="24" l="1"/>
  <c r="H47" i="24" s="1"/>
  <c r="F43" i="24"/>
  <c r="B55" i="24"/>
  <c r="I57" i="24"/>
  <c r="I63" i="24" s="1"/>
  <c r="I64" i="24" s="1"/>
  <c r="B47" i="24"/>
  <c r="I34" i="22"/>
  <c r="I17" i="22" l="1"/>
  <c r="C59" i="22" l="1"/>
  <c r="I17" i="21"/>
  <c r="I59" i="22"/>
  <c r="H27" i="22" l="1"/>
  <c r="L40" i="23" l="1"/>
  <c r="K40" i="23"/>
  <c r="B52" i="23" s="1"/>
  <c r="G40" i="23"/>
  <c r="B53" i="23" s="1"/>
  <c r="F40" i="23"/>
  <c r="B51" i="23" s="1"/>
  <c r="E40" i="23"/>
  <c r="C57" i="23" s="1"/>
  <c r="C63" i="23" s="1"/>
  <c r="C40" i="23"/>
  <c r="B50" i="23" s="1"/>
  <c r="B55" i="23" l="1"/>
  <c r="H53" i="23"/>
  <c r="B47" i="23"/>
  <c r="I57" i="23"/>
  <c r="I63" i="23" s="1"/>
  <c r="I64" i="23" s="1"/>
  <c r="F43" i="23"/>
  <c r="I37" i="22" l="1"/>
  <c r="I22" i="22" l="1"/>
  <c r="I11" i="22" l="1"/>
  <c r="I32" i="22" l="1"/>
  <c r="I29" i="22" l="1"/>
  <c r="I38" i="22" l="1"/>
  <c r="I36" i="22" l="1"/>
  <c r="I20" i="22" l="1"/>
  <c r="I28" i="22" l="1"/>
  <c r="I30" i="22" l="1"/>
  <c r="I34" i="21"/>
  <c r="I15" i="22"/>
  <c r="N80" i="22" l="1"/>
  <c r="N81" i="22" s="1"/>
  <c r="L40" i="22"/>
  <c r="B55" i="22" s="1"/>
  <c r="K40" i="22"/>
  <c r="B52" i="22" s="1"/>
  <c r="G40" i="22"/>
  <c r="B53" i="22" s="1"/>
  <c r="F40" i="22"/>
  <c r="B51" i="22" s="1"/>
  <c r="E40" i="22"/>
  <c r="C57" i="22" s="1"/>
  <c r="C63" i="22" s="1"/>
  <c r="C40" i="22"/>
  <c r="B50" i="22" s="1"/>
  <c r="J27" i="22"/>
  <c r="D27" i="23" s="1"/>
  <c r="H27" i="23" l="1"/>
  <c r="J27" i="23" s="1"/>
  <c r="D27" i="24" s="1"/>
  <c r="H27" i="24" s="1"/>
  <c r="J27" i="24" s="1"/>
  <c r="D27" i="25" s="1"/>
  <c r="H27" i="25" s="1"/>
  <c r="J27" i="25" s="1"/>
  <c r="F43" i="22"/>
  <c r="I57" i="22"/>
  <c r="I63" i="22" s="1"/>
  <c r="I64" i="22" s="1"/>
  <c r="B47" i="22"/>
  <c r="I31" i="21"/>
  <c r="I19" i="21"/>
  <c r="I26" i="21" l="1"/>
  <c r="I30" i="21" l="1"/>
  <c r="I20" i="21" l="1"/>
  <c r="I22" i="21" l="1"/>
  <c r="I38" i="21" l="1"/>
  <c r="I36" i="21"/>
  <c r="I29" i="21"/>
  <c r="I23" i="21"/>
  <c r="I15" i="21"/>
  <c r="I11" i="21"/>
  <c r="I28" i="21"/>
  <c r="I35" i="21" l="1"/>
  <c r="F50" i="14" l="1"/>
  <c r="F49" i="14"/>
  <c r="F51" i="14" s="1"/>
  <c r="I35" i="20" l="1"/>
  <c r="I27" i="21"/>
  <c r="N29" i="20" l="1"/>
  <c r="I27" i="20"/>
  <c r="M7" i="16"/>
  <c r="L40" i="21" l="1"/>
  <c r="B71" i="21" s="1"/>
  <c r="K40" i="21"/>
  <c r="B68" i="21" s="1"/>
  <c r="G40" i="21"/>
  <c r="B69" i="21" s="1"/>
  <c r="F40" i="21"/>
  <c r="E40" i="21"/>
  <c r="I73" i="21" s="1"/>
  <c r="I79" i="21" s="1"/>
  <c r="I80" i="21" s="1"/>
  <c r="C40" i="21"/>
  <c r="B66" i="21" s="1"/>
  <c r="H21" i="21"/>
  <c r="J21" i="21" s="1"/>
  <c r="D21" i="22" s="1"/>
  <c r="H21" i="22" s="1"/>
  <c r="J21" i="22" s="1"/>
  <c r="D21" i="23" s="1"/>
  <c r="H13" i="21"/>
  <c r="J13" i="21" s="1"/>
  <c r="D13" i="22" s="1"/>
  <c r="H13" i="22" s="1"/>
  <c r="J13" i="22" s="1"/>
  <c r="D13" i="23" s="1"/>
  <c r="H21" i="23" l="1"/>
  <c r="J21" i="23" s="1"/>
  <c r="D21" i="24" s="1"/>
  <c r="H21" i="24" s="1"/>
  <c r="J21" i="24" s="1"/>
  <c r="D21" i="25" s="1"/>
  <c r="H21" i="25" s="1"/>
  <c r="J21" i="25" s="1"/>
  <c r="H13" i="23"/>
  <c r="J13" i="23" s="1"/>
  <c r="D13" i="24" s="1"/>
  <c r="H13" i="24" s="1"/>
  <c r="J13" i="24" s="1"/>
  <c r="D13" i="25" s="1"/>
  <c r="H13" i="25" s="1"/>
  <c r="J13" i="25" s="1"/>
  <c r="B67" i="21"/>
  <c r="F43" i="21"/>
  <c r="C73" i="21"/>
  <c r="C79" i="21" s="1"/>
  <c r="B63" i="21"/>
  <c r="I14" i="20" l="1"/>
  <c r="I38" i="20" l="1"/>
  <c r="I13" i="20"/>
  <c r="P74" i="20"/>
  <c r="I33" i="17" l="1"/>
  <c r="P64" i="20"/>
  <c r="M14" i="20"/>
  <c r="I19" i="20"/>
  <c r="P60" i="20"/>
  <c r="R65" i="20"/>
  <c r="R63" i="20"/>
  <c r="R62" i="20"/>
  <c r="R61" i="20"/>
  <c r="Q66" i="20"/>
  <c r="S72" i="20" l="1"/>
  <c r="R60" i="20"/>
  <c r="Q72" i="20"/>
  <c r="R64" i="20"/>
  <c r="I34" i="20"/>
  <c r="M34" i="20" l="1"/>
  <c r="I31" i="20"/>
  <c r="I26" i="20"/>
  <c r="I74" i="20" l="1"/>
  <c r="I11" i="20" l="1"/>
  <c r="I28" i="20" l="1"/>
  <c r="I22" i="20" l="1"/>
  <c r="I18" i="20" l="1"/>
  <c r="I37" i="20" l="1"/>
  <c r="I32" i="20" l="1"/>
  <c r="I15" i="20" l="1"/>
  <c r="I30" i="19"/>
  <c r="I21" i="20"/>
  <c r="O40" i="15" l="1"/>
  <c r="N41" i="15"/>
  <c r="P40" i="20" l="1"/>
  <c r="I28" i="19" l="1"/>
  <c r="I29" i="19"/>
  <c r="I14" i="18"/>
  <c r="I34" i="19"/>
  <c r="I19" i="19"/>
  <c r="I11" i="19"/>
  <c r="R70" i="18" l="1"/>
  <c r="I14" i="19"/>
  <c r="I35" i="19" l="1"/>
  <c r="I35" i="18"/>
  <c r="I35" i="17"/>
  <c r="I35" i="16"/>
  <c r="I35" i="14"/>
  <c r="N37" i="18"/>
  <c r="M35" i="15"/>
  <c r="P40" i="13"/>
  <c r="N37" i="13"/>
  <c r="I19" i="18" l="1"/>
  <c r="L40" i="20" l="1"/>
  <c r="B71" i="20" s="1"/>
  <c r="K40" i="20"/>
  <c r="B68" i="20" s="1"/>
  <c r="G40" i="20"/>
  <c r="B69" i="20" s="1"/>
  <c r="F40" i="20"/>
  <c r="B67" i="20" s="1"/>
  <c r="E40" i="20"/>
  <c r="C73" i="20" s="1"/>
  <c r="C79" i="20" s="1"/>
  <c r="C40" i="20"/>
  <c r="B66" i="20" s="1"/>
  <c r="B63" i="20" l="1"/>
  <c r="I73" i="20"/>
  <c r="I79" i="20" s="1"/>
  <c r="I80" i="20" s="1"/>
  <c r="Q67" i="18" l="1"/>
  <c r="Q66" i="18"/>
  <c r="I13" i="19"/>
  <c r="I26" i="19" l="1"/>
  <c r="I20" i="19" l="1"/>
  <c r="I31" i="19" l="1"/>
  <c r="I15" i="19"/>
  <c r="I36" i="19" l="1"/>
  <c r="I38" i="19" l="1"/>
  <c r="I32" i="19" l="1"/>
  <c r="H49" i="18" l="1"/>
  <c r="I37" i="19"/>
  <c r="I27" i="19"/>
  <c r="I33" i="19"/>
  <c r="I34" i="18" l="1"/>
  <c r="I38" i="18" l="1"/>
  <c r="I10" i="18" l="1"/>
  <c r="R72" i="18" l="1"/>
  <c r="R71" i="18"/>
  <c r="P66" i="18"/>
  <c r="Q73" i="18" l="1"/>
  <c r="R69" i="18"/>
  <c r="R66" i="18" l="1"/>
  <c r="L40" i="19"/>
  <c r="B70" i="19" s="1"/>
  <c r="K40" i="19"/>
  <c r="B67" i="19" s="1"/>
  <c r="G40" i="19"/>
  <c r="B68" i="19" s="1"/>
  <c r="F40" i="19"/>
  <c r="B66" i="19" s="1"/>
  <c r="E40" i="19"/>
  <c r="C72" i="19" s="1"/>
  <c r="C78" i="19" s="1"/>
  <c r="C40" i="19"/>
  <c r="B65" i="19" s="1"/>
  <c r="B63" i="19" l="1"/>
  <c r="I72" i="19"/>
  <c r="I78" i="19" s="1"/>
  <c r="I79" i="19" s="1"/>
  <c r="I12" i="18" l="1"/>
  <c r="I27" i="18" l="1"/>
  <c r="I26" i="18" l="1"/>
  <c r="I30" i="18" l="1"/>
  <c r="I15" i="18"/>
  <c r="I36" i="18" l="1"/>
  <c r="I31" i="18" l="1"/>
  <c r="I11" i="18" l="1"/>
  <c r="I29" i="18" l="1"/>
  <c r="I20" i="18" l="1"/>
  <c r="I13" i="18" l="1"/>
  <c r="I22" i="18" l="1"/>
  <c r="I21" i="18" l="1"/>
  <c r="I33" i="18" l="1"/>
  <c r="I7" i="18" l="1"/>
  <c r="I23" i="18" l="1"/>
  <c r="I34" i="17" l="1"/>
  <c r="R72" i="17"/>
  <c r="R69" i="17"/>
  <c r="R70" i="17"/>
  <c r="Q73" i="17"/>
  <c r="O78" i="17"/>
  <c r="O77" i="17"/>
  <c r="P68" i="17"/>
  <c r="R68" i="17" s="1"/>
  <c r="O79" i="17" l="1"/>
  <c r="I32" i="18"/>
  <c r="P67" i="17" l="1"/>
  <c r="R67" i="17" s="1"/>
  <c r="H6" i="16" l="1"/>
  <c r="I35" i="13" l="1"/>
  <c r="M41" i="13" s="1"/>
  <c r="M42" i="13" s="1"/>
  <c r="I6" i="17" l="1"/>
  <c r="I11" i="17"/>
  <c r="I12" i="17"/>
  <c r="I13" i="17"/>
  <c r="I16" i="17"/>
  <c r="I18" i="17"/>
  <c r="I19" i="17"/>
  <c r="I20" i="17"/>
  <c r="I21" i="17"/>
  <c r="I25" i="17"/>
  <c r="I26" i="17"/>
  <c r="I28" i="17"/>
  <c r="I29" i="17"/>
  <c r="I30" i="17"/>
  <c r="I31" i="17"/>
  <c r="I38" i="17"/>
  <c r="L40" i="18"/>
  <c r="B70" i="18" s="1"/>
  <c r="K40" i="18"/>
  <c r="B67" i="18" s="1"/>
  <c r="G40" i="18"/>
  <c r="B68" i="18" s="1"/>
  <c r="F40" i="18"/>
  <c r="B66" i="18" s="1"/>
  <c r="E40" i="18"/>
  <c r="C40" i="18"/>
  <c r="B65" i="18" s="1"/>
  <c r="H33" i="18"/>
  <c r="J33" i="18" s="1"/>
  <c r="D33" i="19" s="1"/>
  <c r="H33" i="19" s="1"/>
  <c r="J33" i="19" s="1"/>
  <c r="D33" i="20" s="1"/>
  <c r="H33" i="20" s="1"/>
  <c r="J33" i="20" s="1"/>
  <c r="D33" i="21" s="1"/>
  <c r="H33" i="21" s="1"/>
  <c r="J33" i="21" s="1"/>
  <c r="D33" i="22" s="1"/>
  <c r="H33" i="22" s="1"/>
  <c r="J33" i="22" s="1"/>
  <c r="D33" i="23" s="1"/>
  <c r="H25" i="18"/>
  <c r="J25" i="18" s="1"/>
  <c r="D25" i="19" s="1"/>
  <c r="H25" i="19" s="1"/>
  <c r="J25" i="19" s="1"/>
  <c r="D25" i="20" s="1"/>
  <c r="H25" i="20" s="1"/>
  <c r="J25" i="20" s="1"/>
  <c r="D25" i="21" s="1"/>
  <c r="H25" i="21" s="1"/>
  <c r="J25" i="21" s="1"/>
  <c r="D25" i="22" s="1"/>
  <c r="H25" i="22" s="1"/>
  <c r="J25" i="22" s="1"/>
  <c r="D25" i="23" s="1"/>
  <c r="H9" i="18"/>
  <c r="J9" i="18" s="1"/>
  <c r="D9" i="19" s="1"/>
  <c r="H9" i="19" s="1"/>
  <c r="J9" i="19" s="1"/>
  <c r="D9" i="20" s="1"/>
  <c r="H9" i="20" s="1"/>
  <c r="J9" i="20" s="1"/>
  <c r="D9" i="21" s="1"/>
  <c r="H9" i="21" s="1"/>
  <c r="J9" i="21" s="1"/>
  <c r="D9" i="22" s="1"/>
  <c r="H9" i="22" s="1"/>
  <c r="J9" i="22" s="1"/>
  <c r="D9" i="23" s="1"/>
  <c r="H25" i="23" l="1"/>
  <c r="J25" i="23" s="1"/>
  <c r="D25" i="24" s="1"/>
  <c r="H25" i="24" s="1"/>
  <c r="J25" i="24" s="1"/>
  <c r="D25" i="25" s="1"/>
  <c r="H25" i="25" s="1"/>
  <c r="J25" i="25" s="1"/>
  <c r="H9" i="23"/>
  <c r="J9" i="23" s="1"/>
  <c r="D9" i="24" s="1"/>
  <c r="H9" i="24" s="1"/>
  <c r="J9" i="24" s="1"/>
  <c r="D9" i="25" s="1"/>
  <c r="H9" i="25" s="1"/>
  <c r="J9" i="25" s="1"/>
  <c r="H33" i="23"/>
  <c r="J33" i="23" s="1"/>
  <c r="D33" i="24" s="1"/>
  <c r="H33" i="24" s="1"/>
  <c r="J33" i="24" s="1"/>
  <c r="D33" i="25" s="1"/>
  <c r="H33" i="25" s="1"/>
  <c r="C72" i="18"/>
  <c r="C78" i="18" s="1"/>
  <c r="B63" i="18"/>
  <c r="B78" i="18" s="1"/>
  <c r="I72" i="18"/>
  <c r="I78" i="18" s="1"/>
  <c r="I79" i="18" s="1"/>
  <c r="J33" i="25" l="1"/>
  <c r="N40" i="25"/>
  <c r="D78" i="18"/>
  <c r="B64" i="19" s="1"/>
  <c r="B78" i="19" s="1"/>
  <c r="D78" i="19" s="1"/>
  <c r="B65" i="20" s="1"/>
  <c r="B79" i="20" s="1"/>
  <c r="D79" i="20" s="1"/>
  <c r="B65" i="21" s="1"/>
  <c r="B79" i="21" s="1"/>
  <c r="D79" i="21" s="1"/>
  <c r="B49" i="22" s="1"/>
  <c r="B63" i="22" s="1"/>
  <c r="D63" i="22" s="1"/>
  <c r="B49" i="23" s="1"/>
  <c r="B63" i="23" s="1"/>
  <c r="D63" i="23" s="1"/>
  <c r="B49" i="24" s="1"/>
  <c r="B63" i="24" s="1"/>
  <c r="D63" i="24" s="1"/>
  <c r="B49" i="25" s="1"/>
  <c r="B63" i="25" s="1"/>
  <c r="D63" i="25" s="1"/>
  <c r="I38" i="16"/>
  <c r="N13" i="16" l="1"/>
  <c r="R74" i="16" l="1"/>
  <c r="C74" i="16" l="1"/>
  <c r="I74" i="16" s="1"/>
  <c r="S80" i="16" l="1"/>
  <c r="I26" i="16" l="1"/>
  <c r="L40" i="17" l="1"/>
  <c r="B70" i="17" s="1"/>
  <c r="K40" i="17"/>
  <c r="B67" i="17" s="1"/>
  <c r="G40" i="17"/>
  <c r="B68" i="17" s="1"/>
  <c r="F40" i="17"/>
  <c r="B66" i="17" s="1"/>
  <c r="E40" i="17"/>
  <c r="I73" i="17" s="1"/>
  <c r="I79" i="17" s="1"/>
  <c r="I80" i="17" s="1"/>
  <c r="C40" i="17"/>
  <c r="B65" i="17" s="1"/>
  <c r="C73" i="17" l="1"/>
  <c r="C79" i="17" s="1"/>
  <c r="B63" i="17"/>
  <c r="Q79" i="16"/>
  <c r="Q78" i="16"/>
  <c r="Q82" i="16" l="1"/>
  <c r="I32" i="16"/>
  <c r="I33" i="16"/>
  <c r="I30" i="16" l="1"/>
  <c r="P70" i="16" l="1"/>
  <c r="S70" i="16" s="1"/>
  <c r="S81" i="16" s="1"/>
  <c r="P69" i="16"/>
  <c r="S79" i="16" s="1"/>
  <c r="P68" i="16"/>
  <c r="O66" i="16"/>
  <c r="R72" i="15"/>
  <c r="I10" i="16"/>
  <c r="P74" i="16" l="1"/>
  <c r="Q75" i="16" s="1"/>
  <c r="S82" i="16" s="1"/>
  <c r="R83" i="16" s="1"/>
  <c r="S78" i="16"/>
  <c r="I6" i="16"/>
  <c r="N7" i="16" s="1"/>
  <c r="N8" i="17" s="1"/>
  <c r="O8" i="17" s="1"/>
  <c r="M26" i="18" s="1"/>
  <c r="N26" i="18" s="1"/>
  <c r="N27" i="19" s="1"/>
  <c r="O27" i="19" s="1"/>
  <c r="M27" i="20" s="1"/>
  <c r="M28" i="20" l="1"/>
  <c r="N27" i="20"/>
  <c r="N28" i="20" s="1"/>
  <c r="N30" i="20" s="1"/>
  <c r="I34" i="16"/>
  <c r="I20" i="16" l="1"/>
  <c r="I16" i="16" l="1"/>
  <c r="I13" i="16" l="1"/>
  <c r="I7" i="16" l="1"/>
  <c r="I15" i="16" l="1"/>
  <c r="I11" i="16"/>
  <c r="I25" i="16" l="1"/>
  <c r="I28" i="16" l="1"/>
  <c r="P42" i="16" l="1"/>
  <c r="O65" i="16" l="1"/>
  <c r="L40" i="16"/>
  <c r="B70" i="16" s="1"/>
  <c r="K40" i="16"/>
  <c r="B67" i="16" s="1"/>
  <c r="G40" i="16"/>
  <c r="B68" i="16" s="1"/>
  <c r="F40" i="16"/>
  <c r="B66" i="16" s="1"/>
  <c r="E40" i="16"/>
  <c r="C72" i="16" s="1"/>
  <c r="C78" i="16" s="1"/>
  <c r="C40" i="16"/>
  <c r="B65" i="16" s="1"/>
  <c r="H27" i="16"/>
  <c r="J27" i="16" s="1"/>
  <c r="D27" i="17" s="1"/>
  <c r="H27" i="17" s="1"/>
  <c r="J27" i="17" s="1"/>
  <c r="H13" i="16"/>
  <c r="J13" i="16" s="1"/>
  <c r="D13" i="17" s="1"/>
  <c r="H13" i="17" s="1"/>
  <c r="J13" i="17" s="1"/>
  <c r="D13" i="18" l="1"/>
  <c r="H13" i="18" s="1"/>
  <c r="J13" i="18" s="1"/>
  <c r="D13" i="19" s="1"/>
  <c r="H13" i="19" s="1"/>
  <c r="J13" i="19" s="1"/>
  <c r="D13" i="20" s="1"/>
  <c r="H13" i="20" s="1"/>
  <c r="M16" i="17"/>
  <c r="J6" i="16"/>
  <c r="D6" i="17" s="1"/>
  <c r="H6" i="17" s="1"/>
  <c r="J6" i="17" s="1"/>
  <c r="D27" i="18" s="1"/>
  <c r="H27" i="18" s="1"/>
  <c r="J27" i="18" s="1"/>
  <c r="D27" i="19" s="1"/>
  <c r="H27" i="19" s="1"/>
  <c r="J27" i="19" s="1"/>
  <c r="D27" i="20" s="1"/>
  <c r="H27" i="20" s="1"/>
  <c r="J27" i="20" s="1"/>
  <c r="D27" i="21" s="1"/>
  <c r="H27" i="21" s="1"/>
  <c r="J27" i="21" s="1"/>
  <c r="I72" i="16"/>
  <c r="I78" i="16" s="1"/>
  <c r="I79" i="16" s="1"/>
  <c r="B63" i="16"/>
  <c r="R59" i="15"/>
  <c r="J13" i="20" l="1"/>
  <c r="P59" i="20"/>
  <c r="R59" i="20" s="1"/>
  <c r="I21" i="15"/>
  <c r="I26" i="15"/>
  <c r="I19" i="15" l="1"/>
  <c r="I17" i="15" l="1"/>
  <c r="I38" i="15"/>
  <c r="O65" i="15"/>
  <c r="W55" i="15"/>
  <c r="I28" i="13"/>
  <c r="I21" i="14"/>
  <c r="I24" i="12"/>
  <c r="I21" i="12" l="1"/>
  <c r="I20" i="15" l="1"/>
  <c r="I11" i="15" l="1"/>
  <c r="I13" i="15" l="1"/>
  <c r="I16" i="15" l="1"/>
  <c r="L60" i="14" l="1"/>
  <c r="L61" i="14" s="1"/>
  <c r="F30" i="15"/>
  <c r="F31" i="15"/>
  <c r="F33" i="15"/>
  <c r="H29" i="15"/>
  <c r="G30" i="15"/>
  <c r="E30" i="15"/>
  <c r="I29" i="14" l="1"/>
  <c r="I23" i="15" l="1"/>
  <c r="I36" i="15" l="1"/>
  <c r="I7" i="15"/>
  <c r="I31" i="15" l="1"/>
  <c r="I15" i="15"/>
  <c r="I14" i="11" l="1"/>
  <c r="N37" i="14" l="1"/>
  <c r="K46" i="14"/>
  <c r="K47" i="14" s="1"/>
  <c r="K48" i="14" s="1"/>
  <c r="M38" i="14"/>
  <c r="M44" i="14" s="1"/>
  <c r="M45" i="14"/>
  <c r="I32" i="15" l="1"/>
  <c r="I35" i="10" l="1"/>
  <c r="P85" i="14" l="1"/>
  <c r="N8" i="14"/>
  <c r="L40" i="15" l="1"/>
  <c r="B70" i="15" s="1"/>
  <c r="K40" i="15"/>
  <c r="B67" i="15" s="1"/>
  <c r="G40" i="15"/>
  <c r="B68" i="15" s="1"/>
  <c r="F40" i="15"/>
  <c r="B66" i="15" s="1"/>
  <c r="C40" i="15"/>
  <c r="B65" i="15" s="1"/>
  <c r="E40" i="15"/>
  <c r="C72" i="15" l="1"/>
  <c r="C78" i="15" s="1"/>
  <c r="I72" i="15"/>
  <c r="I78" i="15" s="1"/>
  <c r="I79" i="15" s="1"/>
  <c r="B63" i="15"/>
  <c r="M49" i="14" l="1"/>
  <c r="K49" i="14" s="1"/>
  <c r="O38" i="14"/>
  <c r="O40" i="14"/>
  <c r="Q36" i="14"/>
  <c r="N40" i="14"/>
  <c r="F87" i="14"/>
  <c r="N24" i="14"/>
  <c r="N38" i="14"/>
  <c r="N39" i="14" s="1"/>
  <c r="P19" i="14"/>
  <c r="P10" i="14" s="1"/>
  <c r="P20" i="14" l="1"/>
  <c r="N25" i="14"/>
  <c r="E21" i="14"/>
  <c r="O30" i="14"/>
  <c r="O33" i="14" l="1"/>
  <c r="O34" i="14" s="1"/>
  <c r="O35" i="14" s="1"/>
  <c r="I32" i="14"/>
  <c r="S59" i="14" l="1"/>
  <c r="M38" i="11" l="1"/>
  <c r="N39" i="10"/>
  <c r="I24" i="14" l="1"/>
  <c r="I20" i="14" l="1"/>
  <c r="I19" i="14" l="1"/>
  <c r="I22" i="14" l="1"/>
  <c r="I13" i="14" l="1"/>
  <c r="I7" i="14" l="1"/>
  <c r="I11" i="14" l="1"/>
  <c r="I30" i="14" l="1"/>
  <c r="I18" i="14" l="1"/>
  <c r="I10" i="13" l="1"/>
  <c r="I34" i="13" l="1"/>
  <c r="T56" i="14" l="1"/>
  <c r="T47" i="14"/>
  <c r="L40" i="14"/>
  <c r="B70" i="14" s="1"/>
  <c r="K40" i="14"/>
  <c r="B67" i="14" s="1"/>
  <c r="G40" i="14"/>
  <c r="B68" i="14" s="1"/>
  <c r="F40" i="14"/>
  <c r="B66" i="14" s="1"/>
  <c r="E40" i="14"/>
  <c r="C72" i="14" s="1"/>
  <c r="C40" i="14"/>
  <c r="B65" i="14" s="1"/>
  <c r="S61" i="14" l="1"/>
  <c r="B63" i="14"/>
  <c r="I72" i="14"/>
  <c r="I78" i="14" s="1"/>
  <c r="I79" i="14" s="1"/>
  <c r="F57" i="13"/>
  <c r="F52" i="13"/>
  <c r="F51" i="13"/>
  <c r="F45" i="13"/>
  <c r="F48" i="13"/>
  <c r="H14" i="12"/>
  <c r="H17" i="12"/>
  <c r="N35" i="10"/>
  <c r="I6" i="10"/>
  <c r="H9" i="10"/>
  <c r="N7" i="5"/>
  <c r="J6" i="3"/>
  <c r="I11" i="13"/>
  <c r="I31" i="12" l="1"/>
  <c r="I13" i="13" l="1"/>
  <c r="F49" i="13" l="1"/>
  <c r="F47" i="13"/>
  <c r="G53" i="13"/>
  <c r="G54" i="13"/>
  <c r="G56" i="13"/>
  <c r="I7" i="13" l="1"/>
  <c r="I17" i="13"/>
  <c r="I23" i="13"/>
  <c r="I30" i="13"/>
  <c r="I20" i="13" l="1"/>
  <c r="I34" i="12" l="1"/>
  <c r="I35" i="12"/>
  <c r="G52" i="12" l="1"/>
  <c r="I32" i="13" l="1"/>
  <c r="I15" i="13" l="1"/>
  <c r="T57" i="13" l="1"/>
  <c r="G44" i="13"/>
  <c r="F58" i="13"/>
  <c r="L40" i="13"/>
  <c r="B70" i="13" s="1"/>
  <c r="K40" i="13"/>
  <c r="B67" i="13" s="1"/>
  <c r="G40" i="13"/>
  <c r="B68" i="13" s="1"/>
  <c r="F40" i="13"/>
  <c r="B66" i="13" s="1"/>
  <c r="E40" i="13"/>
  <c r="C40" i="13"/>
  <c r="B65" i="13" s="1"/>
  <c r="I72" i="13" l="1"/>
  <c r="C72" i="13"/>
  <c r="C77" i="13" s="1"/>
  <c r="B63" i="13"/>
  <c r="I77" i="13" l="1"/>
  <c r="I78" i="13" s="1"/>
  <c r="I7" i="12"/>
  <c r="I34" i="11" l="1"/>
  <c r="G46" i="12" l="1"/>
  <c r="I19" i="12" l="1"/>
  <c r="I54" i="12" l="1"/>
  <c r="I17" i="12" l="1"/>
  <c r="I20" i="12"/>
  <c r="I23" i="12"/>
  <c r="I26" i="12"/>
  <c r="I29" i="12"/>
  <c r="I33" i="12"/>
  <c r="I38" i="12"/>
  <c r="G45" i="12"/>
  <c r="G49" i="12"/>
  <c r="G43" i="12"/>
  <c r="E45" i="12"/>
  <c r="H45" i="12" l="1"/>
  <c r="I36" i="11"/>
  <c r="I37" i="11"/>
  <c r="I29" i="11"/>
  <c r="I33" i="11"/>
  <c r="G47" i="11"/>
  <c r="G46" i="11"/>
  <c r="G45" i="11"/>
  <c r="I21" i="11"/>
  <c r="I25" i="11"/>
  <c r="I6" i="12" l="1"/>
  <c r="I13" i="12"/>
  <c r="I11" i="12" l="1"/>
  <c r="I68" i="12"/>
  <c r="I32" i="12" l="1"/>
  <c r="I15" i="11" l="1"/>
  <c r="I15" i="12"/>
  <c r="I24" i="11"/>
  <c r="E40" i="12" l="1"/>
  <c r="B58" i="12" s="1"/>
  <c r="I31" i="11" l="1"/>
  <c r="I23" i="11"/>
  <c r="I18" i="11"/>
  <c r="I12" i="11" l="1"/>
  <c r="I19" i="11" l="1"/>
  <c r="N75" i="10" l="1"/>
  <c r="I7" i="11" l="1"/>
  <c r="G54" i="12" l="1"/>
  <c r="D42" i="12"/>
  <c r="D41" i="12"/>
  <c r="L40" i="12"/>
  <c r="B65" i="12" s="1"/>
  <c r="K40" i="12"/>
  <c r="B62" i="12" s="1"/>
  <c r="G40" i="12"/>
  <c r="B63" i="12" s="1"/>
  <c r="F40" i="12"/>
  <c r="B61" i="12" s="1"/>
  <c r="I67" i="12"/>
  <c r="I72" i="12" s="1"/>
  <c r="I73" i="12" s="1"/>
  <c r="C40" i="12"/>
  <c r="B60" i="12" s="1"/>
  <c r="J17" i="12" l="1"/>
  <c r="E46" i="12"/>
  <c r="H46" i="12" s="1"/>
  <c r="C67" i="12"/>
  <c r="C72" i="12" s="1"/>
  <c r="J14" i="12"/>
  <c r="D14" i="13" l="1"/>
  <c r="D17" i="13"/>
  <c r="H17" i="13" s="1"/>
  <c r="D45" i="13" s="1"/>
  <c r="G45" i="13" s="1"/>
  <c r="H14" i="13"/>
  <c r="D55" i="13" s="1"/>
  <c r="G55" i="13" s="1"/>
  <c r="J17" i="13"/>
  <c r="D17" i="14" s="1"/>
  <c r="H17" i="14" s="1"/>
  <c r="I20" i="11"/>
  <c r="T48" i="14" l="1"/>
  <c r="J17" i="14"/>
  <c r="D17" i="15" s="1"/>
  <c r="H17" i="15" s="1"/>
  <c r="J17" i="15" s="1"/>
  <c r="D17" i="16" s="1"/>
  <c r="H17" i="16" s="1"/>
  <c r="J17" i="16" s="1"/>
  <c r="D17" i="17" s="1"/>
  <c r="H17" i="17" s="1"/>
  <c r="J17" i="17" s="1"/>
  <c r="D17" i="18" s="1"/>
  <c r="H17" i="18" s="1"/>
  <c r="J14" i="13"/>
  <c r="D14" i="14" s="1"/>
  <c r="H14" i="14" s="1"/>
  <c r="H43" i="11"/>
  <c r="I26" i="11"/>
  <c r="E44" i="11"/>
  <c r="H44" i="11" s="1"/>
  <c r="J17" i="18" l="1"/>
  <c r="D17" i="19" s="1"/>
  <c r="H17" i="19" s="1"/>
  <c r="J17" i="19" s="1"/>
  <c r="D17" i="20" s="1"/>
  <c r="H17" i="20" s="1"/>
  <c r="J17" i="20" s="1"/>
  <c r="D17" i="21" s="1"/>
  <c r="H17" i="21" s="1"/>
  <c r="J17" i="21" s="1"/>
  <c r="D17" i="22" s="1"/>
  <c r="H17" i="22" s="1"/>
  <c r="J17" i="22" s="1"/>
  <c r="D17" i="23" s="1"/>
  <c r="P68" i="18"/>
  <c r="R68" i="18" s="1"/>
  <c r="J14" i="14"/>
  <c r="D14" i="15" s="1"/>
  <c r="H14" i="15" s="1"/>
  <c r="J14" i="15" s="1"/>
  <c r="D14" i="16" s="1"/>
  <c r="H14" i="16" s="1"/>
  <c r="J14" i="16" s="1"/>
  <c r="D14" i="17" s="1"/>
  <c r="H14" i="17" s="1"/>
  <c r="J14" i="17" s="1"/>
  <c r="D14" i="18" s="1"/>
  <c r="H14" i="18" s="1"/>
  <c r="J14" i="18" s="1"/>
  <c r="D14" i="19" s="1"/>
  <c r="H14" i="19" s="1"/>
  <c r="J14" i="19" s="1"/>
  <c r="D14" i="20" s="1"/>
  <c r="H14" i="20" s="1"/>
  <c r="J14" i="20" s="1"/>
  <c r="D14" i="21" s="1"/>
  <c r="H14" i="21" s="1"/>
  <c r="J14" i="21" s="1"/>
  <c r="D14" i="22" s="1"/>
  <c r="H14" i="22" s="1"/>
  <c r="J14" i="22" s="1"/>
  <c r="D14" i="23" s="1"/>
  <c r="Q58" i="14"/>
  <c r="T58" i="14" s="1"/>
  <c r="I35" i="11"/>
  <c r="H14" i="23" l="1"/>
  <c r="J14" i="23" s="1"/>
  <c r="D14" i="24" s="1"/>
  <c r="H14" i="24" s="1"/>
  <c r="J14" i="24" s="1"/>
  <c r="D14" i="25" s="1"/>
  <c r="H14" i="25" s="1"/>
  <c r="J14" i="25" s="1"/>
  <c r="H17" i="23"/>
  <c r="J17" i="23" s="1"/>
  <c r="D17" i="24" s="1"/>
  <c r="H17" i="24" s="1"/>
  <c r="J17" i="24" s="1"/>
  <c r="D17" i="25" s="1"/>
  <c r="I16" i="11"/>
  <c r="H17" i="25" l="1"/>
  <c r="J17" i="25" s="1"/>
  <c r="O19" i="25"/>
  <c r="O20" i="25" s="1"/>
  <c r="I13" i="11"/>
  <c r="I38" i="11" l="1"/>
  <c r="I22" i="11" l="1"/>
  <c r="I33" i="10" l="1"/>
  <c r="P52" i="10"/>
  <c r="I7" i="10" l="1"/>
  <c r="P47" i="10"/>
  <c r="I37" i="10"/>
  <c r="N33" i="10"/>
  <c r="I29" i="10"/>
  <c r="I22" i="10"/>
  <c r="D41" i="11" l="1"/>
  <c r="D42" i="11"/>
  <c r="G54" i="11"/>
  <c r="L40" i="11"/>
  <c r="B65" i="11" s="1"/>
  <c r="K40" i="11"/>
  <c r="B62" i="11" s="1"/>
  <c r="G40" i="11"/>
  <c r="B63" i="11" s="1"/>
  <c r="F40" i="11"/>
  <c r="B61" i="11" s="1"/>
  <c r="C40" i="11"/>
  <c r="B60" i="11" s="1"/>
  <c r="E40" i="11"/>
  <c r="C67" i="11" l="1"/>
  <c r="C72" i="11" s="1"/>
  <c r="I67" i="11"/>
  <c r="I72" i="11" s="1"/>
  <c r="I73" i="11" s="1"/>
  <c r="B58" i="11"/>
  <c r="I32" i="10"/>
  <c r="I31" i="10" l="1"/>
  <c r="I19" i="10" l="1"/>
  <c r="I16" i="10" l="1"/>
  <c r="R25" i="10" l="1"/>
  <c r="Q28" i="9" l="1"/>
  <c r="Q46" i="8"/>
  <c r="I38" i="10"/>
  <c r="N40" i="10" s="1"/>
  <c r="N46" i="10" l="1"/>
  <c r="Q46" i="10" s="1"/>
  <c r="I13" i="10" l="1"/>
  <c r="I30" i="10" l="1"/>
  <c r="I36" i="10" l="1"/>
  <c r="E10" i="10" l="1"/>
  <c r="I18" i="10" l="1"/>
  <c r="I15" i="10" l="1"/>
  <c r="K38" i="9" l="1"/>
  <c r="D24" i="10" l="1"/>
  <c r="H24" i="10" s="1"/>
  <c r="P56" i="10"/>
  <c r="L40" i="10"/>
  <c r="K40" i="10"/>
  <c r="B64" i="10" s="1"/>
  <c r="I40" i="10"/>
  <c r="H60" i="10" s="1"/>
  <c r="G40" i="10"/>
  <c r="B65" i="10" s="1"/>
  <c r="F40" i="10"/>
  <c r="B63" i="10" s="1"/>
  <c r="E40" i="10"/>
  <c r="C40" i="10"/>
  <c r="B62" i="10" s="1"/>
  <c r="J9" i="10"/>
  <c r="D9" i="11" s="1"/>
  <c r="H9" i="11" s="1"/>
  <c r="J9" i="11" s="1"/>
  <c r="D9" i="12" s="1"/>
  <c r="H9" i="12" l="1"/>
  <c r="J9" i="12" s="1"/>
  <c r="N50" i="10"/>
  <c r="Q50" i="10" s="1"/>
  <c r="J24" i="10"/>
  <c r="D24" i="11" s="1"/>
  <c r="H24" i="11" s="1"/>
  <c r="C69" i="10"/>
  <c r="C74" i="10" s="1"/>
  <c r="B60" i="10"/>
  <c r="B67" i="10"/>
  <c r="I69" i="10"/>
  <c r="I74" i="10" s="1"/>
  <c r="D9" i="13" l="1"/>
  <c r="H9" i="13" s="1"/>
  <c r="J9" i="13" s="1"/>
  <c r="D9" i="14" s="1"/>
  <c r="H9" i="14" s="1"/>
  <c r="J9" i="14" s="1"/>
  <c r="J24" i="11"/>
  <c r="D24" i="12" s="1"/>
  <c r="I75" i="10"/>
  <c r="K7" i="9"/>
  <c r="H24" i="12" l="1"/>
  <c r="J24" i="12" s="1"/>
  <c r="K37" i="9"/>
  <c r="K17" i="9"/>
  <c r="K15" i="9"/>
  <c r="D24" i="13" l="1"/>
  <c r="H24" i="13" s="1"/>
  <c r="J24" i="13" s="1"/>
  <c r="D24" i="14" s="1"/>
  <c r="H24" i="14" s="1"/>
  <c r="Q59" i="14" s="1"/>
  <c r="T59" i="14" s="1"/>
  <c r="O65" i="7"/>
  <c r="O66" i="7" s="1"/>
  <c r="J24" i="14" l="1"/>
  <c r="J45" i="9"/>
  <c r="J46" i="9"/>
  <c r="J52" i="9"/>
  <c r="I54" i="9"/>
  <c r="D24" i="15" l="1"/>
  <c r="H24" i="15" s="1"/>
  <c r="O21" i="14"/>
  <c r="M21" i="14"/>
  <c r="K29" i="9"/>
  <c r="J24" i="15" l="1"/>
  <c r="D24" i="16" s="1"/>
  <c r="H24" i="16" s="1"/>
  <c r="J24" i="16" s="1"/>
  <c r="D24" i="17" s="1"/>
  <c r="H24" i="17" s="1"/>
  <c r="J24" i="17" s="1"/>
  <c r="D24" i="18" s="1"/>
  <c r="H24" i="18" s="1"/>
  <c r="J24" i="18" s="1"/>
  <c r="D24" i="19" s="1"/>
  <c r="H24" i="19" s="1"/>
  <c r="J24" i="19" s="1"/>
  <c r="D24" i="20" s="1"/>
  <c r="H24" i="20" s="1"/>
  <c r="J24" i="20" s="1"/>
  <c r="D24" i="21" s="1"/>
  <c r="H24" i="21" s="1"/>
  <c r="J24" i="21" s="1"/>
  <c r="D24" i="22" s="1"/>
  <c r="H24" i="22" s="1"/>
  <c r="J24" i="22" s="1"/>
  <c r="D24" i="23" s="1"/>
  <c r="P70" i="15"/>
  <c r="K25" i="9"/>
  <c r="H24" i="23" l="1"/>
  <c r="J24" i="23" s="1"/>
  <c r="D24" i="24" s="1"/>
  <c r="H24" i="24" s="1"/>
  <c r="J24" i="24" s="1"/>
  <c r="D24" i="25" s="1"/>
  <c r="H24" i="25" s="1"/>
  <c r="J24" i="25" s="1"/>
  <c r="G50" i="9"/>
  <c r="J50" i="9" s="1"/>
  <c r="G49" i="9"/>
  <c r="J49" i="9" s="1"/>
  <c r="K13" i="9"/>
  <c r="G47" i="9"/>
  <c r="J47" i="9" s="1"/>
  <c r="K68" i="9" l="1"/>
  <c r="K28" i="9"/>
  <c r="K31" i="9"/>
  <c r="P38" i="8" l="1"/>
  <c r="F82" i="9" l="1"/>
  <c r="K21" i="9"/>
  <c r="R3" i="8" l="1"/>
  <c r="R4" i="8" s="1"/>
  <c r="O21" i="7"/>
  <c r="O24" i="7"/>
  <c r="O25" i="7" s="1"/>
  <c r="M22" i="5"/>
  <c r="M23" i="5" s="1"/>
  <c r="N22" i="4"/>
  <c r="N23" i="4" s="1"/>
  <c r="N36" i="4" s="1"/>
  <c r="O42" i="3"/>
  <c r="O43" i="3" s="1"/>
  <c r="G21" i="8"/>
  <c r="K30" i="9" l="1"/>
  <c r="K30" i="8"/>
  <c r="D16" i="9" l="1"/>
  <c r="D24" i="9"/>
  <c r="K34" i="9"/>
  <c r="P45" i="9" s="1"/>
  <c r="K7" i="8" l="1"/>
  <c r="K7" i="7" l="1"/>
  <c r="N40" i="9" l="1"/>
  <c r="B65" i="9" s="1"/>
  <c r="M40" i="9"/>
  <c r="B62" i="9" s="1"/>
  <c r="K40" i="9"/>
  <c r="I40" i="9"/>
  <c r="B63" i="9" s="1"/>
  <c r="H40" i="9"/>
  <c r="B61" i="9" s="1"/>
  <c r="E40" i="9"/>
  <c r="C40" i="9"/>
  <c r="G39" i="9"/>
  <c r="G38" i="9"/>
  <c r="G37" i="9"/>
  <c r="G36" i="9"/>
  <c r="G34" i="9"/>
  <c r="G33" i="9"/>
  <c r="G32" i="9"/>
  <c r="G31" i="9"/>
  <c r="G30" i="9"/>
  <c r="G29" i="9"/>
  <c r="G28" i="9"/>
  <c r="G27" i="9"/>
  <c r="G26" i="9"/>
  <c r="G25" i="9"/>
  <c r="G24" i="9"/>
  <c r="J24" i="9" s="1"/>
  <c r="G23" i="9"/>
  <c r="G22" i="9"/>
  <c r="G21" i="9"/>
  <c r="G20" i="9"/>
  <c r="G19" i="9"/>
  <c r="G18" i="9"/>
  <c r="G17" i="9"/>
  <c r="G16" i="9"/>
  <c r="J16" i="9" s="1"/>
  <c r="L16" i="9" s="1"/>
  <c r="D16" i="10" s="1"/>
  <c r="H16" i="10" s="1"/>
  <c r="G15" i="9"/>
  <c r="G14" i="9"/>
  <c r="G13" i="9"/>
  <c r="G12" i="9"/>
  <c r="G11" i="9"/>
  <c r="G10" i="9"/>
  <c r="G9" i="9"/>
  <c r="G8" i="9"/>
  <c r="G7" i="9"/>
  <c r="G6" i="9"/>
  <c r="J16" i="10" l="1"/>
  <c r="D16" i="11" s="1"/>
  <c r="H16" i="11" s="1"/>
  <c r="J16" i="11" s="1"/>
  <c r="D16" i="12" s="1"/>
  <c r="H16" i="12" s="1"/>
  <c r="B60" i="9"/>
  <c r="J63" i="9"/>
  <c r="J58" i="9"/>
  <c r="C67" i="9"/>
  <c r="C72" i="9" s="1"/>
  <c r="G40" i="9"/>
  <c r="B58" i="9" s="1"/>
  <c r="K67" i="9"/>
  <c r="K72" i="9" s="1"/>
  <c r="K73" i="9" s="1"/>
  <c r="J16" i="12" l="1"/>
  <c r="K11" i="8"/>
  <c r="D16" i="13" l="1"/>
  <c r="H16" i="13" s="1"/>
  <c r="J16" i="13" s="1"/>
  <c r="D16" i="14" s="1"/>
  <c r="H16" i="14" s="1"/>
  <c r="J16" i="14" s="1"/>
  <c r="D16" i="15" s="1"/>
  <c r="H16" i="15" s="1"/>
  <c r="J16" i="15" s="1"/>
  <c r="D16" i="16" s="1"/>
  <c r="H16" i="16" s="1"/>
  <c r="J16" i="16" s="1"/>
  <c r="D16" i="17" s="1"/>
  <c r="H16" i="17" s="1"/>
  <c r="J16" i="17" s="1"/>
  <c r="D16" i="18" s="1"/>
  <c r="H16" i="18" s="1"/>
  <c r="J16" i="18" s="1"/>
  <c r="D16" i="19" s="1"/>
  <c r="H16" i="19" s="1"/>
  <c r="J16" i="19" s="1"/>
  <c r="D16" i="20" s="1"/>
  <c r="H16" i="20" s="1"/>
  <c r="J16" i="20" s="1"/>
  <c r="D16" i="21" s="1"/>
  <c r="H16" i="21" s="1"/>
  <c r="J16" i="21" s="1"/>
  <c r="D16" i="22" s="1"/>
  <c r="H16" i="22" s="1"/>
  <c r="J16" i="22" s="1"/>
  <c r="D16" i="23" s="1"/>
  <c r="K17" i="8"/>
  <c r="H16" i="23" l="1"/>
  <c r="J16" i="23" s="1"/>
  <c r="D16" i="24" s="1"/>
  <c r="H16" i="24" s="1"/>
  <c r="J16" i="24" s="1"/>
  <c r="D16" i="25" s="1"/>
  <c r="H16" i="25" s="1"/>
  <c r="J16" i="25" s="1"/>
  <c r="P13" i="7"/>
  <c r="K33" i="8"/>
  <c r="K6" i="8"/>
  <c r="K10" i="8"/>
  <c r="K13" i="8"/>
  <c r="M39" i="5" l="1"/>
  <c r="I38" i="5"/>
  <c r="I39" i="4"/>
  <c r="K38" i="6" l="1"/>
  <c r="K38" i="7"/>
  <c r="J39" i="2" l="1"/>
  <c r="K37" i="8" l="1"/>
  <c r="G13" i="8" l="1"/>
  <c r="J39" i="3"/>
  <c r="P22" i="8" l="1"/>
  <c r="K15" i="8" l="1"/>
  <c r="K40" i="8" s="1"/>
  <c r="L45" i="7" l="1"/>
  <c r="G16" i="8"/>
  <c r="G6" i="8"/>
  <c r="P6" i="8" l="1"/>
  <c r="P7" i="8"/>
  <c r="G35" i="8"/>
  <c r="G38" i="8" l="1"/>
  <c r="G7" i="8"/>
  <c r="G8" i="8"/>
  <c r="G9" i="8"/>
  <c r="G10" i="8"/>
  <c r="G11" i="8"/>
  <c r="G12" i="8"/>
  <c r="G14" i="8"/>
  <c r="G15" i="8"/>
  <c r="G17" i="8"/>
  <c r="G18" i="8"/>
  <c r="G19" i="8"/>
  <c r="G20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6" i="8"/>
  <c r="G37" i="8"/>
  <c r="G39" i="8"/>
  <c r="G40" i="8" l="1"/>
  <c r="B58" i="8" s="1"/>
  <c r="D16" i="8"/>
  <c r="J16" i="8" s="1"/>
  <c r="N40" i="8"/>
  <c r="M40" i="8"/>
  <c r="B62" i="8" s="1"/>
  <c r="I40" i="8"/>
  <c r="B63" i="8" s="1"/>
  <c r="H40" i="8"/>
  <c r="E40" i="8"/>
  <c r="C67" i="8" s="1"/>
  <c r="C40" i="8"/>
  <c r="J39" i="8"/>
  <c r="L39" i="8" s="1"/>
  <c r="D39" i="10" l="1"/>
  <c r="D39" i="9"/>
  <c r="J39" i="9" s="1"/>
  <c r="L39" i="9" s="1"/>
  <c r="B60" i="8"/>
  <c r="J63" i="8"/>
  <c r="B65" i="8"/>
  <c r="B61" i="8"/>
  <c r="J58" i="8"/>
  <c r="K67" i="8"/>
  <c r="H39" i="10" l="1"/>
  <c r="J39" i="10" s="1"/>
  <c r="D39" i="11" s="1"/>
  <c r="H54" i="8"/>
  <c r="H39" i="11" l="1"/>
  <c r="I39" i="11" s="1"/>
  <c r="I40" i="11" s="1"/>
  <c r="H58" i="11" s="1"/>
  <c r="J39" i="11" l="1"/>
  <c r="D39" i="12" s="1"/>
  <c r="K31" i="7"/>
  <c r="H39" i="12" l="1"/>
  <c r="K6" i="7"/>
  <c r="I39" i="12" l="1"/>
  <c r="I40" i="12" s="1"/>
  <c r="H58" i="12" s="1"/>
  <c r="K34" i="7"/>
  <c r="J39" i="12" l="1"/>
  <c r="G32" i="3"/>
  <c r="D39" i="13" l="1"/>
  <c r="K18" i="7"/>
  <c r="H39" i="13" l="1"/>
  <c r="I39" i="13" s="1"/>
  <c r="I40" i="13" s="1"/>
  <c r="H63" i="13" s="1"/>
  <c r="K13" i="7"/>
  <c r="J39" i="13" l="1"/>
  <c r="D39" i="14" s="1"/>
  <c r="H39" i="14" s="1"/>
  <c r="I39" i="14" s="1"/>
  <c r="I40" i="14" s="1"/>
  <c r="K30" i="7"/>
  <c r="K21" i="7"/>
  <c r="H63" i="14" l="1"/>
  <c r="J39" i="14"/>
  <c r="D11" i="4"/>
  <c r="D39" i="15" l="1"/>
  <c r="D39" i="16"/>
  <c r="H39" i="15"/>
  <c r="I39" i="15" s="1"/>
  <c r="K17" i="7"/>
  <c r="H39" i="16" l="1"/>
  <c r="I39" i="16" s="1"/>
  <c r="I40" i="16" s="1"/>
  <c r="H63" i="16" s="1"/>
  <c r="J39" i="15"/>
  <c r="I40" i="15"/>
  <c r="H63" i="15" s="1"/>
  <c r="D16" i="7"/>
  <c r="J39" i="16" l="1"/>
  <c r="D39" i="17" s="1"/>
  <c r="G27" i="1"/>
  <c r="H39" i="17" l="1"/>
  <c r="I39" i="17" s="1"/>
  <c r="I40" i="17" s="1"/>
  <c r="H63" i="17" s="1"/>
  <c r="Q27" i="6"/>
  <c r="Q28" i="6" s="1"/>
  <c r="J39" i="17" l="1"/>
  <c r="D39" i="18" s="1"/>
  <c r="H39" i="18" s="1"/>
  <c r="N40" i="7"/>
  <c r="M40" i="7"/>
  <c r="B62" i="7" s="1"/>
  <c r="I40" i="7"/>
  <c r="B63" i="7" s="1"/>
  <c r="H40" i="7"/>
  <c r="B61" i="7" s="1"/>
  <c r="E40" i="7"/>
  <c r="C67" i="7" s="1"/>
  <c r="C72" i="7" s="1"/>
  <c r="C40" i="7"/>
  <c r="G39" i="7"/>
  <c r="J39" i="7" s="1"/>
  <c r="L39" i="7" s="1"/>
  <c r="G38" i="7"/>
  <c r="O38" i="7" s="1"/>
  <c r="G37" i="7"/>
  <c r="G36" i="7"/>
  <c r="G35" i="7"/>
  <c r="G34" i="7"/>
  <c r="G33" i="7"/>
  <c r="G32" i="7"/>
  <c r="G31" i="7"/>
  <c r="O32" i="7" s="1"/>
  <c r="O33" i="7" s="1"/>
  <c r="G30" i="7"/>
  <c r="G29" i="7"/>
  <c r="G28" i="7"/>
  <c r="G27" i="7"/>
  <c r="G26" i="7"/>
  <c r="J26" i="7" s="1"/>
  <c r="L26" i="7" s="1"/>
  <c r="G25" i="7"/>
  <c r="G23" i="7"/>
  <c r="G22" i="7"/>
  <c r="G21" i="7"/>
  <c r="G20" i="7"/>
  <c r="G19" i="7"/>
  <c r="G18" i="7"/>
  <c r="G17" i="7"/>
  <c r="G16" i="7"/>
  <c r="J16" i="7" s="1"/>
  <c r="G15" i="7"/>
  <c r="G14" i="7"/>
  <c r="G13" i="7"/>
  <c r="G12" i="7"/>
  <c r="G11" i="7"/>
  <c r="O11" i="7" s="1"/>
  <c r="G10" i="7"/>
  <c r="G9" i="7"/>
  <c r="G8" i="7"/>
  <c r="K40" i="7"/>
  <c r="G7" i="7"/>
  <c r="G6" i="7"/>
  <c r="I39" i="18" l="1"/>
  <c r="I40" i="18" s="1"/>
  <c r="H63" i="18" s="1"/>
  <c r="Q33" i="7"/>
  <c r="Q34" i="7" s="1"/>
  <c r="J26" i="8"/>
  <c r="J58" i="7"/>
  <c r="G40" i="7"/>
  <c r="B58" i="7" s="1"/>
  <c r="K67" i="7"/>
  <c r="K72" i="7" s="1"/>
  <c r="K73" i="7" s="1"/>
  <c r="J39" i="18" l="1"/>
  <c r="D39" i="19" s="1"/>
  <c r="H39" i="19" s="1"/>
  <c r="I39" i="19" s="1"/>
  <c r="L26" i="8"/>
  <c r="D26" i="9" s="1"/>
  <c r="J26" i="9" s="1"/>
  <c r="F46" i="8"/>
  <c r="K7" i="6"/>
  <c r="J39" i="19" l="1"/>
  <c r="D39" i="20" s="1"/>
  <c r="I40" i="19"/>
  <c r="H63" i="19" s="1"/>
  <c r="G44" i="9"/>
  <c r="J44" i="9" s="1"/>
  <c r="L26" i="9"/>
  <c r="D26" i="10" s="1"/>
  <c r="H26" i="10" s="1"/>
  <c r="K34" i="6"/>
  <c r="K31" i="6"/>
  <c r="H39" i="20" l="1"/>
  <c r="I39" i="20" s="1"/>
  <c r="I40" i="20" s="1"/>
  <c r="H63" i="20" s="1"/>
  <c r="J26" i="10"/>
  <c r="D26" i="11" s="1"/>
  <c r="H26" i="11" s="1"/>
  <c r="N44" i="10"/>
  <c r="K17" i="6"/>
  <c r="J39" i="20" l="1"/>
  <c r="D39" i="21" s="1"/>
  <c r="H39" i="21" s="1"/>
  <c r="J26" i="11"/>
  <c r="D26" i="12" s="1"/>
  <c r="H26" i="12" s="1"/>
  <c r="J26" i="12" s="1"/>
  <c r="T51" i="6"/>
  <c r="I39" i="21" l="1"/>
  <c r="I40" i="21" s="1"/>
  <c r="H63" i="21" s="1"/>
  <c r="E44" i="12"/>
  <c r="H44" i="12" s="1"/>
  <c r="K19" i="6"/>
  <c r="J39" i="21" l="1"/>
  <c r="D39" i="22" s="1"/>
  <c r="D26" i="13"/>
  <c r="H26" i="13" s="1"/>
  <c r="D43" i="13" s="1"/>
  <c r="G43" i="13" s="1"/>
  <c r="G18" i="6"/>
  <c r="H39" i="22" l="1"/>
  <c r="I39" i="22" s="1"/>
  <c r="I40" i="22" s="1"/>
  <c r="H47" i="22" s="1"/>
  <c r="J26" i="13"/>
  <c r="D26" i="14" s="1"/>
  <c r="H26" i="14" s="1"/>
  <c r="J26" i="14" s="1"/>
  <c r="T46" i="14"/>
  <c r="R45" i="6"/>
  <c r="J39" i="22" l="1"/>
  <c r="D39" i="23" s="1"/>
  <c r="D26" i="15"/>
  <c r="H26" i="15" s="1"/>
  <c r="J26" i="15" s="1"/>
  <c r="D26" i="16" s="1"/>
  <c r="H26" i="16" s="1"/>
  <c r="J26" i="16" s="1"/>
  <c r="D26" i="17" s="1"/>
  <c r="H26" i="17" s="1"/>
  <c r="J26" i="17" s="1"/>
  <c r="D26" i="18" s="1"/>
  <c r="H26" i="18" s="1"/>
  <c r="J26" i="18" s="1"/>
  <c r="D26" i="19" s="1"/>
  <c r="H26" i="19" s="1"/>
  <c r="J26" i="19" s="1"/>
  <c r="D26" i="20" s="1"/>
  <c r="I17" i="5"/>
  <c r="N37" i="20" l="1"/>
  <c r="N38" i="20" s="1"/>
  <c r="H26" i="20"/>
  <c r="J26" i="20" s="1"/>
  <c r="D26" i="21" s="1"/>
  <c r="H26" i="21" s="1"/>
  <c r="J26" i="21" s="1"/>
  <c r="D26" i="22" s="1"/>
  <c r="H26" i="22" s="1"/>
  <c r="J26" i="22" s="1"/>
  <c r="D26" i="23" s="1"/>
  <c r="H26" i="23" s="1"/>
  <c r="H39" i="23"/>
  <c r="I39" i="23" s="1"/>
  <c r="I40" i="23" s="1"/>
  <c r="H47" i="23" s="1"/>
  <c r="K35" i="6"/>
  <c r="J26" i="23" l="1"/>
  <c r="D26" i="24" s="1"/>
  <c r="J39" i="23"/>
  <c r="R41" i="6"/>
  <c r="D39" i="24" l="1"/>
  <c r="H39" i="24" s="1"/>
  <c r="J39" i="24" s="1"/>
  <c r="D39" i="25"/>
  <c r="H39" i="25" s="1"/>
  <c r="J39" i="25" s="1"/>
  <c r="H26" i="24"/>
  <c r="J26" i="24" s="1"/>
  <c r="D26" i="25" s="1"/>
  <c r="H26" i="25" s="1"/>
  <c r="I26" i="5"/>
  <c r="H40" i="6"/>
  <c r="G6" i="6"/>
  <c r="O8" i="6" s="1"/>
  <c r="G39" i="6"/>
  <c r="J39" i="6" s="1"/>
  <c r="G8" i="6"/>
  <c r="G9" i="6"/>
  <c r="G10" i="6"/>
  <c r="G11" i="6"/>
  <c r="G12" i="6"/>
  <c r="G13" i="6"/>
  <c r="G14" i="6"/>
  <c r="G15" i="6"/>
  <c r="G16" i="6"/>
  <c r="G17" i="6"/>
  <c r="G19" i="6"/>
  <c r="G20" i="6"/>
  <c r="G21" i="6"/>
  <c r="O23" i="6" s="1"/>
  <c r="O24" i="6" s="1"/>
  <c r="G22" i="6"/>
  <c r="G23" i="6"/>
  <c r="G24" i="6"/>
  <c r="G25" i="6"/>
  <c r="G26" i="6"/>
  <c r="G28" i="6"/>
  <c r="G29" i="6"/>
  <c r="G30" i="6"/>
  <c r="G31" i="6"/>
  <c r="G32" i="6"/>
  <c r="G33" i="6"/>
  <c r="G34" i="6"/>
  <c r="G35" i="6"/>
  <c r="G36" i="6"/>
  <c r="G37" i="6"/>
  <c r="G38" i="6"/>
  <c r="G7" i="6"/>
  <c r="J26" i="25" l="1"/>
  <c r="G40" i="6"/>
  <c r="B58" i="6" l="1"/>
  <c r="K21" i="6"/>
  <c r="I19" i="5" l="1"/>
  <c r="D16" i="6" l="1"/>
  <c r="J16" i="6" s="1"/>
  <c r="I24" i="5" l="1"/>
  <c r="I34" i="5" l="1"/>
  <c r="I15" i="5" l="1"/>
  <c r="I33" i="5" l="1"/>
  <c r="B63" i="4" l="1"/>
  <c r="H63" i="4" s="1"/>
  <c r="M17" i="4" l="1"/>
  <c r="N40" i="6" l="1"/>
  <c r="M40" i="6"/>
  <c r="B62" i="6" s="1"/>
  <c r="I40" i="6"/>
  <c r="B61" i="6"/>
  <c r="E40" i="6"/>
  <c r="C67" i="6" s="1"/>
  <c r="C40" i="6"/>
  <c r="L39" i="6"/>
  <c r="K40" i="6"/>
  <c r="J58" i="6" s="1"/>
  <c r="B63" i="6" l="1"/>
  <c r="D44" i="6"/>
  <c r="D45" i="6" s="1"/>
  <c r="C72" i="6"/>
  <c r="K67" i="6"/>
  <c r="K72" i="6" s="1"/>
  <c r="D41" i="7" l="1"/>
  <c r="E43" i="7" s="1"/>
  <c r="E44" i="7" s="1"/>
  <c r="D41" i="8" s="1"/>
  <c r="D41" i="9" s="1"/>
  <c r="I35" i="5"/>
  <c r="H35" i="1" l="1"/>
  <c r="E40" i="5" l="1"/>
  <c r="D16" i="5" l="1"/>
  <c r="L40" i="5"/>
  <c r="K40" i="5"/>
  <c r="B61" i="5" s="1"/>
  <c r="G40" i="5"/>
  <c r="B62" i="5" s="1"/>
  <c r="F40" i="5"/>
  <c r="B60" i="5" s="1"/>
  <c r="B57" i="5"/>
  <c r="C40" i="5"/>
  <c r="H39" i="5"/>
  <c r="J39" i="5" s="1"/>
  <c r="I40" i="5"/>
  <c r="H57" i="5" s="1"/>
  <c r="H18" i="5"/>
  <c r="J18" i="5" s="1"/>
  <c r="D18" i="6" s="1"/>
  <c r="J18" i="6" s="1"/>
  <c r="L18" i="6" s="1"/>
  <c r="D18" i="7" s="1"/>
  <c r="J18" i="7" s="1"/>
  <c r="L18" i="7" s="1"/>
  <c r="D18" i="8" s="1"/>
  <c r="J18" i="8" s="1"/>
  <c r="L18" i="8" s="1"/>
  <c r="D18" i="9" s="1"/>
  <c r="J18" i="9" s="1"/>
  <c r="L18" i="9" s="1"/>
  <c r="D18" i="10" s="1"/>
  <c r="H16" i="5"/>
  <c r="H18" i="10" l="1"/>
  <c r="J18" i="10" s="1"/>
  <c r="D18" i="11" s="1"/>
  <c r="H18" i="11" s="1"/>
  <c r="J18" i="11" s="1"/>
  <c r="D18" i="12" s="1"/>
  <c r="D43" i="5"/>
  <c r="D44" i="5" s="1"/>
  <c r="I66" i="5"/>
  <c r="I71" i="5" s="1"/>
  <c r="C66" i="5"/>
  <c r="I31" i="4"/>
  <c r="H18" i="12" l="1"/>
  <c r="J18" i="12" s="1"/>
  <c r="D16" i="4"/>
  <c r="J16" i="3"/>
  <c r="D18" i="13" l="1"/>
  <c r="H18" i="13" s="1"/>
  <c r="J18" i="13" s="1"/>
  <c r="D18" i="14" s="1"/>
  <c r="H18" i="14" s="1"/>
  <c r="J18" i="14" s="1"/>
  <c r="D18" i="15" s="1"/>
  <c r="H18" i="15" s="1"/>
  <c r="J18" i="15" s="1"/>
  <c r="D18" i="16" s="1"/>
  <c r="H18" i="16" s="1"/>
  <c r="J18" i="16" s="1"/>
  <c r="D18" i="17" s="1"/>
  <c r="H18" i="17" s="1"/>
  <c r="J18" i="17" s="1"/>
  <c r="D18" i="18" s="1"/>
  <c r="H18" i="18" s="1"/>
  <c r="J18" i="18" s="1"/>
  <c r="D18" i="19" s="1"/>
  <c r="H18" i="19" s="1"/>
  <c r="J18" i="19" s="1"/>
  <c r="D18" i="20" s="1"/>
  <c r="H18" i="20" s="1"/>
  <c r="J18" i="20" s="1"/>
  <c r="D18" i="21" s="1"/>
  <c r="H18" i="21" s="1"/>
  <c r="J18" i="21" s="1"/>
  <c r="D18" i="22" s="1"/>
  <c r="H18" i="22" s="1"/>
  <c r="J18" i="22" s="1"/>
  <c r="D18" i="23" s="1"/>
  <c r="E31" i="3"/>
  <c r="H18" i="23" l="1"/>
  <c r="J18" i="23" s="1"/>
  <c r="D18" i="24" s="1"/>
  <c r="H18" i="24" s="1"/>
  <c r="J18" i="24" s="1"/>
  <c r="D18" i="25" s="1"/>
  <c r="H18" i="25" s="1"/>
  <c r="J18" i="25" s="1"/>
  <c r="I20" i="4"/>
  <c r="D12" i="4" l="1"/>
  <c r="D78" i="3"/>
  <c r="E40" i="4" l="1"/>
  <c r="D7" i="4" l="1"/>
  <c r="I32" i="4"/>
  <c r="J78" i="3" l="1"/>
  <c r="G40" i="3"/>
  <c r="E88" i="2"/>
  <c r="J12" i="3"/>
  <c r="J37" i="3"/>
  <c r="J75" i="3"/>
  <c r="L40" i="4" l="1"/>
  <c r="K40" i="4"/>
  <c r="B61" i="4" s="1"/>
  <c r="I40" i="4"/>
  <c r="G40" i="4"/>
  <c r="B62" i="4" s="1"/>
  <c r="F40" i="4"/>
  <c r="B57" i="4"/>
  <c r="C40" i="4"/>
  <c r="H29" i="4"/>
  <c r="J29" i="4" s="1"/>
  <c r="D29" i="5" s="1"/>
  <c r="H29" i="5" s="1"/>
  <c r="J29" i="5" s="1"/>
  <c r="D29" i="6" s="1"/>
  <c r="J29" i="6" s="1"/>
  <c r="N28" i="4"/>
  <c r="H20" i="4"/>
  <c r="H18" i="4"/>
  <c r="J18" i="4" s="1"/>
  <c r="H17" i="4"/>
  <c r="J17" i="4" s="1"/>
  <c r="D17" i="5" s="1"/>
  <c r="H17" i="5" s="1"/>
  <c r="J17" i="5" s="1"/>
  <c r="D17" i="6" s="1"/>
  <c r="J17" i="6" s="1"/>
  <c r="L17" i="6" s="1"/>
  <c r="D17" i="7" s="1"/>
  <c r="J17" i="7" s="1"/>
  <c r="L17" i="7" s="1"/>
  <c r="D17" i="8" s="1"/>
  <c r="J17" i="8" s="1"/>
  <c r="L17" i="8" s="1"/>
  <c r="D17" i="9" s="1"/>
  <c r="J17" i="9" s="1"/>
  <c r="L17" i="9" s="1"/>
  <c r="D17" i="10" s="1"/>
  <c r="H16" i="4"/>
  <c r="H11" i="4"/>
  <c r="J11" i="4" s="1"/>
  <c r="D11" i="5" s="1"/>
  <c r="H11" i="5" s="1"/>
  <c r="J11" i="5" s="1"/>
  <c r="D11" i="6" s="1"/>
  <c r="J11" i="6" s="1"/>
  <c r="L11" i="6" s="1"/>
  <c r="D11" i="7" s="1"/>
  <c r="J11" i="7" s="1"/>
  <c r="L11" i="7" s="1"/>
  <c r="D11" i="8" s="1"/>
  <c r="H10" i="4"/>
  <c r="H9" i="4"/>
  <c r="J9" i="4" s="1"/>
  <c r="D9" i="5" s="1"/>
  <c r="H9" i="5" s="1"/>
  <c r="J9" i="5" s="1"/>
  <c r="D9" i="6" s="1"/>
  <c r="J9" i="6" s="1"/>
  <c r="L9" i="6" s="1"/>
  <c r="D9" i="7" s="1"/>
  <c r="J9" i="7" s="1"/>
  <c r="L9" i="7" s="1"/>
  <c r="H7" i="4"/>
  <c r="H17" i="10" l="1"/>
  <c r="J17" i="10" s="1"/>
  <c r="D17" i="11" s="1"/>
  <c r="H17" i="11" s="1"/>
  <c r="J17" i="11" s="1"/>
  <c r="D9" i="8"/>
  <c r="J9" i="8" s="1"/>
  <c r="L9" i="8" s="1"/>
  <c r="D9" i="9" s="1"/>
  <c r="J9" i="9" s="1"/>
  <c r="Z52" i="6"/>
  <c r="L29" i="6"/>
  <c r="D29" i="7" s="1"/>
  <c r="J29" i="7" s="1"/>
  <c r="B60" i="4"/>
  <c r="D43" i="4"/>
  <c r="D44" i="4" s="1"/>
  <c r="J11" i="8"/>
  <c r="L11" i="8" s="1"/>
  <c r="H57" i="4"/>
  <c r="I66" i="4"/>
  <c r="I71" i="4" s="1"/>
  <c r="C66" i="4"/>
  <c r="J10" i="4"/>
  <c r="D10" i="5" s="1"/>
  <c r="H10" i="5" s="1"/>
  <c r="J10" i="5" s="1"/>
  <c r="D10" i="6" s="1"/>
  <c r="J10" i="6" s="1"/>
  <c r="J7" i="4"/>
  <c r="D7" i="5" s="1"/>
  <c r="H7" i="5" s="1"/>
  <c r="J7" i="5" s="1"/>
  <c r="D7" i="6" s="1"/>
  <c r="J7" i="6" s="1"/>
  <c r="L7" i="6" s="1"/>
  <c r="D7" i="7" s="1"/>
  <c r="J7" i="7" s="1"/>
  <c r="L7" i="7" s="1"/>
  <c r="D7" i="8" s="1"/>
  <c r="J7" i="8" s="1"/>
  <c r="L7" i="8" s="1"/>
  <c r="D7" i="9" s="1"/>
  <c r="J7" i="9" s="1"/>
  <c r="L7" i="9" s="1"/>
  <c r="D7" i="10" s="1"/>
  <c r="J20" i="4"/>
  <c r="D20" i="5" s="1"/>
  <c r="H20" i="5" s="1"/>
  <c r="J20" i="5" s="1"/>
  <c r="D20" i="6" s="1"/>
  <c r="J20" i="6" s="1"/>
  <c r="L20" i="6" s="1"/>
  <c r="D20" i="7" s="1"/>
  <c r="J20" i="7" s="1"/>
  <c r="L20" i="7" s="1"/>
  <c r="D20" i="8" s="1"/>
  <c r="J20" i="8" s="1"/>
  <c r="L20" i="8" s="1"/>
  <c r="D20" i="9" s="1"/>
  <c r="J20" i="9" s="1"/>
  <c r="D153" i="2"/>
  <c r="I154" i="2"/>
  <c r="D154" i="2"/>
  <c r="H7" i="10" l="1"/>
  <c r="J7" i="10" s="1"/>
  <c r="D7" i="11" s="1"/>
  <c r="H7" i="11" s="1"/>
  <c r="J7" i="11" s="1"/>
  <c r="D7" i="12" s="1"/>
  <c r="Z53" i="6"/>
  <c r="L10" i="6"/>
  <c r="D10" i="7" s="1"/>
  <c r="J10" i="7" s="1"/>
  <c r="O53" i="7"/>
  <c r="L29" i="7"/>
  <c r="D29" i="8" s="1"/>
  <c r="J29" i="8" s="1"/>
  <c r="L20" i="9"/>
  <c r="D20" i="10" s="1"/>
  <c r="G51" i="9"/>
  <c r="J51" i="9" s="1"/>
  <c r="D11" i="9"/>
  <c r="J11" i="9" s="1"/>
  <c r="C71" i="4"/>
  <c r="H7" i="12" l="1"/>
  <c r="J7" i="12" s="1"/>
  <c r="H20" i="10"/>
  <c r="J20" i="10" s="1"/>
  <c r="D20" i="11" s="1"/>
  <c r="H20" i="11" s="1"/>
  <c r="J20" i="11" s="1"/>
  <c r="D20" i="12" s="1"/>
  <c r="H20" i="12" s="1"/>
  <c r="L29" i="8"/>
  <c r="D29" i="9" s="1"/>
  <c r="J29" i="9" s="1"/>
  <c r="L29" i="9" s="1"/>
  <c r="D29" i="10" s="1"/>
  <c r="H29" i="10" s="1"/>
  <c r="F45" i="8"/>
  <c r="I45" i="8" s="1"/>
  <c r="L10" i="7"/>
  <c r="D10" i="8" s="1"/>
  <c r="J10" i="8" s="1"/>
  <c r="O45" i="7"/>
  <c r="L11" i="9"/>
  <c r="N163" i="3"/>
  <c r="E51" i="12" l="1"/>
  <c r="H51" i="12" s="1"/>
  <c r="J20" i="12"/>
  <c r="D7" i="13"/>
  <c r="H7" i="13" s="1"/>
  <c r="J7" i="13" s="1"/>
  <c r="D7" i="14" s="1"/>
  <c r="H7" i="14" s="1"/>
  <c r="J7" i="14" s="1"/>
  <c r="D7" i="15" s="1"/>
  <c r="H7" i="15" s="1"/>
  <c r="J7" i="15" s="1"/>
  <c r="D7" i="16" s="1"/>
  <c r="H7" i="16" s="1"/>
  <c r="J7" i="16" s="1"/>
  <c r="D7" i="17" s="1"/>
  <c r="H7" i="17" s="1"/>
  <c r="J7" i="17" s="1"/>
  <c r="D7" i="18" s="1"/>
  <c r="H7" i="18" s="1"/>
  <c r="J7" i="18" s="1"/>
  <c r="D7" i="19" s="1"/>
  <c r="H7" i="19" s="1"/>
  <c r="J7" i="19" s="1"/>
  <c r="D7" i="20" s="1"/>
  <c r="H7" i="20" s="1"/>
  <c r="J7" i="20" s="1"/>
  <c r="D7" i="21" s="1"/>
  <c r="H7" i="21" s="1"/>
  <c r="J7" i="21" s="1"/>
  <c r="D7" i="22" s="1"/>
  <c r="H7" i="22" s="1"/>
  <c r="J7" i="22" s="1"/>
  <c r="D7" i="23" s="1"/>
  <c r="L10" i="8"/>
  <c r="D10" i="9" s="1"/>
  <c r="J10" i="9" s="1"/>
  <c r="F47" i="8"/>
  <c r="J29" i="10"/>
  <c r="D29" i="11" s="1"/>
  <c r="H29" i="11" s="1"/>
  <c r="J29" i="11" s="1"/>
  <c r="D29" i="12" s="1"/>
  <c r="N47" i="10"/>
  <c r="Q47" i="10" s="1"/>
  <c r="D11" i="10"/>
  <c r="P15" i="3"/>
  <c r="F40" i="2"/>
  <c r="E33" i="3"/>
  <c r="H7" i="23" l="1"/>
  <c r="J7" i="23" s="1"/>
  <c r="D7" i="24" s="1"/>
  <c r="H7" i="24" s="1"/>
  <c r="J7" i="24" s="1"/>
  <c r="D7" i="25" s="1"/>
  <c r="H7" i="25" s="1"/>
  <c r="J7" i="25" s="1"/>
  <c r="H29" i="12"/>
  <c r="J29" i="12" s="1"/>
  <c r="D20" i="13"/>
  <c r="H20" i="13" s="1"/>
  <c r="D50" i="13" s="1"/>
  <c r="G50" i="13" s="1"/>
  <c r="H11" i="10"/>
  <c r="J11" i="10" s="1"/>
  <c r="D11" i="11" s="1"/>
  <c r="H11" i="11" s="1"/>
  <c r="J11" i="11" s="1"/>
  <c r="D11" i="12" s="1"/>
  <c r="G48" i="9"/>
  <c r="J48" i="9" s="1"/>
  <c r="L10" i="9"/>
  <c r="D10" i="10" s="1"/>
  <c r="H10" i="10" s="1"/>
  <c r="D67" i="2"/>
  <c r="E48" i="12" l="1"/>
  <c r="H48" i="12" s="1"/>
  <c r="J20" i="13"/>
  <c r="D20" i="14" s="1"/>
  <c r="H20" i="14" s="1"/>
  <c r="H11" i="12"/>
  <c r="J11" i="12" s="1"/>
  <c r="D29" i="13"/>
  <c r="H29" i="13" s="1"/>
  <c r="D47" i="13" s="1"/>
  <c r="G47" i="13" s="1"/>
  <c r="T53" i="14"/>
  <c r="J20" i="14"/>
  <c r="D20" i="15" s="1"/>
  <c r="H20" i="15" s="1"/>
  <c r="J20" i="15" s="1"/>
  <c r="D20" i="16" s="1"/>
  <c r="H20" i="16" s="1"/>
  <c r="J20" i="16" s="1"/>
  <c r="D20" i="17" s="1"/>
  <c r="H20" i="17" s="1"/>
  <c r="J20" i="17" s="1"/>
  <c r="D20" i="18" s="1"/>
  <c r="H20" i="18" s="1"/>
  <c r="J20" i="18" s="1"/>
  <c r="D20" i="19" s="1"/>
  <c r="H20" i="19" s="1"/>
  <c r="J20" i="19" s="1"/>
  <c r="D20" i="20" s="1"/>
  <c r="H20" i="20" s="1"/>
  <c r="J20" i="20" s="1"/>
  <c r="D20" i="21" s="1"/>
  <c r="H20" i="21" s="1"/>
  <c r="J20" i="21" s="1"/>
  <c r="D20" i="22" s="1"/>
  <c r="H20" i="22" s="1"/>
  <c r="J20" i="22" s="1"/>
  <c r="D20" i="23" s="1"/>
  <c r="N45" i="10"/>
  <c r="J10" i="10"/>
  <c r="D10" i="11" s="1"/>
  <c r="H10" i="11" s="1"/>
  <c r="J10" i="11" s="1"/>
  <c r="D10" i="12" s="1"/>
  <c r="H10" i="12" s="1"/>
  <c r="D68" i="2"/>
  <c r="C160" i="2"/>
  <c r="O28" i="3"/>
  <c r="E16" i="2"/>
  <c r="J16" i="2"/>
  <c r="J152" i="2"/>
  <c r="J151" i="2"/>
  <c r="D151" i="2"/>
  <c r="L122" i="2"/>
  <c r="C143" i="2" s="1"/>
  <c r="H122" i="2"/>
  <c r="C144" i="2" s="1"/>
  <c r="G122" i="2"/>
  <c r="C142" i="2" s="1"/>
  <c r="F122" i="2"/>
  <c r="C139" i="2" s="1"/>
  <c r="D147" i="2" s="1"/>
  <c r="D155" i="2" s="1"/>
  <c r="D122" i="2"/>
  <c r="J121" i="2"/>
  <c r="E120" i="2"/>
  <c r="I120" i="2" s="1"/>
  <c r="K120" i="2" s="1"/>
  <c r="E119" i="2"/>
  <c r="I119" i="2" s="1"/>
  <c r="K119" i="2" s="1"/>
  <c r="E118" i="2"/>
  <c r="I118" i="2" s="1"/>
  <c r="K118" i="2" s="1"/>
  <c r="E117" i="2"/>
  <c r="I117" i="2" s="1"/>
  <c r="K117" i="2" s="1"/>
  <c r="E116" i="2"/>
  <c r="I116" i="2" s="1"/>
  <c r="K116" i="2" s="1"/>
  <c r="E115" i="2"/>
  <c r="I115" i="2" s="1"/>
  <c r="K115" i="2" s="1"/>
  <c r="E114" i="2"/>
  <c r="I114" i="2" s="1"/>
  <c r="K114" i="2" s="1"/>
  <c r="I113" i="2"/>
  <c r="K113" i="2" s="1"/>
  <c r="E112" i="2"/>
  <c r="I112" i="2" s="1"/>
  <c r="K112" i="2" s="1"/>
  <c r="E111" i="2"/>
  <c r="I111" i="2" s="1"/>
  <c r="K111" i="2" s="1"/>
  <c r="E109" i="2"/>
  <c r="I109" i="2" s="1"/>
  <c r="K109" i="2" s="1"/>
  <c r="E108" i="2"/>
  <c r="I108" i="2" s="1"/>
  <c r="K108" i="2" s="1"/>
  <c r="I107" i="2"/>
  <c r="K107" i="2" s="1"/>
  <c r="I105" i="2"/>
  <c r="K105" i="2" s="1"/>
  <c r="E104" i="2"/>
  <c r="I104" i="2" s="1"/>
  <c r="E103" i="2"/>
  <c r="I103" i="2" s="1"/>
  <c r="K103" i="2" s="1"/>
  <c r="E102" i="2"/>
  <c r="I102" i="2" s="1"/>
  <c r="K102" i="2" s="1"/>
  <c r="I101" i="2"/>
  <c r="K101" i="2" s="1"/>
  <c r="E100" i="2"/>
  <c r="I100" i="2" s="1"/>
  <c r="K100" i="2" s="1"/>
  <c r="E99" i="2"/>
  <c r="I99" i="2" s="1"/>
  <c r="K99" i="2" s="1"/>
  <c r="E98" i="2"/>
  <c r="I98" i="2" s="1"/>
  <c r="K98" i="2" s="1"/>
  <c r="E97" i="2"/>
  <c r="I97" i="2" s="1"/>
  <c r="K97" i="2" s="1"/>
  <c r="E96" i="2"/>
  <c r="I96" i="2" s="1"/>
  <c r="K96" i="2" s="1"/>
  <c r="E95" i="2"/>
  <c r="I95" i="2" s="1"/>
  <c r="K95" i="2" s="1"/>
  <c r="E93" i="2"/>
  <c r="I93" i="2" s="1"/>
  <c r="K93" i="2" s="1"/>
  <c r="E92" i="2"/>
  <c r="I92" i="2" s="1"/>
  <c r="K92" i="2" s="1"/>
  <c r="E91" i="2"/>
  <c r="I91" i="2" s="1"/>
  <c r="K91" i="2" s="1"/>
  <c r="E90" i="2"/>
  <c r="I90" i="2" s="1"/>
  <c r="K90" i="2" s="1"/>
  <c r="J89" i="2"/>
  <c r="H20" i="23" l="1"/>
  <c r="J20" i="23" s="1"/>
  <c r="D20" i="24" s="1"/>
  <c r="H20" i="24" s="1"/>
  <c r="J20" i="24" s="1"/>
  <c r="D20" i="25" s="1"/>
  <c r="H20" i="25" s="1"/>
  <c r="J20" i="25" s="1"/>
  <c r="J29" i="13"/>
  <c r="D29" i="14" s="1"/>
  <c r="H29" i="14" s="1"/>
  <c r="Q50" i="14" s="1"/>
  <c r="T50" i="14" s="1"/>
  <c r="D11" i="13"/>
  <c r="H11" i="13" s="1"/>
  <c r="J11" i="13" s="1"/>
  <c r="D11" i="14" s="1"/>
  <c r="H11" i="14" s="1"/>
  <c r="J11" i="14" s="1"/>
  <c r="D11" i="15" s="1"/>
  <c r="H11" i="15" s="1"/>
  <c r="J11" i="15" s="1"/>
  <c r="D11" i="16" s="1"/>
  <c r="H11" i="16" s="1"/>
  <c r="J11" i="16" s="1"/>
  <c r="D11" i="17" s="1"/>
  <c r="H11" i="17" s="1"/>
  <c r="J11" i="17" s="1"/>
  <c r="D11" i="18" s="1"/>
  <c r="H11" i="18" s="1"/>
  <c r="J11" i="18" s="1"/>
  <c r="D11" i="19" s="1"/>
  <c r="H11" i="19" s="1"/>
  <c r="J11" i="19" s="1"/>
  <c r="D11" i="20" s="1"/>
  <c r="H11" i="20" s="1"/>
  <c r="J11" i="20" s="1"/>
  <c r="D11" i="21" s="1"/>
  <c r="H11" i="21" s="1"/>
  <c r="J11" i="21" s="1"/>
  <c r="D11" i="22" s="1"/>
  <c r="H11" i="22" s="1"/>
  <c r="J11" i="22" s="1"/>
  <c r="D11" i="23" s="1"/>
  <c r="J10" i="12"/>
  <c r="D10" i="13" s="1"/>
  <c r="E52" i="12"/>
  <c r="H52" i="12" s="1"/>
  <c r="J122" i="2"/>
  <c r="I139" i="2" s="1"/>
  <c r="E122" i="2"/>
  <c r="K104" i="2"/>
  <c r="I88" i="2"/>
  <c r="I122" i="2" s="1"/>
  <c r="J147" i="2"/>
  <c r="J155" i="2" s="1"/>
  <c r="H11" i="23" l="1"/>
  <c r="J11" i="23" s="1"/>
  <c r="D11" i="24" s="1"/>
  <c r="H11" i="24" s="1"/>
  <c r="J11" i="24" s="1"/>
  <c r="D11" i="25" s="1"/>
  <c r="H11" i="25" s="1"/>
  <c r="J11" i="25" s="1"/>
  <c r="J29" i="14"/>
  <c r="J29" i="15"/>
  <c r="D29" i="16" s="1"/>
  <c r="H29" i="16" s="1"/>
  <c r="J29" i="16" s="1"/>
  <c r="D29" i="17" s="1"/>
  <c r="H29" i="17" s="1"/>
  <c r="J29" i="17" s="1"/>
  <c r="D29" i="18" s="1"/>
  <c r="H29" i="18" s="1"/>
  <c r="J29" i="18" s="1"/>
  <c r="D29" i="19" s="1"/>
  <c r="H29" i="19" s="1"/>
  <c r="J29" i="19" s="1"/>
  <c r="D29" i="20" s="1"/>
  <c r="H29" i="20" s="1"/>
  <c r="J29" i="20" s="1"/>
  <c r="D29" i="21" s="1"/>
  <c r="H29" i="21" s="1"/>
  <c r="J29" i="21" s="1"/>
  <c r="D29" i="22" s="1"/>
  <c r="H29" i="22" s="1"/>
  <c r="J29" i="22" s="1"/>
  <c r="D29" i="23" s="1"/>
  <c r="D9" i="15"/>
  <c r="H9" i="15" s="1"/>
  <c r="J9" i="15" s="1"/>
  <c r="D9" i="16" s="1"/>
  <c r="H9" i="16" s="1"/>
  <c r="J9" i="16" s="1"/>
  <c r="D9" i="17" s="1"/>
  <c r="H9" i="17" s="1"/>
  <c r="J9" i="17" s="1"/>
  <c r="H10" i="13"/>
  <c r="D51" i="13" s="1"/>
  <c r="G51" i="13" s="1"/>
  <c r="K88" i="2"/>
  <c r="K122" i="2" s="1"/>
  <c r="H29" i="23" l="1"/>
  <c r="J29" i="23" s="1"/>
  <c r="D29" i="24" s="1"/>
  <c r="H29" i="24" s="1"/>
  <c r="J29" i="24" s="1"/>
  <c r="D29" i="25" s="1"/>
  <c r="H29" i="25" s="1"/>
  <c r="J29" i="25" s="1"/>
  <c r="J10" i="13"/>
  <c r="D10" i="14" s="1"/>
  <c r="H10" i="14" s="1"/>
  <c r="M135" i="3"/>
  <c r="C158" i="3" s="1"/>
  <c r="L135" i="3"/>
  <c r="C156" i="3" s="1"/>
  <c r="H135" i="3"/>
  <c r="C157" i="3" s="1"/>
  <c r="F135" i="3"/>
  <c r="C152" i="3" s="1"/>
  <c r="D135" i="3"/>
  <c r="E134" i="3"/>
  <c r="I134" i="3" s="1"/>
  <c r="K134" i="3" s="1"/>
  <c r="I133" i="3"/>
  <c r="K133" i="3" s="1"/>
  <c r="E132" i="3"/>
  <c r="I132" i="3" s="1"/>
  <c r="K132" i="3" s="1"/>
  <c r="E131" i="3"/>
  <c r="I131" i="3" s="1"/>
  <c r="K131" i="3" s="1"/>
  <c r="E130" i="3"/>
  <c r="I130" i="3" s="1"/>
  <c r="K130" i="3" s="1"/>
  <c r="J129" i="3"/>
  <c r="J135" i="3" s="1"/>
  <c r="I152" i="3" s="1"/>
  <c r="E129" i="3"/>
  <c r="I129" i="3" s="1"/>
  <c r="E128" i="3"/>
  <c r="I128" i="3" s="1"/>
  <c r="K128" i="3" s="1"/>
  <c r="G127" i="3"/>
  <c r="G135" i="3" s="1"/>
  <c r="C155" i="3" s="1"/>
  <c r="E177" i="3" s="1"/>
  <c r="E127" i="3"/>
  <c r="I126" i="3"/>
  <c r="K126" i="3" s="1"/>
  <c r="E125" i="3"/>
  <c r="I125" i="3" s="1"/>
  <c r="K125" i="3" s="1"/>
  <c r="E124" i="3"/>
  <c r="I124" i="3" s="1"/>
  <c r="E122" i="3"/>
  <c r="I122" i="3" s="1"/>
  <c r="K122" i="3" s="1"/>
  <c r="E120" i="3"/>
  <c r="I120" i="3" s="1"/>
  <c r="K120" i="3" s="1"/>
  <c r="E119" i="3"/>
  <c r="I119" i="3" s="1"/>
  <c r="K119" i="3" s="1"/>
  <c r="E118" i="3"/>
  <c r="I118" i="3" s="1"/>
  <c r="K118" i="3" s="1"/>
  <c r="I117" i="3"/>
  <c r="K117" i="3" s="1"/>
  <c r="E116" i="3"/>
  <c r="I116" i="3" s="1"/>
  <c r="K116" i="3" s="1"/>
  <c r="E115" i="3"/>
  <c r="I115" i="3" s="1"/>
  <c r="K115" i="3" s="1"/>
  <c r="E114" i="3"/>
  <c r="I114" i="3" s="1"/>
  <c r="K114" i="3" s="1"/>
  <c r="E113" i="3"/>
  <c r="I113" i="3" s="1"/>
  <c r="K113" i="3" s="1"/>
  <c r="E112" i="3"/>
  <c r="I112" i="3" s="1"/>
  <c r="K112" i="3" s="1"/>
  <c r="E111" i="3"/>
  <c r="I111" i="3" s="1"/>
  <c r="K111" i="3" s="1"/>
  <c r="I109" i="3"/>
  <c r="K109" i="3" s="1"/>
  <c r="E108" i="3"/>
  <c r="I108" i="3" s="1"/>
  <c r="K108" i="3" s="1"/>
  <c r="E105" i="3"/>
  <c r="I105" i="3" s="1"/>
  <c r="E104" i="3"/>
  <c r="I104" i="3" s="1"/>
  <c r="K104" i="3" s="1"/>
  <c r="E103" i="3"/>
  <c r="I103" i="3" s="1"/>
  <c r="K103" i="3" s="1"/>
  <c r="E102" i="3"/>
  <c r="I102" i="3" s="1"/>
  <c r="K102" i="3" s="1"/>
  <c r="E101" i="3"/>
  <c r="I14" i="3"/>
  <c r="K14" i="3" s="1"/>
  <c r="D14" i="4" s="1"/>
  <c r="H14" i="4" s="1"/>
  <c r="J14" i="4" s="1"/>
  <c r="D14" i="5" s="1"/>
  <c r="H14" i="5" s="1"/>
  <c r="J14" i="5" s="1"/>
  <c r="D14" i="6" s="1"/>
  <c r="J14" i="6" s="1"/>
  <c r="L14" i="6" s="1"/>
  <c r="D14" i="7" s="1"/>
  <c r="J14" i="7" s="1"/>
  <c r="L14" i="7" s="1"/>
  <c r="D14" i="8" s="1"/>
  <c r="J14" i="8" s="1"/>
  <c r="L14" i="8" s="1"/>
  <c r="D14" i="9" s="1"/>
  <c r="J14" i="9" s="1"/>
  <c r="L14" i="9" s="1"/>
  <c r="D14" i="10" s="1"/>
  <c r="I22" i="3"/>
  <c r="K22" i="3" s="1"/>
  <c r="D22" i="4" s="1"/>
  <c r="H22" i="4" s="1"/>
  <c r="J22" i="4" s="1"/>
  <c r="D22" i="5" s="1"/>
  <c r="H22" i="5" s="1"/>
  <c r="J22" i="5" s="1"/>
  <c r="D22" i="6" s="1"/>
  <c r="J22" i="6" s="1"/>
  <c r="L22" i="6" s="1"/>
  <c r="D22" i="7" s="1"/>
  <c r="J22" i="7" s="1"/>
  <c r="I31" i="3"/>
  <c r="K31" i="3" s="1"/>
  <c r="D31" i="4" s="1"/>
  <c r="H31" i="4" s="1"/>
  <c r="J31" i="4" s="1"/>
  <c r="D31" i="5" s="1"/>
  <c r="H31" i="5" s="1"/>
  <c r="J31" i="5" s="1"/>
  <c r="D31" i="6" s="1"/>
  <c r="J31" i="6" s="1"/>
  <c r="L31" i="6" s="1"/>
  <c r="D31" i="7" s="1"/>
  <c r="J31" i="7" s="1"/>
  <c r="L31" i="7" s="1"/>
  <c r="D31" i="8" s="1"/>
  <c r="J31" i="8" s="1"/>
  <c r="L31" i="8" s="1"/>
  <c r="D31" i="9" s="1"/>
  <c r="J31" i="9" s="1"/>
  <c r="L31" i="9" s="1"/>
  <c r="D31" i="10" s="1"/>
  <c r="J34" i="3"/>
  <c r="J40" i="3" s="1"/>
  <c r="I38" i="3"/>
  <c r="K38" i="3" s="1"/>
  <c r="D38" i="4" s="1"/>
  <c r="H38" i="4" s="1"/>
  <c r="J38" i="4" s="1"/>
  <c r="D40" i="3"/>
  <c r="F40" i="3"/>
  <c r="C57" i="3" s="1"/>
  <c r="H40" i="3"/>
  <c r="C62" i="3" s="1"/>
  <c r="L40" i="3"/>
  <c r="C61" i="3" s="1"/>
  <c r="M40" i="3"/>
  <c r="C64" i="3" s="1"/>
  <c r="J10" i="14" l="1"/>
  <c r="D10" i="15" s="1"/>
  <c r="H10" i="15" s="1"/>
  <c r="Q54" i="14"/>
  <c r="T54" i="14" s="1"/>
  <c r="H31" i="10"/>
  <c r="J31" i="10" s="1"/>
  <c r="D31" i="11" s="1"/>
  <c r="H31" i="11" s="1"/>
  <c r="J31" i="11" s="1"/>
  <c r="D31" i="12" s="1"/>
  <c r="H14" i="10"/>
  <c r="J14" i="10" s="1"/>
  <c r="D14" i="11" s="1"/>
  <c r="H14" i="11" s="1"/>
  <c r="I127" i="3"/>
  <c r="K127" i="3" s="1"/>
  <c r="D66" i="3"/>
  <c r="J66" i="3"/>
  <c r="I57" i="3"/>
  <c r="E43" i="3"/>
  <c r="E44" i="3" s="1"/>
  <c r="L22" i="7"/>
  <c r="D22" i="8" s="1"/>
  <c r="J22" i="8" s="1"/>
  <c r="O48" i="7"/>
  <c r="K129" i="3"/>
  <c r="I101" i="3"/>
  <c r="K101" i="3" s="1"/>
  <c r="K124" i="3"/>
  <c r="J161" i="3"/>
  <c r="D161" i="3"/>
  <c r="K105" i="3"/>
  <c r="J10" i="15" l="1"/>
  <c r="D10" i="16" s="1"/>
  <c r="H10" i="16" s="1"/>
  <c r="J10" i="16" s="1"/>
  <c r="D10" i="17" s="1"/>
  <c r="H10" i="17" s="1"/>
  <c r="P67" i="15"/>
  <c r="E46" i="11"/>
  <c r="H46" i="11" s="1"/>
  <c r="J14" i="11"/>
  <c r="H31" i="12"/>
  <c r="J31" i="12" s="1"/>
  <c r="L22" i="8"/>
  <c r="D22" i="9" s="1"/>
  <c r="J22" i="9" s="1"/>
  <c r="F44" i="8"/>
  <c r="D168" i="3"/>
  <c r="J168" i="3"/>
  <c r="J10" i="17" l="1"/>
  <c r="D10" i="18" s="1"/>
  <c r="H10" i="18" s="1"/>
  <c r="J10" i="18" s="1"/>
  <c r="D10" i="19" s="1"/>
  <c r="H10" i="19" s="1"/>
  <c r="J10" i="19" s="1"/>
  <c r="D10" i="20" s="1"/>
  <c r="H10" i="20" s="1"/>
  <c r="J10" i="20" s="1"/>
  <c r="D10" i="21" s="1"/>
  <c r="H10" i="21" s="1"/>
  <c r="J10" i="21" s="1"/>
  <c r="D10" i="22" s="1"/>
  <c r="H10" i="22" s="1"/>
  <c r="J10" i="22" s="1"/>
  <c r="D10" i="23" s="1"/>
  <c r="P66" i="17"/>
  <c r="D31" i="13"/>
  <c r="H31" i="13" s="1"/>
  <c r="J31" i="13" s="1"/>
  <c r="D31" i="14" s="1"/>
  <c r="H31" i="14" s="1"/>
  <c r="J31" i="14" s="1"/>
  <c r="D31" i="15" s="1"/>
  <c r="H31" i="15" s="1"/>
  <c r="J31" i="15" s="1"/>
  <c r="D31" i="16" s="1"/>
  <c r="H31" i="16" s="1"/>
  <c r="J31" i="16" s="1"/>
  <c r="D31" i="17" s="1"/>
  <c r="H31" i="17" s="1"/>
  <c r="J31" i="17" s="1"/>
  <c r="D31" i="18" s="1"/>
  <c r="H31" i="18" s="1"/>
  <c r="J31" i="18" s="1"/>
  <c r="D31" i="19" s="1"/>
  <c r="H31" i="19" s="1"/>
  <c r="J31" i="19" s="1"/>
  <c r="D31" i="20" s="1"/>
  <c r="H31" i="20" s="1"/>
  <c r="J31" i="20" s="1"/>
  <c r="D31" i="21" s="1"/>
  <c r="H31" i="21" s="1"/>
  <c r="J31" i="21" s="1"/>
  <c r="D31" i="22" s="1"/>
  <c r="H31" i="22" s="1"/>
  <c r="J31" i="22" s="1"/>
  <c r="D31" i="23" s="1"/>
  <c r="I44" i="8"/>
  <c r="G53" i="9"/>
  <c r="J53" i="9" s="1"/>
  <c r="L22" i="9"/>
  <c r="D22" i="10" s="1"/>
  <c r="H22" i="10" s="1"/>
  <c r="F40" i="1"/>
  <c r="H31" i="23" l="1"/>
  <c r="J31" i="23" s="1"/>
  <c r="D31" i="24" s="1"/>
  <c r="H31" i="24" s="1"/>
  <c r="J31" i="24" s="1"/>
  <c r="D31" i="25" s="1"/>
  <c r="R66" i="17"/>
  <c r="P73" i="17"/>
  <c r="R73" i="17" s="1"/>
  <c r="P79" i="17" s="1"/>
  <c r="R79" i="17" s="1"/>
  <c r="R80" i="17" s="1"/>
  <c r="R84" i="17" s="1"/>
  <c r="H10" i="23"/>
  <c r="J10" i="23" s="1"/>
  <c r="D10" i="24" s="1"/>
  <c r="H10" i="24" s="1"/>
  <c r="J10" i="24" s="1"/>
  <c r="D10" i="25" s="1"/>
  <c r="H10" i="25" s="1"/>
  <c r="J10" i="25" s="1"/>
  <c r="J22" i="10"/>
  <c r="D22" i="11" s="1"/>
  <c r="H22" i="11" s="1"/>
  <c r="J22" i="11" s="1"/>
  <c r="D22" i="12" s="1"/>
  <c r="N53" i="10"/>
  <c r="Q53" i="10" s="1"/>
  <c r="R30" i="3"/>
  <c r="R31" i="3" s="1"/>
  <c r="P31" i="3"/>
  <c r="P32" i="3" s="1"/>
  <c r="H31" i="25" l="1"/>
  <c r="H22" i="12"/>
  <c r="J22" i="12" s="1"/>
  <c r="D22" i="13" s="1"/>
  <c r="J40" i="1"/>
  <c r="C61" i="1" s="1"/>
  <c r="G33" i="1"/>
  <c r="E40" i="1"/>
  <c r="J31" i="25" l="1"/>
  <c r="H22" i="13"/>
  <c r="J22" i="13" s="1"/>
  <c r="D22" i="14" s="1"/>
  <c r="H22" i="14" s="1"/>
  <c r="J22" i="14" s="1"/>
  <c r="D22" i="15" s="1"/>
  <c r="H22" i="15" s="1"/>
  <c r="J22" i="15" s="1"/>
  <c r="D22" i="16" s="1"/>
  <c r="H22" i="16" s="1"/>
  <c r="J22" i="16" s="1"/>
  <c r="D22" i="17" s="1"/>
  <c r="H22" i="17" s="1"/>
  <c r="J22" i="17" s="1"/>
  <c r="D22" i="18" s="1"/>
  <c r="H22" i="18" s="1"/>
  <c r="J22" i="18" s="1"/>
  <c r="D22" i="19" s="1"/>
  <c r="H22" i="19" s="1"/>
  <c r="J22" i="19" s="1"/>
  <c r="D22" i="20" s="1"/>
  <c r="H22" i="20" s="1"/>
  <c r="J22" i="20" s="1"/>
  <c r="D22" i="21" s="1"/>
  <c r="H22" i="21" s="1"/>
  <c r="J22" i="21" s="1"/>
  <c r="D22" i="22" s="1"/>
  <c r="H22" i="22" s="1"/>
  <c r="J22" i="22" s="1"/>
  <c r="D22" i="23" s="1"/>
  <c r="O19" i="3"/>
  <c r="H22" i="23" l="1"/>
  <c r="J22" i="23" s="1"/>
  <c r="D22" i="24" s="1"/>
  <c r="H22" i="24" s="1"/>
  <c r="J22" i="24" s="1"/>
  <c r="D22" i="25" s="1"/>
  <c r="H22" i="25" s="1"/>
  <c r="J22" i="25" s="1"/>
  <c r="K43" i="1"/>
  <c r="J7" i="2" l="1"/>
  <c r="J40" i="2" s="1"/>
  <c r="I57" i="2" s="1"/>
  <c r="J68" i="2" l="1"/>
  <c r="J69" i="2" l="1"/>
  <c r="J67" i="2" l="1"/>
  <c r="H32" i="1" l="1"/>
  <c r="S28" i="1"/>
  <c r="G13" i="1"/>
  <c r="H40" i="1" l="1"/>
  <c r="G57" i="1" s="1"/>
  <c r="S20" i="2"/>
  <c r="R19" i="2"/>
  <c r="I19" i="2"/>
  <c r="I31" i="2"/>
  <c r="G40" i="2"/>
  <c r="H40" i="2"/>
  <c r="C60" i="2" l="1"/>
  <c r="S22" i="2"/>
  <c r="N19" i="2"/>
  <c r="D45" i="1"/>
  <c r="C62" i="2"/>
  <c r="E14" i="2"/>
  <c r="I14" i="2" s="1"/>
  <c r="K14" i="2" s="1"/>
  <c r="I16" i="2"/>
  <c r="I25" i="2"/>
  <c r="E38" i="2"/>
  <c r="I38" i="2" s="1"/>
  <c r="K38" i="2" s="1"/>
  <c r="L40" i="2"/>
  <c r="C61" i="2" s="1"/>
  <c r="D40" i="2"/>
  <c r="K31" i="2"/>
  <c r="K19" i="2"/>
  <c r="K16" i="2"/>
  <c r="E16" i="3" s="1"/>
  <c r="I16" i="3" s="1"/>
  <c r="K16" i="3" s="1"/>
  <c r="O12" i="2"/>
  <c r="O15" i="2" s="1"/>
  <c r="O16" i="2" s="1"/>
  <c r="Q35" i="1"/>
  <c r="R35" i="1" s="1"/>
  <c r="D75" i="1"/>
  <c r="H75" i="1" s="1"/>
  <c r="F75" i="1"/>
  <c r="P27" i="1"/>
  <c r="K33" i="1"/>
  <c r="D73" i="1"/>
  <c r="Q25" i="1"/>
  <c r="P25" i="1"/>
  <c r="O32" i="1"/>
  <c r="O76" i="1"/>
  <c r="H73" i="1"/>
  <c r="D74" i="1"/>
  <c r="H74" i="1"/>
  <c r="F43" i="2" l="1"/>
  <c r="F44" i="2" s="1"/>
  <c r="D72" i="1"/>
  <c r="S27" i="1"/>
  <c r="R29" i="1" s="1"/>
  <c r="R30" i="1" s="1"/>
  <c r="J44" i="2"/>
  <c r="J45" i="2" s="1"/>
  <c r="C71" i="5"/>
  <c r="E19" i="3"/>
  <c r="I19" i="3" s="1"/>
  <c r="K19" i="3" s="1"/>
  <c r="H19" i="4" s="1"/>
  <c r="J19" i="4" s="1"/>
  <c r="D19" i="5" s="1"/>
  <c r="H19" i="5" s="1"/>
  <c r="J19" i="5" s="1"/>
  <c r="D19" i="6" s="1"/>
  <c r="J19" i="6" s="1"/>
  <c r="L19" i="6" s="1"/>
  <c r="D19" i="7" s="1"/>
  <c r="J19" i="7" s="1"/>
  <c r="E77" i="2"/>
  <c r="C57" i="2"/>
  <c r="J65" i="2" s="1"/>
  <c r="J70" i="2" s="1"/>
  <c r="J69" i="3"/>
  <c r="D65" i="2"/>
  <c r="K25" i="2"/>
  <c r="E25" i="3" s="1"/>
  <c r="I25" i="3" s="1"/>
  <c r="K25" i="3" s="1"/>
  <c r="D25" i="4" s="1"/>
  <c r="H25" i="4" s="1"/>
  <c r="J25" i="4" s="1"/>
  <c r="D25" i="5" s="1"/>
  <c r="H25" i="5" s="1"/>
  <c r="O49" i="7" l="1"/>
  <c r="L19" i="7"/>
  <c r="D19" i="8" s="1"/>
  <c r="J19" i="8" s="1"/>
  <c r="J25" i="5"/>
  <c r="D25" i="6" s="1"/>
  <c r="J25" i="6" s="1"/>
  <c r="L25" i="6" s="1"/>
  <c r="D25" i="7" s="1"/>
  <c r="J25" i="7" s="1"/>
  <c r="N27" i="5"/>
  <c r="D70" i="2"/>
  <c r="O12" i="1"/>
  <c r="N14" i="1"/>
  <c r="R19" i="1"/>
  <c r="S19" i="1"/>
  <c r="N29" i="1"/>
  <c r="N39" i="1"/>
  <c r="O15" i="1" l="1"/>
  <c r="O16" i="1" s="1"/>
  <c r="N19" i="1"/>
  <c r="L19" i="8"/>
  <c r="D19" i="9" s="1"/>
  <c r="J19" i="9" s="1"/>
  <c r="L19" i="9" s="1"/>
  <c r="D19" i="10" s="1"/>
  <c r="F52" i="8"/>
  <c r="I52" i="8" s="1"/>
  <c r="O44" i="7"/>
  <c r="L25" i="7"/>
  <c r="D25" i="8" s="1"/>
  <c r="J25" i="8" s="1"/>
  <c r="H72" i="1"/>
  <c r="H19" i="10" l="1"/>
  <c r="J19" i="10" s="1"/>
  <c r="D19" i="11" s="1"/>
  <c r="H19" i="11" s="1"/>
  <c r="J19" i="11" s="1"/>
  <c r="D19" i="12" s="1"/>
  <c r="L25" i="8"/>
  <c r="D25" i="9" s="1"/>
  <c r="J25" i="9" s="1"/>
  <c r="F51" i="8"/>
  <c r="H71" i="1"/>
  <c r="H19" i="12" l="1"/>
  <c r="J19" i="12" s="1"/>
  <c r="G43" i="9"/>
  <c r="L25" i="9"/>
  <c r="D25" i="10" s="1"/>
  <c r="H25" i="10" s="1"/>
  <c r="G6" i="1"/>
  <c r="D19" i="13" l="1"/>
  <c r="H19" i="13" s="1"/>
  <c r="J19" i="13" s="1"/>
  <c r="D19" i="14" s="1"/>
  <c r="H19" i="14" s="1"/>
  <c r="J19" i="14" s="1"/>
  <c r="D19" i="15" s="1"/>
  <c r="H19" i="15" s="1"/>
  <c r="J19" i="15" s="1"/>
  <c r="D19" i="16" s="1"/>
  <c r="H19" i="16" s="1"/>
  <c r="J19" i="16" s="1"/>
  <c r="D19" i="17" s="1"/>
  <c r="H19" i="17" s="1"/>
  <c r="J19" i="17" s="1"/>
  <c r="D19" i="18" s="1"/>
  <c r="H19" i="18" s="1"/>
  <c r="J19" i="18" s="1"/>
  <c r="D19" i="19" s="1"/>
  <c r="H19" i="19" s="1"/>
  <c r="J19" i="19" s="1"/>
  <c r="D19" i="20" s="1"/>
  <c r="H19" i="20" s="1"/>
  <c r="J19" i="20" s="1"/>
  <c r="D19" i="21" s="1"/>
  <c r="H19" i="21" s="1"/>
  <c r="J19" i="21" s="1"/>
  <c r="D19" i="22" s="1"/>
  <c r="H19" i="22" s="1"/>
  <c r="J19" i="22" s="1"/>
  <c r="D19" i="23" s="1"/>
  <c r="J25" i="10"/>
  <c r="D25" i="11" s="1"/>
  <c r="H25" i="11" s="1"/>
  <c r="J25" i="11" s="1"/>
  <c r="D25" i="12" s="1"/>
  <c r="H25" i="12" s="1"/>
  <c r="J25" i="12" s="1"/>
  <c r="N48" i="10"/>
  <c r="Q48" i="10" s="1"/>
  <c r="G54" i="9"/>
  <c r="J54" i="9" s="1"/>
  <c r="J43" i="9"/>
  <c r="G34" i="1"/>
  <c r="I34" i="1" s="1"/>
  <c r="G35" i="1"/>
  <c r="I35" i="1" s="1"/>
  <c r="E35" i="2" s="1"/>
  <c r="G36" i="1"/>
  <c r="I36" i="1" s="1"/>
  <c r="E36" i="2" s="1"/>
  <c r="I36" i="2" s="1"/>
  <c r="K36" i="2" s="1"/>
  <c r="E36" i="3" s="1"/>
  <c r="I36" i="3" s="1"/>
  <c r="K36" i="3" s="1"/>
  <c r="D36" i="4" s="1"/>
  <c r="H36" i="4" s="1"/>
  <c r="J36" i="4" s="1"/>
  <c r="D36" i="5" s="1"/>
  <c r="H36" i="5" s="1"/>
  <c r="J36" i="5" s="1"/>
  <c r="D36" i="6" s="1"/>
  <c r="J36" i="6" s="1"/>
  <c r="L36" i="6" s="1"/>
  <c r="D36" i="7" s="1"/>
  <c r="J36" i="7" s="1"/>
  <c r="L36" i="7" s="1"/>
  <c r="D36" i="8" s="1"/>
  <c r="J36" i="8" s="1"/>
  <c r="L36" i="8" s="1"/>
  <c r="D36" i="9" s="1"/>
  <c r="J36" i="9" s="1"/>
  <c r="L36" i="9" s="1"/>
  <c r="D36" i="10" s="1"/>
  <c r="G37" i="1"/>
  <c r="I37" i="1" s="1"/>
  <c r="E37" i="2" s="1"/>
  <c r="I37" i="2" s="1"/>
  <c r="K37" i="2" s="1"/>
  <c r="E37" i="3" s="1"/>
  <c r="I37" i="3" s="1"/>
  <c r="K37" i="3" s="1"/>
  <c r="D37" i="4" s="1"/>
  <c r="H37" i="4" s="1"/>
  <c r="J37" i="4" s="1"/>
  <c r="D37" i="5" s="1"/>
  <c r="H37" i="5" s="1"/>
  <c r="J37" i="5" s="1"/>
  <c r="D37" i="6" s="1"/>
  <c r="J37" i="6" s="1"/>
  <c r="G38" i="1"/>
  <c r="G39" i="1"/>
  <c r="I39" i="1" s="1"/>
  <c r="I33" i="1"/>
  <c r="E33" i="2" s="1"/>
  <c r="I33" i="2" s="1"/>
  <c r="K33" i="2" s="1"/>
  <c r="I33" i="3" s="1"/>
  <c r="K33" i="3" s="1"/>
  <c r="D33" i="4" s="1"/>
  <c r="H33" i="4" s="1"/>
  <c r="J33" i="4" s="1"/>
  <c r="D33" i="5" s="1"/>
  <c r="H33" i="5" s="1"/>
  <c r="J33" i="5" s="1"/>
  <c r="D33" i="6" s="1"/>
  <c r="J33" i="6" s="1"/>
  <c r="D40" i="1"/>
  <c r="G32" i="1"/>
  <c r="I32" i="1" s="1"/>
  <c r="E32" i="2" s="1"/>
  <c r="I32" i="2" s="1"/>
  <c r="K32" i="2" s="1"/>
  <c r="E32" i="3" s="1"/>
  <c r="I32" i="3" s="1"/>
  <c r="K32" i="3" s="1"/>
  <c r="G31" i="1"/>
  <c r="G30" i="1"/>
  <c r="I30" i="1" s="1"/>
  <c r="E30" i="2" s="1"/>
  <c r="I30" i="2" s="1"/>
  <c r="K30" i="2" s="1"/>
  <c r="G29" i="1"/>
  <c r="I29" i="1" s="1"/>
  <c r="E29" i="2" s="1"/>
  <c r="I29" i="2" s="1"/>
  <c r="K29" i="2" s="1"/>
  <c r="E29" i="3" s="1"/>
  <c r="I29" i="3" s="1"/>
  <c r="K29" i="3" s="1"/>
  <c r="G28" i="1"/>
  <c r="I28" i="1" s="1"/>
  <c r="I27" i="1"/>
  <c r="E27" i="2" s="1"/>
  <c r="I27" i="2" s="1"/>
  <c r="K27" i="2" s="1"/>
  <c r="I27" i="3" s="1"/>
  <c r="K27" i="3" s="1"/>
  <c r="D27" i="4" s="1"/>
  <c r="H27" i="4" s="1"/>
  <c r="J27" i="4" s="1"/>
  <c r="D27" i="5" s="1"/>
  <c r="H27" i="5" s="1"/>
  <c r="J27" i="5" s="1"/>
  <c r="D27" i="6" s="1"/>
  <c r="J27" i="6" s="1"/>
  <c r="L27" i="6" s="1"/>
  <c r="D27" i="7" s="1"/>
  <c r="G26" i="1"/>
  <c r="I26" i="1" s="1"/>
  <c r="E26" i="2" s="1"/>
  <c r="I26" i="2" s="1"/>
  <c r="K26" i="2" s="1"/>
  <c r="E26" i="3" s="1"/>
  <c r="I26" i="3" s="1"/>
  <c r="K26" i="3" s="1"/>
  <c r="D26" i="4" s="1"/>
  <c r="H26" i="4" s="1"/>
  <c r="J26" i="4" s="1"/>
  <c r="D26" i="5" s="1"/>
  <c r="H26" i="5" s="1"/>
  <c r="J26" i="5" s="1"/>
  <c r="D26" i="6" s="1"/>
  <c r="J26" i="6" s="1"/>
  <c r="L26" i="6" s="1"/>
  <c r="G25" i="1"/>
  <c r="I25" i="1" s="1"/>
  <c r="G24" i="1"/>
  <c r="I24" i="1" s="1"/>
  <c r="G23" i="1"/>
  <c r="I23" i="1" s="1"/>
  <c r="E23" i="2" s="1"/>
  <c r="I23" i="2" s="1"/>
  <c r="K23" i="2" s="1"/>
  <c r="E23" i="3" s="1"/>
  <c r="I23" i="3" s="1"/>
  <c r="G22" i="1"/>
  <c r="I22" i="1" s="1"/>
  <c r="E22" i="2" s="1"/>
  <c r="I22" i="2" s="1"/>
  <c r="K22" i="2" s="1"/>
  <c r="G21" i="1"/>
  <c r="I21" i="1" s="1"/>
  <c r="E21" i="2" s="1"/>
  <c r="I21" i="2" s="1"/>
  <c r="K21" i="2" s="1"/>
  <c r="E21" i="3" s="1"/>
  <c r="I21" i="3" s="1"/>
  <c r="K21" i="3" s="1"/>
  <c r="D21" i="4" s="1"/>
  <c r="H21" i="4" s="1"/>
  <c r="J21" i="4" s="1"/>
  <c r="D21" i="5" s="1"/>
  <c r="G20" i="1"/>
  <c r="I20" i="1" s="1"/>
  <c r="E20" i="2" s="1"/>
  <c r="I20" i="2" s="1"/>
  <c r="K20" i="2" s="1"/>
  <c r="E20" i="3" s="1"/>
  <c r="I20" i="3" s="1"/>
  <c r="G19" i="1"/>
  <c r="I19" i="1" s="1"/>
  <c r="G18" i="1"/>
  <c r="I18" i="1" s="1"/>
  <c r="E18" i="2" s="1"/>
  <c r="I18" i="2" s="1"/>
  <c r="K18" i="2" s="1"/>
  <c r="E18" i="3" s="1"/>
  <c r="I18" i="3" s="1"/>
  <c r="K18" i="3" s="1"/>
  <c r="G17" i="1"/>
  <c r="I17" i="1" s="1"/>
  <c r="E17" i="2" s="1"/>
  <c r="I17" i="2" s="1"/>
  <c r="K17" i="2" s="1"/>
  <c r="E17" i="3" s="1"/>
  <c r="I17" i="3" s="1"/>
  <c r="K17" i="3" s="1"/>
  <c r="G16" i="1"/>
  <c r="I16" i="1" s="1"/>
  <c r="G15" i="1"/>
  <c r="I15" i="1" s="1"/>
  <c r="E15" i="2" s="1"/>
  <c r="I15" i="2" s="1"/>
  <c r="K15" i="2" s="1"/>
  <c r="E15" i="3" s="1"/>
  <c r="I15" i="3" s="1"/>
  <c r="K15" i="3" s="1"/>
  <c r="H15" i="4" s="1"/>
  <c r="J15" i="4" s="1"/>
  <c r="D15" i="5" s="1"/>
  <c r="H15" i="5" s="1"/>
  <c r="J15" i="5" s="1"/>
  <c r="D15" i="6" s="1"/>
  <c r="J15" i="6" s="1"/>
  <c r="L15" i="6" s="1"/>
  <c r="D15" i="7" s="1"/>
  <c r="J15" i="7" s="1"/>
  <c r="L15" i="7" s="1"/>
  <c r="D15" i="8" s="1"/>
  <c r="J15" i="8" s="1"/>
  <c r="L15" i="8" s="1"/>
  <c r="D15" i="9" s="1"/>
  <c r="J15" i="9" s="1"/>
  <c r="L15" i="9" s="1"/>
  <c r="D15" i="10" s="1"/>
  <c r="G14" i="1"/>
  <c r="I13" i="1"/>
  <c r="E13" i="2" s="1"/>
  <c r="I13" i="2" s="1"/>
  <c r="K13" i="2" s="1"/>
  <c r="E13" i="3" s="1"/>
  <c r="I13" i="3" s="1"/>
  <c r="K13" i="3" s="1"/>
  <c r="D13" i="4" s="1"/>
  <c r="H13" i="4" s="1"/>
  <c r="J13" i="4" s="1"/>
  <c r="D13" i="5" s="1"/>
  <c r="H13" i="5" s="1"/>
  <c r="J13" i="5" s="1"/>
  <c r="D13" i="6" s="1"/>
  <c r="J13" i="6" s="1"/>
  <c r="L13" i="6" s="1"/>
  <c r="D13" i="7" s="1"/>
  <c r="J13" i="7" s="1"/>
  <c r="L13" i="7" s="1"/>
  <c r="D13" i="8" s="1"/>
  <c r="J13" i="8" s="1"/>
  <c r="L13" i="8" s="1"/>
  <c r="D13" i="9" s="1"/>
  <c r="J13" i="9" s="1"/>
  <c r="L13" i="9" s="1"/>
  <c r="D13" i="10" s="1"/>
  <c r="G12" i="1"/>
  <c r="I12" i="1" s="1"/>
  <c r="G11" i="1"/>
  <c r="I11" i="1" s="1"/>
  <c r="G10" i="1"/>
  <c r="G9" i="1"/>
  <c r="I9" i="1" s="1"/>
  <c r="E9" i="2" s="1"/>
  <c r="I9" i="2" s="1"/>
  <c r="K9" i="2" s="1"/>
  <c r="E9" i="3" s="1"/>
  <c r="I9" i="3" s="1"/>
  <c r="K9" i="3" s="1"/>
  <c r="G8" i="1"/>
  <c r="I8" i="1" s="1"/>
  <c r="E8" i="2" s="1"/>
  <c r="I8" i="2" s="1"/>
  <c r="K8" i="2" s="1"/>
  <c r="E8" i="3" s="1"/>
  <c r="I8" i="3" s="1"/>
  <c r="K8" i="3" s="1"/>
  <c r="D8" i="4" s="1"/>
  <c r="H8" i="4" s="1"/>
  <c r="J8" i="4" s="1"/>
  <c r="D8" i="5" s="1"/>
  <c r="H8" i="5" s="1"/>
  <c r="J8" i="5" s="1"/>
  <c r="D8" i="6" s="1"/>
  <c r="J8" i="6" s="1"/>
  <c r="L8" i="6" s="1"/>
  <c r="D8" i="7" s="1"/>
  <c r="J8" i="7" s="1"/>
  <c r="L8" i="7" s="1"/>
  <c r="D8" i="8" s="1"/>
  <c r="J8" i="8" s="1"/>
  <c r="L8" i="8" s="1"/>
  <c r="D8" i="9" s="1"/>
  <c r="J8" i="9" s="1"/>
  <c r="L8" i="9" s="1"/>
  <c r="D8" i="10" s="1"/>
  <c r="G7" i="1"/>
  <c r="I7" i="1" s="1"/>
  <c r="I6" i="1"/>
  <c r="E6" i="2" s="1"/>
  <c r="I6" i="2" s="1"/>
  <c r="H19" i="23" l="1"/>
  <c r="J19" i="23" s="1"/>
  <c r="D19" i="24" s="1"/>
  <c r="H19" i="24" s="1"/>
  <c r="J19" i="24" s="1"/>
  <c r="D19" i="25" s="1"/>
  <c r="H13" i="10"/>
  <c r="J13" i="10" s="1"/>
  <c r="D13" i="11" s="1"/>
  <c r="H13" i="11" s="1"/>
  <c r="J13" i="11" s="1"/>
  <c r="D13" i="12" s="1"/>
  <c r="H15" i="10"/>
  <c r="J15" i="10" s="1"/>
  <c r="D15" i="11" s="1"/>
  <c r="H15" i="11" s="1"/>
  <c r="J15" i="11" s="1"/>
  <c r="D15" i="12" s="1"/>
  <c r="H8" i="10"/>
  <c r="J8" i="10" s="1"/>
  <c r="D8" i="11" s="1"/>
  <c r="H8" i="11" s="1"/>
  <c r="J8" i="11" s="1"/>
  <c r="D8" i="12" s="1"/>
  <c r="H36" i="10"/>
  <c r="J36" i="10" s="1"/>
  <c r="D36" i="11" s="1"/>
  <c r="H36" i="11" s="1"/>
  <c r="J36" i="11" s="1"/>
  <c r="D36" i="12" s="1"/>
  <c r="I42" i="2"/>
  <c r="I43" i="2" s="1"/>
  <c r="K6" i="2"/>
  <c r="E6" i="3" s="1"/>
  <c r="I6" i="3" s="1"/>
  <c r="K6" i="3" s="1"/>
  <c r="D6" i="4" s="1"/>
  <c r="H6" i="4" s="1"/>
  <c r="J6" i="4" s="1"/>
  <c r="D6" i="5" s="1"/>
  <c r="E12" i="2"/>
  <c r="I12" i="2" s="1"/>
  <c r="C159" i="2" s="1"/>
  <c r="E94" i="2"/>
  <c r="I94" i="2" s="1"/>
  <c r="K94" i="2" s="1"/>
  <c r="E107" i="3" s="1"/>
  <c r="D76" i="3"/>
  <c r="K20" i="3"/>
  <c r="E24" i="2"/>
  <c r="I24" i="2" s="1"/>
  <c r="K24" i="2" s="1"/>
  <c r="E24" i="3" s="1"/>
  <c r="I24" i="3" s="1"/>
  <c r="K24" i="3" s="1"/>
  <c r="D24" i="4" s="1"/>
  <c r="H24" i="4" s="1"/>
  <c r="J24" i="4" s="1"/>
  <c r="E106" i="2"/>
  <c r="I106" i="2" s="1"/>
  <c r="K106" i="2" s="1"/>
  <c r="E106" i="3" s="1"/>
  <c r="I106" i="3" s="1"/>
  <c r="K106" i="3" s="1"/>
  <c r="E110" i="2"/>
  <c r="I110" i="2" s="1"/>
  <c r="K110" i="2" s="1"/>
  <c r="E110" i="3" s="1"/>
  <c r="I110" i="3" s="1"/>
  <c r="K110" i="3" s="1"/>
  <c r="E28" i="2"/>
  <c r="I28" i="2" s="1"/>
  <c r="K28" i="2" s="1"/>
  <c r="E30" i="3"/>
  <c r="I30" i="3" s="1"/>
  <c r="K30" i="3" s="1"/>
  <c r="D30" i="4" s="1"/>
  <c r="D32" i="4"/>
  <c r="H32" i="4" s="1"/>
  <c r="J32" i="4" s="1"/>
  <c r="D32" i="5" s="1"/>
  <c r="H32" i="5" s="1"/>
  <c r="J32" i="5" s="1"/>
  <c r="D32" i="6" s="1"/>
  <c r="J32" i="6" s="1"/>
  <c r="L32" i="6" s="1"/>
  <c r="D32" i="7" s="1"/>
  <c r="J32" i="7" s="1"/>
  <c r="L32" i="7" s="1"/>
  <c r="D32" i="8" s="1"/>
  <c r="J32" i="8" s="1"/>
  <c r="L32" i="8" s="1"/>
  <c r="D32" i="9" s="1"/>
  <c r="Z50" i="6"/>
  <c r="L33" i="6"/>
  <c r="D33" i="7" s="1"/>
  <c r="J33" i="7" s="1"/>
  <c r="L34" i="1"/>
  <c r="E34" i="2"/>
  <c r="I34" i="2" s="1"/>
  <c r="K34" i="2" s="1"/>
  <c r="E34" i="3" s="1"/>
  <c r="I34" i="3" s="1"/>
  <c r="K34" i="3" s="1"/>
  <c r="D34" i="4" s="1"/>
  <c r="H34" i="4" s="1"/>
  <c r="J34" i="4" s="1"/>
  <c r="D34" i="5" s="1"/>
  <c r="H34" i="5" s="1"/>
  <c r="J34" i="5" s="1"/>
  <c r="D34" i="6" s="1"/>
  <c r="J34" i="6" s="1"/>
  <c r="L34" i="6" s="1"/>
  <c r="D34" i="7" s="1"/>
  <c r="J34" i="7" s="1"/>
  <c r="L34" i="7" s="1"/>
  <c r="D34" i="8" s="1"/>
  <c r="J34" i="8" s="1"/>
  <c r="L34" i="8" s="1"/>
  <c r="D34" i="9" s="1"/>
  <c r="J34" i="9" s="1"/>
  <c r="L34" i="9" s="1"/>
  <c r="D34" i="10" s="1"/>
  <c r="E89" i="2"/>
  <c r="I89" i="2" s="1"/>
  <c r="K89" i="2" s="1"/>
  <c r="E7" i="2"/>
  <c r="I7" i="2" s="1"/>
  <c r="K7" i="2" s="1"/>
  <c r="E7" i="3" s="1"/>
  <c r="I7" i="3" s="1"/>
  <c r="K7" i="3" s="1"/>
  <c r="H21" i="5"/>
  <c r="J21" i="5" s="1"/>
  <c r="D21" i="6" s="1"/>
  <c r="M24" i="5"/>
  <c r="D77" i="3"/>
  <c r="J77" i="3" s="1"/>
  <c r="K23" i="3"/>
  <c r="D23" i="4" s="1"/>
  <c r="H23" i="4" s="1"/>
  <c r="J23" i="4" s="1"/>
  <c r="D23" i="5" s="1"/>
  <c r="H23" i="5" s="1"/>
  <c r="J23" i="5" s="1"/>
  <c r="D23" i="6" s="1"/>
  <c r="J23" i="6" s="1"/>
  <c r="O29" i="7"/>
  <c r="J27" i="7"/>
  <c r="L27" i="7" s="1"/>
  <c r="D27" i="8" s="1"/>
  <c r="J27" i="8" s="1"/>
  <c r="L27" i="8" s="1"/>
  <c r="D27" i="9" s="1"/>
  <c r="J27" i="9" s="1"/>
  <c r="L27" i="9" s="1"/>
  <c r="D27" i="10" s="1"/>
  <c r="I42" i="1"/>
  <c r="E121" i="2"/>
  <c r="I121" i="2" s="1"/>
  <c r="K121" i="2" s="1"/>
  <c r="E121" i="3" s="1"/>
  <c r="I121" i="3" s="1"/>
  <c r="K121" i="3" s="1"/>
  <c r="E39" i="2"/>
  <c r="I39" i="2" s="1"/>
  <c r="K39" i="2" s="1"/>
  <c r="Z49" i="6"/>
  <c r="L37" i="6"/>
  <c r="D37" i="7" s="1"/>
  <c r="J37" i="7" s="1"/>
  <c r="E50" i="12"/>
  <c r="H50" i="12" s="1"/>
  <c r="I35" i="2"/>
  <c r="K35" i="2" s="1"/>
  <c r="E35" i="3" s="1"/>
  <c r="I35" i="3" s="1"/>
  <c r="K35" i="3" s="1"/>
  <c r="D35" i="4" s="1"/>
  <c r="E11" i="2"/>
  <c r="I11" i="2" s="1"/>
  <c r="K11" i="2" s="1"/>
  <c r="E11" i="3" s="1"/>
  <c r="G40" i="1"/>
  <c r="K34" i="1"/>
  <c r="K40" i="1" s="1"/>
  <c r="I10" i="1"/>
  <c r="E10" i="2" s="1"/>
  <c r="I10" i="2" s="1"/>
  <c r="K10" i="2" s="1"/>
  <c r="E10" i="3" s="1"/>
  <c r="I10" i="3" s="1"/>
  <c r="C57" i="1"/>
  <c r="H19" i="25" l="1"/>
  <c r="I40" i="1"/>
  <c r="H36" i="12"/>
  <c r="J36" i="12" s="1"/>
  <c r="H15" i="12"/>
  <c r="J15" i="12" s="1"/>
  <c r="H8" i="12"/>
  <c r="J8" i="12" s="1"/>
  <c r="H13" i="12"/>
  <c r="J13" i="12" s="1"/>
  <c r="D25" i="13"/>
  <c r="H27" i="10"/>
  <c r="J27" i="10" s="1"/>
  <c r="H27" i="11" s="1"/>
  <c r="J27" i="11" s="1"/>
  <c r="D27" i="12" s="1"/>
  <c r="H27" i="12" s="1"/>
  <c r="J27" i="12" s="1"/>
  <c r="N36" i="10"/>
  <c r="H34" i="10"/>
  <c r="J34" i="10" s="1"/>
  <c r="D34" i="11" s="1"/>
  <c r="H6" i="5"/>
  <c r="J6" i="5" s="1"/>
  <c r="D6" i="6" s="1"/>
  <c r="N8" i="5"/>
  <c r="H25" i="13"/>
  <c r="D49" i="13" s="1"/>
  <c r="G49" i="13" s="1"/>
  <c r="J32" i="9"/>
  <c r="H30" i="4"/>
  <c r="J30" i="4" s="1"/>
  <c r="D30" i="5" s="1"/>
  <c r="H30" i="5" s="1"/>
  <c r="J30" i="5" s="1"/>
  <c r="D30" i="6" s="1"/>
  <c r="J30" i="6" s="1"/>
  <c r="L30" i="6" s="1"/>
  <c r="D30" i="7" s="1"/>
  <c r="J30" i="7" s="1"/>
  <c r="O46" i="7"/>
  <c r="L33" i="7"/>
  <c r="D33" i="8" s="1"/>
  <c r="J33" i="8" s="1"/>
  <c r="E123" i="3"/>
  <c r="I123" i="3" s="1"/>
  <c r="K123" i="3" s="1"/>
  <c r="E28" i="3"/>
  <c r="I28" i="3" s="1"/>
  <c r="K28" i="3" s="1"/>
  <c r="D28" i="4" s="1"/>
  <c r="H28" i="4" s="1"/>
  <c r="J28" i="4" s="1"/>
  <c r="D28" i="5" s="1"/>
  <c r="H28" i="5" s="1"/>
  <c r="J28" i="5" s="1"/>
  <c r="D28" i="6" s="1"/>
  <c r="J28" i="6" s="1"/>
  <c r="L28" i="6" s="1"/>
  <c r="D28" i="7" s="1"/>
  <c r="J28" i="7" s="1"/>
  <c r="L28" i="7" s="1"/>
  <c r="D28" i="8" s="1"/>
  <c r="J28" i="8" s="1"/>
  <c r="L28" i="8" s="1"/>
  <c r="D28" i="9" s="1"/>
  <c r="J28" i="9" s="1"/>
  <c r="L28" i="9" s="1"/>
  <c r="D28" i="10" s="1"/>
  <c r="Z55" i="6"/>
  <c r="Z57" i="6" s="1"/>
  <c r="T52" i="6" s="1"/>
  <c r="L23" i="6"/>
  <c r="D23" i="7" s="1"/>
  <c r="J23" i="7" s="1"/>
  <c r="C172" i="3"/>
  <c r="J70" i="3"/>
  <c r="K10" i="3"/>
  <c r="E40" i="2"/>
  <c r="O47" i="7"/>
  <c r="L37" i="7"/>
  <c r="D37" i="8" s="1"/>
  <c r="J37" i="8" s="1"/>
  <c r="E39" i="3"/>
  <c r="I39" i="3" s="1"/>
  <c r="K39" i="3" s="1"/>
  <c r="J21" i="6"/>
  <c r="L21" i="6" s="1"/>
  <c r="D21" i="7" s="1"/>
  <c r="J21" i="7" s="1"/>
  <c r="L21" i="7" s="1"/>
  <c r="D21" i="8" s="1"/>
  <c r="J21" i="8" s="1"/>
  <c r="L21" i="8" s="1"/>
  <c r="D21" i="9" s="1"/>
  <c r="J21" i="9" s="1"/>
  <c r="L21" i="9" s="1"/>
  <c r="D21" i="10" s="1"/>
  <c r="O25" i="6"/>
  <c r="L40" i="1"/>
  <c r="G62" i="1" s="1"/>
  <c r="J76" i="3"/>
  <c r="D84" i="3"/>
  <c r="L32" i="9"/>
  <c r="D24" i="5"/>
  <c r="H24" i="5" s="1"/>
  <c r="J24" i="5" s="1"/>
  <c r="D24" i="6" s="1"/>
  <c r="H35" i="4"/>
  <c r="J35" i="4" s="1"/>
  <c r="D35" i="5" s="1"/>
  <c r="K12" i="2"/>
  <c r="E12" i="3" s="1"/>
  <c r="C162" i="2"/>
  <c r="C174" i="3" s="1"/>
  <c r="I11" i="3"/>
  <c r="C60" i="1"/>
  <c r="G60" i="1"/>
  <c r="D63" i="1"/>
  <c r="I40" i="2"/>
  <c r="J19" i="25" l="1"/>
  <c r="N35" i="11"/>
  <c r="H34" i="11"/>
  <c r="J34" i="11" s="1"/>
  <c r="D34" i="12" s="1"/>
  <c r="D13" i="13"/>
  <c r="H13" i="13" s="1"/>
  <c r="J13" i="13" s="1"/>
  <c r="D13" i="14" s="1"/>
  <c r="H13" i="14" s="1"/>
  <c r="J13" i="14" s="1"/>
  <c r="H13" i="15" s="1"/>
  <c r="J13" i="15" s="1"/>
  <c r="D15" i="13"/>
  <c r="H15" i="13" s="1"/>
  <c r="J15" i="13" s="1"/>
  <c r="D15" i="14" s="1"/>
  <c r="H15" i="14" s="1"/>
  <c r="J15" i="14" s="1"/>
  <c r="D15" i="15" s="1"/>
  <c r="H15" i="15" s="1"/>
  <c r="J15" i="15" s="1"/>
  <c r="D15" i="16" s="1"/>
  <c r="H15" i="16" s="1"/>
  <c r="J15" i="16" s="1"/>
  <c r="D15" i="17" s="1"/>
  <c r="H15" i="17" s="1"/>
  <c r="J15" i="17" s="1"/>
  <c r="D27" i="13"/>
  <c r="H27" i="13" s="1"/>
  <c r="J27" i="13" s="1"/>
  <c r="D27" i="14" s="1"/>
  <c r="H27" i="14" s="1"/>
  <c r="D8" i="13"/>
  <c r="H8" i="13" s="1"/>
  <c r="J8" i="13" s="1"/>
  <c r="D8" i="14" s="1"/>
  <c r="H8" i="14" s="1"/>
  <c r="J8" i="14" s="1"/>
  <c r="D8" i="15" s="1"/>
  <c r="H8" i="15" s="1"/>
  <c r="J8" i="15" s="1"/>
  <c r="D8" i="16" s="1"/>
  <c r="H8" i="16" s="1"/>
  <c r="J8" i="16" s="1"/>
  <c r="D8" i="17" s="1"/>
  <c r="H8" i="17" s="1"/>
  <c r="J8" i="17" s="1"/>
  <c r="D8" i="18" s="1"/>
  <c r="H8" i="18" s="1"/>
  <c r="J8" i="18" s="1"/>
  <c r="D8" i="19" s="1"/>
  <c r="H8" i="19" s="1"/>
  <c r="J8" i="19" s="1"/>
  <c r="D8" i="20" s="1"/>
  <c r="H8" i="20" s="1"/>
  <c r="J8" i="20" s="1"/>
  <c r="D8" i="21" s="1"/>
  <c r="H8" i="21" s="1"/>
  <c r="J8" i="21" s="1"/>
  <c r="D8" i="22" s="1"/>
  <c r="H8" i="22" s="1"/>
  <c r="J8" i="22" s="1"/>
  <c r="D8" i="23" s="1"/>
  <c r="D36" i="13"/>
  <c r="H36" i="13" s="1"/>
  <c r="J36" i="13" s="1"/>
  <c r="D36" i="14" s="1"/>
  <c r="H36" i="14" s="1"/>
  <c r="J36" i="14" s="1"/>
  <c r="D36" i="15" s="1"/>
  <c r="H36" i="15" s="1"/>
  <c r="J36" i="15" s="1"/>
  <c r="D36" i="16" s="1"/>
  <c r="H36" i="16" s="1"/>
  <c r="J36" i="16" s="1"/>
  <c r="D36" i="17" s="1"/>
  <c r="H36" i="17" s="1"/>
  <c r="J36" i="17" s="1"/>
  <c r="D36" i="18" s="1"/>
  <c r="H36" i="18" s="1"/>
  <c r="J36" i="18" s="1"/>
  <c r="D36" i="19" s="1"/>
  <c r="H36" i="19" s="1"/>
  <c r="J36" i="19" s="1"/>
  <c r="D36" i="20" s="1"/>
  <c r="H36" i="20" s="1"/>
  <c r="J36" i="20" s="1"/>
  <c r="D36" i="21" s="1"/>
  <c r="H36" i="21" s="1"/>
  <c r="J36" i="21" s="1"/>
  <c r="D36" i="22" s="1"/>
  <c r="H36" i="22" s="1"/>
  <c r="J36" i="22" s="1"/>
  <c r="D36" i="23" s="1"/>
  <c r="J6" i="6"/>
  <c r="L6" i="6" s="1"/>
  <c r="D6" i="7" s="1"/>
  <c r="O9" i="6"/>
  <c r="H21" i="10"/>
  <c r="J21" i="10" s="1"/>
  <c r="D21" i="11" s="1"/>
  <c r="H28" i="10"/>
  <c r="J28" i="10" s="1"/>
  <c r="D28" i="11" s="1"/>
  <c r="H28" i="11" s="1"/>
  <c r="J28" i="11" s="1"/>
  <c r="D28" i="12" s="1"/>
  <c r="H28" i="12" s="1"/>
  <c r="J25" i="13"/>
  <c r="D25" i="14" s="1"/>
  <c r="H25" i="14" s="1"/>
  <c r="K40" i="2"/>
  <c r="G76" i="1"/>
  <c r="C62" i="1"/>
  <c r="C76" i="1" s="1"/>
  <c r="D83" i="1" s="1"/>
  <c r="L30" i="7"/>
  <c r="D30" i="8" s="1"/>
  <c r="J30" i="8" s="1"/>
  <c r="L30" i="8" s="1"/>
  <c r="D30" i="9" s="1"/>
  <c r="J30" i="9" s="1"/>
  <c r="L30" i="9" s="1"/>
  <c r="D30" i="10" s="1"/>
  <c r="D39" i="4"/>
  <c r="H39" i="4" s="1"/>
  <c r="J39" i="4" s="1"/>
  <c r="D38" i="5" s="1"/>
  <c r="H38" i="5" s="1"/>
  <c r="J38" i="5" s="1"/>
  <c r="D38" i="6" s="1"/>
  <c r="J38" i="6" s="1"/>
  <c r="L38" i="6" s="1"/>
  <c r="D38" i="7" s="1"/>
  <c r="J38" i="7" s="1"/>
  <c r="L38" i="7" s="1"/>
  <c r="D38" i="8" s="1"/>
  <c r="O52" i="7"/>
  <c r="O54" i="7" s="1"/>
  <c r="L23" i="7"/>
  <c r="D23" i="8" s="1"/>
  <c r="J23" i="8" s="1"/>
  <c r="L33" i="8"/>
  <c r="D33" i="9" s="1"/>
  <c r="J33" i="9" s="1"/>
  <c r="L33" i="9" s="1"/>
  <c r="D33" i="10" s="1"/>
  <c r="H33" i="10" s="1"/>
  <c r="F49" i="8"/>
  <c r="I49" i="8" s="1"/>
  <c r="L37" i="8"/>
  <c r="D37" i="9" s="1"/>
  <c r="J37" i="9" s="1"/>
  <c r="L37" i="9" s="1"/>
  <c r="D37" i="10" s="1"/>
  <c r="H37" i="10" s="1"/>
  <c r="F50" i="8"/>
  <c r="I50" i="8" s="1"/>
  <c r="J84" i="3"/>
  <c r="J85" i="3" s="1"/>
  <c r="D32" i="10"/>
  <c r="H32" i="10" s="1"/>
  <c r="J24" i="6"/>
  <c r="I12" i="3"/>
  <c r="K12" i="3" s="1"/>
  <c r="E40" i="3"/>
  <c r="I107" i="3"/>
  <c r="E135" i="3"/>
  <c r="K11" i="3"/>
  <c r="D76" i="1"/>
  <c r="H63" i="1"/>
  <c r="H76" i="1" s="1"/>
  <c r="H21" i="11" l="1"/>
  <c r="J21" i="11" s="1"/>
  <c r="D21" i="12" s="1"/>
  <c r="H21" i="12" s="1"/>
  <c r="J21" i="12" s="1"/>
  <c r="H8" i="23"/>
  <c r="J8" i="23" s="1"/>
  <c r="D8" i="24" s="1"/>
  <c r="H8" i="24" s="1"/>
  <c r="J8" i="24" s="1"/>
  <c r="D8" i="25" s="1"/>
  <c r="H8" i="25" s="1"/>
  <c r="J8" i="25" s="1"/>
  <c r="D15" i="18"/>
  <c r="H15" i="18" s="1"/>
  <c r="J15" i="18" s="1"/>
  <c r="D15" i="19" s="1"/>
  <c r="H15" i="19" s="1"/>
  <c r="J15" i="19" s="1"/>
  <c r="D15" i="20" s="1"/>
  <c r="H15" i="20" s="1"/>
  <c r="J15" i="20" s="1"/>
  <c r="D15" i="21" s="1"/>
  <c r="H15" i="21" s="1"/>
  <c r="J15" i="21" s="1"/>
  <c r="D15" i="22" s="1"/>
  <c r="H15" i="22" s="1"/>
  <c r="J15" i="22" s="1"/>
  <c r="D15" i="23" s="1"/>
  <c r="H15" i="23" s="1"/>
  <c r="J28" i="12"/>
  <c r="Q30" i="12"/>
  <c r="H36" i="23"/>
  <c r="J36" i="23" s="1"/>
  <c r="D36" i="24" s="1"/>
  <c r="H36" i="24" s="1"/>
  <c r="J36" i="24" s="1"/>
  <c r="D36" i="25" s="1"/>
  <c r="H36" i="25" s="1"/>
  <c r="J36" i="25" s="1"/>
  <c r="J25" i="14"/>
  <c r="D25" i="15" s="1"/>
  <c r="H25" i="15" s="1"/>
  <c r="J25" i="15" s="1"/>
  <c r="D25" i="16" s="1"/>
  <c r="H25" i="16" s="1"/>
  <c r="J25" i="16" s="1"/>
  <c r="D25" i="17" s="1"/>
  <c r="H25" i="17" s="1"/>
  <c r="J25" i="17" s="1"/>
  <c r="Q52" i="14"/>
  <c r="T52" i="14" s="1"/>
  <c r="J27" i="14"/>
  <c r="Q57" i="14"/>
  <c r="T57" i="14" s="1"/>
  <c r="D27" i="15"/>
  <c r="H27" i="15" s="1"/>
  <c r="J27" i="15" s="1"/>
  <c r="D28" i="13"/>
  <c r="H34" i="12"/>
  <c r="J34" i="12" s="1"/>
  <c r="N35" i="12"/>
  <c r="O7" i="7"/>
  <c r="J6" i="7"/>
  <c r="L6" i="7" s="1"/>
  <c r="D6" i="8" s="1"/>
  <c r="H30" i="10"/>
  <c r="J30" i="10" s="1"/>
  <c r="D30" i="11" s="1"/>
  <c r="H30" i="11" s="1"/>
  <c r="J30" i="11" s="1"/>
  <c r="D30" i="12" s="1"/>
  <c r="K76" i="1"/>
  <c r="I140" i="2" s="1"/>
  <c r="I155" i="2" s="1"/>
  <c r="K155" i="2" s="1"/>
  <c r="I153" i="3" s="1"/>
  <c r="I168" i="3" s="1"/>
  <c r="E76" i="1"/>
  <c r="C140" i="2" s="1"/>
  <c r="C155" i="2" s="1"/>
  <c r="E155" i="2" s="1"/>
  <c r="C153" i="3" s="1"/>
  <c r="J38" i="8"/>
  <c r="L38" i="8" s="1"/>
  <c r="D38" i="9" s="1"/>
  <c r="J38" i="9" s="1"/>
  <c r="L38" i="9" s="1"/>
  <c r="D38" i="10" s="1"/>
  <c r="P35" i="8"/>
  <c r="I40" i="3"/>
  <c r="L23" i="8"/>
  <c r="D23" i="9" s="1"/>
  <c r="J23" i="9" s="1"/>
  <c r="L23" i="9" s="1"/>
  <c r="D23" i="10" s="1"/>
  <c r="H23" i="10" s="1"/>
  <c r="F48" i="8"/>
  <c r="F168" i="2"/>
  <c r="K40" i="3"/>
  <c r="M42" i="3"/>
  <c r="J37" i="10"/>
  <c r="D37" i="11" s="1"/>
  <c r="H37" i="11" s="1"/>
  <c r="N51" i="10"/>
  <c r="Q51" i="10" s="1"/>
  <c r="J33" i="10"/>
  <c r="D33" i="11" s="1"/>
  <c r="H33" i="11" s="1"/>
  <c r="N52" i="10"/>
  <c r="Q52" i="10" s="1"/>
  <c r="L24" i="6"/>
  <c r="H35" i="5"/>
  <c r="H12" i="4"/>
  <c r="D40" i="4"/>
  <c r="K107" i="3"/>
  <c r="K135" i="3" s="1"/>
  <c r="I135" i="3"/>
  <c r="I58" i="2"/>
  <c r="I70" i="2" s="1"/>
  <c r="K70" i="2" s="1"/>
  <c r="I58" i="3" s="1"/>
  <c r="I84" i="3" s="1"/>
  <c r="N72" i="1"/>
  <c r="J15" i="23" l="1"/>
  <c r="D15" i="24" s="1"/>
  <c r="H15" i="24" s="1"/>
  <c r="J15" i="24" s="1"/>
  <c r="D15" i="25" s="1"/>
  <c r="H15" i="25" s="1"/>
  <c r="J15" i="25" s="1"/>
  <c r="J6" i="8"/>
  <c r="L6" i="8" s="1"/>
  <c r="D6" i="9" s="1"/>
  <c r="P8" i="8"/>
  <c r="H30" i="12"/>
  <c r="J30" i="12" s="1"/>
  <c r="D34" i="13"/>
  <c r="H38" i="10"/>
  <c r="J38" i="10" s="1"/>
  <c r="D38" i="11" s="1"/>
  <c r="H38" i="11" s="1"/>
  <c r="D21" i="13"/>
  <c r="H21" i="13" s="1"/>
  <c r="H28" i="13"/>
  <c r="J28" i="13" s="1"/>
  <c r="D28" i="14" s="1"/>
  <c r="H28" i="14" s="1"/>
  <c r="J28" i="14" s="1"/>
  <c r="D28" i="15" s="1"/>
  <c r="H28" i="15" s="1"/>
  <c r="J28" i="15" s="1"/>
  <c r="D28" i="16" s="1"/>
  <c r="H28" i="16" s="1"/>
  <c r="J28" i="16" s="1"/>
  <c r="D28" i="17" s="1"/>
  <c r="H28" i="17" s="1"/>
  <c r="J28" i="17" s="1"/>
  <c r="D28" i="18" s="1"/>
  <c r="H28" i="18" s="1"/>
  <c r="J28" i="18" s="1"/>
  <c r="D28" i="19" s="1"/>
  <c r="H28" i="19" s="1"/>
  <c r="J28" i="19" s="1"/>
  <c r="D28" i="20" s="1"/>
  <c r="H28" i="20" s="1"/>
  <c r="J28" i="20" s="1"/>
  <c r="D28" i="21" s="1"/>
  <c r="H28" i="21" s="1"/>
  <c r="J28" i="21" s="1"/>
  <c r="D28" i="22" s="1"/>
  <c r="H28" i="22" s="1"/>
  <c r="J28" i="22" s="1"/>
  <c r="D28" i="23" s="1"/>
  <c r="C58" i="2"/>
  <c r="C70" i="2" s="1"/>
  <c r="N80" i="1"/>
  <c r="J23" i="10"/>
  <c r="D23" i="11" s="1"/>
  <c r="H23" i="11" s="1"/>
  <c r="J23" i="11" s="1"/>
  <c r="D23" i="12" s="1"/>
  <c r="H23" i="12" s="1"/>
  <c r="N43" i="10"/>
  <c r="J33" i="11"/>
  <c r="D33" i="12" s="1"/>
  <c r="H33" i="12" s="1"/>
  <c r="E48" i="11"/>
  <c r="H48" i="11" s="1"/>
  <c r="J37" i="11"/>
  <c r="D37" i="12" s="1"/>
  <c r="H37" i="12" s="1"/>
  <c r="E47" i="11"/>
  <c r="H47" i="11" s="1"/>
  <c r="I48" i="8"/>
  <c r="I54" i="8" s="1"/>
  <c r="Q57" i="9" s="1"/>
  <c r="F54" i="8"/>
  <c r="J32" i="10"/>
  <c r="D32" i="11" s="1"/>
  <c r="H32" i="11" s="1"/>
  <c r="D24" i="7"/>
  <c r="J35" i="5"/>
  <c r="J12" i="4"/>
  <c r="D12" i="5" s="1"/>
  <c r="H40" i="4"/>
  <c r="E70" i="2"/>
  <c r="K84" i="3"/>
  <c r="H58" i="4" s="1"/>
  <c r="K168" i="3"/>
  <c r="H28" i="23" l="1"/>
  <c r="J28" i="23" s="1"/>
  <c r="D28" i="24" s="1"/>
  <c r="H28" i="24" s="1"/>
  <c r="J28" i="24" s="1"/>
  <c r="D28" i="25" s="1"/>
  <c r="H28" i="25" s="1"/>
  <c r="J28" i="25" s="1"/>
  <c r="J21" i="13"/>
  <c r="E45" i="11"/>
  <c r="J38" i="11"/>
  <c r="D38" i="12" s="1"/>
  <c r="J6" i="9"/>
  <c r="L6" i="9" s="1"/>
  <c r="D6" i="10" s="1"/>
  <c r="H34" i="13"/>
  <c r="J34" i="13" s="1"/>
  <c r="D34" i="14" s="1"/>
  <c r="H34" i="14" s="1"/>
  <c r="J34" i="14" s="1"/>
  <c r="H34" i="15" s="1"/>
  <c r="J34" i="15" s="1"/>
  <c r="D34" i="16" s="1"/>
  <c r="H34" i="16" s="1"/>
  <c r="J34" i="16" s="1"/>
  <c r="D34" i="17" s="1"/>
  <c r="H34" i="17" s="1"/>
  <c r="J34" i="17" s="1"/>
  <c r="D34" i="18" s="1"/>
  <c r="D30" i="13"/>
  <c r="H30" i="13" s="1"/>
  <c r="J30" i="13" s="1"/>
  <c r="D30" i="14" s="1"/>
  <c r="H30" i="14" s="1"/>
  <c r="J30" i="14" s="1"/>
  <c r="D30" i="15" s="1"/>
  <c r="H30" i="15" s="1"/>
  <c r="J30" i="15" s="1"/>
  <c r="D30" i="16" s="1"/>
  <c r="H30" i="16" s="1"/>
  <c r="J30" i="16" s="1"/>
  <c r="D30" i="17" s="1"/>
  <c r="H30" i="17" s="1"/>
  <c r="J30" i="17" s="1"/>
  <c r="D30" i="18" s="1"/>
  <c r="H30" i="18" s="1"/>
  <c r="J30" i="18" s="1"/>
  <c r="D30" i="19" s="1"/>
  <c r="H30" i="19" s="1"/>
  <c r="J30" i="19" s="1"/>
  <c r="D30" i="20" s="1"/>
  <c r="H30" i="20" s="1"/>
  <c r="J30" i="20" s="1"/>
  <c r="D30" i="21" s="1"/>
  <c r="H30" i="21" s="1"/>
  <c r="J30" i="21" s="1"/>
  <c r="D30" i="22" s="1"/>
  <c r="H12" i="5"/>
  <c r="D40" i="5"/>
  <c r="D35" i="6"/>
  <c r="J35" i="6" s="1"/>
  <c r="J37" i="12"/>
  <c r="E47" i="12"/>
  <c r="H47" i="12" s="1"/>
  <c r="E49" i="12"/>
  <c r="H49" i="12" s="1"/>
  <c r="J33" i="12"/>
  <c r="E43" i="12"/>
  <c r="J23" i="12"/>
  <c r="H45" i="11"/>
  <c r="E54" i="11"/>
  <c r="H54" i="11" s="1"/>
  <c r="J32" i="11"/>
  <c r="J24" i="7"/>
  <c r="H71" i="4"/>
  <c r="J71" i="4" s="1"/>
  <c r="H58" i="5" s="1"/>
  <c r="H71" i="5" s="1"/>
  <c r="J71" i="5" s="1"/>
  <c r="J59" i="6" s="1"/>
  <c r="M12" i="4"/>
  <c r="J40" i="4"/>
  <c r="C58" i="3"/>
  <c r="C84" i="3" s="1"/>
  <c r="E84" i="3" s="1"/>
  <c r="C168" i="3"/>
  <c r="E168" i="3" s="1"/>
  <c r="H34" i="18" l="1"/>
  <c r="J34" i="18" s="1"/>
  <c r="D34" i="19" s="1"/>
  <c r="H34" i="19" s="1"/>
  <c r="J34" i="19" s="1"/>
  <c r="D34" i="20" s="1"/>
  <c r="H34" i="20" s="1"/>
  <c r="J34" i="20" s="1"/>
  <c r="D34" i="21" s="1"/>
  <c r="H34" i="21" s="1"/>
  <c r="J34" i="21" s="1"/>
  <c r="D34" i="22" s="1"/>
  <c r="H34" i="22" s="1"/>
  <c r="J34" i="22" s="1"/>
  <c r="D34" i="23" s="1"/>
  <c r="H34" i="23" s="1"/>
  <c r="J34" i="23" s="1"/>
  <c r="D34" i="24" s="1"/>
  <c r="H34" i="24" s="1"/>
  <c r="J34" i="24" s="1"/>
  <c r="D34" i="25" s="1"/>
  <c r="H30" i="22"/>
  <c r="J30" i="22" s="1"/>
  <c r="D30" i="23" s="1"/>
  <c r="H30" i="23" s="1"/>
  <c r="J30" i="23" s="1"/>
  <c r="D30" i="24" s="1"/>
  <c r="H30" i="24" s="1"/>
  <c r="J30" i="24" s="1"/>
  <c r="D21" i="14"/>
  <c r="H21" i="14" s="1"/>
  <c r="J21" i="14" s="1"/>
  <c r="D21" i="15" s="1"/>
  <c r="H21" i="15" s="1"/>
  <c r="J21" i="15" s="1"/>
  <c r="D21" i="16" s="1"/>
  <c r="H21" i="16" s="1"/>
  <c r="J21" i="16" s="1"/>
  <c r="D21" i="17" s="1"/>
  <c r="H21" i="17" s="1"/>
  <c r="J21" i="17" s="1"/>
  <c r="D21" i="18" s="1"/>
  <c r="H21" i="18" s="1"/>
  <c r="J21" i="18" s="1"/>
  <c r="D21" i="19" s="1"/>
  <c r="H21" i="19" s="1"/>
  <c r="J21" i="19" s="1"/>
  <c r="D21" i="20" s="1"/>
  <c r="H21" i="20" s="1"/>
  <c r="J21" i="20" s="1"/>
  <c r="H6" i="10"/>
  <c r="D23" i="13"/>
  <c r="H23" i="13" s="1"/>
  <c r="J23" i="13" s="1"/>
  <c r="D23" i="14" s="1"/>
  <c r="H23" i="14" s="1"/>
  <c r="Q45" i="14" s="1"/>
  <c r="D33" i="13"/>
  <c r="H33" i="13" s="1"/>
  <c r="D48" i="13" s="1"/>
  <c r="G48" i="13" s="1"/>
  <c r="H38" i="12"/>
  <c r="J38" i="12" s="1"/>
  <c r="D37" i="13"/>
  <c r="H37" i="13" s="1"/>
  <c r="D46" i="13" s="1"/>
  <c r="G46" i="13" s="1"/>
  <c r="P36" i="6"/>
  <c r="L35" i="6"/>
  <c r="D35" i="7" s="1"/>
  <c r="J35" i="7" s="1"/>
  <c r="L35" i="7" s="1"/>
  <c r="D35" i="8" s="1"/>
  <c r="H43" i="12"/>
  <c r="J37" i="13"/>
  <c r="D37" i="14" s="1"/>
  <c r="H37" i="14" s="1"/>
  <c r="P67" i="14" s="1"/>
  <c r="J12" i="5"/>
  <c r="H40" i="5"/>
  <c r="D32" i="12"/>
  <c r="H32" i="12" s="1"/>
  <c r="L24" i="7"/>
  <c r="J72" i="6"/>
  <c r="L72" i="6" s="1"/>
  <c r="J59" i="7" s="1"/>
  <c r="B58" i="4"/>
  <c r="D30" i="25" l="1"/>
  <c r="H30" i="25" s="1"/>
  <c r="J30" i="25" s="1"/>
  <c r="H34" i="25"/>
  <c r="D42" i="13"/>
  <c r="D38" i="13"/>
  <c r="H38" i="13" s="1"/>
  <c r="T49" i="14"/>
  <c r="J37" i="14"/>
  <c r="D37" i="15" s="1"/>
  <c r="H37" i="15" s="1"/>
  <c r="T51" i="14"/>
  <c r="J23" i="14"/>
  <c r="D23" i="15" s="1"/>
  <c r="H23" i="15" s="1"/>
  <c r="J23" i="15" s="1"/>
  <c r="D23" i="16" s="1"/>
  <c r="H23" i="16" s="1"/>
  <c r="J23" i="16" s="1"/>
  <c r="D23" i="17" s="1"/>
  <c r="H23" i="17" s="1"/>
  <c r="J23" i="17" s="1"/>
  <c r="D23" i="18" s="1"/>
  <c r="H23" i="18" s="1"/>
  <c r="J23" i="18" s="1"/>
  <c r="D23" i="19" s="1"/>
  <c r="H23" i="19" s="1"/>
  <c r="J23" i="19" s="1"/>
  <c r="D23" i="20" s="1"/>
  <c r="H23" i="20" s="1"/>
  <c r="J23" i="20" s="1"/>
  <c r="D23" i="21" s="1"/>
  <c r="H23" i="21" s="1"/>
  <c r="J23" i="21" s="1"/>
  <c r="D23" i="22" s="1"/>
  <c r="H23" i="22" s="1"/>
  <c r="J23" i="22" s="1"/>
  <c r="D23" i="23" s="1"/>
  <c r="J6" i="10"/>
  <c r="D6" i="11" s="1"/>
  <c r="H6" i="11" s="1"/>
  <c r="J6" i="11" s="1"/>
  <c r="D6" i="12" s="1"/>
  <c r="J33" i="13"/>
  <c r="D33" i="14" s="1"/>
  <c r="H33" i="14" s="1"/>
  <c r="G42" i="13"/>
  <c r="C69" i="8"/>
  <c r="K69" i="8" s="1"/>
  <c r="J35" i="8"/>
  <c r="L35" i="8" s="1"/>
  <c r="D35" i="9" s="1"/>
  <c r="J35" i="9" s="1"/>
  <c r="L35" i="9" s="1"/>
  <c r="D35" i="10" s="1"/>
  <c r="D12" i="6"/>
  <c r="J40" i="5"/>
  <c r="J32" i="12"/>
  <c r="D24" i="8"/>
  <c r="J72" i="7"/>
  <c r="L72" i="7" s="1"/>
  <c r="J59" i="8" s="1"/>
  <c r="J72" i="8" s="1"/>
  <c r="B71" i="4"/>
  <c r="D71" i="4" s="1"/>
  <c r="B58" i="5" s="1"/>
  <c r="J34" i="25" l="1"/>
  <c r="H23" i="23"/>
  <c r="J23" i="23" s="1"/>
  <c r="D23" i="24" s="1"/>
  <c r="H23" i="24" s="1"/>
  <c r="J23" i="24" s="1"/>
  <c r="D23" i="25" s="1"/>
  <c r="H23" i="25" s="1"/>
  <c r="J23" i="25" s="1"/>
  <c r="J37" i="15"/>
  <c r="D37" i="16" s="1"/>
  <c r="H37" i="16" s="1"/>
  <c r="J37" i="16" s="1"/>
  <c r="D37" i="17" s="1"/>
  <c r="H37" i="17" s="1"/>
  <c r="J37" i="17" s="1"/>
  <c r="D37" i="18" s="1"/>
  <c r="H37" i="18" s="1"/>
  <c r="J37" i="18" s="1"/>
  <c r="D37" i="19" s="1"/>
  <c r="H37" i="19" s="1"/>
  <c r="J37" i="19" s="1"/>
  <c r="D37" i="20" s="1"/>
  <c r="H37" i="20" s="1"/>
  <c r="J37" i="20" s="1"/>
  <c r="D37" i="21" s="1"/>
  <c r="H37" i="21" s="1"/>
  <c r="J37" i="21" s="1"/>
  <c r="D37" i="22" s="1"/>
  <c r="H37" i="22" s="1"/>
  <c r="J37" i="22" s="1"/>
  <c r="D37" i="23" s="1"/>
  <c r="J33" i="14"/>
  <c r="C78" i="14"/>
  <c r="H35" i="10"/>
  <c r="J35" i="10" s="1"/>
  <c r="D35" i="11" s="1"/>
  <c r="H35" i="11" s="1"/>
  <c r="J35" i="11" s="1"/>
  <c r="D35" i="12" s="1"/>
  <c r="P9" i="12"/>
  <c r="H6" i="12"/>
  <c r="T45" i="14"/>
  <c r="D57" i="13"/>
  <c r="G57" i="13" s="1"/>
  <c r="J38" i="13"/>
  <c r="D38" i="14" s="1"/>
  <c r="H38" i="14" s="1"/>
  <c r="D32" i="13"/>
  <c r="J12" i="6"/>
  <c r="D40" i="6"/>
  <c r="C68" i="8"/>
  <c r="J24" i="8"/>
  <c r="B71" i="5"/>
  <c r="D71" i="5" s="1"/>
  <c r="B59" i="6" s="1"/>
  <c r="B72" i="6" s="1"/>
  <c r="H37" i="23" l="1"/>
  <c r="J37" i="23" s="1"/>
  <c r="D37" i="24" s="1"/>
  <c r="H37" i="24" s="1"/>
  <c r="J37" i="24" s="1"/>
  <c r="D37" i="25" s="1"/>
  <c r="H37" i="25" s="1"/>
  <c r="J37" i="25" s="1"/>
  <c r="J38" i="14"/>
  <c r="D38" i="15" s="1"/>
  <c r="H38" i="15" s="1"/>
  <c r="J38" i="15" s="1"/>
  <c r="D38" i="16" s="1"/>
  <c r="H38" i="16" s="1"/>
  <c r="J38" i="16" s="1"/>
  <c r="D38" i="17" s="1"/>
  <c r="H38" i="17" s="1"/>
  <c r="J38" i="17" s="1"/>
  <c r="D38" i="18" s="1"/>
  <c r="H38" i="18" s="1"/>
  <c r="J38" i="18" s="1"/>
  <c r="D38" i="19" s="1"/>
  <c r="H38" i="19" s="1"/>
  <c r="J38" i="19" s="1"/>
  <c r="D38" i="20" s="1"/>
  <c r="H38" i="20" s="1"/>
  <c r="J38" i="20" s="1"/>
  <c r="D38" i="21" s="1"/>
  <c r="H38" i="21" s="1"/>
  <c r="J38" i="21" s="1"/>
  <c r="D38" i="22" s="1"/>
  <c r="H38" i="22" s="1"/>
  <c r="J38" i="22" s="1"/>
  <c r="D38" i="23" s="1"/>
  <c r="Q60" i="14"/>
  <c r="T60" i="14" s="1"/>
  <c r="D33" i="15"/>
  <c r="H33" i="15" s="1"/>
  <c r="H35" i="12"/>
  <c r="J35" i="12" s="1"/>
  <c r="J6" i="12"/>
  <c r="H32" i="13"/>
  <c r="J32" i="13" s="1"/>
  <c r="D32" i="14" s="1"/>
  <c r="H32" i="14" s="1"/>
  <c r="J32" i="14" s="1"/>
  <c r="D32" i="15" s="1"/>
  <c r="H32" i="15" s="1"/>
  <c r="J32" i="15" s="1"/>
  <c r="D32" i="16" s="1"/>
  <c r="H32" i="16" s="1"/>
  <c r="J32" i="16" s="1"/>
  <c r="D32" i="17" s="1"/>
  <c r="H32" i="17" s="1"/>
  <c r="J32" i="17" s="1"/>
  <c r="D32" i="18" s="1"/>
  <c r="H32" i="18" s="1"/>
  <c r="J32" i="18" s="1"/>
  <c r="D32" i="19" s="1"/>
  <c r="H32" i="19" s="1"/>
  <c r="J32" i="19" s="1"/>
  <c r="D32" i="20" s="1"/>
  <c r="H32" i="20" s="1"/>
  <c r="J32" i="20" s="1"/>
  <c r="D32" i="21" s="1"/>
  <c r="H32" i="21" s="1"/>
  <c r="J32" i="21" s="1"/>
  <c r="D32" i="22" s="1"/>
  <c r="H32" i="22" s="1"/>
  <c r="J32" i="22" s="1"/>
  <c r="D32" i="23" s="1"/>
  <c r="L12" i="6"/>
  <c r="J40" i="6"/>
  <c r="D77" i="8"/>
  <c r="O64" i="8"/>
  <c r="O65" i="8" s="1"/>
  <c r="C72" i="8"/>
  <c r="K68" i="8"/>
  <c r="K72" i="8" s="1"/>
  <c r="D72" i="6"/>
  <c r="H32" i="23" l="1"/>
  <c r="J32" i="23" s="1"/>
  <c r="D32" i="24" s="1"/>
  <c r="H32" i="24" s="1"/>
  <c r="J32" i="24" s="1"/>
  <c r="D32" i="25" s="1"/>
  <c r="H32" i="25" s="1"/>
  <c r="J32" i="25" s="1"/>
  <c r="H38" i="23"/>
  <c r="J38" i="23" s="1"/>
  <c r="D38" i="24" s="1"/>
  <c r="H38" i="24" s="1"/>
  <c r="J38" i="24" s="1"/>
  <c r="D38" i="25" s="1"/>
  <c r="H38" i="25" s="1"/>
  <c r="J38" i="25" s="1"/>
  <c r="J33" i="15"/>
  <c r="D33" i="16" s="1"/>
  <c r="H33" i="16" s="1"/>
  <c r="J33" i="16" s="1"/>
  <c r="D33" i="17" s="1"/>
  <c r="H33" i="17" s="1"/>
  <c r="J33" i="17" s="1"/>
  <c r="P69" i="15"/>
  <c r="D35" i="13"/>
  <c r="H35" i="13" s="1"/>
  <c r="J35" i="13" s="1"/>
  <c r="D6" i="13"/>
  <c r="Q13" i="6"/>
  <c r="D12" i="7"/>
  <c r="L40" i="6"/>
  <c r="B59" i="7"/>
  <c r="B72" i="7" s="1"/>
  <c r="D72" i="7" s="1"/>
  <c r="B59" i="8" s="1"/>
  <c r="B72" i="8" s="1"/>
  <c r="D72" i="8" s="1"/>
  <c r="K73" i="8"/>
  <c r="L72" i="8"/>
  <c r="J59" i="9" s="1"/>
  <c r="J72" i="9" s="1"/>
  <c r="L72" i="9" s="1"/>
  <c r="D35" i="14" l="1"/>
  <c r="H35" i="14" s="1"/>
  <c r="J35" i="14" s="1"/>
  <c r="D35" i="15" s="1"/>
  <c r="H35" i="15" s="1"/>
  <c r="J35" i="15" s="1"/>
  <c r="D35" i="16" s="1"/>
  <c r="N38" i="13"/>
  <c r="H35" i="16"/>
  <c r="H6" i="13"/>
  <c r="J12" i="7"/>
  <c r="D40" i="7"/>
  <c r="B59" i="9"/>
  <c r="B72" i="9" s="1"/>
  <c r="D72" i="9" s="1"/>
  <c r="H61" i="10"/>
  <c r="H74" i="10" s="1"/>
  <c r="J74" i="10" s="1"/>
  <c r="H59" i="11" s="1"/>
  <c r="H72" i="11" s="1"/>
  <c r="J72" i="11" s="1"/>
  <c r="H59" i="12" s="1"/>
  <c r="H72" i="12" s="1"/>
  <c r="J72" i="12" s="1"/>
  <c r="J35" i="16" l="1"/>
  <c r="H64" i="13"/>
  <c r="H77" i="13" s="1"/>
  <c r="J77" i="13" s="1"/>
  <c r="H64" i="14" s="1"/>
  <c r="H78" i="14" s="1"/>
  <c r="J78" i="14" s="1"/>
  <c r="J6" i="13"/>
  <c r="L12" i="7"/>
  <c r="J40" i="7"/>
  <c r="E79" i="9"/>
  <c r="B61" i="10"/>
  <c r="B74" i="10" s="1"/>
  <c r="D74" i="10" s="1"/>
  <c r="D35" i="17" l="1"/>
  <c r="H35" i="17" s="1"/>
  <c r="H64" i="15"/>
  <c r="H78" i="15" s="1"/>
  <c r="J78" i="15" s="1"/>
  <c r="H64" i="16" s="1"/>
  <c r="H78" i="16" s="1"/>
  <c r="J78" i="16" s="1"/>
  <c r="H64" i="17" s="1"/>
  <c r="H79" i="17" s="1"/>
  <c r="J79" i="17" s="1"/>
  <c r="D6" i="14"/>
  <c r="H6" i="14" s="1"/>
  <c r="D12" i="8"/>
  <c r="L40" i="7"/>
  <c r="E81" i="10"/>
  <c r="B59" i="11"/>
  <c r="B72" i="11" s="1"/>
  <c r="D72" i="11" s="1"/>
  <c r="B59" i="12" s="1"/>
  <c r="B72" i="12" s="1"/>
  <c r="D72" i="12" s="1"/>
  <c r="H64" i="18" l="1"/>
  <c r="H78" i="18" s="1"/>
  <c r="J78" i="18" s="1"/>
  <c r="H64" i="19" s="1"/>
  <c r="H78" i="19" s="1"/>
  <c r="J78" i="19" s="1"/>
  <c r="H65" i="20" s="1"/>
  <c r="H79" i="20" s="1"/>
  <c r="J79" i="20" s="1"/>
  <c r="H65" i="21" s="1"/>
  <c r="H79" i="21" s="1"/>
  <c r="J79" i="21" s="1"/>
  <c r="H49" i="22" s="1"/>
  <c r="H63" i="22" s="1"/>
  <c r="J63" i="22" s="1"/>
  <c r="H49" i="23" s="1"/>
  <c r="H63" i="23" s="1"/>
  <c r="J63" i="23" s="1"/>
  <c r="H49" i="24" s="1"/>
  <c r="J6" i="14"/>
  <c r="B64" i="13"/>
  <c r="B77" i="13" s="1"/>
  <c r="D77" i="13" s="1"/>
  <c r="B64" i="14"/>
  <c r="J12" i="8"/>
  <c r="D40" i="8"/>
  <c r="H63" i="24" l="1"/>
  <c r="J63" i="24" s="1"/>
  <c r="H49" i="25" s="1"/>
  <c r="H63" i="25" s="1"/>
  <c r="J63" i="25" s="1"/>
  <c r="J35" i="17"/>
  <c r="B78" i="14"/>
  <c r="D78" i="14" s="1"/>
  <c r="B64" i="15" s="1"/>
  <c r="D6" i="15"/>
  <c r="H6" i="15" s="1"/>
  <c r="J6" i="15" s="1"/>
  <c r="L12" i="8"/>
  <c r="J40" i="8"/>
  <c r="D35" i="18" l="1"/>
  <c r="B78" i="15"/>
  <c r="D78" i="15" s="1"/>
  <c r="B64" i="16" s="1"/>
  <c r="B78" i="16" s="1"/>
  <c r="D78" i="16" s="1"/>
  <c r="B64" i="17" s="1"/>
  <c r="B79" i="17" s="1"/>
  <c r="D79" i="17" s="1"/>
  <c r="D12" i="9"/>
  <c r="L40" i="8"/>
  <c r="H35" i="18" l="1"/>
  <c r="J35" i="18" s="1"/>
  <c r="D35" i="19" s="1"/>
  <c r="H35" i="19" s="1"/>
  <c r="J35" i="19" s="1"/>
  <c r="J12" i="9"/>
  <c r="D40" i="9"/>
  <c r="L12" i="9" l="1"/>
  <c r="J40" i="9"/>
  <c r="D35" i="20" l="1"/>
  <c r="D12" i="10"/>
  <c r="H12" i="10" s="1"/>
  <c r="H40" i="10" s="1"/>
  <c r="L40" i="9"/>
  <c r="H35" i="20" l="1"/>
  <c r="D40" i="10"/>
  <c r="J35" i="20" l="1"/>
  <c r="J12" i="10"/>
  <c r="N49" i="10"/>
  <c r="D35" i="21" l="1"/>
  <c r="Q49" i="10"/>
  <c r="N56" i="10"/>
  <c r="Q56" i="10" s="1"/>
  <c r="D12" i="11"/>
  <c r="J40" i="10"/>
  <c r="H35" i="21" l="1"/>
  <c r="H12" i="11"/>
  <c r="D40" i="11"/>
  <c r="J35" i="21" l="1"/>
  <c r="J12" i="11"/>
  <c r="H40" i="11"/>
  <c r="D35" i="22" l="1"/>
  <c r="H35" i="22" s="1"/>
  <c r="J35" i="22" s="1"/>
  <c r="D35" i="23" s="1"/>
  <c r="H35" i="23" s="1"/>
  <c r="J35" i="23" s="1"/>
  <c r="D35" i="24" s="1"/>
  <c r="H35" i="24" s="1"/>
  <c r="J35" i="24" s="1"/>
  <c r="D35" i="25" s="1"/>
  <c r="H35" i="25" s="1"/>
  <c r="J35" i="25" s="1"/>
  <c r="D12" i="12"/>
  <c r="J40" i="11"/>
  <c r="D40" i="12" s="1"/>
  <c r="H12" i="12" l="1"/>
  <c r="H40" i="12" s="1"/>
  <c r="J12" i="12" l="1"/>
  <c r="E53" i="12"/>
  <c r="D12" i="13"/>
  <c r="H12" i="13" s="1"/>
  <c r="J40" i="12"/>
  <c r="H53" i="12" l="1"/>
  <c r="E54" i="12"/>
  <c r="H54" i="12" s="1"/>
  <c r="D52" i="13"/>
  <c r="H40" i="13"/>
  <c r="G52" i="13"/>
  <c r="D58" i="13"/>
  <c r="G58" i="13" s="1"/>
  <c r="D40" i="13"/>
  <c r="J12" i="13" l="1"/>
  <c r="J40" i="13" l="1"/>
  <c r="D12" i="14"/>
  <c r="D40" i="14" l="1"/>
  <c r="H12" i="14"/>
  <c r="Q55" i="14" l="1"/>
  <c r="P68" i="14"/>
  <c r="J12" i="14"/>
  <c r="H40" i="14"/>
  <c r="P75" i="14" l="1"/>
  <c r="R76" i="14" s="1"/>
  <c r="T55" i="14"/>
  <c r="Q61" i="14"/>
  <c r="T61" i="14" s="1"/>
  <c r="D12" i="15"/>
  <c r="J40" i="14"/>
  <c r="H12" i="15" l="1"/>
  <c r="P68" i="15" s="1"/>
  <c r="P72" i="15" s="1"/>
  <c r="D40" i="15"/>
  <c r="J12" i="15"/>
  <c r="H40" i="15" l="1"/>
  <c r="J40" i="15"/>
  <c r="D12" i="16"/>
  <c r="H6" i="18"/>
  <c r="J6" i="18" s="1"/>
  <c r="D6" i="19" l="1"/>
  <c r="H12" i="16"/>
  <c r="D40" i="16"/>
  <c r="H6" i="19" l="1"/>
  <c r="J12" i="16"/>
  <c r="H40" i="16"/>
  <c r="D12" i="17" l="1"/>
  <c r="J40" i="16"/>
  <c r="J6" i="19"/>
  <c r="D6" i="20" l="1"/>
  <c r="H12" i="17"/>
  <c r="D40" i="17"/>
  <c r="J12" i="17" l="1"/>
  <c r="H40" i="17"/>
  <c r="H6" i="20"/>
  <c r="J6" i="20" l="1"/>
  <c r="D12" i="18"/>
  <c r="J40" i="17"/>
  <c r="H12" i="18" l="1"/>
  <c r="D40" i="18"/>
  <c r="D6" i="21"/>
  <c r="H6" i="21" l="1"/>
  <c r="J12" i="18"/>
  <c r="P67" i="18"/>
  <c r="H40" i="18"/>
  <c r="P73" i="18" l="1"/>
  <c r="R73" i="18" s="1"/>
  <c r="R67" i="18"/>
  <c r="D12" i="19"/>
  <c r="J40" i="18"/>
  <c r="J6" i="21"/>
  <c r="D6" i="22" l="1"/>
  <c r="H12" i="19"/>
  <c r="D40" i="19"/>
  <c r="J12" i="19" l="1"/>
  <c r="H40" i="19"/>
  <c r="H6" i="22"/>
  <c r="J6" i="22" l="1"/>
  <c r="D12" i="20"/>
  <c r="J40" i="19"/>
  <c r="H12" i="20" l="1"/>
  <c r="D40" i="20"/>
  <c r="D6" i="23"/>
  <c r="H6" i="23" l="1"/>
  <c r="J12" i="20"/>
  <c r="P58" i="20"/>
  <c r="H40" i="20"/>
  <c r="P66" i="20" l="1"/>
  <c r="R58" i="20"/>
  <c r="D12" i="21"/>
  <c r="J40" i="20"/>
  <c r="J6" i="23"/>
  <c r="D6" i="24" s="1"/>
  <c r="H6" i="24" l="1"/>
  <c r="H12" i="21"/>
  <c r="D40" i="21"/>
  <c r="R74" i="20"/>
  <c r="S75" i="20" s="1"/>
  <c r="R66" i="20"/>
  <c r="Q70" i="20" s="1"/>
  <c r="J6" i="24" l="1"/>
  <c r="D6" i="25" s="1"/>
  <c r="J12" i="21"/>
  <c r="H40" i="21"/>
  <c r="H6" i="25" l="1"/>
  <c r="D12" i="22"/>
  <c r="J40" i="21"/>
  <c r="J6" i="25" l="1"/>
  <c r="H12" i="22"/>
  <c r="D40" i="22"/>
  <c r="J12" i="22" l="1"/>
  <c r="H40" i="22"/>
  <c r="D12" i="23" l="1"/>
  <c r="J40" i="22"/>
  <c r="D40" i="23" s="1"/>
  <c r="H12" i="23" l="1"/>
  <c r="H40" i="23" s="1"/>
  <c r="J12" i="23" l="1"/>
  <c r="J40" i="23" l="1"/>
  <c r="D12" i="24"/>
  <c r="H12" i="24" l="1"/>
  <c r="D40" i="24"/>
  <c r="J12" i="24" l="1"/>
  <c r="H40" i="24"/>
  <c r="J40" i="24" l="1"/>
  <c r="D12" i="25"/>
  <c r="H12" i="25" l="1"/>
  <c r="D40" i="25"/>
  <c r="J12" i="25" l="1"/>
  <c r="J40" i="25" s="1"/>
  <c r="H40" i="25"/>
</calcChain>
</file>

<file path=xl/sharedStrings.xml><?xml version="1.0" encoding="utf-8"?>
<sst xmlns="http://schemas.openxmlformats.org/spreadsheetml/2006/main" count="3637" uniqueCount="404">
  <si>
    <t xml:space="preserve">RENT STATEMENT </t>
  </si>
  <si>
    <t>FOR THE MONTH OF DECEMBER 2019</t>
  </si>
  <si>
    <t>NAME</t>
  </si>
  <si>
    <t>NO</t>
  </si>
  <si>
    <t>DEP BAL</t>
  </si>
  <si>
    <t>B/F</t>
  </si>
  <si>
    <t>RENT</t>
  </si>
  <si>
    <t>DUE BILL</t>
  </si>
  <si>
    <t>PAID</t>
  </si>
  <si>
    <t>BAL</t>
  </si>
  <si>
    <t xml:space="preserve">TOTAL </t>
  </si>
  <si>
    <t>SUMMARY</t>
  </si>
  <si>
    <t>EXPECTED</t>
  </si>
  <si>
    <t xml:space="preserve">DETAILS </t>
  </si>
  <si>
    <t xml:space="preserve">CR </t>
  </si>
  <si>
    <t>DR</t>
  </si>
  <si>
    <t>BL</t>
  </si>
  <si>
    <t>DECEMBER</t>
  </si>
  <si>
    <t>BF</t>
  </si>
  <si>
    <t>DEPOSIT</t>
  </si>
  <si>
    <t>COMM</t>
  </si>
  <si>
    <t>PAYMENTS</t>
  </si>
  <si>
    <t xml:space="preserve"> </t>
  </si>
  <si>
    <t>TOTAL</t>
  </si>
  <si>
    <t>PREPARED BY</t>
  </si>
  <si>
    <t>APPROVED BY</t>
  </si>
  <si>
    <t xml:space="preserve">RECEIVED  BY </t>
  </si>
  <si>
    <t>EDWARD MWIRIGI</t>
  </si>
  <si>
    <t>B 1</t>
  </si>
  <si>
    <t>B 2</t>
  </si>
  <si>
    <t>B 3</t>
  </si>
  <si>
    <t>B 10</t>
  </si>
  <si>
    <t>B 11</t>
  </si>
  <si>
    <t>B 12</t>
  </si>
  <si>
    <t>B 13</t>
  </si>
  <si>
    <t>B 14</t>
  </si>
  <si>
    <t>B 15</t>
  </si>
  <si>
    <t>A 18</t>
  </si>
  <si>
    <t>A 17</t>
  </si>
  <si>
    <t>A 16</t>
  </si>
  <si>
    <t>A 15</t>
  </si>
  <si>
    <t>A 14</t>
  </si>
  <si>
    <t>A 13</t>
  </si>
  <si>
    <t>A 12</t>
  </si>
  <si>
    <t>A 11</t>
  </si>
  <si>
    <t>A 10</t>
  </si>
  <si>
    <t>A 9</t>
  </si>
  <si>
    <t>A 8</t>
  </si>
  <si>
    <t>A 7</t>
  </si>
  <si>
    <t>A 5</t>
  </si>
  <si>
    <t>A 4</t>
  </si>
  <si>
    <t>A 2</t>
  </si>
  <si>
    <t>A 1</t>
  </si>
  <si>
    <t>A 6</t>
  </si>
  <si>
    <t>A 3</t>
  </si>
  <si>
    <t xml:space="preserve"> B 4</t>
  </si>
  <si>
    <t xml:space="preserve"> B  5</t>
  </si>
  <si>
    <t xml:space="preserve"> B 6</t>
  </si>
  <si>
    <t>B 7</t>
  </si>
  <si>
    <t>B  8</t>
  </si>
  <si>
    <t>B 9</t>
  </si>
  <si>
    <t>WILSON KANGETHE</t>
  </si>
  <si>
    <t>ARREARS</t>
  </si>
  <si>
    <t>WATER</t>
  </si>
  <si>
    <t>DENNIS OMORI</t>
  </si>
  <si>
    <t>ISAAC CARETAKER</t>
  </si>
  <si>
    <t>GEORGE OJODE</t>
  </si>
  <si>
    <t>VACCANT</t>
  </si>
  <si>
    <t>VINCENT LIPESA</t>
  </si>
  <si>
    <t>PHILIP ODUORI</t>
  </si>
  <si>
    <t>MOSES MWAU</t>
  </si>
  <si>
    <t>ALEX NYAGWESO</t>
  </si>
  <si>
    <t>PATRICK WACHIRA</t>
  </si>
  <si>
    <t>LYDIAH MUTHONI</t>
  </si>
  <si>
    <t>ERICK ENDENI</t>
  </si>
  <si>
    <t>NANCY OMBUYA</t>
  </si>
  <si>
    <t>MAXWEL MULWA</t>
  </si>
  <si>
    <t>LABAN NDUNGU</t>
  </si>
  <si>
    <t>TIMON ONDIEK</t>
  </si>
  <si>
    <t>PURITY GITONGA</t>
  </si>
  <si>
    <t>BETTY FRANCIS</t>
  </si>
  <si>
    <t>ERICK OKINYI</t>
  </si>
  <si>
    <t>SUSAN WAMBUI</t>
  </si>
  <si>
    <t>ALFRED KAUKA</t>
  </si>
  <si>
    <t>DAMARIS OMOLIO</t>
  </si>
  <si>
    <t>BENJAMIN MWANIKI</t>
  </si>
  <si>
    <t>CAROLINE MUTHONI</t>
  </si>
  <si>
    <t>AMOS MWANZA</t>
  </si>
  <si>
    <t>WINNIE ONYANGO</t>
  </si>
  <si>
    <t>FAITH JELAGAT</t>
  </si>
  <si>
    <t>LEWIS LISANZA</t>
  </si>
  <si>
    <t>ARREARS PAID</t>
  </si>
  <si>
    <t xml:space="preserve"> SAMUEL KOMBE</t>
  </si>
  <si>
    <t>MUM KALENI</t>
  </si>
  <si>
    <t>A</t>
  </si>
  <si>
    <t>B</t>
  </si>
  <si>
    <t>GARBAGE</t>
  </si>
  <si>
    <t>LL</t>
  </si>
  <si>
    <t>PHILLIP ODUORI</t>
  </si>
  <si>
    <t>WINNIE/ERICK</t>
  </si>
  <si>
    <t>LL200</t>
  </si>
  <si>
    <t>PAID  ON 7/12/2019</t>
  </si>
  <si>
    <t xml:space="preserve">EVICTION TRANSPORT </t>
  </si>
  <si>
    <t>KARIBA SAMUEL</t>
  </si>
  <si>
    <t>FLORENCE</t>
  </si>
  <si>
    <t>GRACE</t>
  </si>
  <si>
    <t>WATER+GARBAGE+ARREARS</t>
  </si>
  <si>
    <t>ALEX</t>
  </si>
  <si>
    <t>FOR THE MONTH OF JANUARY 2020</t>
  </si>
  <si>
    <t>WATTER</t>
  </si>
  <si>
    <t>NEW</t>
  </si>
  <si>
    <t>COMMISION</t>
  </si>
  <si>
    <t>BENJAMINI</t>
  </si>
  <si>
    <t>PAID ON 7/1</t>
  </si>
  <si>
    <t>PAID ON 8/1</t>
  </si>
  <si>
    <t>JANUARY</t>
  </si>
  <si>
    <t>DIRECT TO LL A15,A8</t>
  </si>
  <si>
    <t>MAUREEN</t>
  </si>
  <si>
    <t>FOR THE MONTH OF FEBRUARY 2020</t>
  </si>
  <si>
    <t>FEBRUARY</t>
  </si>
  <si>
    <t>LABAN</t>
  </si>
  <si>
    <t>GEORGE NJOROGE</t>
  </si>
  <si>
    <t>VACCATED ON DEPOSIT</t>
  </si>
  <si>
    <t xml:space="preserve">WATER DEPOSIT </t>
  </si>
  <si>
    <t>A10</t>
  </si>
  <si>
    <t>LETTING FEE</t>
  </si>
  <si>
    <t>WATER DEPOSIT</t>
  </si>
  <si>
    <t>DALMAS OMOLIO</t>
  </si>
  <si>
    <t>PHILLIP</t>
  </si>
  <si>
    <t>DAMARIS OMOLLIO</t>
  </si>
  <si>
    <t>NEW PAID LL</t>
  </si>
  <si>
    <t>LL 580</t>
  </si>
  <si>
    <t>PAID ON 7/1/2020</t>
  </si>
  <si>
    <t>DIRECT TO LL A5,A17</t>
  </si>
  <si>
    <t>DIRECT TO LL BAL NOT SENT</t>
  </si>
  <si>
    <t>DIRECT TO LL NOT SENT</t>
  </si>
  <si>
    <t>NO,B1,10,A4,A7</t>
  </si>
  <si>
    <t>B15</t>
  </si>
  <si>
    <t>ANASTANTIA MBITHI</t>
  </si>
  <si>
    <t>LL20000</t>
  </si>
  <si>
    <t>PAID ON 7/2/2020</t>
  </si>
  <si>
    <t>VINCENT A7</t>
  </si>
  <si>
    <t>VINCENT ARREARS A7</t>
  </si>
  <si>
    <t>PAID ON 10/2 WATER</t>
  </si>
  <si>
    <t>WATER DIFFERENCE</t>
  </si>
  <si>
    <t>LABAN A17 VACCATED</t>
  </si>
  <si>
    <t>LL6220</t>
  </si>
  <si>
    <t>REFUNDED</t>
  </si>
  <si>
    <t>DIRECT TO LL</t>
  </si>
  <si>
    <t>DIFFERENCE</t>
  </si>
  <si>
    <t>DENNIS OMANYI</t>
  </si>
  <si>
    <t>DALMUS KIRANGA</t>
  </si>
  <si>
    <t xml:space="preserve"> LL</t>
  </si>
  <si>
    <t>TOTAL BALANCE</t>
  </si>
  <si>
    <t>LABAN &amp; A10</t>
  </si>
  <si>
    <t>WAMBUI</t>
  </si>
  <si>
    <t>HILLARY</t>
  </si>
  <si>
    <t>A1O</t>
  </si>
  <si>
    <t>LABAN  A17 VACCATED</t>
  </si>
  <si>
    <t>A10 HILLARY</t>
  </si>
  <si>
    <t>A15 NANCY</t>
  </si>
  <si>
    <t>A18 TIMON</t>
  </si>
  <si>
    <t>B4  SUSAN</t>
  </si>
  <si>
    <t>A1 WISON (JAN)</t>
  </si>
  <si>
    <t>B14 KARIBA</t>
  </si>
  <si>
    <t>A10(JAN)</t>
  </si>
  <si>
    <t>VINCENT</t>
  </si>
  <si>
    <t>FROM EDWARD</t>
  </si>
  <si>
    <t>FOR THE MONTH OF MARCH  2020</t>
  </si>
  <si>
    <t>MARCH</t>
  </si>
  <si>
    <t>LAISER SHIMULI</t>
  </si>
  <si>
    <t>PAID ON 7/3</t>
  </si>
  <si>
    <t>ALEX A11</t>
  </si>
  <si>
    <t>vaccant</t>
  </si>
  <si>
    <t>APRIL</t>
  </si>
  <si>
    <t>FOR THE MONTH OF APRIL  2020</t>
  </si>
  <si>
    <t>ERICK IDAKI</t>
  </si>
  <si>
    <t>PAID ON 9/4/2020</t>
  </si>
  <si>
    <t>JANNIFFER MUNEE</t>
  </si>
  <si>
    <t>GILBERT NYAMEYIO</t>
  </si>
  <si>
    <t>JANIFFER MUNEE</t>
  </si>
  <si>
    <t>GILBERT NYAMEIYO</t>
  </si>
  <si>
    <t>"</t>
  </si>
  <si>
    <t>B3</t>
  </si>
  <si>
    <t>B6</t>
  </si>
  <si>
    <t>A5</t>
  </si>
  <si>
    <t>A18</t>
  </si>
  <si>
    <t>TIMON</t>
  </si>
  <si>
    <t>DALMUS</t>
  </si>
  <si>
    <t>ERICK</t>
  </si>
  <si>
    <t>A14</t>
  </si>
  <si>
    <t>PAID ON 9/5</t>
  </si>
  <si>
    <t>B10</t>
  </si>
  <si>
    <t>B14</t>
  </si>
  <si>
    <t>A7</t>
  </si>
  <si>
    <t>JANNIFFER</t>
  </si>
  <si>
    <t>KARIBA</t>
  </si>
  <si>
    <t>CAROLINE</t>
  </si>
  <si>
    <t>SENT TO WRONG NO.BY CARETAKER</t>
  </si>
  <si>
    <t>MAY</t>
  </si>
  <si>
    <t>FOR THE MONTH OF MAY  2020</t>
  </si>
  <si>
    <t>VINCENT  CASE</t>
  </si>
  <si>
    <t>FILLING</t>
  </si>
  <si>
    <t>ADVOCATE</t>
  </si>
  <si>
    <t>WILLSON KAGETHE</t>
  </si>
  <si>
    <t>A1</t>
  </si>
  <si>
    <t>from edward</t>
  </si>
  <si>
    <t>B 16</t>
  </si>
  <si>
    <t>FOR THE MONTH OF JUNE 2020</t>
  </si>
  <si>
    <t>JUNE</t>
  </si>
  <si>
    <t>BAL TO DATE</t>
  </si>
  <si>
    <t>vincent case</t>
  </si>
  <si>
    <t>(server)</t>
  </si>
  <si>
    <t>TO BE REFUNDED</t>
  </si>
  <si>
    <t>PAID ON 9/6/2020</t>
  </si>
  <si>
    <t>VINCENT CASE (SERVER)</t>
  </si>
  <si>
    <t>B2 BETTY</t>
  </si>
  <si>
    <t>A5 DALMUS</t>
  </si>
  <si>
    <t xml:space="preserve">B10 CAROLINE </t>
  </si>
  <si>
    <t>A17 DENNIS</t>
  </si>
  <si>
    <t>A14 JENNIFFER</t>
  </si>
  <si>
    <t>A7 VINCENT</t>
  </si>
  <si>
    <t>B6PHILLIP</t>
  </si>
  <si>
    <t>JULY</t>
  </si>
  <si>
    <t>FOR THE MONTH OF JULY 2020</t>
  </si>
  <si>
    <t>RODA NJERI</t>
  </si>
  <si>
    <t>ANASTANTIA</t>
  </si>
  <si>
    <t>ERICK B3</t>
  </si>
  <si>
    <t>EVICTED</t>
  </si>
  <si>
    <t>ERICK OMONDI B12 EVICTED</t>
  </si>
  <si>
    <t>SERVICE COST</t>
  </si>
  <si>
    <t>PAID ON 9/7</t>
  </si>
  <si>
    <t>DENNIS A17</t>
  </si>
  <si>
    <t>PHILLIPHB6</t>
  </si>
  <si>
    <t>ERICK OKINIB3</t>
  </si>
  <si>
    <t>DALMUSA5</t>
  </si>
  <si>
    <t>TIMONA18</t>
  </si>
  <si>
    <t>CAROLINEB10</t>
  </si>
  <si>
    <t>SAMUELB14</t>
  </si>
  <si>
    <t>BETTYB2</t>
  </si>
  <si>
    <t>JANNIFFER A14</t>
  </si>
  <si>
    <t>PURITY B1 EVICTED</t>
  </si>
  <si>
    <t>FOR THE MONTH OF AUGUST 2020</t>
  </si>
  <si>
    <t>AUGUST</t>
  </si>
  <si>
    <t>MRS EDWARD</t>
  </si>
  <si>
    <t>SAMWEL SANKALE</t>
  </si>
  <si>
    <t>VACCATED</t>
  </si>
  <si>
    <t>PAID ON 10/8</t>
  </si>
  <si>
    <t>B2BETTY</t>
  </si>
  <si>
    <t>B3 ERICK</t>
  </si>
  <si>
    <t>B10CAROLINE</t>
  </si>
  <si>
    <t>B14KARIBA</t>
  </si>
  <si>
    <t>A5DALMUS</t>
  </si>
  <si>
    <t>A14JANNIFFER</t>
  </si>
  <si>
    <t>A18TIMON</t>
  </si>
  <si>
    <t>A15NANCY</t>
  </si>
  <si>
    <t>B15 ANASTATIA</t>
  </si>
  <si>
    <t>B6 PHILLIP</t>
  </si>
  <si>
    <t>SEPTEMBER</t>
  </si>
  <si>
    <t>FOR THE MONTH OF SEPTEMBER 2020</t>
  </si>
  <si>
    <t>SAVIOUR MURITHI</t>
  </si>
  <si>
    <t>THOMAS</t>
  </si>
  <si>
    <t>KEVIN</t>
  </si>
  <si>
    <t>MAUREEN/DARIUS</t>
  </si>
  <si>
    <t>PAID ON 9/9</t>
  </si>
  <si>
    <t>CR</t>
  </si>
  <si>
    <t>TO PAY FROM OCT</t>
  </si>
  <si>
    <t>TIMON A18</t>
  </si>
  <si>
    <t>ERICK OKINYI B3</t>
  </si>
  <si>
    <t>DALMAS A5</t>
  </si>
  <si>
    <t>SAMUEL B14</t>
  </si>
  <si>
    <t>PHILLIPH B6</t>
  </si>
  <si>
    <t>BETTY B2</t>
  </si>
  <si>
    <t>SUSAN</t>
  </si>
  <si>
    <t>SALE OF WOOFER</t>
  </si>
  <si>
    <t>A7 KEVIN</t>
  </si>
  <si>
    <t>THOMAS B1</t>
  </si>
  <si>
    <t>FOR THE MONTH OF OCTOBER 2020</t>
  </si>
  <si>
    <t>OCTOBER</t>
  </si>
  <si>
    <t>KARIBA B14</t>
  </si>
  <si>
    <t>CAROLINE B10</t>
  </si>
  <si>
    <t>PAID ON 9/10</t>
  </si>
  <si>
    <t>ANASTATIA B15</t>
  </si>
  <si>
    <t>SAVIOURA9</t>
  </si>
  <si>
    <t>JULIUS KIIGE</t>
  </si>
  <si>
    <t>NOVEMBER</t>
  </si>
  <si>
    <t>FOR THE MONTH OF NOVEMBER 2020</t>
  </si>
  <si>
    <t>PAID ON 10/11</t>
  </si>
  <si>
    <t>caroline</t>
  </si>
  <si>
    <t>betty</t>
  </si>
  <si>
    <t>NANCY A15</t>
  </si>
  <si>
    <t>FOR THE MONTH OF DECEMBER 2020</t>
  </si>
  <si>
    <t>DALMUS A5</t>
  </si>
  <si>
    <t>KEVIN A7</t>
  </si>
  <si>
    <t>PAID ON 9/12</t>
  </si>
  <si>
    <t>SANKALE B12</t>
  </si>
  <si>
    <t>DAVID B4</t>
  </si>
  <si>
    <t>A9</t>
  </si>
  <si>
    <t>SAVIOUR A12</t>
  </si>
  <si>
    <t>FOR THE MONTH OF JANUARY 2021</t>
  </si>
  <si>
    <t>DAVID</t>
  </si>
  <si>
    <t>PAID ON 11/1</t>
  </si>
  <si>
    <t>BABA BRIAN</t>
  </si>
  <si>
    <t>LL570</t>
  </si>
  <si>
    <t>A4</t>
  </si>
  <si>
    <t>B4</t>
  </si>
  <si>
    <t>FOR THE MONTH OF FEBRUARY 2021</t>
  </si>
  <si>
    <t>OKINYI</t>
  </si>
  <si>
    <t>ASSETFLOW</t>
  </si>
  <si>
    <t>A16 MAXWEL</t>
  </si>
  <si>
    <t>B11GEORGE</t>
  </si>
  <si>
    <t>PAID TO LL</t>
  </si>
  <si>
    <t>A16</t>
  </si>
  <si>
    <t>B1THOMAS</t>
  </si>
  <si>
    <t>PAID ON 4/2</t>
  </si>
  <si>
    <t>HILLARY NYOKIE</t>
  </si>
  <si>
    <t>SAVIOUR MURIITHI</t>
  </si>
  <si>
    <t>FREDRICK</t>
  </si>
  <si>
    <t>SAVIOUR</t>
  </si>
  <si>
    <t>A12</t>
  </si>
  <si>
    <t>A4 JEMIMA</t>
  </si>
  <si>
    <t>JEMIMAH</t>
  </si>
  <si>
    <t>JEMIMA  WEKESA</t>
  </si>
  <si>
    <t>PAID ON 9/2</t>
  </si>
  <si>
    <t>PAID TO LL JAN</t>
  </si>
  <si>
    <t xml:space="preserve">REFUNDED </t>
  </si>
  <si>
    <t xml:space="preserve"> ASSETFLOW JAN   REFUNDED TO LL</t>
  </si>
  <si>
    <t>PAID TO LL FEB TO BE REFUNDED</t>
  </si>
  <si>
    <t>KARIBA B10</t>
  </si>
  <si>
    <t>PHILLIPH A4</t>
  </si>
  <si>
    <t>ENOCK</t>
  </si>
  <si>
    <t xml:space="preserve">DAVID </t>
  </si>
  <si>
    <t>DORCAS MOYAKE</t>
  </si>
  <si>
    <t>PAID ON 9/3</t>
  </si>
  <si>
    <t>FOR THE MONTH OF MARCH 2021</t>
  </si>
  <si>
    <t>LL WATER</t>
  </si>
  <si>
    <t>DALMUS PAID LL</t>
  </si>
  <si>
    <t>ANNASTATIA</t>
  </si>
  <si>
    <t>REUBEN TARURU</t>
  </si>
  <si>
    <t>TO BE REFUNDED TO ASSETFLOW</t>
  </si>
  <si>
    <t>FOR THE MONTH OF APRIL 2021</t>
  </si>
  <si>
    <t>REUBEN A12</t>
  </si>
  <si>
    <t>PAID TO ASSETFLOW</t>
  </si>
  <si>
    <t>KELVIN A7</t>
  </si>
  <si>
    <t>B6 WATER</t>
  </si>
  <si>
    <t>B6 WATER GILBERT</t>
  </si>
  <si>
    <t>PAID ON 8/4</t>
  </si>
  <si>
    <t>SIMON DOUGLAS</t>
  </si>
  <si>
    <t>FOR THE MONTH OF MAY 2021</t>
  </si>
  <si>
    <t>MARTIN/MANDERA</t>
  </si>
  <si>
    <t>0702836934/0705484985</t>
  </si>
  <si>
    <t>PAID TO</t>
  </si>
  <si>
    <t>A9 SIMON</t>
  </si>
  <si>
    <t>OVERPAYMENT</t>
  </si>
  <si>
    <t>AI DORCAS</t>
  </si>
  <si>
    <t>A8 DAVID</t>
  </si>
  <si>
    <t>B12SAMWELWATER</t>
  </si>
  <si>
    <t>PAID ON 8/5</t>
  </si>
  <si>
    <t>FOR THE MONTH OF JUNE 2021</t>
  </si>
  <si>
    <t>MARTINA12</t>
  </si>
  <si>
    <t>PAID TO LL MAY TO BE REFUNDED</t>
  </si>
  <si>
    <t>PAID ON 9/6</t>
  </si>
  <si>
    <t>FOR THE MONTH OF JULY 2021</t>
  </si>
  <si>
    <t>B12APRIL WATER</t>
  </si>
  <si>
    <t>DALMUS KIRANGA LL</t>
  </si>
  <si>
    <t>LL1000</t>
  </si>
  <si>
    <t>PAID ON 8/7</t>
  </si>
  <si>
    <t>B12 SAMWEL WATER</t>
  </si>
  <si>
    <t>MAXWEL MULWA A16 WATER</t>
  </si>
  <si>
    <t>SIMON</t>
  </si>
  <si>
    <t>PAID TO LL JULY TO BE REFUNDED</t>
  </si>
  <si>
    <t xml:space="preserve">A8 DAVID </t>
  </si>
  <si>
    <t>DAVID A8 VACCATED</t>
  </si>
  <si>
    <t>PAID BY LL</t>
  </si>
  <si>
    <t>BALANCE</t>
  </si>
  <si>
    <t>FOR THE MONTH OF AUGUST 2021</t>
  </si>
  <si>
    <t>CATHERINE NGATIA</t>
  </si>
  <si>
    <t>PAID ON 7/8</t>
  </si>
  <si>
    <t>AORON MBURU</t>
  </si>
  <si>
    <t>FRED</t>
  </si>
  <si>
    <t>SEPT</t>
  </si>
  <si>
    <t>PAID ON 8/9</t>
  </si>
  <si>
    <t>FOR THE MONTH OF OCT 2021</t>
  </si>
  <si>
    <t>OCT</t>
  </si>
  <si>
    <t>PAID ON 28/9</t>
  </si>
  <si>
    <t>LUCY PARKINYARO</t>
  </si>
  <si>
    <t>NEW/MELVIN</t>
  </si>
  <si>
    <t>NEW/ISAIAH</t>
  </si>
  <si>
    <t>FOR THE MONTH OF NOVEMBER 2021</t>
  </si>
  <si>
    <t>NOV</t>
  </si>
  <si>
    <t>NJERI RHODAH</t>
  </si>
  <si>
    <t>ANDREW</t>
  </si>
  <si>
    <t>PAID T0 LL MARCH 2022</t>
  </si>
  <si>
    <t>FREDDY/BRIAN AMBANI</t>
  </si>
  <si>
    <t>PAID ON 9/11</t>
  </si>
  <si>
    <t>FOR THE MONTH OF DECEMBER 2021</t>
  </si>
  <si>
    <t>JUSTINE MACHUKI</t>
  </si>
  <si>
    <t>COLLINS PETER</t>
  </si>
  <si>
    <t>DANIEL OCHIENG</t>
  </si>
  <si>
    <t>EUNICE ZEPEKIAH</t>
  </si>
  <si>
    <t>/MELVIN</t>
  </si>
  <si>
    <t>LL6900</t>
  </si>
  <si>
    <t>BETTY PAID LL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</si>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</sst>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#,##0.00;\-#,##0.00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8"/>
      <color theme="1"/>
      <name val="Times New Roman"/>
      <family val="1"/>
    </font>
    <font>
      <b/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sz val="8"/>
      <color theme="1"/>
      <name val="Times New Roman"/>
      <family val="1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name val="Times New Roman"/>
      <family val="1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8"/>
      <name val="Arial"/>
      <family val="2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u/>
      <sz val="8"/>
      <name val="Times New Roman"/>
      <family val="1"/>
    </font>
    <font>
      <b/>
      <sz val="8"/>
      <name val="Times New Roman"/>
      <family val="1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rgb="FFFF0000"/>
      <name val="Times New Roman"/>
      <family val="1"/>
    </font>
    <font>
      <i/>
      <sz val="11"/>
      <color rgb="FFFF0000"/>
      <name val="Calibri"/>
      <family val="2"/>
      <scheme val="minor"/>
    </font>
    <font>
      <sz val="12"/>
      <color rgb="FF00B0F0"/>
      <name val="Calibri"/>
      <family val="2"/>
      <scheme val="minor"/>
    </font>
    <font>
      <b/>
      <u/>
      <sz val="12"/>
      <name val="Times New Roman"/>
      <family val="1"/>
    </font>
    <font>
      <b/>
      <sz val="12"/>
      <name val="Times New Roman"/>
      <family val="1"/>
    </font>
    <font>
      <sz val="12"/>
      <color rgb="FFFF0000"/>
      <name val="Calibri"/>
      <family val="2"/>
      <scheme val="minor"/>
    </font>
    <font>
      <sz val="12"/>
      <name val="Times New Roman"/>
      <family val="1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9">
    <xf numFmtId="0" fontId="0" fillId="0" borderId="0" xfId="0"/>
    <xf numFmtId="0" fontId="2" fillId="0" borderId="1" xfId="0" applyFont="1" applyBorder="1"/>
    <xf numFmtId="0" fontId="2" fillId="0" borderId="1" xfId="0" applyFont="1" applyFill="1" applyBorder="1"/>
    <xf numFmtId="43" fontId="2" fillId="0" borderId="1" xfId="1" applyFont="1" applyBorder="1" applyAlignment="1">
      <alignment horizontal="left"/>
    </xf>
    <xf numFmtId="0" fontId="3" fillId="0" borderId="0" xfId="0" applyFont="1"/>
    <xf numFmtId="3" fontId="0" fillId="0" borderId="0" xfId="0" applyNumberFormat="1"/>
    <xf numFmtId="0" fontId="3" fillId="0" borderId="1" xfId="0" applyFont="1" applyBorder="1"/>
    <xf numFmtId="0" fontId="0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8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10" fillId="0" borderId="2" xfId="0" applyFont="1" applyBorder="1"/>
    <xf numFmtId="0" fontId="10" fillId="0" borderId="1" xfId="0" applyFont="1" applyBorder="1" applyAlignment="1">
      <alignment horizontal="right"/>
    </xf>
    <xf numFmtId="164" fontId="10" fillId="0" borderId="1" xfId="1" applyNumberFormat="1" applyFont="1" applyBorder="1" applyAlignment="1">
      <alignment horizontal="right"/>
    </xf>
    <xf numFmtId="164" fontId="10" fillId="0" borderId="6" xfId="0" applyNumberFormat="1" applyFont="1" applyBorder="1" applyAlignment="1">
      <alignment horizontal="right"/>
    </xf>
    <xf numFmtId="164" fontId="10" fillId="0" borderId="1" xfId="0" applyNumberFormat="1" applyFont="1" applyBorder="1" applyAlignment="1">
      <alignment horizontal="right"/>
    </xf>
    <xf numFmtId="164" fontId="11" fillId="0" borderId="1" xfId="1" applyNumberFormat="1" applyFont="1" applyBorder="1" applyAlignment="1">
      <alignment horizontal="right"/>
    </xf>
    <xf numFmtId="0" fontId="2" fillId="0" borderId="3" xfId="0" applyFont="1" applyFill="1" applyBorder="1"/>
    <xf numFmtId="0" fontId="0" fillId="0" borderId="3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164" fontId="11" fillId="0" borderId="2" xfId="1" applyNumberFormat="1" applyFont="1" applyBorder="1" applyAlignment="1">
      <alignment horizontal="right"/>
    </xf>
    <xf numFmtId="0" fontId="10" fillId="0" borderId="4" xfId="0" applyFont="1" applyBorder="1" applyAlignment="1">
      <alignment horizontal="center"/>
    </xf>
    <xf numFmtId="0" fontId="10" fillId="0" borderId="2" xfId="0" applyFont="1" applyBorder="1" applyAlignment="1">
      <alignment horizontal="right"/>
    </xf>
    <xf numFmtId="0" fontId="12" fillId="0" borderId="1" xfId="0" applyFont="1" applyBorder="1"/>
    <xf numFmtId="164" fontId="13" fillId="0" borderId="2" xfId="0" applyNumberFormat="1" applyFont="1" applyBorder="1" applyAlignment="1">
      <alignment horizontal="right"/>
    </xf>
    <xf numFmtId="49" fontId="14" fillId="0" borderId="0" xfId="1" applyNumberFormat="1" applyFont="1" applyBorder="1" applyAlignment="1">
      <alignment horizontal="right"/>
    </xf>
    <xf numFmtId="49" fontId="14" fillId="0" borderId="0" xfId="0" applyNumberFormat="1" applyFont="1" applyBorder="1" applyAlignment="1">
      <alignment horizontal="right"/>
    </xf>
    <xf numFmtId="0" fontId="4" fillId="0" borderId="0" xfId="0" applyFont="1" applyBorder="1"/>
    <xf numFmtId="4" fontId="4" fillId="0" borderId="0" xfId="0" applyNumberFormat="1" applyFont="1" applyBorder="1"/>
    <xf numFmtId="165" fontId="14" fillId="0" borderId="0" xfId="0" applyNumberFormat="1" applyFont="1" applyBorder="1"/>
    <xf numFmtId="0" fontId="4" fillId="0" borderId="0" xfId="0" applyFont="1"/>
    <xf numFmtId="0" fontId="4" fillId="0" borderId="5" xfId="0" applyFont="1" applyBorder="1"/>
    <xf numFmtId="0" fontId="4" fillId="0" borderId="1" xfId="0" applyFont="1" applyBorder="1"/>
    <xf numFmtId="3" fontId="0" fillId="0" borderId="1" xfId="0" applyNumberFormat="1" applyFont="1" applyBorder="1"/>
    <xf numFmtId="3" fontId="0" fillId="0" borderId="0" xfId="0" applyNumberFormat="1" applyFont="1"/>
    <xf numFmtId="9" fontId="0" fillId="0" borderId="1" xfId="0" applyNumberFormat="1" applyFont="1" applyBorder="1"/>
    <xf numFmtId="14" fontId="0" fillId="0" borderId="1" xfId="0" applyNumberFormat="1" applyFont="1" applyBorder="1"/>
    <xf numFmtId="16" fontId="0" fillId="0" borderId="1" xfId="0" applyNumberFormat="1" applyFont="1" applyBorder="1"/>
    <xf numFmtId="164" fontId="0" fillId="0" borderId="1" xfId="0" applyNumberFormat="1" applyFont="1" applyBorder="1"/>
    <xf numFmtId="14" fontId="0" fillId="0" borderId="1" xfId="0" applyNumberFormat="1" applyFont="1" applyFill="1" applyBorder="1"/>
    <xf numFmtId="3" fontId="4" fillId="0" borderId="1" xfId="0" applyNumberFormat="1" applyFont="1" applyBorder="1"/>
    <xf numFmtId="43" fontId="10" fillId="0" borderId="0" xfId="1" applyFont="1" applyFill="1" applyBorder="1"/>
    <xf numFmtId="0" fontId="10" fillId="0" borderId="0" xfId="0" applyFont="1" applyBorder="1"/>
    <xf numFmtId="164" fontId="10" fillId="0" borderId="0" xfId="0" applyNumberFormat="1" applyFont="1" applyBorder="1"/>
    <xf numFmtId="164" fontId="0" fillId="0" borderId="0" xfId="0" applyNumberFormat="1"/>
    <xf numFmtId="164" fontId="0" fillId="0" borderId="0" xfId="0" applyNumberFormat="1" applyFont="1"/>
    <xf numFmtId="164" fontId="10" fillId="0" borderId="7" xfId="0" applyNumberFormat="1" applyFont="1" applyFill="1" applyBorder="1" applyAlignment="1">
      <alignment horizontal="right"/>
    </xf>
    <xf numFmtId="164" fontId="10" fillId="0" borderId="3" xfId="0" applyNumberFormat="1" applyFont="1" applyFill="1" applyBorder="1" applyAlignment="1">
      <alignment horizontal="right"/>
    </xf>
    <xf numFmtId="164" fontId="0" fillId="0" borderId="2" xfId="0" applyNumberFormat="1" applyFont="1" applyBorder="1" applyAlignment="1">
      <alignment horizontal="right"/>
    </xf>
    <xf numFmtId="164" fontId="15" fillId="0" borderId="1" xfId="1" applyNumberFormat="1" applyFont="1" applyBorder="1" applyAlignment="1">
      <alignment horizontal="right"/>
    </xf>
    <xf numFmtId="0" fontId="16" fillId="0" borderId="1" xfId="0" applyFont="1" applyFill="1" applyBorder="1"/>
    <xf numFmtId="0" fontId="17" fillId="0" borderId="1" xfId="0" applyFont="1" applyBorder="1"/>
    <xf numFmtId="0" fontId="16" fillId="0" borderId="1" xfId="0" applyFont="1" applyBorder="1"/>
    <xf numFmtId="0" fontId="17" fillId="0" borderId="4" xfId="0" applyFont="1" applyBorder="1" applyAlignment="1">
      <alignment horizontal="center"/>
    </xf>
    <xf numFmtId="0" fontId="18" fillId="0" borderId="2" xfId="0" applyFont="1" applyBorder="1"/>
    <xf numFmtId="0" fontId="18" fillId="0" borderId="1" xfId="0" applyFont="1" applyBorder="1" applyAlignment="1">
      <alignment horizontal="right"/>
    </xf>
    <xf numFmtId="164" fontId="19" fillId="0" borderId="1" xfId="1" applyNumberFormat="1" applyFont="1" applyBorder="1" applyAlignment="1">
      <alignment horizontal="right"/>
    </xf>
    <xf numFmtId="164" fontId="18" fillId="0" borderId="1" xfId="1" applyNumberFormat="1" applyFont="1" applyBorder="1" applyAlignment="1">
      <alignment horizontal="right"/>
    </xf>
    <xf numFmtId="43" fontId="16" fillId="0" borderId="1" xfId="1" applyFont="1" applyBorder="1" applyAlignment="1">
      <alignment horizontal="left"/>
    </xf>
    <xf numFmtId="0" fontId="17" fillId="0" borderId="1" xfId="0" applyFont="1" applyBorder="1" applyAlignment="1">
      <alignment horizontal="center"/>
    </xf>
    <xf numFmtId="164" fontId="18" fillId="0" borderId="1" xfId="0" applyNumberFormat="1" applyFont="1" applyBorder="1" applyAlignment="1">
      <alignment horizontal="right"/>
    </xf>
    <xf numFmtId="164" fontId="18" fillId="0" borderId="6" xfId="0" applyNumberFormat="1" applyFont="1" applyBorder="1" applyAlignment="1">
      <alignment horizontal="right"/>
    </xf>
    <xf numFmtId="0" fontId="20" fillId="0" borderId="0" xfId="0" applyFont="1"/>
    <xf numFmtId="4" fontId="21" fillId="0" borderId="0" xfId="0" applyNumberFormat="1" applyFont="1" applyBorder="1"/>
    <xf numFmtId="0" fontId="21" fillId="0" borderId="1" xfId="0" applyFont="1" applyBorder="1"/>
    <xf numFmtId="0" fontId="20" fillId="0" borderId="1" xfId="0" applyFont="1" applyBorder="1"/>
    <xf numFmtId="3" fontId="20" fillId="0" borderId="1" xfId="0" applyNumberFormat="1" applyFont="1" applyBorder="1"/>
    <xf numFmtId="164" fontId="20" fillId="0" borderId="1" xfId="0" applyNumberFormat="1" applyFont="1" applyBorder="1"/>
    <xf numFmtId="3" fontId="21" fillId="0" borderId="1" xfId="0" applyNumberFormat="1" applyFont="1" applyBorder="1"/>
    <xf numFmtId="14" fontId="0" fillId="0" borderId="3" xfId="0" applyNumberFormat="1" applyFont="1" applyFill="1" applyBorder="1"/>
    <xf numFmtId="0" fontId="17" fillId="0" borderId="0" xfId="0" applyFont="1"/>
    <xf numFmtId="49" fontId="22" fillId="0" borderId="0" xfId="1" applyNumberFormat="1" applyFont="1" applyBorder="1" applyAlignment="1">
      <alignment horizontal="right"/>
    </xf>
    <xf numFmtId="49" fontId="22" fillId="0" borderId="0" xfId="0" applyNumberFormat="1" applyFont="1" applyBorder="1" applyAlignment="1">
      <alignment horizontal="right"/>
    </xf>
    <xf numFmtId="0" fontId="23" fillId="0" borderId="0" xfId="0" applyFont="1" applyBorder="1"/>
    <xf numFmtId="4" fontId="23" fillId="0" borderId="0" xfId="0" applyNumberFormat="1" applyFont="1" applyBorder="1"/>
    <xf numFmtId="165" fontId="22" fillId="0" borderId="0" xfId="0" applyNumberFormat="1" applyFont="1" applyBorder="1"/>
    <xf numFmtId="0" fontId="23" fillId="0" borderId="0" xfId="0" applyFont="1"/>
    <xf numFmtId="0" fontId="23" fillId="0" borderId="5" xfId="0" applyFont="1" applyBorder="1"/>
    <xf numFmtId="0" fontId="23" fillId="0" borderId="1" xfId="0" applyFont="1" applyBorder="1"/>
    <xf numFmtId="3" fontId="17" fillId="0" borderId="1" xfId="0" applyNumberFormat="1" applyFont="1" applyBorder="1"/>
    <xf numFmtId="164" fontId="17" fillId="0" borderId="1" xfId="0" applyNumberFormat="1" applyFont="1" applyBorder="1"/>
    <xf numFmtId="9" fontId="17" fillId="0" borderId="1" xfId="0" applyNumberFormat="1" applyFont="1" applyBorder="1"/>
    <xf numFmtId="16" fontId="17" fillId="0" borderId="1" xfId="0" applyNumberFormat="1" applyFont="1" applyBorder="1"/>
    <xf numFmtId="14" fontId="17" fillId="0" borderId="1" xfId="0" applyNumberFormat="1" applyFont="1" applyBorder="1"/>
    <xf numFmtId="9" fontId="17" fillId="0" borderId="0" xfId="0" applyNumberFormat="1" applyFont="1"/>
    <xf numFmtId="164" fontId="17" fillId="0" borderId="0" xfId="0" applyNumberFormat="1" applyFont="1"/>
    <xf numFmtId="14" fontId="17" fillId="0" borderId="1" xfId="0" applyNumberFormat="1" applyFont="1" applyFill="1" applyBorder="1"/>
    <xf numFmtId="3" fontId="23" fillId="0" borderId="1" xfId="0" applyNumberFormat="1" applyFont="1" applyBorder="1"/>
    <xf numFmtId="43" fontId="18" fillId="0" borderId="0" xfId="1" applyFont="1" applyFill="1" applyBorder="1"/>
    <xf numFmtId="0" fontId="18" fillId="0" borderId="0" xfId="0" applyFont="1" applyBorder="1"/>
    <xf numFmtId="164" fontId="18" fillId="0" borderId="0" xfId="0" applyNumberFormat="1" applyFont="1" applyBorder="1"/>
    <xf numFmtId="0" fontId="24" fillId="0" borderId="0" xfId="0" applyFont="1" applyAlignment="1">
      <alignment horizontal="left"/>
    </xf>
    <xf numFmtId="0" fontId="25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5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27" fillId="0" borderId="1" xfId="0" applyFont="1" applyBorder="1" applyAlignment="1">
      <alignment horizontal="center"/>
    </xf>
    <xf numFmtId="0" fontId="27" fillId="0" borderId="1" xfId="0" applyFont="1" applyFill="1" applyBorder="1" applyAlignment="1">
      <alignment horizontal="center"/>
    </xf>
    <xf numFmtId="0" fontId="28" fillId="0" borderId="1" xfId="0" applyFont="1" applyFill="1" applyBorder="1" applyAlignment="1">
      <alignment horizontal="center"/>
    </xf>
    <xf numFmtId="0" fontId="16" fillId="0" borderId="3" xfId="0" applyFont="1" applyFill="1" applyBorder="1"/>
    <xf numFmtId="164" fontId="18" fillId="0" borderId="3" xfId="0" applyNumberFormat="1" applyFont="1" applyFill="1" applyBorder="1" applyAlignment="1">
      <alignment horizontal="right"/>
    </xf>
    <xf numFmtId="0" fontId="17" fillId="0" borderId="3" xfId="0" applyFont="1" applyFill="1" applyBorder="1" applyAlignment="1">
      <alignment horizontal="center"/>
    </xf>
    <xf numFmtId="164" fontId="18" fillId="0" borderId="7" xfId="0" applyNumberFormat="1" applyFont="1" applyFill="1" applyBorder="1" applyAlignment="1">
      <alignment horizontal="right"/>
    </xf>
    <xf numFmtId="164" fontId="19" fillId="0" borderId="2" xfId="1" applyNumberFormat="1" applyFont="1" applyBorder="1" applyAlignment="1">
      <alignment horizontal="right"/>
    </xf>
    <xf numFmtId="0" fontId="18" fillId="0" borderId="4" xfId="0" applyFont="1" applyBorder="1" applyAlignment="1">
      <alignment horizontal="center"/>
    </xf>
    <xf numFmtId="0" fontId="18" fillId="0" borderId="2" xfId="0" applyFont="1" applyBorder="1" applyAlignment="1">
      <alignment horizontal="right"/>
    </xf>
    <xf numFmtId="0" fontId="29" fillId="0" borderId="1" xfId="0" applyFont="1" applyBorder="1"/>
    <xf numFmtId="164" fontId="30" fillId="0" borderId="2" xfId="0" applyNumberFormat="1" applyFont="1" applyBorder="1" applyAlignment="1">
      <alignment horizontal="right"/>
    </xf>
    <xf numFmtId="164" fontId="17" fillId="0" borderId="2" xfId="0" applyNumberFormat="1" applyFont="1" applyBorder="1" applyAlignment="1">
      <alignment horizontal="right"/>
    </xf>
    <xf numFmtId="3" fontId="17" fillId="0" borderId="0" xfId="0" applyNumberFormat="1" applyFont="1"/>
    <xf numFmtId="0" fontId="31" fillId="0" borderId="1" xfId="0" applyFont="1" applyBorder="1"/>
    <xf numFmtId="0" fontId="31" fillId="0" borderId="4" xfId="0" applyFont="1" applyBorder="1" applyAlignment="1">
      <alignment horizontal="center"/>
    </xf>
    <xf numFmtId="0" fontId="15" fillId="0" borderId="1" xfId="0" applyFont="1" applyBorder="1" applyAlignment="1">
      <alignment horizontal="right"/>
    </xf>
    <xf numFmtId="0" fontId="27" fillId="0" borderId="2" xfId="0" applyFont="1" applyBorder="1" applyAlignment="1">
      <alignment horizontal="center"/>
    </xf>
    <xf numFmtId="164" fontId="18" fillId="0" borderId="2" xfId="1" applyNumberFormat="1" applyFont="1" applyBorder="1" applyAlignment="1">
      <alignment horizontal="right"/>
    </xf>
    <xf numFmtId="0" fontId="0" fillId="0" borderId="1" xfId="0" applyBorder="1"/>
    <xf numFmtId="9" fontId="0" fillId="0" borderId="1" xfId="0" applyNumberFormat="1" applyBorder="1"/>
    <xf numFmtId="9" fontId="0" fillId="0" borderId="2" xfId="0" applyNumberFormat="1" applyBorder="1"/>
    <xf numFmtId="164" fontId="0" fillId="0" borderId="2" xfId="0" applyNumberFormat="1" applyBorder="1"/>
    <xf numFmtId="9" fontId="0" fillId="0" borderId="0" xfId="0" applyNumberFormat="1"/>
    <xf numFmtId="164" fontId="30" fillId="0" borderId="8" xfId="0" applyNumberFormat="1" applyFont="1" applyBorder="1" applyAlignment="1">
      <alignment horizontal="right"/>
    </xf>
    <xf numFmtId="164" fontId="18" fillId="0" borderId="4" xfId="1" applyNumberFormat="1" applyFont="1" applyBorder="1" applyAlignment="1">
      <alignment horizontal="right"/>
    </xf>
    <xf numFmtId="164" fontId="4" fillId="0" borderId="1" xfId="0" applyNumberFormat="1" applyFont="1" applyBorder="1"/>
    <xf numFmtId="4" fontId="4" fillId="0" borderId="1" xfId="0" applyNumberFormat="1" applyFont="1" applyBorder="1"/>
    <xf numFmtId="165" fontId="14" fillId="0" borderId="1" xfId="0" applyNumberFormat="1" applyFont="1" applyBorder="1"/>
    <xf numFmtId="14" fontId="23" fillId="0" borderId="1" xfId="0" applyNumberFormat="1" applyFont="1" applyBorder="1"/>
    <xf numFmtId="0" fontId="32" fillId="0" borderId="1" xfId="0" applyFont="1" applyBorder="1"/>
    <xf numFmtId="164" fontId="32" fillId="0" borderId="1" xfId="0" applyNumberFormat="1" applyFont="1" applyBorder="1"/>
    <xf numFmtId="164" fontId="32" fillId="0" borderId="3" xfId="0" applyNumberFormat="1" applyFont="1" applyFill="1" applyBorder="1"/>
    <xf numFmtId="164" fontId="30" fillId="0" borderId="1" xfId="0" applyNumberFormat="1" applyFont="1" applyBorder="1" applyAlignment="1">
      <alignment horizontal="right"/>
    </xf>
    <xf numFmtId="164" fontId="0" fillId="0" borderId="1" xfId="1" applyNumberFormat="1" applyFont="1" applyBorder="1" applyAlignment="1">
      <alignment horizontal="right"/>
    </xf>
    <xf numFmtId="43" fontId="17" fillId="0" borderId="0" xfId="0" applyNumberFormat="1" applyFont="1"/>
    <xf numFmtId="0" fontId="0" fillId="0" borderId="3" xfId="0" applyFont="1" applyFill="1" applyBorder="1"/>
    <xf numFmtId="0" fontId="33" fillId="0" borderId="1" xfId="0" applyFont="1" applyFill="1" applyBorder="1"/>
    <xf numFmtId="0" fontId="33" fillId="0" borderId="1" xfId="0" applyFont="1" applyBorder="1"/>
    <xf numFmtId="0" fontId="31" fillId="0" borderId="3" xfId="0" applyFont="1" applyFill="1" applyBorder="1" applyAlignment="1">
      <alignment horizontal="center"/>
    </xf>
    <xf numFmtId="0" fontId="15" fillId="0" borderId="2" xfId="0" applyFont="1" applyBorder="1"/>
    <xf numFmtId="164" fontId="34" fillId="0" borderId="1" xfId="1" applyNumberFormat="1" applyFont="1" applyBorder="1" applyAlignment="1">
      <alignment horizontal="right"/>
    </xf>
    <xf numFmtId="164" fontId="34" fillId="0" borderId="2" xfId="1" applyNumberFormat="1" applyFont="1" applyBorder="1" applyAlignment="1">
      <alignment horizontal="right"/>
    </xf>
    <xf numFmtId="0" fontId="31" fillId="0" borderId="1" xfId="0" applyFont="1" applyBorder="1" applyAlignment="1">
      <alignment horizontal="center"/>
    </xf>
    <xf numFmtId="164" fontId="32" fillId="0" borderId="1" xfId="0" applyNumberFormat="1" applyFont="1" applyFill="1" applyBorder="1"/>
    <xf numFmtId="164" fontId="18" fillId="0" borderId="7" xfId="1" applyNumberFormat="1" applyFont="1" applyFill="1" applyBorder="1" applyAlignment="1">
      <alignment horizontal="right"/>
    </xf>
    <xf numFmtId="0" fontId="31" fillId="0" borderId="0" xfId="0" applyFont="1"/>
    <xf numFmtId="164" fontId="31" fillId="0" borderId="0" xfId="0" applyNumberFormat="1" applyFont="1"/>
    <xf numFmtId="164" fontId="20" fillId="0" borderId="0" xfId="0" applyNumberFormat="1" applyFont="1"/>
    <xf numFmtId="164" fontId="0" fillId="0" borderId="1" xfId="0" applyNumberFormat="1" applyBorder="1"/>
    <xf numFmtId="3" fontId="0" fillId="0" borderId="1" xfId="0" applyNumberFormat="1" applyBorder="1"/>
    <xf numFmtId="0" fontId="35" fillId="0" borderId="0" xfId="0" applyFont="1"/>
    <xf numFmtId="0" fontId="6" fillId="0" borderId="0" xfId="0" applyFont="1"/>
    <xf numFmtId="0" fontId="36" fillId="0" borderId="0" xfId="0" applyFont="1"/>
    <xf numFmtId="0" fontId="25" fillId="0" borderId="0" xfId="0" applyFont="1"/>
    <xf numFmtId="0" fontId="37" fillId="0" borderId="1" xfId="0" applyFont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2" xfId="0" applyFont="1" applyBorder="1" applyAlignment="1">
      <alignment horizontal="center"/>
    </xf>
    <xf numFmtId="0" fontId="38" fillId="0" borderId="1" xfId="0" applyFont="1" applyFill="1" applyBorder="1" applyAlignment="1">
      <alignment horizontal="center"/>
    </xf>
    <xf numFmtId="0" fontId="25" fillId="0" borderId="1" xfId="0" applyFont="1" applyBorder="1"/>
    <xf numFmtId="0" fontId="25" fillId="0" borderId="1" xfId="0" applyFont="1" applyBorder="1" applyAlignment="1">
      <alignment horizontal="center"/>
    </xf>
    <xf numFmtId="0" fontId="25" fillId="0" borderId="2" xfId="0" applyFont="1" applyBorder="1"/>
    <xf numFmtId="0" fontId="39" fillId="0" borderId="1" xfId="0" applyFont="1" applyBorder="1" applyAlignment="1">
      <alignment horizontal="right"/>
    </xf>
    <xf numFmtId="164" fontId="25" fillId="0" borderId="1" xfId="1" applyNumberFormat="1" applyFont="1" applyBorder="1" applyAlignment="1">
      <alignment horizontal="right"/>
    </xf>
    <xf numFmtId="164" fontId="25" fillId="0" borderId="2" xfId="1" applyNumberFormat="1" applyFont="1" applyBorder="1" applyAlignment="1">
      <alignment horizontal="right"/>
    </xf>
    <xf numFmtId="0" fontId="25" fillId="0" borderId="1" xfId="0" applyFont="1" applyFill="1" applyBorder="1"/>
    <xf numFmtId="164" fontId="40" fillId="0" borderId="1" xfId="1" applyNumberFormat="1" applyFont="1" applyBorder="1" applyAlignment="1">
      <alignment horizontal="right"/>
    </xf>
    <xf numFmtId="164" fontId="40" fillId="0" borderId="2" xfId="1" applyNumberFormat="1" applyFont="1" applyBorder="1" applyAlignment="1">
      <alignment horizontal="right"/>
    </xf>
    <xf numFmtId="0" fontId="39" fillId="0" borderId="1" xfId="0" applyFont="1" applyBorder="1"/>
    <xf numFmtId="0" fontId="39" fillId="0" borderId="1" xfId="0" applyFont="1" applyBorder="1" applyAlignment="1">
      <alignment horizontal="center"/>
    </xf>
    <xf numFmtId="0" fontId="39" fillId="0" borderId="2" xfId="0" applyFont="1" applyBorder="1"/>
    <xf numFmtId="0" fontId="25" fillId="0" borderId="1" xfId="0" applyFont="1" applyBorder="1" applyAlignment="1">
      <alignment horizontal="right"/>
    </xf>
    <xf numFmtId="0" fontId="25" fillId="0" borderId="2" xfId="0" applyFont="1" applyBorder="1" applyAlignment="1">
      <alignment horizontal="right"/>
    </xf>
    <xf numFmtId="0" fontId="25" fillId="0" borderId="3" xfId="0" applyFont="1" applyFill="1" applyBorder="1"/>
    <xf numFmtId="43" fontId="25" fillId="0" borderId="1" xfId="1" applyFont="1" applyBorder="1" applyAlignment="1">
      <alignment horizontal="left"/>
    </xf>
    <xf numFmtId="164" fontId="6" fillId="0" borderId="0" xfId="0" applyNumberFormat="1" applyFont="1"/>
    <xf numFmtId="0" fontId="39" fillId="0" borderId="0" xfId="0" applyFont="1"/>
    <xf numFmtId="0" fontId="25" fillId="0" borderId="3" xfId="0" applyFont="1" applyFill="1" applyBorder="1" applyAlignment="1">
      <alignment horizontal="center"/>
    </xf>
    <xf numFmtId="0" fontId="6" fillId="0" borderId="1" xfId="0" applyFont="1" applyBorder="1"/>
    <xf numFmtId="0" fontId="6" fillId="0" borderId="4" xfId="0" applyFont="1" applyBorder="1" applyAlignment="1">
      <alignment horizontal="center"/>
    </xf>
    <xf numFmtId="0" fontId="25" fillId="0" borderId="4" xfId="0" applyFont="1" applyBorder="1" applyAlignment="1">
      <alignment horizontal="center"/>
    </xf>
    <xf numFmtId="164" fontId="39" fillId="0" borderId="0" xfId="0" applyNumberFormat="1" applyFont="1"/>
    <xf numFmtId="0" fontId="24" fillId="0" borderId="1" xfId="0" applyFont="1" applyBorder="1"/>
    <xf numFmtId="164" fontId="24" fillId="0" borderId="2" xfId="0" applyNumberFormat="1" applyFont="1" applyBorder="1" applyAlignment="1">
      <alignment horizontal="right"/>
    </xf>
    <xf numFmtId="164" fontId="25" fillId="0" borderId="2" xfId="0" applyNumberFormat="1" applyFont="1" applyBorder="1" applyAlignment="1">
      <alignment horizontal="right"/>
    </xf>
    <xf numFmtId="164" fontId="24" fillId="0" borderId="8" xfId="0" applyNumberFormat="1" applyFont="1" applyBorder="1" applyAlignment="1">
      <alignment horizontal="right"/>
    </xf>
    <xf numFmtId="164" fontId="25" fillId="0" borderId="4" xfId="1" applyNumberFormat="1" applyFont="1" applyBorder="1" applyAlignment="1">
      <alignment horizontal="right"/>
    </xf>
    <xf numFmtId="0" fontId="5" fillId="0" borderId="1" xfId="0" applyFont="1" applyBorder="1"/>
    <xf numFmtId="0" fontId="41" fillId="0" borderId="0" xfId="0" applyFont="1"/>
    <xf numFmtId="0" fontId="26" fillId="0" borderId="0" xfId="0" applyFont="1"/>
    <xf numFmtId="0" fontId="26" fillId="0" borderId="5" xfId="0" applyFont="1" applyBorder="1"/>
    <xf numFmtId="0" fontId="26" fillId="0" borderId="0" xfId="0" applyFont="1" applyBorder="1"/>
    <xf numFmtId="0" fontId="42" fillId="0" borderId="0" xfId="0" applyFont="1"/>
    <xf numFmtId="0" fontId="26" fillId="0" borderId="1" xfId="0" applyFont="1" applyBorder="1"/>
    <xf numFmtId="0" fontId="42" fillId="0" borderId="1" xfId="0" applyFont="1" applyBorder="1"/>
    <xf numFmtId="3" fontId="42" fillId="0" borderId="1" xfId="0" applyNumberFormat="1" applyFont="1" applyBorder="1"/>
    <xf numFmtId="164" fontId="42" fillId="0" borderId="1" xfId="0" applyNumberFormat="1" applyFont="1" applyBorder="1"/>
    <xf numFmtId="16" fontId="42" fillId="0" borderId="1" xfId="0" applyNumberFormat="1" applyFont="1" applyBorder="1"/>
    <xf numFmtId="9" fontId="42" fillId="0" borderId="1" xfId="0" applyNumberFormat="1" applyFont="1" applyBorder="1"/>
    <xf numFmtId="14" fontId="26" fillId="0" borderId="1" xfId="0" applyNumberFormat="1" applyFont="1" applyBorder="1"/>
    <xf numFmtId="9" fontId="42" fillId="0" borderId="0" xfId="0" applyNumberFormat="1" applyFont="1"/>
    <xf numFmtId="164" fontId="42" fillId="0" borderId="0" xfId="0" applyNumberFormat="1" applyFont="1"/>
    <xf numFmtId="14" fontId="42" fillId="0" borderId="1" xfId="0" applyNumberFormat="1" applyFont="1" applyBorder="1"/>
    <xf numFmtId="3" fontId="26" fillId="0" borderId="1" xfId="0" applyNumberFormat="1" applyFont="1" applyBorder="1"/>
    <xf numFmtId="3" fontId="42" fillId="0" borderId="0" xfId="0" applyNumberFormat="1" applyFont="1"/>
    <xf numFmtId="43" fontId="42" fillId="0" borderId="0" xfId="1" applyFont="1" applyFill="1" applyBorder="1"/>
    <xf numFmtId="0" fontId="42" fillId="0" borderId="0" xfId="0" applyFont="1" applyBorder="1"/>
    <xf numFmtId="164" fontId="42" fillId="0" borderId="0" xfId="0" applyNumberFormat="1" applyFont="1" applyBorder="1"/>
    <xf numFmtId="164" fontId="32" fillId="0" borderId="0" xfId="0" applyNumberFormat="1" applyFont="1"/>
    <xf numFmtId="0" fontId="32" fillId="0" borderId="0" xfId="0" applyFont="1"/>
    <xf numFmtId="164" fontId="21" fillId="0" borderId="0" xfId="0" applyNumberFormat="1" applyFont="1"/>
    <xf numFmtId="0" fontId="21" fillId="0" borderId="0" xfId="0" applyFont="1"/>
    <xf numFmtId="0" fontId="39" fillId="0" borderId="1" xfId="0" applyFont="1" applyFill="1" applyBorder="1"/>
    <xf numFmtId="0" fontId="36" fillId="0" borderId="1" xfId="0" applyFont="1" applyBorder="1"/>
    <xf numFmtId="164" fontId="39" fillId="0" borderId="1" xfId="0" applyNumberFormat="1" applyFont="1" applyBorder="1" applyAlignment="1">
      <alignment horizontal="right"/>
    </xf>
    <xf numFmtId="164" fontId="25" fillId="0" borderId="1" xfId="0" applyNumberFormat="1" applyFont="1" applyBorder="1" applyAlignment="1">
      <alignment horizontal="right"/>
    </xf>
    <xf numFmtId="164" fontId="35" fillId="0" borderId="0" xfId="0" applyNumberFormat="1" applyFont="1"/>
    <xf numFmtId="43" fontId="39" fillId="0" borderId="1" xfId="1" applyFont="1" applyBorder="1" applyAlignment="1">
      <alignment horizontal="left"/>
    </xf>
    <xf numFmtId="0" fontId="42" fillId="0" borderId="6" xfId="0" applyFont="1" applyBorder="1"/>
    <xf numFmtId="0" fontId="42" fillId="0" borderId="2" xfId="0" applyFont="1" applyBorder="1"/>
    <xf numFmtId="0" fontId="41" fillId="0" borderId="1" xfId="0" applyFont="1" applyBorder="1"/>
    <xf numFmtId="0" fontId="39" fillId="0" borderId="4" xfId="0" applyFont="1" applyBorder="1" applyAlignment="1">
      <alignment horizontal="center"/>
    </xf>
    <xf numFmtId="164" fontId="43" fillId="0" borderId="1" xfId="1" applyNumberFormat="1" applyFont="1" applyBorder="1" applyAlignment="1">
      <alignment horizontal="right"/>
    </xf>
    <xf numFmtId="164" fontId="43" fillId="0" borderId="2" xfId="1" applyNumberFormat="1" applyFont="1" applyBorder="1" applyAlignment="1">
      <alignment horizontal="right"/>
    </xf>
    <xf numFmtId="0" fontId="37" fillId="0" borderId="1" xfId="0" applyFont="1" applyBorder="1" applyAlignment="1">
      <alignment horizontal="center" wrapText="1"/>
    </xf>
    <xf numFmtId="0" fontId="37" fillId="0" borderId="1" xfId="0" applyFont="1" applyFill="1" applyBorder="1" applyAlignment="1">
      <alignment horizontal="center" wrapText="1"/>
    </xf>
    <xf numFmtId="0" fontId="37" fillId="0" borderId="2" xfId="0" applyFont="1" applyBorder="1" applyAlignment="1">
      <alignment horizontal="center" wrapText="1"/>
    </xf>
    <xf numFmtId="0" fontId="38" fillId="0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4" fillId="0" borderId="0" xfId="0" applyFont="1" applyAlignment="1">
      <alignment horizontal="left" vertical="center"/>
    </xf>
    <xf numFmtId="0" fontId="36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0" fontId="24" fillId="0" borderId="9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83"/>
  <sheetViews>
    <sheetView topLeftCell="B1" workbookViewId="0">
      <selection activeCell="F44" sqref="F44"/>
    </sheetView>
  </sheetViews>
  <sheetFormatPr defaultRowHeight="15" x14ac:dyDescent="0.25"/>
  <cols>
    <col min="1" max="1" width="1.140625" hidden="1" customWidth="1"/>
    <col min="2" max="2" width="15" customWidth="1"/>
    <col min="3" max="3" width="7.28515625" customWidth="1"/>
    <col min="4" max="4" width="9.42578125" customWidth="1"/>
    <col min="5" max="5" width="6.7109375" customWidth="1"/>
    <col min="6" max="6" width="8.140625" customWidth="1"/>
    <col min="7" max="7" width="10.42578125" customWidth="1"/>
    <col min="8" max="8" width="9" bestFit="1" customWidth="1"/>
    <col min="9" max="9" width="8" customWidth="1"/>
    <col min="10" max="10" width="7.5703125" customWidth="1"/>
    <col min="11" max="11" width="7.7109375" customWidth="1"/>
    <col min="12" max="12" width="6.42578125" customWidth="1"/>
  </cols>
  <sheetData>
    <row r="2" spans="2:19" ht="15.75" x14ac:dyDescent="0.25">
      <c r="B2" s="7"/>
      <c r="C2" s="8" t="s">
        <v>27</v>
      </c>
      <c r="D2" s="8"/>
      <c r="E2" s="8"/>
      <c r="F2" s="8"/>
      <c r="G2" s="9"/>
      <c r="H2" s="7"/>
      <c r="I2" s="7"/>
      <c r="J2" s="7"/>
      <c r="K2" s="7"/>
      <c r="L2" s="7"/>
    </row>
    <row r="3" spans="2:19" ht="15.75" x14ac:dyDescent="0.25">
      <c r="B3" s="7"/>
      <c r="C3" s="8" t="s">
        <v>0</v>
      </c>
      <c r="D3" s="8"/>
      <c r="E3" s="8"/>
      <c r="F3" s="8"/>
      <c r="G3" s="10"/>
      <c r="H3" s="7"/>
      <c r="I3" s="7"/>
      <c r="J3" s="7"/>
      <c r="K3" s="7"/>
      <c r="L3" s="7"/>
    </row>
    <row r="4" spans="2:19" ht="18.75" x14ac:dyDescent="0.3">
      <c r="B4" s="11"/>
      <c r="C4" s="8" t="s">
        <v>1</v>
      </c>
      <c r="D4" s="8"/>
      <c r="E4" s="8"/>
      <c r="F4" s="8"/>
      <c r="G4" s="12"/>
      <c r="H4" s="13"/>
      <c r="I4" s="13"/>
      <c r="J4" s="13"/>
      <c r="K4" s="7"/>
      <c r="L4" s="7"/>
      <c r="O4" s="4"/>
    </row>
    <row r="5" spans="2:19" x14ac:dyDescent="0.25">
      <c r="B5" s="14" t="s">
        <v>2</v>
      </c>
      <c r="C5" s="14" t="s">
        <v>3</v>
      </c>
      <c r="D5" s="14" t="s">
        <v>4</v>
      </c>
      <c r="E5" s="15" t="s">
        <v>5</v>
      </c>
      <c r="F5" s="14" t="s">
        <v>6</v>
      </c>
      <c r="G5" s="16" t="s">
        <v>7</v>
      </c>
      <c r="H5" s="14" t="s">
        <v>8</v>
      </c>
      <c r="I5" s="14" t="s">
        <v>9</v>
      </c>
      <c r="J5" s="14" t="s">
        <v>91</v>
      </c>
      <c r="K5" s="17" t="s">
        <v>63</v>
      </c>
      <c r="L5" s="15" t="s">
        <v>96</v>
      </c>
      <c r="O5" s="4"/>
    </row>
    <row r="6" spans="2:19" x14ac:dyDescent="0.25">
      <c r="B6" s="1" t="s">
        <v>61</v>
      </c>
      <c r="C6" s="19" t="s">
        <v>52</v>
      </c>
      <c r="D6" s="20"/>
      <c r="E6" s="21"/>
      <c r="F6" s="22">
        <v>6000</v>
      </c>
      <c r="G6" s="22">
        <f>D6+E6+F6</f>
        <v>6000</v>
      </c>
      <c r="H6" s="22">
        <v>6000</v>
      </c>
      <c r="I6" s="22">
        <f>G6-H6</f>
        <v>0</v>
      </c>
      <c r="J6" s="22"/>
      <c r="K6" s="23"/>
      <c r="L6" s="24">
        <v>200</v>
      </c>
      <c r="N6" t="s">
        <v>97</v>
      </c>
      <c r="O6" s="4"/>
      <c r="Q6" s="4" t="s">
        <v>63</v>
      </c>
      <c r="R6" s="4" t="s">
        <v>94</v>
      </c>
      <c r="S6" s="4" t="s">
        <v>95</v>
      </c>
    </row>
    <row r="7" spans="2:19" x14ac:dyDescent="0.25">
      <c r="B7" s="2" t="s">
        <v>64</v>
      </c>
      <c r="C7" s="19" t="s">
        <v>51</v>
      </c>
      <c r="D7" s="20"/>
      <c r="E7" s="21">
        <v>1000</v>
      </c>
      <c r="F7" s="25">
        <v>6000</v>
      </c>
      <c r="G7" s="22">
        <f t="shared" ref="G7:G32" si="0">D7+E7+F7</f>
        <v>7000</v>
      </c>
      <c r="H7" s="22"/>
      <c r="I7" s="22">
        <f t="shared" ref="I7:I39" si="1">G7-H7</f>
        <v>7000</v>
      </c>
      <c r="J7" s="22"/>
      <c r="K7" s="23">
        <v>1020</v>
      </c>
      <c r="L7" s="24">
        <v>200</v>
      </c>
      <c r="N7">
        <v>170</v>
      </c>
      <c r="O7" s="4">
        <v>200</v>
      </c>
      <c r="Q7" s="6"/>
      <c r="R7" s="4">
        <v>1020</v>
      </c>
      <c r="S7" s="4">
        <v>680</v>
      </c>
    </row>
    <row r="8" spans="2:19" x14ac:dyDescent="0.25">
      <c r="B8" s="2" t="s">
        <v>65</v>
      </c>
      <c r="C8" s="19" t="s">
        <v>54</v>
      </c>
      <c r="D8" s="20"/>
      <c r="E8" s="21"/>
      <c r="F8" s="25"/>
      <c r="G8" s="22">
        <f t="shared" si="0"/>
        <v>0</v>
      </c>
      <c r="H8" s="22"/>
      <c r="I8" s="22">
        <f t="shared" si="1"/>
        <v>0</v>
      </c>
      <c r="J8" s="22"/>
      <c r="K8" s="7"/>
      <c r="L8" s="18"/>
      <c r="N8">
        <v>150</v>
      </c>
      <c r="O8" s="4">
        <v>200</v>
      </c>
      <c r="Q8" s="6"/>
      <c r="R8" s="4">
        <v>170</v>
      </c>
      <c r="S8" s="4">
        <v>1360</v>
      </c>
    </row>
    <row r="9" spans="2:19" x14ac:dyDescent="0.25">
      <c r="B9" s="18" t="s">
        <v>66</v>
      </c>
      <c r="C9" s="19" t="s">
        <v>50</v>
      </c>
      <c r="D9" s="20"/>
      <c r="E9" s="21"/>
      <c r="F9" s="21">
        <v>6000</v>
      </c>
      <c r="G9" s="22">
        <f t="shared" si="0"/>
        <v>6000</v>
      </c>
      <c r="H9" s="22">
        <v>6000</v>
      </c>
      <c r="I9" s="22">
        <f t="shared" si="1"/>
        <v>0</v>
      </c>
      <c r="J9" s="22"/>
      <c r="K9" s="23">
        <v>170</v>
      </c>
      <c r="L9" s="24">
        <v>200</v>
      </c>
      <c r="N9">
        <v>170</v>
      </c>
      <c r="O9" s="4">
        <v>200</v>
      </c>
      <c r="Q9" s="6"/>
      <c r="R9" s="4">
        <v>340</v>
      </c>
      <c r="S9" s="4">
        <v>510</v>
      </c>
    </row>
    <row r="10" spans="2:19" x14ac:dyDescent="0.25">
      <c r="B10" s="2" t="s">
        <v>67</v>
      </c>
      <c r="C10" s="19" t="s">
        <v>49</v>
      </c>
      <c r="D10" s="20"/>
      <c r="E10" s="21"/>
      <c r="F10" s="25"/>
      <c r="G10" s="22">
        <f t="shared" si="0"/>
        <v>0</v>
      </c>
      <c r="H10" s="22"/>
      <c r="I10" s="22">
        <f t="shared" si="1"/>
        <v>0</v>
      </c>
      <c r="J10" s="22"/>
      <c r="K10" s="23"/>
      <c r="L10" s="24"/>
      <c r="N10">
        <v>340</v>
      </c>
      <c r="O10" s="4">
        <v>200</v>
      </c>
      <c r="Q10" s="6"/>
      <c r="R10" s="4">
        <v>170</v>
      </c>
      <c r="S10" s="4">
        <v>510</v>
      </c>
    </row>
    <row r="11" spans="2:19" x14ac:dyDescent="0.25">
      <c r="B11" s="26" t="s">
        <v>67</v>
      </c>
      <c r="C11" s="19" t="s">
        <v>53</v>
      </c>
      <c r="D11" s="20"/>
      <c r="E11" s="21"/>
      <c r="F11" s="25"/>
      <c r="G11" s="22">
        <f>D11+E11+F11</f>
        <v>0</v>
      </c>
      <c r="H11" s="22"/>
      <c r="I11" s="22">
        <f t="shared" si="1"/>
        <v>0</v>
      </c>
      <c r="J11" s="22"/>
      <c r="K11" s="23"/>
      <c r="L11" s="24"/>
      <c r="N11">
        <v>170</v>
      </c>
      <c r="O11" s="4">
        <v>200</v>
      </c>
      <c r="Q11" s="6"/>
      <c r="R11" s="4">
        <v>510</v>
      </c>
      <c r="S11" s="4">
        <v>170</v>
      </c>
    </row>
    <row r="12" spans="2:19" x14ac:dyDescent="0.25">
      <c r="B12" s="1" t="s">
        <v>68</v>
      </c>
      <c r="C12" s="19" t="s">
        <v>48</v>
      </c>
      <c r="D12" s="20"/>
      <c r="E12" s="64">
        <v>9609</v>
      </c>
      <c r="F12" s="25">
        <v>6000</v>
      </c>
      <c r="G12" s="22">
        <f t="shared" si="0"/>
        <v>15609</v>
      </c>
      <c r="H12" s="22"/>
      <c r="I12" s="22">
        <f t="shared" si="1"/>
        <v>15609</v>
      </c>
      <c r="J12" s="22"/>
      <c r="K12" s="7">
        <v>340</v>
      </c>
      <c r="L12" s="18">
        <v>200</v>
      </c>
      <c r="M12" t="s">
        <v>97</v>
      </c>
      <c r="N12">
        <v>1360</v>
      </c>
      <c r="O12" s="4">
        <f>SUM(O7:O11)+200</f>
        <v>1200</v>
      </c>
      <c r="Q12" s="6"/>
      <c r="R12" s="4">
        <v>680</v>
      </c>
      <c r="S12" s="4">
        <v>170</v>
      </c>
    </row>
    <row r="13" spans="2:19" x14ac:dyDescent="0.25">
      <c r="B13" s="3" t="s">
        <v>69</v>
      </c>
      <c r="C13" s="19" t="s">
        <v>47</v>
      </c>
      <c r="D13" s="20"/>
      <c r="E13" s="21"/>
      <c r="F13" s="25">
        <v>6000</v>
      </c>
      <c r="G13" s="22">
        <f>D13+E13+F13</f>
        <v>6000</v>
      </c>
      <c r="H13" s="22">
        <v>6000</v>
      </c>
      <c r="I13" s="22">
        <f t="shared" si="1"/>
        <v>0</v>
      </c>
      <c r="J13" s="22"/>
      <c r="K13" s="7">
        <v>150</v>
      </c>
      <c r="L13" s="18">
        <v>200</v>
      </c>
      <c r="M13">
        <v>20</v>
      </c>
      <c r="N13">
        <v>510</v>
      </c>
      <c r="O13" s="4"/>
      <c r="Q13" s="6"/>
      <c r="R13" s="4">
        <v>340</v>
      </c>
      <c r="S13" s="4">
        <v>170</v>
      </c>
    </row>
    <row r="14" spans="2:19" x14ac:dyDescent="0.25">
      <c r="B14" s="1" t="s">
        <v>70</v>
      </c>
      <c r="C14" s="19" t="s">
        <v>46</v>
      </c>
      <c r="D14" s="20"/>
      <c r="E14" s="21">
        <v>20396</v>
      </c>
      <c r="F14" s="25"/>
      <c r="G14" s="22">
        <f t="shared" si="0"/>
        <v>20396</v>
      </c>
      <c r="H14" s="22"/>
      <c r="I14" s="22"/>
      <c r="J14" s="22"/>
      <c r="K14" s="23"/>
      <c r="L14" s="24"/>
      <c r="N14">
        <f>SUM(N7:N13)</f>
        <v>2870</v>
      </c>
      <c r="O14" s="4"/>
      <c r="Q14" s="6"/>
      <c r="R14" s="4">
        <v>340</v>
      </c>
      <c r="S14" s="4">
        <v>680</v>
      </c>
    </row>
    <row r="15" spans="2:19" x14ac:dyDescent="0.25">
      <c r="B15" s="2" t="s">
        <v>67</v>
      </c>
      <c r="C15" s="19" t="s">
        <v>45</v>
      </c>
      <c r="D15" s="20"/>
      <c r="E15" s="21"/>
      <c r="F15" s="25"/>
      <c r="G15" s="22">
        <f t="shared" si="0"/>
        <v>0</v>
      </c>
      <c r="H15" s="22"/>
      <c r="I15" s="22">
        <f t="shared" si="1"/>
        <v>0</v>
      </c>
      <c r="J15" s="22"/>
      <c r="K15" s="23"/>
      <c r="L15" s="24"/>
      <c r="O15" s="4">
        <f>N14+O12</f>
        <v>4070</v>
      </c>
      <c r="Q15" s="6" t="s">
        <v>97</v>
      </c>
      <c r="R15" s="4">
        <v>170</v>
      </c>
      <c r="S15" s="4">
        <v>1530</v>
      </c>
    </row>
    <row r="16" spans="2:19" x14ac:dyDescent="0.25">
      <c r="B16" s="18" t="s">
        <v>71</v>
      </c>
      <c r="C16" s="19" t="s">
        <v>44</v>
      </c>
      <c r="D16" s="20"/>
      <c r="E16" s="21"/>
      <c r="F16" s="25">
        <v>5000</v>
      </c>
      <c r="G16" s="22">
        <f t="shared" si="0"/>
        <v>5000</v>
      </c>
      <c r="H16" s="22">
        <v>5000</v>
      </c>
      <c r="I16" s="22">
        <f t="shared" si="1"/>
        <v>0</v>
      </c>
      <c r="J16" s="22"/>
      <c r="K16" s="23">
        <v>510</v>
      </c>
      <c r="L16" s="24">
        <v>200</v>
      </c>
      <c r="O16" s="4">
        <f>O15+14940+500</f>
        <v>19510</v>
      </c>
      <c r="Q16" s="6"/>
      <c r="R16" s="4">
        <v>340</v>
      </c>
      <c r="S16" s="4">
        <v>170</v>
      </c>
    </row>
    <row r="17" spans="2:19" x14ac:dyDescent="0.25">
      <c r="B17" s="2" t="s">
        <v>72</v>
      </c>
      <c r="C17" s="19" t="s">
        <v>43</v>
      </c>
      <c r="D17" s="20"/>
      <c r="E17" s="21"/>
      <c r="F17" s="25">
        <v>6000</v>
      </c>
      <c r="G17" s="22">
        <f t="shared" si="0"/>
        <v>6000</v>
      </c>
      <c r="H17" s="22">
        <v>6000</v>
      </c>
      <c r="I17" s="22">
        <f t="shared" si="1"/>
        <v>0</v>
      </c>
      <c r="J17" s="22"/>
      <c r="K17" s="23">
        <v>670</v>
      </c>
      <c r="L17" s="24">
        <v>200</v>
      </c>
      <c r="M17" s="56">
        <v>10</v>
      </c>
      <c r="O17" s="4"/>
      <c r="Q17" s="6"/>
      <c r="R17" s="4">
        <v>170</v>
      </c>
      <c r="S17" s="4">
        <v>510</v>
      </c>
    </row>
    <row r="18" spans="2:19" x14ac:dyDescent="0.25">
      <c r="B18" s="1" t="s">
        <v>73</v>
      </c>
      <c r="C18" s="19" t="s">
        <v>42</v>
      </c>
      <c r="D18" s="20"/>
      <c r="E18" s="21"/>
      <c r="F18" s="25">
        <v>6000</v>
      </c>
      <c r="G18" s="22">
        <f t="shared" si="0"/>
        <v>6000</v>
      </c>
      <c r="H18" s="22">
        <v>6000</v>
      </c>
      <c r="I18" s="22">
        <f t="shared" si="1"/>
        <v>0</v>
      </c>
      <c r="J18" s="22"/>
      <c r="K18" s="24">
        <v>340</v>
      </c>
      <c r="L18" s="23">
        <v>200</v>
      </c>
      <c r="M18" s="4"/>
      <c r="N18" s="4"/>
      <c r="O18" s="4"/>
      <c r="Q18" s="6"/>
      <c r="R18" s="4">
        <v>170</v>
      </c>
      <c r="S18" s="4">
        <v>340</v>
      </c>
    </row>
    <row r="19" spans="2:19" x14ac:dyDescent="0.25">
      <c r="B19" s="18" t="s">
        <v>74</v>
      </c>
      <c r="C19" s="19" t="s">
        <v>41</v>
      </c>
      <c r="D19" s="20"/>
      <c r="E19" s="21">
        <v>2000</v>
      </c>
      <c r="F19" s="25">
        <v>6000</v>
      </c>
      <c r="G19" s="22">
        <f t="shared" si="0"/>
        <v>8000</v>
      </c>
      <c r="H19" s="22">
        <v>6000</v>
      </c>
      <c r="I19" s="22">
        <f t="shared" si="1"/>
        <v>2000</v>
      </c>
      <c r="J19" s="22"/>
      <c r="K19" s="24">
        <v>340</v>
      </c>
      <c r="L19" s="23">
        <v>200</v>
      </c>
      <c r="M19" s="4" t="s">
        <v>97</v>
      </c>
      <c r="N19" s="4">
        <f>S19+R19</f>
        <v>11220</v>
      </c>
      <c r="O19" s="4"/>
      <c r="Q19" s="6"/>
      <c r="R19" s="4">
        <f>SUM(R7:R18)</f>
        <v>4420</v>
      </c>
      <c r="S19" s="4">
        <f>SUM(S7:S18)</f>
        <v>6800</v>
      </c>
    </row>
    <row r="20" spans="2:19" x14ac:dyDescent="0.25">
      <c r="B20" s="2" t="s">
        <v>75</v>
      </c>
      <c r="C20" s="19" t="s">
        <v>40</v>
      </c>
      <c r="D20" s="20"/>
      <c r="E20" s="21"/>
      <c r="F20" s="25">
        <v>6000</v>
      </c>
      <c r="G20" s="22">
        <f t="shared" si="0"/>
        <v>6000</v>
      </c>
      <c r="H20" s="22">
        <v>6000</v>
      </c>
      <c r="I20" s="22">
        <f t="shared" si="1"/>
        <v>0</v>
      </c>
      <c r="J20" s="22"/>
      <c r="K20" s="24">
        <v>170</v>
      </c>
      <c r="L20" s="23">
        <v>200</v>
      </c>
      <c r="M20" t="s">
        <v>97</v>
      </c>
    </row>
    <row r="21" spans="2:19" x14ac:dyDescent="0.25">
      <c r="B21" s="1" t="s">
        <v>76</v>
      </c>
      <c r="C21" s="27" t="s">
        <v>39</v>
      </c>
      <c r="D21" s="20"/>
      <c r="E21" s="21">
        <v>2285</v>
      </c>
      <c r="F21" s="25">
        <v>6000</v>
      </c>
      <c r="G21" s="22">
        <f t="shared" si="0"/>
        <v>8285</v>
      </c>
      <c r="H21" s="22">
        <v>8200</v>
      </c>
      <c r="I21" s="22">
        <f t="shared" si="1"/>
        <v>85</v>
      </c>
      <c r="J21" s="22">
        <v>2200</v>
      </c>
      <c r="K21" s="24">
        <v>340</v>
      </c>
      <c r="L21" s="23">
        <v>200</v>
      </c>
    </row>
    <row r="22" spans="2:19" x14ac:dyDescent="0.25">
      <c r="B22" s="1" t="s">
        <v>77</v>
      </c>
      <c r="C22" s="19" t="s">
        <v>38</v>
      </c>
      <c r="D22" s="20"/>
      <c r="E22" s="21"/>
      <c r="F22" s="25">
        <v>6000</v>
      </c>
      <c r="G22" s="22">
        <f t="shared" si="0"/>
        <v>6000</v>
      </c>
      <c r="H22" s="22">
        <v>6000</v>
      </c>
      <c r="I22" s="22">
        <f t="shared" si="1"/>
        <v>0</v>
      </c>
      <c r="J22" s="22"/>
      <c r="K22" s="24">
        <v>170</v>
      </c>
      <c r="L22" s="23">
        <v>200</v>
      </c>
      <c r="M22" t="s">
        <v>97</v>
      </c>
    </row>
    <row r="23" spans="2:19" x14ac:dyDescent="0.25">
      <c r="B23" s="2" t="s">
        <v>78</v>
      </c>
      <c r="C23" s="19" t="s">
        <v>37</v>
      </c>
      <c r="D23" s="20"/>
      <c r="E23" s="21"/>
      <c r="F23" s="25">
        <v>6000</v>
      </c>
      <c r="G23" s="22">
        <f t="shared" si="0"/>
        <v>6000</v>
      </c>
      <c r="H23" s="22">
        <v>6000</v>
      </c>
      <c r="I23" s="22">
        <f t="shared" si="1"/>
        <v>0</v>
      </c>
      <c r="J23" s="22"/>
      <c r="K23" s="24">
        <v>170</v>
      </c>
      <c r="L23" s="23">
        <v>200</v>
      </c>
      <c r="M23" t="s">
        <v>97</v>
      </c>
    </row>
    <row r="24" spans="2:19" x14ac:dyDescent="0.25">
      <c r="B24" s="1" t="s">
        <v>79</v>
      </c>
      <c r="C24" s="28" t="s">
        <v>28</v>
      </c>
      <c r="D24" s="20"/>
      <c r="E24" s="21">
        <v>3005</v>
      </c>
      <c r="F24" s="25">
        <v>6500</v>
      </c>
      <c r="G24" s="22">
        <f t="shared" si="0"/>
        <v>9505</v>
      </c>
      <c r="H24" s="22"/>
      <c r="I24" s="22">
        <f t="shared" si="1"/>
        <v>9505</v>
      </c>
      <c r="J24" s="22"/>
      <c r="K24" s="24">
        <v>680</v>
      </c>
      <c r="L24" s="23">
        <v>200</v>
      </c>
    </row>
    <row r="25" spans="2:19" x14ac:dyDescent="0.25">
      <c r="B25" s="1" t="s">
        <v>80</v>
      </c>
      <c r="C25" s="28" t="s">
        <v>29</v>
      </c>
      <c r="D25" s="20"/>
      <c r="E25" s="21">
        <v>15219</v>
      </c>
      <c r="F25" s="25">
        <v>6500</v>
      </c>
      <c r="G25" s="22">
        <f t="shared" si="0"/>
        <v>21719</v>
      </c>
      <c r="H25" s="22">
        <v>6500</v>
      </c>
      <c r="I25" s="22">
        <f t="shared" si="1"/>
        <v>15219</v>
      </c>
      <c r="J25" s="22"/>
      <c r="K25" s="24">
        <v>1360</v>
      </c>
      <c r="L25" s="23">
        <v>200</v>
      </c>
      <c r="M25" t="s">
        <v>97</v>
      </c>
      <c r="N25" s="53"/>
      <c r="P25" s="53">
        <f>L7+L8+L12+L17+L19+L21+L24+L26+L27+L28+L32+L33+L35+L16</f>
        <v>2600</v>
      </c>
      <c r="Q25" s="53">
        <f>L33+L19+L12</f>
        <v>600</v>
      </c>
    </row>
    <row r="26" spans="2:19" x14ac:dyDescent="0.25">
      <c r="B26" s="1" t="s">
        <v>81</v>
      </c>
      <c r="C26" s="28" t="s">
        <v>30</v>
      </c>
      <c r="D26" s="20"/>
      <c r="E26" s="21"/>
      <c r="F26" s="25">
        <v>6500</v>
      </c>
      <c r="G26" s="22">
        <f t="shared" si="0"/>
        <v>6500</v>
      </c>
      <c r="H26" s="22">
        <v>6500</v>
      </c>
      <c r="I26" s="22">
        <f t="shared" si="1"/>
        <v>0</v>
      </c>
      <c r="J26" s="22"/>
      <c r="K26" s="24">
        <v>220</v>
      </c>
      <c r="L26" s="23">
        <v>200</v>
      </c>
      <c r="M26" s="55">
        <v>290</v>
      </c>
    </row>
    <row r="27" spans="2:19" x14ac:dyDescent="0.25">
      <c r="B27" s="1" t="s">
        <v>82</v>
      </c>
      <c r="C27" s="28" t="s">
        <v>55</v>
      </c>
      <c r="D27" s="20"/>
      <c r="E27" s="64">
        <v>12239</v>
      </c>
      <c r="F27" s="25">
        <v>6500</v>
      </c>
      <c r="G27" s="22">
        <f>D27+F27</f>
        <v>6500</v>
      </c>
      <c r="H27" s="22">
        <v>6500</v>
      </c>
      <c r="I27" s="22">
        <f t="shared" si="1"/>
        <v>0</v>
      </c>
      <c r="J27" s="22"/>
      <c r="K27" s="24">
        <v>500</v>
      </c>
      <c r="L27" s="23">
        <v>200</v>
      </c>
      <c r="M27" s="55">
        <v>10</v>
      </c>
      <c r="P27" s="53">
        <f>K7+K12+K16+K21+K24+K32+K35+K36+20+10+290+10</f>
        <v>4070</v>
      </c>
      <c r="S27" s="53">
        <f>K12+K19+K20+K22+K23+K25+K33+K37</f>
        <v>4590</v>
      </c>
    </row>
    <row r="28" spans="2:19" x14ac:dyDescent="0.25">
      <c r="B28" s="61" t="s">
        <v>83</v>
      </c>
      <c r="C28" s="62" t="s">
        <v>56</v>
      </c>
      <c r="D28" s="63"/>
      <c r="E28" s="64">
        <v>22420</v>
      </c>
      <c r="F28" s="65">
        <v>8000</v>
      </c>
      <c r="G28" s="66">
        <f t="shared" si="0"/>
        <v>30420</v>
      </c>
      <c r="H28" s="66">
        <v>16000</v>
      </c>
      <c r="I28" s="66">
        <f>G28-H28</f>
        <v>14420</v>
      </c>
      <c r="J28" s="66">
        <v>8000</v>
      </c>
      <c r="K28" s="69">
        <v>170</v>
      </c>
      <c r="L28" s="70">
        <v>200</v>
      </c>
      <c r="S28" s="53">
        <f>L19+L20+L22+L23+L25+L37</f>
        <v>1200</v>
      </c>
    </row>
    <row r="29" spans="2:19" x14ac:dyDescent="0.25">
      <c r="B29" s="1" t="s">
        <v>84</v>
      </c>
      <c r="C29" s="28" t="s">
        <v>57</v>
      </c>
      <c r="D29" s="20"/>
      <c r="E29" s="21"/>
      <c r="F29" s="25">
        <v>6500</v>
      </c>
      <c r="G29" s="22">
        <f t="shared" si="0"/>
        <v>6500</v>
      </c>
      <c r="H29" s="22">
        <v>6500</v>
      </c>
      <c r="I29" s="22">
        <f t="shared" si="1"/>
        <v>0</v>
      </c>
      <c r="J29" s="22"/>
      <c r="K29" s="24">
        <v>170</v>
      </c>
      <c r="L29" s="23">
        <v>200</v>
      </c>
      <c r="N29" s="53">
        <f>L6+K17+L29+K39+L39</f>
        <v>1610</v>
      </c>
      <c r="R29" s="53">
        <f>S27+S28</f>
        <v>5790</v>
      </c>
      <c r="S29" s="53"/>
    </row>
    <row r="30" spans="2:19" x14ac:dyDescent="0.25">
      <c r="B30" s="1" t="s">
        <v>92</v>
      </c>
      <c r="C30" s="28" t="s">
        <v>58</v>
      </c>
      <c r="D30" s="20"/>
      <c r="E30" s="21">
        <v>809</v>
      </c>
      <c r="F30" s="25">
        <v>6500</v>
      </c>
      <c r="G30" s="22">
        <f t="shared" si="0"/>
        <v>7309</v>
      </c>
      <c r="H30" s="22">
        <v>6500</v>
      </c>
      <c r="I30" s="22">
        <f t="shared" si="1"/>
        <v>809</v>
      </c>
      <c r="J30" s="22"/>
      <c r="K30" s="24">
        <v>170</v>
      </c>
      <c r="L30" s="23">
        <v>200</v>
      </c>
      <c r="R30" s="53">
        <f>R29-5600</f>
        <v>190</v>
      </c>
    </row>
    <row r="31" spans="2:19" x14ac:dyDescent="0.25">
      <c r="B31" s="1" t="s">
        <v>87</v>
      </c>
      <c r="C31" s="28" t="s">
        <v>59</v>
      </c>
      <c r="D31" s="20"/>
      <c r="E31" s="21">
        <v>30725</v>
      </c>
      <c r="F31" s="25"/>
      <c r="G31" s="22">
        <f t="shared" si="0"/>
        <v>30725</v>
      </c>
      <c r="H31" s="22"/>
      <c r="I31" s="22"/>
      <c r="J31" s="22"/>
      <c r="K31" s="24"/>
      <c r="L31" s="23"/>
    </row>
    <row r="32" spans="2:19" x14ac:dyDescent="0.25">
      <c r="B32" s="1" t="s">
        <v>85</v>
      </c>
      <c r="C32" s="28" t="s">
        <v>60</v>
      </c>
      <c r="D32" s="20"/>
      <c r="E32" s="21">
        <v>1627</v>
      </c>
      <c r="F32" s="25">
        <v>6500</v>
      </c>
      <c r="G32" s="22">
        <f t="shared" si="0"/>
        <v>8127</v>
      </c>
      <c r="H32" s="22">
        <f>7050+1077</f>
        <v>8127</v>
      </c>
      <c r="I32" s="22">
        <f t="shared" si="1"/>
        <v>0</v>
      </c>
      <c r="J32" s="22">
        <v>1627</v>
      </c>
      <c r="K32" s="24">
        <v>680</v>
      </c>
      <c r="L32" s="23">
        <v>200</v>
      </c>
      <c r="O32" s="53">
        <f>J36+N7+K30+L30+K29</f>
        <v>1188</v>
      </c>
    </row>
    <row r="33" spans="2:18" x14ac:dyDescent="0.25">
      <c r="B33" s="1" t="s">
        <v>86</v>
      </c>
      <c r="C33" s="28" t="s">
        <v>31</v>
      </c>
      <c r="D33" s="20"/>
      <c r="E33" s="21"/>
      <c r="F33" s="25">
        <v>8000</v>
      </c>
      <c r="G33" s="22">
        <f>D33+E33+F33</f>
        <v>8000</v>
      </c>
      <c r="H33" s="22">
        <v>8000</v>
      </c>
      <c r="I33" s="22">
        <f>G33-H33</f>
        <v>0</v>
      </c>
      <c r="J33" s="22"/>
      <c r="K33" s="24">
        <f>500+1030</f>
        <v>1530</v>
      </c>
      <c r="L33" s="23">
        <v>200</v>
      </c>
      <c r="M33" t="s">
        <v>97</v>
      </c>
    </row>
    <row r="34" spans="2:18" x14ac:dyDescent="0.25">
      <c r="B34" s="1" t="s">
        <v>67</v>
      </c>
      <c r="C34" s="28" t="s">
        <v>32</v>
      </c>
      <c r="D34" s="20"/>
      <c r="E34" s="21"/>
      <c r="F34" s="29"/>
      <c r="G34" s="22">
        <f t="shared" ref="G34:G39" si="2">D34+E34+F34</f>
        <v>0</v>
      </c>
      <c r="H34" s="22"/>
      <c r="I34" s="22">
        <f t="shared" si="1"/>
        <v>0</v>
      </c>
      <c r="J34" s="22"/>
      <c r="K34" s="24">
        <f>G34-H34</f>
        <v>0</v>
      </c>
      <c r="L34" s="23">
        <f>H34-I34</f>
        <v>0</v>
      </c>
      <c r="O34" s="53"/>
    </row>
    <row r="35" spans="2:18" x14ac:dyDescent="0.25">
      <c r="B35" s="18" t="s">
        <v>99</v>
      </c>
      <c r="C35" s="28" t="s">
        <v>33</v>
      </c>
      <c r="D35" s="20"/>
      <c r="E35" s="21">
        <v>200</v>
      </c>
      <c r="F35" s="29">
        <v>6500</v>
      </c>
      <c r="G35" s="22">
        <f t="shared" si="2"/>
        <v>6700</v>
      </c>
      <c r="H35" s="22">
        <f>200+580</f>
        <v>780</v>
      </c>
      <c r="I35" s="22">
        <f t="shared" si="1"/>
        <v>5920</v>
      </c>
      <c r="J35" s="22">
        <v>200</v>
      </c>
      <c r="K35" s="24">
        <v>170</v>
      </c>
      <c r="L35" s="23">
        <v>200</v>
      </c>
      <c r="M35" t="s">
        <v>100</v>
      </c>
      <c r="Q35">
        <f>510+1530+1360+170+170+170+340+150</f>
        <v>4400</v>
      </c>
      <c r="R35">
        <f>5600-Q35</f>
        <v>1200</v>
      </c>
    </row>
    <row r="36" spans="2:18" x14ac:dyDescent="0.25">
      <c r="B36" s="1" t="s">
        <v>89</v>
      </c>
      <c r="C36" s="28" t="s">
        <v>34</v>
      </c>
      <c r="D36" s="20"/>
      <c r="E36" s="21">
        <v>478</v>
      </c>
      <c r="F36" s="29">
        <v>6500</v>
      </c>
      <c r="G36" s="22">
        <f t="shared" si="2"/>
        <v>6978</v>
      </c>
      <c r="H36" s="22">
        <v>6978</v>
      </c>
      <c r="I36" s="22">
        <f t="shared" si="1"/>
        <v>0</v>
      </c>
      <c r="J36" s="22">
        <v>478</v>
      </c>
      <c r="K36" s="24"/>
      <c r="L36" s="23">
        <v>200</v>
      </c>
    </row>
    <row r="37" spans="2:18" x14ac:dyDescent="0.25">
      <c r="B37" s="1" t="s">
        <v>103</v>
      </c>
      <c r="C37" s="28" t="s">
        <v>35</v>
      </c>
      <c r="D37" s="20"/>
      <c r="E37" s="21"/>
      <c r="F37" s="29">
        <v>6500</v>
      </c>
      <c r="G37" s="22">
        <f t="shared" si="2"/>
        <v>6500</v>
      </c>
      <c r="H37" s="22">
        <v>6500</v>
      </c>
      <c r="I37" s="22">
        <f>G37-H37</f>
        <v>0</v>
      </c>
      <c r="J37" s="22"/>
      <c r="K37" s="24">
        <v>510</v>
      </c>
      <c r="L37" s="23">
        <v>200</v>
      </c>
      <c r="M37" t="s">
        <v>97</v>
      </c>
    </row>
    <row r="38" spans="2:18" x14ac:dyDescent="0.25">
      <c r="B38" s="1" t="s">
        <v>90</v>
      </c>
      <c r="C38" s="28" t="s">
        <v>36</v>
      </c>
      <c r="D38" s="20"/>
      <c r="E38" s="21">
        <v>35220</v>
      </c>
      <c r="F38" s="29"/>
      <c r="G38" s="22">
        <f t="shared" si="2"/>
        <v>35220</v>
      </c>
      <c r="H38" s="22"/>
      <c r="I38" s="22"/>
      <c r="J38" s="22"/>
      <c r="K38" s="24"/>
      <c r="L38" s="23"/>
    </row>
    <row r="39" spans="2:18" x14ac:dyDescent="0.25">
      <c r="B39" s="1" t="s">
        <v>93</v>
      </c>
      <c r="C39" s="30"/>
      <c r="D39" s="20"/>
      <c r="E39" s="21"/>
      <c r="F39" s="31">
        <v>8000</v>
      </c>
      <c r="G39" s="22">
        <f t="shared" si="2"/>
        <v>8000</v>
      </c>
      <c r="H39" s="22"/>
      <c r="I39" s="22">
        <f t="shared" si="1"/>
        <v>8000</v>
      </c>
      <c r="J39" s="22"/>
      <c r="K39" s="24">
        <v>340</v>
      </c>
      <c r="L39" s="23">
        <v>200</v>
      </c>
      <c r="N39" s="53">
        <f>J36+L36+K39+L39+K30+L30</f>
        <v>1588</v>
      </c>
    </row>
    <row r="40" spans="2:18" x14ac:dyDescent="0.25">
      <c r="B40" s="32" t="s">
        <v>10</v>
      </c>
      <c r="C40" s="18"/>
      <c r="D40" s="20">
        <f t="shared" ref="D40:L40" si="3">SUM(D6:D39)</f>
        <v>0</v>
      </c>
      <c r="E40" s="21">
        <f t="shared" si="3"/>
        <v>157232</v>
      </c>
      <c r="F40" s="33">
        <f t="shared" si="3"/>
        <v>166000</v>
      </c>
      <c r="G40" s="22">
        <f t="shared" si="3"/>
        <v>310993</v>
      </c>
      <c r="H40" s="22">
        <f t="shared" si="3"/>
        <v>146085</v>
      </c>
      <c r="I40" s="22">
        <f t="shared" si="3"/>
        <v>78567</v>
      </c>
      <c r="J40" s="22">
        <f t="shared" si="3"/>
        <v>12505</v>
      </c>
      <c r="K40" s="24">
        <f t="shared" si="3"/>
        <v>10890</v>
      </c>
      <c r="L40" s="23">
        <f t="shared" si="3"/>
        <v>5200</v>
      </c>
    </row>
    <row r="41" spans="2:18" x14ac:dyDescent="0.2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</row>
    <row r="42" spans="2:18" x14ac:dyDescent="0.25">
      <c r="B42" s="7"/>
      <c r="C42" s="7"/>
      <c r="D42" s="7"/>
      <c r="E42" s="7"/>
      <c r="F42" s="7"/>
      <c r="G42" s="7"/>
      <c r="H42" s="7"/>
      <c r="I42" s="54">
        <f>I39+I35+F24+I16+F12+F7</f>
        <v>32420</v>
      </c>
      <c r="J42" s="7"/>
      <c r="K42" s="7"/>
      <c r="L42" s="7"/>
    </row>
    <row r="43" spans="2:18" x14ac:dyDescent="0.25">
      <c r="B43" s="7"/>
      <c r="C43" s="7"/>
      <c r="D43" s="7"/>
      <c r="E43" s="7"/>
      <c r="F43" s="7"/>
      <c r="G43" s="7"/>
      <c r="H43" s="7"/>
      <c r="I43" s="7"/>
      <c r="J43" s="7"/>
      <c r="K43" s="54">
        <f>F39+F7+F12+F24+F35</f>
        <v>33000</v>
      </c>
      <c r="L43" s="43"/>
    </row>
    <row r="44" spans="2:18" x14ac:dyDescent="0.2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</row>
    <row r="45" spans="2:18" x14ac:dyDescent="0.25">
      <c r="B45" s="54"/>
      <c r="C45" s="7"/>
      <c r="D45" s="54">
        <f>H40-B45</f>
        <v>146085</v>
      </c>
      <c r="E45" s="7"/>
      <c r="F45" s="54"/>
      <c r="G45" s="7"/>
      <c r="H45" s="7"/>
      <c r="I45" s="7"/>
      <c r="J45" s="7"/>
      <c r="K45" s="7"/>
      <c r="L45" s="7"/>
    </row>
    <row r="46" spans="2:18" x14ac:dyDescent="0.2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</row>
    <row r="47" spans="2:18" ht="0.75" customHeight="1" x14ac:dyDescent="0.2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</row>
    <row r="48" spans="2:18" hidden="1" x14ac:dyDescent="0.2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</row>
    <row r="49" spans="2:16" hidden="1" x14ac:dyDescent="0.2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</row>
    <row r="50" spans="2:16" hidden="1" x14ac:dyDescent="0.2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</row>
    <row r="51" spans="2:16" hidden="1" x14ac:dyDescent="0.2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</row>
    <row r="52" spans="2:16" hidden="1" x14ac:dyDescent="0.2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</row>
    <row r="53" spans="2:16" ht="21" hidden="1" customHeight="1" x14ac:dyDescent="0.25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</row>
    <row r="54" spans="2:16" x14ac:dyDescent="0.25">
      <c r="B54" s="7" t="s">
        <v>11</v>
      </c>
      <c r="C54" s="34"/>
      <c r="D54" s="35"/>
      <c r="E54" s="36"/>
      <c r="F54" s="37"/>
      <c r="G54" s="38"/>
      <c r="H54" s="37"/>
      <c r="I54" s="37"/>
      <c r="J54" s="37"/>
      <c r="K54" s="7"/>
      <c r="L54" s="7"/>
    </row>
    <row r="55" spans="2:16" x14ac:dyDescent="0.25">
      <c r="B55" s="39" t="s">
        <v>12</v>
      </c>
      <c r="C55" s="39"/>
      <c r="D55" s="39"/>
      <c r="E55" s="40"/>
      <c r="F55" s="39" t="s">
        <v>8</v>
      </c>
      <c r="G55" s="7"/>
      <c r="H55" s="7"/>
      <c r="I55" s="7"/>
      <c r="J55" s="7"/>
      <c r="K55" s="7"/>
      <c r="L55" s="7"/>
      <c r="M55" s="5"/>
    </row>
    <row r="56" spans="2:16" x14ac:dyDescent="0.25">
      <c r="B56" s="41" t="s">
        <v>13</v>
      </c>
      <c r="C56" s="41" t="s">
        <v>14</v>
      </c>
      <c r="D56" s="41" t="s">
        <v>15</v>
      </c>
      <c r="E56" s="41" t="s">
        <v>16</v>
      </c>
      <c r="F56" s="41" t="s">
        <v>13</v>
      </c>
      <c r="G56" s="41" t="s">
        <v>14</v>
      </c>
      <c r="H56" s="41" t="s">
        <v>15</v>
      </c>
      <c r="I56" s="41"/>
      <c r="J56" s="41"/>
      <c r="K56" s="41" t="s">
        <v>16</v>
      </c>
      <c r="L56" s="7"/>
      <c r="M56" s="5"/>
    </row>
    <row r="57" spans="2:16" x14ac:dyDescent="0.25">
      <c r="B57" s="18" t="s">
        <v>17</v>
      </c>
      <c r="C57" s="42">
        <f>F40</f>
        <v>166000</v>
      </c>
      <c r="D57" s="18"/>
      <c r="E57" s="18"/>
      <c r="F57" s="18" t="s">
        <v>17</v>
      </c>
      <c r="G57" s="42">
        <f>H40</f>
        <v>146085</v>
      </c>
      <c r="H57" s="18"/>
      <c r="I57" s="18"/>
      <c r="J57" s="18"/>
      <c r="K57" s="18"/>
      <c r="L57" s="7"/>
      <c r="M57" s="5"/>
    </row>
    <row r="58" spans="2:16" x14ac:dyDescent="0.25">
      <c r="B58" s="18" t="s">
        <v>18</v>
      </c>
      <c r="C58" s="42"/>
      <c r="D58" s="18"/>
      <c r="E58" s="18"/>
      <c r="F58" s="18" t="s">
        <v>18</v>
      </c>
      <c r="G58" s="42"/>
      <c r="H58" s="18"/>
      <c r="I58" s="18"/>
      <c r="J58" s="18"/>
      <c r="K58" s="18"/>
      <c r="L58" s="7"/>
      <c r="M58" s="5"/>
    </row>
    <row r="59" spans="2:16" x14ac:dyDescent="0.25">
      <c r="B59" s="18" t="s">
        <v>19</v>
      </c>
      <c r="C59" s="42"/>
      <c r="D59" s="18"/>
      <c r="E59" s="18"/>
      <c r="F59" s="18"/>
      <c r="G59" s="42"/>
      <c r="H59" s="18"/>
      <c r="I59" s="18"/>
      <c r="J59" s="18"/>
      <c r="K59" s="18"/>
      <c r="L59" s="7"/>
      <c r="P59">
        <v>9890</v>
      </c>
    </row>
    <row r="60" spans="2:16" x14ac:dyDescent="0.25">
      <c r="B60" s="18" t="s">
        <v>63</v>
      </c>
      <c r="C60" s="42">
        <f>K40+M26+M27+M13+M17</f>
        <v>11220</v>
      </c>
      <c r="D60" s="18"/>
      <c r="E60" s="18"/>
      <c r="F60" s="18" t="s">
        <v>63</v>
      </c>
      <c r="G60" s="42">
        <f>K40+M27+M26+M17+M13</f>
        <v>11220</v>
      </c>
      <c r="H60" s="18"/>
      <c r="I60" s="18"/>
      <c r="J60" s="18"/>
      <c r="K60" s="18"/>
      <c r="L60" s="43"/>
      <c r="M60" s="53"/>
    </row>
    <row r="61" spans="2:16" x14ac:dyDescent="0.25">
      <c r="B61" s="18" t="s">
        <v>62</v>
      </c>
      <c r="C61" s="42">
        <f>J40</f>
        <v>12505</v>
      </c>
      <c r="D61" s="18"/>
      <c r="E61" s="18"/>
      <c r="F61" s="18"/>
      <c r="G61" s="42"/>
      <c r="H61" s="18"/>
      <c r="I61" s="18"/>
      <c r="J61" s="18"/>
      <c r="K61" s="18"/>
      <c r="L61" s="43"/>
    </row>
    <row r="62" spans="2:16" x14ac:dyDescent="0.25">
      <c r="B62" s="18" t="s">
        <v>96</v>
      </c>
      <c r="C62" s="42">
        <f>L40</f>
        <v>5200</v>
      </c>
      <c r="D62" s="18"/>
      <c r="E62" s="18"/>
      <c r="F62" s="18" t="s">
        <v>96</v>
      </c>
      <c r="G62" s="42">
        <f>L40</f>
        <v>5200</v>
      </c>
      <c r="H62" s="18"/>
      <c r="I62" s="18"/>
      <c r="J62" s="18"/>
      <c r="K62" s="18"/>
      <c r="L62" s="43"/>
    </row>
    <row r="63" spans="2:16" x14ac:dyDescent="0.25">
      <c r="B63" s="18" t="s">
        <v>20</v>
      </c>
      <c r="C63" s="44">
        <v>0.05</v>
      </c>
      <c r="D63" s="42">
        <f>C63*C57</f>
        <v>8300</v>
      </c>
      <c r="E63" s="18"/>
      <c r="F63" s="18" t="s">
        <v>20</v>
      </c>
      <c r="G63" s="44">
        <v>0.05</v>
      </c>
      <c r="H63" s="42">
        <f>D63</f>
        <v>8300</v>
      </c>
      <c r="I63" s="42"/>
      <c r="J63" s="42"/>
      <c r="K63" s="18"/>
      <c r="L63" s="7"/>
      <c r="N63" s="5"/>
    </row>
    <row r="64" spans="2:16" x14ac:dyDescent="0.25">
      <c r="B64" s="41" t="s">
        <v>21</v>
      </c>
      <c r="C64" s="18" t="s">
        <v>22</v>
      </c>
      <c r="D64" s="18"/>
      <c r="E64" s="18"/>
      <c r="F64" s="41" t="s">
        <v>21</v>
      </c>
      <c r="G64" s="45"/>
      <c r="H64" s="18"/>
      <c r="I64" s="18"/>
      <c r="J64" s="18"/>
      <c r="K64" s="18"/>
      <c r="L64" s="43"/>
      <c r="N64" s="5"/>
    </row>
    <row r="65" spans="2:15" ht="15.75" customHeight="1" x14ac:dyDescent="0.25">
      <c r="B65" s="46" t="s">
        <v>88</v>
      </c>
      <c r="C65" s="18"/>
      <c r="D65" s="18">
        <v>200</v>
      </c>
      <c r="E65" s="18"/>
      <c r="F65" s="46" t="s">
        <v>88</v>
      </c>
      <c r="G65" s="18"/>
      <c r="H65" s="18">
        <v>200</v>
      </c>
      <c r="I65" s="18"/>
      <c r="J65" s="18"/>
      <c r="K65" s="18"/>
      <c r="L65" s="43"/>
      <c r="N65" s="5"/>
    </row>
    <row r="66" spans="2:15" x14ac:dyDescent="0.25">
      <c r="B66" s="45"/>
      <c r="C66" s="7"/>
      <c r="D66" s="44"/>
      <c r="E66" s="47"/>
      <c r="F66" s="45"/>
      <c r="G66" s="44"/>
      <c r="H66" s="47"/>
      <c r="I66" s="47"/>
      <c r="J66" s="47"/>
      <c r="K66" s="18"/>
      <c r="L66" s="43"/>
      <c r="N66" s="5"/>
    </row>
    <row r="67" spans="2:15" x14ac:dyDescent="0.25">
      <c r="B67" s="45" t="s">
        <v>98</v>
      </c>
      <c r="C67" s="44"/>
      <c r="D67" s="18">
        <v>6000</v>
      </c>
      <c r="E67" s="18"/>
      <c r="F67" s="45" t="s">
        <v>98</v>
      </c>
      <c r="G67" s="44"/>
      <c r="H67" s="18">
        <v>6000</v>
      </c>
      <c r="I67" s="18"/>
      <c r="J67" s="18"/>
      <c r="K67" s="18"/>
      <c r="L67" s="43"/>
    </row>
    <row r="68" spans="2:15" x14ac:dyDescent="0.25">
      <c r="B68" s="18" t="s">
        <v>102</v>
      </c>
      <c r="C68" s="18"/>
      <c r="D68" s="7">
        <v>1500</v>
      </c>
      <c r="E68" s="18"/>
      <c r="F68" s="18" t="s">
        <v>102</v>
      </c>
      <c r="G68" s="18"/>
      <c r="H68" s="7">
        <v>1500</v>
      </c>
      <c r="I68" s="18"/>
      <c r="J68" s="18"/>
      <c r="K68" s="18"/>
      <c r="L68" s="43"/>
    </row>
    <row r="69" spans="2:15" x14ac:dyDescent="0.25">
      <c r="B69" s="45" t="s">
        <v>101</v>
      </c>
      <c r="C69" s="46"/>
      <c r="D69" s="47">
        <v>163827</v>
      </c>
      <c r="E69" s="18"/>
      <c r="F69" s="45" t="s">
        <v>101</v>
      </c>
      <c r="G69" s="46"/>
      <c r="H69" s="47">
        <v>163827</v>
      </c>
      <c r="I69" s="47"/>
      <c r="J69" s="47"/>
      <c r="K69" s="18"/>
      <c r="L69" s="43"/>
      <c r="N69" s="5"/>
    </row>
    <row r="70" spans="2:15" x14ac:dyDescent="0.25">
      <c r="B70" s="45"/>
      <c r="C70" s="18"/>
      <c r="D70" s="18"/>
      <c r="E70" s="18"/>
      <c r="F70" s="45"/>
      <c r="G70" s="18"/>
      <c r="H70" s="18"/>
      <c r="I70" s="18"/>
      <c r="J70" s="18"/>
      <c r="K70" s="18"/>
      <c r="L70" s="7"/>
    </row>
    <row r="71" spans="2:15" x14ac:dyDescent="0.25">
      <c r="B71" s="48" t="s">
        <v>134</v>
      </c>
      <c r="C71" s="18"/>
      <c r="D71" s="47">
        <v>1218</v>
      </c>
      <c r="E71" s="18"/>
      <c r="F71" s="48" t="s">
        <v>135</v>
      </c>
      <c r="G71" s="18"/>
      <c r="H71" s="47">
        <f>D71</f>
        <v>1218</v>
      </c>
      <c r="I71" s="18"/>
      <c r="J71" s="18"/>
      <c r="K71" s="18"/>
      <c r="L71" s="43"/>
    </row>
    <row r="72" spans="2:15" x14ac:dyDescent="0.25">
      <c r="B72" s="48" t="s">
        <v>106</v>
      </c>
      <c r="C72" s="18"/>
      <c r="D72" s="47">
        <f>K37+L37+K33+L25+K25+J25+K23+L23+L22+K22+K20+L20+K19+K13+L13</f>
        <v>5600</v>
      </c>
      <c r="E72" s="18"/>
      <c r="F72" s="48" t="s">
        <v>106</v>
      </c>
      <c r="G72" s="18"/>
      <c r="H72" s="47">
        <f>K37+L37+K33+K25+L25+J25+K23+L23+K22+L22+K20+L20+K19+K13+L13</f>
        <v>5600</v>
      </c>
      <c r="I72" s="18"/>
      <c r="J72" s="18"/>
      <c r="K72" s="18"/>
      <c r="L72" s="43"/>
      <c r="N72" s="5">
        <f>38282+E76</f>
        <v>34122</v>
      </c>
    </row>
    <row r="73" spans="2:15" x14ac:dyDescent="0.25">
      <c r="B73" s="48" t="s">
        <v>103</v>
      </c>
      <c r="C73" s="18"/>
      <c r="D73" s="47">
        <f>H37</f>
        <v>6500</v>
      </c>
      <c r="E73" s="18"/>
      <c r="F73" s="48" t="s">
        <v>103</v>
      </c>
      <c r="G73" s="18"/>
      <c r="H73" s="47">
        <f>D73</f>
        <v>6500</v>
      </c>
      <c r="I73" s="18"/>
      <c r="J73" s="18"/>
      <c r="K73" s="18"/>
      <c r="L73" s="43"/>
    </row>
    <row r="74" spans="2:15" x14ac:dyDescent="0.25">
      <c r="B74" s="48" t="s">
        <v>107</v>
      </c>
      <c r="C74" s="18"/>
      <c r="D74" s="47">
        <f>F16</f>
        <v>5000</v>
      </c>
      <c r="E74" s="18"/>
      <c r="F74" s="48" t="s">
        <v>107</v>
      </c>
      <c r="G74" s="18"/>
      <c r="H74" s="47">
        <f>D74</f>
        <v>5000</v>
      </c>
      <c r="I74" s="18"/>
      <c r="J74" s="18"/>
      <c r="K74" s="18"/>
      <c r="L74" s="7"/>
    </row>
    <row r="75" spans="2:15" x14ac:dyDescent="0.25">
      <c r="B75" s="48" t="s">
        <v>136</v>
      </c>
      <c r="C75" s="18"/>
      <c r="D75" s="18">
        <f>200+200+200+340</f>
        <v>940</v>
      </c>
      <c r="E75" s="18"/>
      <c r="F75" s="48" t="str">
        <f>B75</f>
        <v>NO,B1,10,A4,A7</v>
      </c>
      <c r="G75" s="18"/>
      <c r="H75" s="18">
        <f>D75</f>
        <v>940</v>
      </c>
      <c r="I75" s="18"/>
      <c r="J75" s="18"/>
      <c r="K75" s="18"/>
      <c r="L75" s="7"/>
    </row>
    <row r="76" spans="2:15" x14ac:dyDescent="0.25">
      <c r="B76" s="41" t="s">
        <v>23</v>
      </c>
      <c r="C76" s="49">
        <f>C57+C58+C59+C60+C61+C62</f>
        <v>194925</v>
      </c>
      <c r="D76" s="49">
        <f>SUM(D63:D75)</f>
        <v>199085</v>
      </c>
      <c r="E76" s="49">
        <f>C76-D76</f>
        <v>-4160</v>
      </c>
      <c r="F76" s="41" t="s">
        <v>23</v>
      </c>
      <c r="G76" s="49">
        <f>G57+G58+G60+G62</f>
        <v>162505</v>
      </c>
      <c r="H76" s="49">
        <f>SUM(H63:H75)</f>
        <v>199085</v>
      </c>
      <c r="I76" s="49"/>
      <c r="J76" s="49"/>
      <c r="K76" s="49">
        <f>G76-H76</f>
        <v>-36580</v>
      </c>
      <c r="L76" s="7"/>
      <c r="O76" s="53">
        <f>9690</f>
        <v>9690</v>
      </c>
    </row>
    <row r="77" spans="2:15" x14ac:dyDescent="0.25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</row>
    <row r="78" spans="2:15" x14ac:dyDescent="0.25">
      <c r="B78" s="50" t="s">
        <v>24</v>
      </c>
      <c r="C78" s="51"/>
      <c r="D78" s="51" t="s">
        <v>25</v>
      </c>
      <c r="E78" s="52"/>
      <c r="F78" s="50"/>
      <c r="G78" s="50" t="s">
        <v>26</v>
      </c>
      <c r="H78" s="7"/>
      <c r="I78" s="7"/>
      <c r="J78" s="7"/>
      <c r="K78" s="7"/>
      <c r="L78" s="7"/>
    </row>
    <row r="79" spans="2:15" x14ac:dyDescent="0.25">
      <c r="B79" s="7" t="s">
        <v>104</v>
      </c>
      <c r="C79" s="7"/>
      <c r="D79" s="7" t="s">
        <v>105</v>
      </c>
      <c r="E79" s="7"/>
      <c r="F79" s="7"/>
      <c r="G79" s="7" t="s">
        <v>27</v>
      </c>
      <c r="H79" s="7"/>
      <c r="I79" s="7"/>
      <c r="J79" s="7"/>
      <c r="K79" s="7"/>
      <c r="L79" s="7"/>
    </row>
    <row r="80" spans="2:15" x14ac:dyDescent="0.25">
      <c r="N80" s="5">
        <f>K76-E76</f>
        <v>-32420</v>
      </c>
    </row>
    <row r="83" spans="4:4" x14ac:dyDescent="0.25">
      <c r="D83" s="5">
        <f>C76-C61</f>
        <v>182420</v>
      </c>
    </row>
  </sheetData>
  <pageMargins left="0" right="0" top="0.1" bottom="0.1" header="0.3" footer="0.3"/>
  <pageSetup orientation="portrait" horizontalDpi="203" verticalDpi="20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3"/>
  <sheetViews>
    <sheetView workbookViewId="0">
      <selection activeCell="I36" sqref="I36"/>
    </sheetView>
  </sheetViews>
  <sheetFormatPr defaultRowHeight="15" x14ac:dyDescent="0.25"/>
  <cols>
    <col min="1" max="1" width="17.42578125" bestFit="1" customWidth="1"/>
    <col min="2" max="2" width="9.5703125" customWidth="1"/>
    <col min="3" max="3" width="10.140625" customWidth="1"/>
    <col min="4" max="4" width="7.7109375" customWidth="1"/>
    <col min="5" max="5" width="8.7109375" customWidth="1"/>
    <col min="6" max="7" width="8.85546875" customWidth="1"/>
    <col min="8" max="8" width="9.140625" customWidth="1"/>
    <col min="9" max="9" width="7.42578125" customWidth="1"/>
    <col min="10" max="10" width="9.42578125" customWidth="1"/>
    <col min="11" max="11" width="11.140625" customWidth="1"/>
    <col min="12" max="12" width="12.42578125" customWidth="1"/>
    <col min="13" max="13" width="10" bestFit="1" customWidth="1"/>
  </cols>
  <sheetData>
    <row r="1" spans="1:16" x14ac:dyDescent="0.2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</row>
    <row r="2" spans="1:16" ht="15.75" x14ac:dyDescent="0.25">
      <c r="A2" s="79"/>
      <c r="B2" s="100"/>
      <c r="C2" s="100"/>
      <c r="D2" s="100"/>
      <c r="E2" s="100" t="s">
        <v>27</v>
      </c>
      <c r="F2" s="79"/>
      <c r="G2" s="100"/>
      <c r="H2" s="101"/>
      <c r="I2" s="79"/>
      <c r="J2" s="79"/>
      <c r="K2" s="79"/>
      <c r="L2" s="79"/>
      <c r="M2" s="79"/>
    </row>
    <row r="3" spans="1:16" ht="15.75" x14ac:dyDescent="0.25">
      <c r="A3" s="79"/>
      <c r="B3" s="100"/>
      <c r="C3" s="100"/>
      <c r="D3" s="100"/>
      <c r="E3" s="100" t="s">
        <v>0</v>
      </c>
      <c r="F3" s="100"/>
      <c r="G3" s="100"/>
      <c r="H3" s="102"/>
      <c r="I3" s="79"/>
      <c r="J3" s="79"/>
      <c r="K3" s="79"/>
      <c r="L3" s="79"/>
      <c r="M3" s="79"/>
    </row>
    <row r="4" spans="1:16" ht="18.75" x14ac:dyDescent="0.3">
      <c r="A4" s="103"/>
      <c r="D4" s="100" t="s">
        <v>259</v>
      </c>
      <c r="E4" s="100"/>
      <c r="G4" s="100"/>
      <c r="H4" s="104"/>
      <c r="I4" s="105"/>
      <c r="J4" s="105"/>
      <c r="K4" s="105"/>
      <c r="L4" s="105"/>
      <c r="M4" s="79"/>
    </row>
    <row r="5" spans="1:16" x14ac:dyDescent="0.25">
      <c r="A5" s="106" t="s">
        <v>2</v>
      </c>
      <c r="B5" s="106" t="s">
        <v>3</v>
      </c>
      <c r="C5" s="106" t="s">
        <v>4</v>
      </c>
      <c r="D5" s="107" t="s">
        <v>5</v>
      </c>
      <c r="E5" s="106" t="s">
        <v>6</v>
      </c>
      <c r="F5" s="123" t="s">
        <v>63</v>
      </c>
      <c r="G5" s="106" t="s">
        <v>96</v>
      </c>
      <c r="H5" s="108" t="s">
        <v>7</v>
      </c>
      <c r="I5" s="106" t="s">
        <v>8</v>
      </c>
      <c r="J5" s="106" t="s">
        <v>9</v>
      </c>
      <c r="K5" s="106" t="s">
        <v>91</v>
      </c>
      <c r="L5" s="106" t="s">
        <v>123</v>
      </c>
      <c r="M5" s="79"/>
    </row>
    <row r="6" spans="1:16" x14ac:dyDescent="0.25">
      <c r="A6" s="61" t="s">
        <v>61</v>
      </c>
      <c r="B6" s="68" t="s">
        <v>52</v>
      </c>
      <c r="C6" s="63"/>
      <c r="D6" s="64">
        <f>'AUGUST 20'!L6:L39</f>
        <v>2972</v>
      </c>
      <c r="E6" s="66">
        <v>6000</v>
      </c>
      <c r="F6" s="124">
        <v>476</v>
      </c>
      <c r="G6" s="66">
        <v>200</v>
      </c>
      <c r="H6" s="66">
        <f>D6+E6+F6+G6</f>
        <v>9648</v>
      </c>
      <c r="I6" s="66">
        <f>6676</f>
        <v>6676</v>
      </c>
      <c r="J6" s="66">
        <f>H6-I6</f>
        <v>2972</v>
      </c>
      <c r="K6" s="66"/>
      <c r="L6" s="66"/>
      <c r="M6" s="79"/>
    </row>
    <row r="7" spans="1:16" x14ac:dyDescent="0.25">
      <c r="A7" s="59" t="s">
        <v>64</v>
      </c>
      <c r="B7" s="68" t="s">
        <v>51</v>
      </c>
      <c r="C7" s="63"/>
      <c r="D7" s="64">
        <f>'AUGUST 20'!L7:L40</f>
        <v>3131</v>
      </c>
      <c r="E7" s="65">
        <v>6000</v>
      </c>
      <c r="F7" s="113">
        <v>544</v>
      </c>
      <c r="G7" s="65">
        <v>200</v>
      </c>
      <c r="H7" s="66">
        <f t="shared" ref="H7:H39" si="0">D7+E7+F7+G7</f>
        <v>9875</v>
      </c>
      <c r="I7" s="66">
        <f>3500+2500</f>
        <v>6000</v>
      </c>
      <c r="J7" s="66">
        <f>H7-I7</f>
        <v>3875</v>
      </c>
      <c r="K7" s="66"/>
      <c r="L7" s="66"/>
      <c r="M7" s="79"/>
      <c r="O7" s="53"/>
    </row>
    <row r="8" spans="1:16" x14ac:dyDescent="0.25">
      <c r="A8" s="59" t="s">
        <v>65</v>
      </c>
      <c r="B8" s="68" t="s">
        <v>54</v>
      </c>
      <c r="C8" s="63"/>
      <c r="D8" s="64">
        <f>'AUGUST 20'!L8:L41</f>
        <v>0</v>
      </c>
      <c r="E8" s="65"/>
      <c r="F8" s="113"/>
      <c r="G8" s="65"/>
      <c r="H8" s="66">
        <f t="shared" si="0"/>
        <v>0</v>
      </c>
      <c r="I8" s="66"/>
      <c r="J8" s="66">
        <f>H8-I8</f>
        <v>0</v>
      </c>
      <c r="K8" s="66"/>
      <c r="L8" s="66"/>
      <c r="M8" s="79"/>
    </row>
    <row r="9" spans="1:16" x14ac:dyDescent="0.25">
      <c r="A9" s="120" t="s">
        <v>67</v>
      </c>
      <c r="B9" s="68" t="s">
        <v>50</v>
      </c>
      <c r="C9" s="63"/>
      <c r="D9" s="64"/>
      <c r="E9" s="64"/>
      <c r="F9" s="115"/>
      <c r="G9" s="65"/>
      <c r="H9" s="66">
        <f t="shared" si="0"/>
        <v>0</v>
      </c>
      <c r="I9" s="66"/>
      <c r="J9" s="66">
        <f>H9-I9</f>
        <v>0</v>
      </c>
      <c r="K9" s="66"/>
      <c r="L9" s="66"/>
      <c r="M9" s="79"/>
      <c r="O9" s="53"/>
    </row>
    <row r="10" spans="1:16" x14ac:dyDescent="0.25">
      <c r="A10" s="59" t="s">
        <v>151</v>
      </c>
      <c r="B10" s="68" t="s">
        <v>49</v>
      </c>
      <c r="C10" s="63"/>
      <c r="D10" s="64">
        <f>'AUGUST 20'!L10:L43</f>
        <v>0</v>
      </c>
      <c r="E10" s="65">
        <f>80%*6000</f>
        <v>4800</v>
      </c>
      <c r="F10" s="113">
        <v>340</v>
      </c>
      <c r="G10" s="65">
        <v>200</v>
      </c>
      <c r="H10" s="66">
        <f t="shared" si="0"/>
        <v>5340</v>
      </c>
      <c r="I10" s="66">
        <v>5340</v>
      </c>
      <c r="J10" s="66">
        <f>H10-I10</f>
        <v>0</v>
      </c>
      <c r="K10" s="66"/>
      <c r="L10" s="66"/>
      <c r="M10" s="79"/>
      <c r="P10" s="53"/>
    </row>
    <row r="11" spans="1:16" x14ac:dyDescent="0.25">
      <c r="A11" s="109" t="s">
        <v>263</v>
      </c>
      <c r="B11" s="68" t="s">
        <v>53</v>
      </c>
      <c r="C11" s="63"/>
      <c r="D11" s="64">
        <f>'AUGUST 20'!L11:L44</f>
        <v>1425</v>
      </c>
      <c r="E11" s="65">
        <v>6000</v>
      </c>
      <c r="F11" s="113">
        <v>952</v>
      </c>
      <c r="G11" s="65">
        <v>200</v>
      </c>
      <c r="H11" s="66">
        <f t="shared" si="0"/>
        <v>8577</v>
      </c>
      <c r="I11" s="66">
        <v>7150</v>
      </c>
      <c r="J11" s="66">
        <f t="shared" ref="J11:J36" si="1">H11-I11</f>
        <v>1427</v>
      </c>
      <c r="K11" s="66"/>
      <c r="L11" s="66"/>
      <c r="M11" s="94"/>
      <c r="O11" s="53"/>
    </row>
    <row r="12" spans="1:16" x14ac:dyDescent="0.25">
      <c r="A12" s="61" t="s">
        <v>262</v>
      </c>
      <c r="B12" s="68" t="s">
        <v>48</v>
      </c>
      <c r="C12" s="63"/>
      <c r="D12" s="64">
        <f>'AUGUST 20'!L12:L45</f>
        <v>0</v>
      </c>
      <c r="E12" s="65">
        <v>6000</v>
      </c>
      <c r="F12" s="113">
        <v>238</v>
      </c>
      <c r="G12" s="65">
        <v>200</v>
      </c>
      <c r="H12" s="66">
        <f t="shared" si="0"/>
        <v>6438</v>
      </c>
      <c r="I12" s="66">
        <v>6438</v>
      </c>
      <c r="J12" s="66">
        <f t="shared" si="1"/>
        <v>0</v>
      </c>
      <c r="K12" s="66"/>
      <c r="L12" s="66"/>
      <c r="M12" s="53"/>
      <c r="N12" s="53"/>
      <c r="O12" s="53"/>
    </row>
    <row r="13" spans="1:16" x14ac:dyDescent="0.25">
      <c r="A13" s="67" t="s">
        <v>181</v>
      </c>
      <c r="B13" s="68" t="s">
        <v>47</v>
      </c>
      <c r="C13" s="63"/>
      <c r="D13" s="64">
        <f>'AUGUST 20'!L13:L46</f>
        <v>0</v>
      </c>
      <c r="E13" s="65">
        <v>6000</v>
      </c>
      <c r="F13" s="113">
        <v>17</v>
      </c>
      <c r="G13" s="65">
        <v>200</v>
      </c>
      <c r="H13" s="66">
        <f t="shared" si="0"/>
        <v>6217</v>
      </c>
      <c r="I13" s="66">
        <f>6084</f>
        <v>6084</v>
      </c>
      <c r="J13" s="66">
        <f t="shared" si="1"/>
        <v>133</v>
      </c>
      <c r="K13" s="66"/>
      <c r="L13" s="66"/>
      <c r="M13" s="94"/>
      <c r="O13" s="94"/>
    </row>
    <row r="14" spans="1:16" x14ac:dyDescent="0.25">
      <c r="A14" s="61" t="s">
        <v>260</v>
      </c>
      <c r="B14" s="68" t="s">
        <v>46</v>
      </c>
      <c r="C14" s="63"/>
      <c r="D14" s="64">
        <f>'AUGUST 20'!L14:L47</f>
        <v>0</v>
      </c>
      <c r="E14" s="65"/>
      <c r="F14" s="113"/>
      <c r="G14" s="65"/>
      <c r="H14" s="66">
        <f t="shared" si="0"/>
        <v>0</v>
      </c>
      <c r="I14" s="66"/>
      <c r="J14" s="66">
        <f>H14-I14</f>
        <v>0</v>
      </c>
      <c r="K14" s="66"/>
      <c r="L14" s="66"/>
      <c r="M14" s="79">
        <v>702391468</v>
      </c>
      <c r="N14" s="53" t="s">
        <v>266</v>
      </c>
    </row>
    <row r="15" spans="1:16" x14ac:dyDescent="0.25">
      <c r="A15" s="59" t="s">
        <v>156</v>
      </c>
      <c r="B15" s="68" t="s">
        <v>45</v>
      </c>
      <c r="C15" s="63"/>
      <c r="D15" s="64">
        <f>'AUGUST 20'!L15:L48</f>
        <v>1463</v>
      </c>
      <c r="E15" s="65">
        <v>6000</v>
      </c>
      <c r="F15" s="113">
        <v>544</v>
      </c>
      <c r="G15" s="65">
        <v>200</v>
      </c>
      <c r="H15" s="66">
        <f t="shared" si="0"/>
        <v>8207</v>
      </c>
      <c r="I15" s="66">
        <f>6744</f>
        <v>6744</v>
      </c>
      <c r="J15" s="66">
        <f t="shared" si="1"/>
        <v>1463</v>
      </c>
      <c r="K15" s="66"/>
      <c r="L15" s="66"/>
      <c r="M15" s="94"/>
    </row>
    <row r="16" spans="1:16" x14ac:dyDescent="0.25">
      <c r="A16" s="60" t="s">
        <v>225</v>
      </c>
      <c r="B16" s="68" t="s">
        <v>44</v>
      </c>
      <c r="C16" s="63"/>
      <c r="D16" s="64">
        <f>'AUGUST 20'!L16:L49</f>
        <v>0</v>
      </c>
      <c r="E16" s="65">
        <v>6000</v>
      </c>
      <c r="F16" s="113">
        <v>119</v>
      </c>
      <c r="G16" s="65">
        <v>200</v>
      </c>
      <c r="H16" s="66">
        <f t="shared" si="0"/>
        <v>6319</v>
      </c>
      <c r="I16" s="66">
        <f>5200+1119</f>
        <v>6319</v>
      </c>
      <c r="J16" s="66">
        <f>H16-I16</f>
        <v>0</v>
      </c>
      <c r="K16" s="66"/>
      <c r="L16" s="66"/>
      <c r="M16" s="79"/>
    </row>
    <row r="17" spans="1:18" x14ac:dyDescent="0.25">
      <c r="A17" s="143" t="s">
        <v>67</v>
      </c>
      <c r="B17" s="68" t="s">
        <v>43</v>
      </c>
      <c r="C17" s="63"/>
      <c r="D17" s="64">
        <f>'AUGUST 20'!L17:L50</f>
        <v>0</v>
      </c>
      <c r="E17" s="65"/>
      <c r="F17" s="113"/>
      <c r="G17" s="65"/>
      <c r="H17" s="66">
        <f t="shared" si="0"/>
        <v>0</v>
      </c>
      <c r="I17" s="66"/>
      <c r="J17" s="66">
        <f t="shared" si="1"/>
        <v>0</v>
      </c>
      <c r="K17" s="66"/>
      <c r="L17" s="66"/>
      <c r="M17" s="110"/>
      <c r="N17" s="53"/>
    </row>
    <row r="18" spans="1:18" x14ac:dyDescent="0.25">
      <c r="A18" s="61" t="s">
        <v>73</v>
      </c>
      <c r="B18" s="68" t="s">
        <v>42</v>
      </c>
      <c r="C18" s="63"/>
      <c r="D18" s="64">
        <f>'AUGUST 20'!L18:L51</f>
        <v>0</v>
      </c>
      <c r="E18" s="65">
        <v>6000</v>
      </c>
      <c r="F18" s="113">
        <v>510</v>
      </c>
      <c r="G18" s="65">
        <v>200</v>
      </c>
      <c r="H18" s="66">
        <f t="shared" si="0"/>
        <v>6710</v>
      </c>
      <c r="I18" s="66">
        <f>6710</f>
        <v>6710</v>
      </c>
      <c r="J18" s="66">
        <f t="shared" si="1"/>
        <v>0</v>
      </c>
      <c r="K18" s="66"/>
      <c r="L18" s="66"/>
      <c r="M18" s="94"/>
      <c r="N18" s="53"/>
    </row>
    <row r="19" spans="1:18" x14ac:dyDescent="0.25">
      <c r="A19" s="60" t="s">
        <v>180</v>
      </c>
      <c r="B19" s="68" t="s">
        <v>41</v>
      </c>
      <c r="C19" s="63"/>
      <c r="D19" s="64">
        <f>'AUGUST 20'!L19:L52</f>
        <v>1029</v>
      </c>
      <c r="E19" s="65">
        <v>6000</v>
      </c>
      <c r="F19" s="113">
        <v>68</v>
      </c>
      <c r="G19" s="65">
        <v>200</v>
      </c>
      <c r="H19" s="66">
        <f t="shared" si="0"/>
        <v>7297</v>
      </c>
      <c r="I19" s="66">
        <f>6862+435</f>
        <v>7297</v>
      </c>
      <c r="J19" s="66">
        <f t="shared" si="1"/>
        <v>0</v>
      </c>
      <c r="K19" s="66"/>
      <c r="L19" s="66"/>
      <c r="M19" s="79"/>
      <c r="R19">
        <v>3765</v>
      </c>
    </row>
    <row r="20" spans="1:18" x14ac:dyDescent="0.25">
      <c r="A20" s="59" t="s">
        <v>75</v>
      </c>
      <c r="B20" s="68" t="s">
        <v>40</v>
      </c>
      <c r="C20" s="63"/>
      <c r="D20" s="64">
        <f>'AUGUST 20'!L20:L53</f>
        <v>0</v>
      </c>
      <c r="E20" s="65">
        <v>6000</v>
      </c>
      <c r="F20" s="113">
        <v>85</v>
      </c>
      <c r="G20" s="65">
        <v>200</v>
      </c>
      <c r="H20" s="66">
        <f t="shared" si="0"/>
        <v>6285</v>
      </c>
      <c r="I20" s="66">
        <v>6285</v>
      </c>
      <c r="J20" s="66">
        <f t="shared" si="1"/>
        <v>0</v>
      </c>
      <c r="K20" s="66"/>
      <c r="L20" s="66"/>
      <c r="M20" s="94"/>
      <c r="R20">
        <v>1270</v>
      </c>
    </row>
    <row r="21" spans="1:18" x14ac:dyDescent="0.25">
      <c r="A21" s="61" t="s">
        <v>76</v>
      </c>
      <c r="B21" s="111" t="s">
        <v>39</v>
      </c>
      <c r="C21" s="63"/>
      <c r="D21" s="64">
        <f>'AUGUST 20'!L21:L54</f>
        <v>3786</v>
      </c>
      <c r="E21" s="65">
        <v>6000</v>
      </c>
      <c r="F21" s="113">
        <v>68</v>
      </c>
      <c r="G21" s="65">
        <v>200</v>
      </c>
      <c r="H21" s="66">
        <f t="shared" si="0"/>
        <v>10054</v>
      </c>
      <c r="I21" s="66"/>
      <c r="J21" s="66">
        <f t="shared" si="1"/>
        <v>10054</v>
      </c>
      <c r="K21" s="66"/>
      <c r="L21" s="66"/>
      <c r="M21" s="79"/>
      <c r="R21">
        <v>2510</v>
      </c>
    </row>
    <row r="22" spans="1:18" x14ac:dyDescent="0.25">
      <c r="A22" s="61" t="s">
        <v>150</v>
      </c>
      <c r="B22" s="68" t="s">
        <v>38</v>
      </c>
      <c r="C22" s="63"/>
      <c r="D22" s="64">
        <f>'AUGUST 20'!L22:L55</f>
        <v>6000</v>
      </c>
      <c r="E22" s="65">
        <v>6000</v>
      </c>
      <c r="F22" s="113">
        <v>680</v>
      </c>
      <c r="G22" s="65">
        <v>200</v>
      </c>
      <c r="H22" s="66">
        <f t="shared" si="0"/>
        <v>12880</v>
      </c>
      <c r="I22" s="66">
        <f>6680+200+6000</f>
        <v>12880</v>
      </c>
      <c r="J22" s="66">
        <f t="shared" si="1"/>
        <v>0</v>
      </c>
      <c r="K22" s="66"/>
      <c r="L22" s="66"/>
      <c r="M22" s="79"/>
      <c r="R22">
        <v>6438</v>
      </c>
    </row>
    <row r="23" spans="1:18" x14ac:dyDescent="0.25">
      <c r="A23" s="59" t="s">
        <v>78</v>
      </c>
      <c r="B23" s="68" t="s">
        <v>37</v>
      </c>
      <c r="C23" s="63"/>
      <c r="D23" s="64">
        <f>'AUGUST 20'!L23:L56</f>
        <v>24</v>
      </c>
      <c r="E23" s="65">
        <v>6000</v>
      </c>
      <c r="F23" s="113"/>
      <c r="G23" s="65">
        <v>200</v>
      </c>
      <c r="H23" s="66">
        <f t="shared" si="0"/>
        <v>6224</v>
      </c>
      <c r="I23" s="66">
        <v>6224</v>
      </c>
      <c r="J23" s="66">
        <f t="shared" si="1"/>
        <v>0</v>
      </c>
      <c r="K23" s="66"/>
      <c r="L23" s="66"/>
      <c r="M23" s="79"/>
      <c r="R23">
        <v>7516</v>
      </c>
    </row>
    <row r="24" spans="1:18" x14ac:dyDescent="0.25">
      <c r="A24" s="61" t="s">
        <v>261</v>
      </c>
      <c r="B24" s="62" t="s">
        <v>28</v>
      </c>
      <c r="C24" s="63"/>
      <c r="D24" s="64">
        <f>'AUGUST 20'!L24:L57</f>
        <v>0</v>
      </c>
      <c r="E24" s="65">
        <v>6500</v>
      </c>
      <c r="F24" s="113">
        <v>816</v>
      </c>
      <c r="G24" s="65">
        <v>200</v>
      </c>
      <c r="H24" s="66">
        <f t="shared" si="0"/>
        <v>7516</v>
      </c>
      <c r="I24" s="66">
        <v>7516</v>
      </c>
      <c r="J24" s="66">
        <f>H24-I24</f>
        <v>0</v>
      </c>
      <c r="K24" s="66"/>
      <c r="L24" s="66"/>
      <c r="M24" s="79"/>
      <c r="R24">
        <v>6000</v>
      </c>
    </row>
    <row r="25" spans="1:18" x14ac:dyDescent="0.25">
      <c r="A25" s="61" t="s">
        <v>80</v>
      </c>
      <c r="B25" s="62" t="s">
        <v>29</v>
      </c>
      <c r="C25" s="63"/>
      <c r="D25" s="64">
        <f>'AUGUST 20'!L25:L58</f>
        <v>0</v>
      </c>
      <c r="E25" s="65">
        <v>6500</v>
      </c>
      <c r="F25" s="113">
        <v>1496</v>
      </c>
      <c r="G25" s="65">
        <v>200</v>
      </c>
      <c r="H25" s="66">
        <f t="shared" si="0"/>
        <v>8196</v>
      </c>
      <c r="I25" s="66">
        <v>5863</v>
      </c>
      <c r="J25" s="66">
        <f t="shared" si="1"/>
        <v>2333</v>
      </c>
      <c r="K25" s="66"/>
      <c r="L25" s="66"/>
      <c r="M25" s="79"/>
      <c r="N25" s="53"/>
      <c r="R25">
        <f>SUM(R19:R24)</f>
        <v>27499</v>
      </c>
    </row>
    <row r="26" spans="1:18" x14ac:dyDescent="0.25">
      <c r="A26" s="61" t="s">
        <v>81</v>
      </c>
      <c r="B26" s="62" t="s">
        <v>30</v>
      </c>
      <c r="C26" s="63"/>
      <c r="D26" s="64">
        <f>'AUGUST 20'!L26:L59</f>
        <v>2</v>
      </c>
      <c r="E26" s="65">
        <v>6500</v>
      </c>
      <c r="F26" s="113">
        <v>255</v>
      </c>
      <c r="G26" s="65">
        <v>200</v>
      </c>
      <c r="H26" s="66">
        <f t="shared" si="0"/>
        <v>6957</v>
      </c>
      <c r="I26" s="66">
        <v>6957</v>
      </c>
      <c r="J26" s="66">
        <f t="shared" si="1"/>
        <v>0</v>
      </c>
      <c r="K26" s="66"/>
      <c r="L26" s="66"/>
      <c r="M26" s="112"/>
    </row>
    <row r="27" spans="1:18" x14ac:dyDescent="0.25">
      <c r="A27" s="144" t="s">
        <v>82</v>
      </c>
      <c r="B27" s="62" t="s">
        <v>55</v>
      </c>
      <c r="C27" s="63"/>
      <c r="D27" s="64">
        <f>'AUGUST 20'!L27:L60</f>
        <v>7312</v>
      </c>
      <c r="E27" s="65"/>
      <c r="F27" s="113"/>
      <c r="G27" s="65"/>
      <c r="H27" s="66">
        <f t="shared" si="0"/>
        <v>7312</v>
      </c>
      <c r="I27" s="66">
        <v>3500</v>
      </c>
      <c r="J27" s="66">
        <f>H27-I27</f>
        <v>3812</v>
      </c>
      <c r="K27" s="66"/>
      <c r="L27" s="66"/>
      <c r="M27" s="112" t="s">
        <v>274</v>
      </c>
    </row>
    <row r="28" spans="1:18" x14ac:dyDescent="0.25">
      <c r="A28" s="61" t="s">
        <v>83</v>
      </c>
      <c r="B28" s="62" t="s">
        <v>56</v>
      </c>
      <c r="C28" s="63"/>
      <c r="D28" s="64">
        <f>'AUGUST 20'!L28:L61</f>
        <v>4907</v>
      </c>
      <c r="E28" s="65">
        <v>8000</v>
      </c>
      <c r="F28" s="113">
        <v>255</v>
      </c>
      <c r="G28" s="65">
        <v>200</v>
      </c>
      <c r="H28" s="66">
        <f t="shared" si="0"/>
        <v>13362</v>
      </c>
      <c r="I28" s="66">
        <v>8000</v>
      </c>
      <c r="J28" s="66">
        <f t="shared" si="1"/>
        <v>5362</v>
      </c>
      <c r="K28" s="66"/>
      <c r="L28" s="66"/>
      <c r="M28" s="94"/>
    </row>
    <row r="29" spans="1:18" x14ac:dyDescent="0.25">
      <c r="A29" s="61" t="s">
        <v>128</v>
      </c>
      <c r="B29" s="62" t="s">
        <v>57</v>
      </c>
      <c r="C29" s="63"/>
      <c r="D29" s="64">
        <f>'AUGUST 20'!L29:L62</f>
        <v>555</v>
      </c>
      <c r="E29" s="65">
        <v>6500</v>
      </c>
      <c r="F29" s="113">
        <v>510</v>
      </c>
      <c r="G29" s="65">
        <v>200</v>
      </c>
      <c r="H29" s="66">
        <f t="shared" si="0"/>
        <v>7765</v>
      </c>
      <c r="I29" s="66">
        <f>4000+3765</f>
        <v>7765</v>
      </c>
      <c r="J29" s="66">
        <f t="shared" si="1"/>
        <v>0</v>
      </c>
      <c r="K29" s="66"/>
      <c r="L29" s="66"/>
      <c r="M29" s="94"/>
      <c r="N29" s="53"/>
    </row>
    <row r="30" spans="1:18" x14ac:dyDescent="0.25">
      <c r="A30" s="61" t="s">
        <v>92</v>
      </c>
      <c r="B30" s="62" t="s">
        <v>58</v>
      </c>
      <c r="C30" s="63"/>
      <c r="D30" s="64">
        <f>'AUGUST 20'!L30:L63</f>
        <v>5022</v>
      </c>
      <c r="E30" s="65">
        <v>6500</v>
      </c>
      <c r="F30" s="113">
        <v>34</v>
      </c>
      <c r="G30" s="65">
        <v>200</v>
      </c>
      <c r="H30" s="66">
        <f t="shared" si="0"/>
        <v>11756</v>
      </c>
      <c r="I30" s="66">
        <f>6000</f>
        <v>6000</v>
      </c>
      <c r="J30" s="66">
        <f t="shared" si="1"/>
        <v>5756</v>
      </c>
      <c r="K30" s="66"/>
      <c r="L30" s="66"/>
      <c r="M30" s="79"/>
      <c r="N30" s="53"/>
    </row>
    <row r="31" spans="1:18" x14ac:dyDescent="0.25">
      <c r="A31" s="61" t="s">
        <v>176</v>
      </c>
      <c r="B31" s="62" t="s">
        <v>59</v>
      </c>
      <c r="C31" s="63"/>
      <c r="D31" s="64">
        <f>'AUGUST 20'!L31:L64</f>
        <v>3067</v>
      </c>
      <c r="E31" s="65">
        <v>6500</v>
      </c>
      <c r="F31" s="113">
        <v>459</v>
      </c>
      <c r="G31" s="65">
        <v>200</v>
      </c>
      <c r="H31" s="66">
        <f t="shared" si="0"/>
        <v>10226</v>
      </c>
      <c r="I31" s="66">
        <f>5000</f>
        <v>5000</v>
      </c>
      <c r="J31" s="66">
        <f t="shared" si="1"/>
        <v>5226</v>
      </c>
      <c r="K31" s="66"/>
      <c r="L31" s="66"/>
      <c r="M31" s="94"/>
      <c r="N31" s="53"/>
    </row>
    <row r="32" spans="1:18" x14ac:dyDescent="0.25">
      <c r="A32" s="61" t="s">
        <v>170</v>
      </c>
      <c r="B32" s="62" t="s">
        <v>60</v>
      </c>
      <c r="C32" s="63"/>
      <c r="D32" s="64">
        <f>'AUGUST 20'!L32:L65</f>
        <v>709</v>
      </c>
      <c r="E32" s="65">
        <v>6500</v>
      </c>
      <c r="F32" s="113">
        <v>612</v>
      </c>
      <c r="G32" s="65">
        <v>200</v>
      </c>
      <c r="H32" s="66">
        <f t="shared" si="0"/>
        <v>8021</v>
      </c>
      <c r="I32" s="66">
        <f>6500+812+709</f>
        <v>8021</v>
      </c>
      <c r="J32" s="66">
        <f t="shared" si="1"/>
        <v>0</v>
      </c>
      <c r="K32" s="66"/>
      <c r="L32" s="66"/>
      <c r="M32" s="141"/>
      <c r="N32" s="53"/>
    </row>
    <row r="33" spans="1:17" x14ac:dyDescent="0.25">
      <c r="A33" s="61" t="s">
        <v>86</v>
      </c>
      <c r="B33" s="62" t="s">
        <v>31</v>
      </c>
      <c r="C33" s="63"/>
      <c r="D33" s="64">
        <f>'AUGUST 20'!L33:L66</f>
        <v>1270</v>
      </c>
      <c r="E33" s="65">
        <v>8000</v>
      </c>
      <c r="F33" s="113">
        <v>646</v>
      </c>
      <c r="G33" s="65">
        <v>200</v>
      </c>
      <c r="H33" s="66">
        <f t="shared" si="0"/>
        <v>10116</v>
      </c>
      <c r="I33" s="66">
        <f>1270+8700</f>
        <v>9970</v>
      </c>
      <c r="J33" s="66">
        <f>H33-I33</f>
        <v>146</v>
      </c>
      <c r="K33" s="66"/>
      <c r="L33" s="66"/>
      <c r="M33" s="94"/>
      <c r="N33" s="53">
        <f>E33+F33</f>
        <v>8646</v>
      </c>
    </row>
    <row r="34" spans="1:17" x14ac:dyDescent="0.25">
      <c r="A34" s="61" t="s">
        <v>121</v>
      </c>
      <c r="B34" s="62" t="s">
        <v>32</v>
      </c>
      <c r="C34" s="63"/>
      <c r="D34" s="64">
        <f>'AUGUST 20'!L34:L67</f>
        <v>642</v>
      </c>
      <c r="E34" s="113">
        <v>6500</v>
      </c>
      <c r="F34" s="113">
        <v>408</v>
      </c>
      <c r="G34" s="65">
        <v>200</v>
      </c>
      <c r="H34" s="66">
        <f>D34+E34+F34+G34</f>
        <v>7750</v>
      </c>
      <c r="I34" s="66">
        <v>5310</v>
      </c>
      <c r="J34" s="66">
        <f t="shared" si="1"/>
        <v>2440</v>
      </c>
      <c r="K34" s="66"/>
      <c r="L34" s="66"/>
      <c r="M34" s="79"/>
    </row>
    <row r="35" spans="1:17" x14ac:dyDescent="0.25">
      <c r="A35" s="60" t="s">
        <v>245</v>
      </c>
      <c r="B35" s="62" t="s">
        <v>33</v>
      </c>
      <c r="C35" s="63"/>
      <c r="D35" s="64">
        <f>'AUGUST 20'!L35:L68</f>
        <v>0</v>
      </c>
      <c r="E35" s="113">
        <v>6500</v>
      </c>
      <c r="F35" s="113">
        <v>450</v>
      </c>
      <c r="G35" s="65">
        <v>200</v>
      </c>
      <c r="H35" s="66">
        <f t="shared" si="0"/>
        <v>7150</v>
      </c>
      <c r="I35" s="66">
        <f>6700+450</f>
        <v>7150</v>
      </c>
      <c r="J35" s="58">
        <f t="shared" si="1"/>
        <v>0</v>
      </c>
      <c r="K35" s="66"/>
      <c r="L35" s="66"/>
      <c r="M35" s="79"/>
      <c r="N35" s="53">
        <f>E34+F34+G34</f>
        <v>7108</v>
      </c>
    </row>
    <row r="36" spans="1:17" x14ac:dyDescent="0.25">
      <c r="A36" s="61" t="s">
        <v>89</v>
      </c>
      <c r="B36" s="62" t="s">
        <v>34</v>
      </c>
      <c r="C36" s="63"/>
      <c r="D36" s="64">
        <f>'AUGUST 20'!L36:L69</f>
        <v>0</v>
      </c>
      <c r="E36" s="113">
        <v>6500</v>
      </c>
      <c r="F36" s="113">
        <v>17</v>
      </c>
      <c r="G36" s="65">
        <v>200</v>
      </c>
      <c r="H36" s="66">
        <f t="shared" si="0"/>
        <v>6717</v>
      </c>
      <c r="I36" s="66">
        <f>6700</f>
        <v>6700</v>
      </c>
      <c r="J36" s="66">
        <f t="shared" si="1"/>
        <v>17</v>
      </c>
      <c r="K36" s="66"/>
      <c r="L36" s="66"/>
      <c r="M36" s="79"/>
      <c r="N36" s="53">
        <f>N35+D34</f>
        <v>7750</v>
      </c>
    </row>
    <row r="37" spans="1:17" x14ac:dyDescent="0.25">
      <c r="A37" s="61" t="s">
        <v>103</v>
      </c>
      <c r="B37" s="62" t="s">
        <v>35</v>
      </c>
      <c r="C37" s="63"/>
      <c r="D37" s="64">
        <f>'AUGUST 20'!L37:L70</f>
        <v>2510</v>
      </c>
      <c r="E37" s="113">
        <v>6500</v>
      </c>
      <c r="F37" s="113">
        <v>850</v>
      </c>
      <c r="G37" s="65">
        <v>200</v>
      </c>
      <c r="H37" s="66">
        <f t="shared" si="0"/>
        <v>10060</v>
      </c>
      <c r="I37" s="66">
        <f>7550+2510</f>
        <v>10060</v>
      </c>
      <c r="J37" s="66">
        <f>H37-I37</f>
        <v>0</v>
      </c>
      <c r="K37" s="66"/>
      <c r="L37" s="66"/>
      <c r="M37" s="79"/>
    </row>
    <row r="38" spans="1:17" x14ac:dyDescent="0.25">
      <c r="A38" s="61" t="s">
        <v>138</v>
      </c>
      <c r="B38" s="62" t="s">
        <v>36</v>
      </c>
      <c r="C38" s="63"/>
      <c r="D38" s="64">
        <f>'AUGUST 20'!L38:L71</f>
        <v>1000</v>
      </c>
      <c r="E38" s="115">
        <v>8000</v>
      </c>
      <c r="F38" s="115">
        <v>680</v>
      </c>
      <c r="G38" s="65">
        <v>200</v>
      </c>
      <c r="H38" s="66">
        <f>D38+E38+F38+G38</f>
        <v>9880</v>
      </c>
      <c r="I38" s="66">
        <f>4500+3000</f>
        <v>7500</v>
      </c>
      <c r="J38" s="66">
        <f>H38-I38</f>
        <v>2380</v>
      </c>
      <c r="K38" s="66"/>
      <c r="L38" s="66"/>
      <c r="M38" s="94"/>
      <c r="N38" s="94"/>
    </row>
    <row r="39" spans="1:17" x14ac:dyDescent="0.25">
      <c r="A39" s="61"/>
      <c r="B39" s="114"/>
      <c r="C39" s="63"/>
      <c r="D39" s="64">
        <f>'JULY 20'!L39:L72</f>
        <v>0</v>
      </c>
      <c r="E39" s="115"/>
      <c r="F39" s="115"/>
      <c r="G39" s="65"/>
      <c r="H39" s="66">
        <f t="shared" si="0"/>
        <v>0</v>
      </c>
      <c r="I39" s="66"/>
      <c r="J39" s="66">
        <f>H39-I39</f>
        <v>0</v>
      </c>
      <c r="K39" s="66"/>
      <c r="L39" s="66"/>
      <c r="M39" s="79"/>
      <c r="N39" s="53">
        <f>E38+F38+G38</f>
        <v>8880</v>
      </c>
    </row>
    <row r="40" spans="1:17" x14ac:dyDescent="0.25">
      <c r="A40" s="116" t="s">
        <v>10</v>
      </c>
      <c r="B40" s="60"/>
      <c r="C40" s="63">
        <f t="shared" ref="C40:L40" si="2">SUM(C6:C39)</f>
        <v>0</v>
      </c>
      <c r="D40" s="64">
        <f>SUM(D6:D39)</f>
        <v>46826</v>
      </c>
      <c r="E40" s="117">
        <f>SUM(E6:E39)</f>
        <v>178300</v>
      </c>
      <c r="F40" s="118">
        <f>SUM(F6:F39)</f>
        <v>12129</v>
      </c>
      <c r="G40" s="130">
        <f t="shared" si="2"/>
        <v>5600</v>
      </c>
      <c r="H40" s="66">
        <f>SUM(H6:H39)</f>
        <v>242855</v>
      </c>
      <c r="I40" s="131">
        <f>SUM(I6:I39)</f>
        <v>195459</v>
      </c>
      <c r="J40" s="131">
        <f>SUM(J6:J39)</f>
        <v>47396</v>
      </c>
      <c r="K40" s="131">
        <f t="shared" si="2"/>
        <v>0</v>
      </c>
      <c r="L40" s="131">
        <f t="shared" si="2"/>
        <v>0</v>
      </c>
      <c r="M40" s="79"/>
      <c r="N40" s="53">
        <f>N39-I38</f>
        <v>1380</v>
      </c>
    </row>
    <row r="41" spans="1:17" x14ac:dyDescent="0.25">
      <c r="A41" s="79"/>
      <c r="B41" s="79"/>
      <c r="D41" s="79"/>
      <c r="E41" s="79"/>
      <c r="F41" s="79"/>
      <c r="G41" s="18"/>
      <c r="H41" s="18"/>
      <c r="I41" s="18"/>
      <c r="J41" s="18"/>
      <c r="K41" s="18"/>
      <c r="L41" s="18"/>
      <c r="M41" s="18"/>
      <c r="N41" s="18"/>
      <c r="O41" s="18"/>
    </row>
    <row r="42" spans="1:17" x14ac:dyDescent="0.25">
      <c r="K42" s="18"/>
      <c r="L42" s="18"/>
      <c r="M42" s="18"/>
      <c r="N42" s="41" t="s">
        <v>213</v>
      </c>
      <c r="O42" s="18"/>
      <c r="P42" s="120" t="s">
        <v>147</v>
      </c>
      <c r="Q42" s="18" t="s">
        <v>149</v>
      </c>
    </row>
    <row r="43" spans="1:17" x14ac:dyDescent="0.25">
      <c r="A43" s="79"/>
      <c r="K43" s="79"/>
      <c r="L43" s="18" t="s">
        <v>267</v>
      </c>
      <c r="M43" s="18"/>
      <c r="N43" s="132">
        <f>H23</f>
        <v>6224</v>
      </c>
      <c r="O43" s="41"/>
      <c r="P43" s="136">
        <v>6224</v>
      </c>
      <c r="Q43" s="132"/>
    </row>
    <row r="44" spans="1:17" x14ac:dyDescent="0.25">
      <c r="A44" s="7"/>
      <c r="K44" s="18"/>
      <c r="L44" s="18" t="s">
        <v>268</v>
      </c>
      <c r="M44" s="18"/>
      <c r="N44" s="47">
        <f>H26</f>
        <v>6957</v>
      </c>
      <c r="O44" s="41"/>
      <c r="P44" s="137">
        <v>6957</v>
      </c>
      <c r="Q44" s="132"/>
    </row>
    <row r="45" spans="1:17" x14ac:dyDescent="0.25">
      <c r="A45" s="7"/>
      <c r="K45" s="18"/>
      <c r="L45" s="18" t="s">
        <v>269</v>
      </c>
      <c r="M45" s="18"/>
      <c r="N45" s="132">
        <f>H10</f>
        <v>5340</v>
      </c>
      <c r="O45" s="41"/>
      <c r="P45" s="137">
        <v>5340</v>
      </c>
      <c r="Q45" s="132"/>
    </row>
    <row r="46" spans="1:17" x14ac:dyDescent="0.25">
      <c r="A46" s="7"/>
      <c r="K46" s="18"/>
      <c r="L46" s="18" t="s">
        <v>270</v>
      </c>
      <c r="M46" s="47"/>
      <c r="N46" s="132">
        <f>E37+F37+G37</f>
        <v>7550</v>
      </c>
      <c r="O46" s="41"/>
      <c r="P46" s="137">
        <v>7550</v>
      </c>
      <c r="Q46" s="132">
        <f>N46-P46</f>
        <v>0</v>
      </c>
    </row>
    <row r="47" spans="1:17" x14ac:dyDescent="0.25">
      <c r="A47" s="7"/>
      <c r="K47" s="18"/>
      <c r="L47" s="18" t="s">
        <v>271</v>
      </c>
      <c r="M47" s="18"/>
      <c r="N47" s="132">
        <f>H29</f>
        <v>7765</v>
      </c>
      <c r="O47" s="41"/>
      <c r="P47" s="137">
        <f>4000+3765</f>
        <v>7765</v>
      </c>
      <c r="Q47" s="132">
        <f>N47-P47</f>
        <v>0</v>
      </c>
    </row>
    <row r="48" spans="1:17" x14ac:dyDescent="0.25">
      <c r="A48" s="7"/>
      <c r="K48" s="18"/>
      <c r="L48" s="18" t="s">
        <v>272</v>
      </c>
      <c r="M48" s="18"/>
      <c r="N48" s="132">
        <f>H25</f>
        <v>8196</v>
      </c>
      <c r="O48" s="41"/>
      <c r="P48" s="137">
        <v>5863</v>
      </c>
      <c r="Q48" s="132">
        <f>N48-P48</f>
        <v>2333</v>
      </c>
    </row>
    <row r="49" spans="1:18" x14ac:dyDescent="0.25">
      <c r="A49" s="7"/>
      <c r="K49" s="18"/>
      <c r="L49" s="18" t="s">
        <v>275</v>
      </c>
      <c r="M49" s="18"/>
      <c r="N49" s="132">
        <f>H12</f>
        <v>6438</v>
      </c>
      <c r="O49" s="41"/>
      <c r="P49" s="137">
        <v>6438</v>
      </c>
      <c r="Q49" s="132">
        <f t="shared" ref="Q49:Q53" si="3">N49-P49</f>
        <v>0</v>
      </c>
    </row>
    <row r="50" spans="1:18" x14ac:dyDescent="0.25">
      <c r="A50" s="7"/>
      <c r="K50" s="18"/>
      <c r="L50" s="18" t="s">
        <v>276</v>
      </c>
      <c r="M50" s="18"/>
      <c r="N50" s="132">
        <f>H24</f>
        <v>7516</v>
      </c>
      <c r="O50" s="41"/>
      <c r="P50" s="138">
        <v>7516</v>
      </c>
      <c r="Q50" s="132">
        <f t="shared" si="3"/>
        <v>0</v>
      </c>
    </row>
    <row r="51" spans="1:18" x14ac:dyDescent="0.25">
      <c r="A51" s="7"/>
      <c r="K51" s="18"/>
      <c r="L51" s="18" t="s">
        <v>279</v>
      </c>
      <c r="M51" s="18"/>
      <c r="N51" s="132">
        <f>D37</f>
        <v>2510</v>
      </c>
      <c r="O51" s="41"/>
      <c r="P51" s="138">
        <v>2510</v>
      </c>
      <c r="Q51" s="132">
        <f t="shared" si="3"/>
        <v>0</v>
      </c>
    </row>
    <row r="52" spans="1:18" x14ac:dyDescent="0.25">
      <c r="A52" s="7"/>
      <c r="K52" s="18"/>
      <c r="L52" s="18" t="s">
        <v>280</v>
      </c>
      <c r="M52" s="18"/>
      <c r="N52" s="132">
        <f>D33+E33+F33+G33</f>
        <v>10116</v>
      </c>
      <c r="O52" s="41"/>
      <c r="P52" s="138">
        <f>8700+1270</f>
        <v>9970</v>
      </c>
      <c r="Q52" s="132">
        <f t="shared" si="3"/>
        <v>146</v>
      </c>
    </row>
    <row r="53" spans="1:18" x14ac:dyDescent="0.25">
      <c r="A53" s="7"/>
      <c r="K53" s="18"/>
      <c r="L53" s="18" t="s">
        <v>232</v>
      </c>
      <c r="M53" s="18"/>
      <c r="N53" s="132">
        <f>D22</f>
        <v>6000</v>
      </c>
      <c r="O53" s="41"/>
      <c r="P53" s="137">
        <v>6000</v>
      </c>
      <c r="Q53" s="132">
        <f t="shared" si="3"/>
        <v>0</v>
      </c>
    </row>
    <row r="54" spans="1:18" x14ac:dyDescent="0.25">
      <c r="A54" s="7"/>
      <c r="K54" s="18"/>
      <c r="L54" s="142"/>
      <c r="M54" s="18"/>
      <c r="N54" s="132"/>
      <c r="O54" s="41"/>
      <c r="P54" s="137"/>
      <c r="Q54" s="132"/>
      <c r="R54" s="41"/>
    </row>
    <row r="55" spans="1:18" x14ac:dyDescent="0.25">
      <c r="A55" s="7"/>
      <c r="K55" s="18"/>
      <c r="L55" s="142"/>
      <c r="M55" s="18"/>
      <c r="N55" s="132"/>
      <c r="O55" s="41"/>
      <c r="P55" s="137"/>
      <c r="Q55" s="132"/>
    </row>
    <row r="56" spans="1:18" x14ac:dyDescent="0.25">
      <c r="A56" s="7"/>
      <c r="K56" s="18"/>
      <c r="L56" s="18" t="s">
        <v>23</v>
      </c>
      <c r="M56" s="41"/>
      <c r="N56" s="132">
        <f>SUM(N43:N55)</f>
        <v>74612</v>
      </c>
      <c r="O56" s="41"/>
      <c r="P56" s="137">
        <f>SUM(P43:P55)</f>
        <v>72133</v>
      </c>
      <c r="Q56" s="132">
        <f>N56-P56</f>
        <v>2479</v>
      </c>
    </row>
    <row r="57" spans="1:18" x14ac:dyDescent="0.25">
      <c r="K57" s="134"/>
      <c r="L57" s="133"/>
      <c r="M57" s="133"/>
      <c r="N57" s="47"/>
      <c r="O57" s="18"/>
      <c r="P57" s="47"/>
      <c r="Q57" s="18"/>
    </row>
    <row r="58" spans="1:18" x14ac:dyDescent="0.25">
      <c r="A58" s="85" t="s">
        <v>12</v>
      </c>
      <c r="B58" s="85"/>
      <c r="C58" s="85"/>
      <c r="D58" s="86"/>
      <c r="E58" s="82"/>
      <c r="F58" s="85" t="s">
        <v>8</v>
      </c>
      <c r="G58" s="85"/>
      <c r="H58" s="85"/>
      <c r="I58" s="79"/>
      <c r="J58" s="79"/>
      <c r="K58" s="79"/>
      <c r="L58" s="71"/>
      <c r="M58" s="5"/>
    </row>
    <row r="59" spans="1:18" x14ac:dyDescent="0.25">
      <c r="A59" s="87" t="s">
        <v>13</v>
      </c>
      <c r="B59" s="87" t="s">
        <v>14</v>
      </c>
      <c r="C59" s="87" t="s">
        <v>15</v>
      </c>
      <c r="D59" s="87" t="s">
        <v>16</v>
      </c>
      <c r="E59" s="87"/>
      <c r="F59" s="87" t="s">
        <v>13</v>
      </c>
      <c r="G59" s="87"/>
      <c r="H59" s="87" t="s">
        <v>265</v>
      </c>
      <c r="I59" s="87" t="s">
        <v>15</v>
      </c>
      <c r="J59" s="87" t="s">
        <v>16</v>
      </c>
      <c r="K59" s="87"/>
      <c r="L59" s="73"/>
      <c r="M59" s="5"/>
      <c r="N59" s="53"/>
    </row>
    <row r="60" spans="1:18" x14ac:dyDescent="0.25">
      <c r="A60" s="60" t="s">
        <v>258</v>
      </c>
      <c r="B60" s="88">
        <f>E40</f>
        <v>178300</v>
      </c>
      <c r="C60" s="60"/>
      <c r="D60" s="60"/>
      <c r="E60" s="60"/>
      <c r="F60" s="60" t="s">
        <v>258</v>
      </c>
      <c r="G60" s="60"/>
      <c r="H60" s="89">
        <f>I40</f>
        <v>195459</v>
      </c>
      <c r="I60" s="60"/>
      <c r="J60" s="60"/>
      <c r="K60" s="60"/>
      <c r="L60" s="74"/>
      <c r="M60" s="5"/>
    </row>
    <row r="61" spans="1:18" x14ac:dyDescent="0.25">
      <c r="A61" s="60" t="s">
        <v>18</v>
      </c>
      <c r="B61" s="88">
        <f>'AUGUST 20'!D72</f>
        <v>0</v>
      </c>
      <c r="C61" s="60"/>
      <c r="D61" s="60"/>
      <c r="E61" s="60"/>
      <c r="F61" s="60" t="s">
        <v>18</v>
      </c>
      <c r="G61" s="60"/>
      <c r="H61" s="88">
        <f>'AUGUST 20'!L72</f>
        <v>-35718</v>
      </c>
      <c r="I61" s="60"/>
      <c r="J61" s="60"/>
      <c r="K61" s="60"/>
      <c r="L61" s="74"/>
      <c r="M61" s="53"/>
      <c r="O61" s="93">
        <v>1871.14</v>
      </c>
    </row>
    <row r="62" spans="1:18" x14ac:dyDescent="0.25">
      <c r="A62" s="60" t="s">
        <v>19</v>
      </c>
      <c r="B62" s="88">
        <f>C40</f>
        <v>0</v>
      </c>
      <c r="C62" s="60"/>
      <c r="D62" s="60"/>
      <c r="E62" s="60"/>
      <c r="F62" s="60"/>
      <c r="G62" s="60"/>
      <c r="H62" s="60"/>
      <c r="I62" s="60"/>
      <c r="J62" s="60"/>
      <c r="K62" s="60"/>
      <c r="L62" s="74"/>
      <c r="M62" s="53"/>
      <c r="N62" s="53"/>
    </row>
    <row r="63" spans="1:18" x14ac:dyDescent="0.25">
      <c r="A63" s="60" t="s">
        <v>63</v>
      </c>
      <c r="B63" s="88">
        <f>F40</f>
        <v>12129</v>
      </c>
      <c r="C63" s="60"/>
      <c r="D63" s="60"/>
      <c r="E63" s="60"/>
      <c r="F63" s="60"/>
      <c r="G63" s="60"/>
      <c r="H63" s="60"/>
      <c r="I63" s="60"/>
      <c r="J63" s="60"/>
      <c r="K63" s="60"/>
      <c r="L63" s="74"/>
    </row>
    <row r="64" spans="1:18" x14ac:dyDescent="0.25">
      <c r="A64" s="60" t="s">
        <v>62</v>
      </c>
      <c r="B64" s="88">
        <f>K40</f>
        <v>0</v>
      </c>
      <c r="C64" s="60"/>
      <c r="D64" s="60"/>
      <c r="E64" s="60"/>
      <c r="F64" s="60"/>
      <c r="G64" s="60"/>
      <c r="H64" s="60"/>
      <c r="I64" s="60"/>
      <c r="J64" s="60"/>
      <c r="K64" s="60"/>
      <c r="L64" s="74"/>
      <c r="M64" s="5"/>
    </row>
    <row r="65" spans="1:14" x14ac:dyDescent="0.25">
      <c r="A65" s="60" t="s">
        <v>96</v>
      </c>
      <c r="B65" s="88">
        <f>G40</f>
        <v>5600</v>
      </c>
      <c r="C65" s="60"/>
      <c r="D65" s="60"/>
      <c r="E65" s="60"/>
      <c r="F65" s="60" t="s">
        <v>126</v>
      </c>
      <c r="G65" s="60"/>
      <c r="H65" s="60"/>
      <c r="I65" s="60"/>
      <c r="J65" s="60"/>
      <c r="K65" s="60"/>
      <c r="L65" s="74"/>
      <c r="M65" s="5"/>
    </row>
    <row r="66" spans="1:14" x14ac:dyDescent="0.25">
      <c r="A66" s="60" t="s">
        <v>167</v>
      </c>
      <c r="B66" s="88"/>
      <c r="C66" s="60"/>
      <c r="D66" s="60"/>
      <c r="E66" s="60"/>
      <c r="F66" s="60" t="s">
        <v>167</v>
      </c>
      <c r="G66" s="88"/>
      <c r="J66" s="60"/>
      <c r="K66" s="60"/>
      <c r="L66" s="74"/>
    </row>
    <row r="67" spans="1:14" x14ac:dyDescent="0.25">
      <c r="A67" s="60" t="s">
        <v>126</v>
      </c>
      <c r="B67" s="89">
        <f>L40</f>
        <v>0</v>
      </c>
      <c r="C67" s="88"/>
      <c r="D67" s="60"/>
      <c r="E67" s="60"/>
      <c r="F67" s="60"/>
      <c r="G67" s="60"/>
      <c r="H67" s="60"/>
      <c r="I67" s="88"/>
      <c r="J67" s="88"/>
      <c r="K67" s="88"/>
      <c r="L67" s="75"/>
      <c r="N67" s="5"/>
    </row>
    <row r="68" spans="1:14" x14ac:dyDescent="0.25">
      <c r="A68" s="87" t="s">
        <v>21</v>
      </c>
      <c r="B68" s="60" t="s">
        <v>22</v>
      </c>
      <c r="C68" s="60"/>
      <c r="D68" s="60"/>
      <c r="E68" s="60"/>
      <c r="F68" s="87" t="s">
        <v>21</v>
      </c>
      <c r="G68" s="87"/>
      <c r="H68" s="87"/>
      <c r="I68" s="60"/>
      <c r="J68" s="60"/>
      <c r="K68" s="60"/>
      <c r="L68" s="74"/>
      <c r="N68" s="90"/>
    </row>
    <row r="69" spans="1:14" x14ac:dyDescent="0.25">
      <c r="A69" s="91" t="s">
        <v>111</v>
      </c>
      <c r="B69" s="90">
        <v>0.05</v>
      </c>
      <c r="C69" s="89">
        <f>B69*E40</f>
        <v>8915</v>
      </c>
      <c r="D69" s="60"/>
      <c r="E69" s="60"/>
      <c r="F69" s="91" t="s">
        <v>111</v>
      </c>
      <c r="G69" s="91"/>
      <c r="H69" s="90">
        <v>0.05</v>
      </c>
      <c r="I69" s="89">
        <f>H69*E40</f>
        <v>8915</v>
      </c>
      <c r="J69" s="60"/>
      <c r="K69" s="60"/>
      <c r="L69" s="74"/>
    </row>
    <row r="70" spans="1:14" x14ac:dyDescent="0.25">
      <c r="A70" s="135" t="s">
        <v>264</v>
      </c>
      <c r="B70" s="93"/>
      <c r="C70">
        <v>187114</v>
      </c>
      <c r="D70" s="89"/>
      <c r="E70" s="89"/>
      <c r="F70" s="89" t="s">
        <v>264</v>
      </c>
      <c r="G70" s="60"/>
      <c r="H70" s="135"/>
      <c r="I70">
        <v>187114</v>
      </c>
      <c r="K70" s="89"/>
      <c r="L70" s="76"/>
    </row>
    <row r="71" spans="1:14" x14ac:dyDescent="0.25">
      <c r="A71" s="135"/>
      <c r="B71" s="90"/>
      <c r="C71" s="89"/>
      <c r="D71" s="60"/>
      <c r="E71" s="60"/>
      <c r="F71" s="89"/>
      <c r="H71" s="90"/>
      <c r="I71" s="89"/>
      <c r="J71" s="60"/>
      <c r="K71" s="60"/>
      <c r="L71" s="74"/>
    </row>
    <row r="72" spans="1:14" x14ac:dyDescent="0.25">
      <c r="A72" s="60"/>
      <c r="B72" s="60"/>
      <c r="C72" s="94"/>
      <c r="D72" s="60"/>
      <c r="E72" s="60"/>
      <c r="F72" s="94"/>
      <c r="G72" s="94"/>
      <c r="H72" s="60"/>
      <c r="I72" s="94"/>
      <c r="J72" s="60"/>
      <c r="K72" s="60"/>
      <c r="L72" s="74"/>
    </row>
    <row r="73" spans="1:14" x14ac:dyDescent="0.25">
      <c r="A73" s="92"/>
      <c r="B73" s="60"/>
      <c r="C73" s="89"/>
      <c r="D73" s="60"/>
      <c r="E73" s="60"/>
      <c r="F73" s="60"/>
      <c r="G73" s="89"/>
      <c r="H73" s="91"/>
      <c r="I73" s="89"/>
      <c r="J73" s="89"/>
      <c r="K73" s="89"/>
      <c r="L73" s="76"/>
    </row>
    <row r="74" spans="1:14" x14ac:dyDescent="0.25">
      <c r="A74" s="87" t="s">
        <v>23</v>
      </c>
      <c r="B74" s="96">
        <f>B60+B61+B62+B63+B64+B65+B67+B66</f>
        <v>196029</v>
      </c>
      <c r="C74" s="96">
        <f>SUM(C69:C73)</f>
        <v>196029</v>
      </c>
      <c r="D74" s="96">
        <f>B74-C74</f>
        <v>0</v>
      </c>
      <c r="E74" s="96"/>
      <c r="F74" s="87"/>
      <c r="G74" s="87"/>
      <c r="H74" s="96">
        <f>H60+H61+H63+H65+H66</f>
        <v>159741</v>
      </c>
      <c r="I74" s="96">
        <f>SUM(I69:I73)</f>
        <v>196029</v>
      </c>
      <c r="J74" s="96">
        <f>H74-I74</f>
        <v>-36288</v>
      </c>
      <c r="K74" s="96"/>
      <c r="L74" s="77"/>
    </row>
    <row r="75" spans="1:14" x14ac:dyDescent="0.25">
      <c r="A75" s="79"/>
      <c r="B75" s="79"/>
      <c r="C75" s="79"/>
      <c r="D75" s="79"/>
      <c r="E75" s="79"/>
      <c r="F75" s="79"/>
      <c r="G75" s="79"/>
      <c r="H75" s="79"/>
      <c r="I75" s="119">
        <f>I74-I69</f>
        <v>187114</v>
      </c>
      <c r="J75" s="79"/>
      <c r="K75" s="79"/>
      <c r="L75" s="71"/>
      <c r="N75">
        <f>600+337+2200</f>
        <v>3137</v>
      </c>
    </row>
    <row r="76" spans="1:14" x14ac:dyDescent="0.25">
      <c r="A76" s="97" t="s">
        <v>24</v>
      </c>
      <c r="B76" s="98"/>
      <c r="C76" s="98" t="s">
        <v>25</v>
      </c>
      <c r="D76" s="99"/>
      <c r="E76" s="99"/>
      <c r="F76" s="97"/>
      <c r="G76" s="97"/>
      <c r="H76" s="97" t="s">
        <v>26</v>
      </c>
      <c r="I76" s="79"/>
      <c r="J76" s="79"/>
      <c r="K76" s="79"/>
      <c r="L76" s="71"/>
    </row>
    <row r="77" spans="1:14" x14ac:dyDescent="0.25">
      <c r="A77" s="79" t="s">
        <v>104</v>
      </c>
      <c r="B77" s="79"/>
      <c r="C77" s="79" t="s">
        <v>105</v>
      </c>
      <c r="D77" s="79"/>
      <c r="E77" s="79"/>
      <c r="F77" s="79"/>
      <c r="G77" s="79"/>
      <c r="H77" s="79" t="s">
        <v>27</v>
      </c>
      <c r="I77" s="79"/>
      <c r="J77" s="79"/>
      <c r="K77" s="119"/>
      <c r="L77" s="71"/>
    </row>
    <row r="81" spans="5:9" x14ac:dyDescent="0.25">
      <c r="E81" s="5" t="e">
        <f>D74-#REF!</f>
        <v>#REF!</v>
      </c>
    </row>
    <row r="82" spans="5:9" x14ac:dyDescent="0.25">
      <c r="I82" s="5"/>
    </row>
    <row r="83" spans="5:9" x14ac:dyDescent="0.25">
      <c r="I83" s="5"/>
    </row>
  </sheetData>
  <pageMargins left="0" right="0" top="0" bottom="0" header="0.3" footer="0.3"/>
  <pageSetup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5"/>
  <sheetViews>
    <sheetView topLeftCell="A10" workbookViewId="0">
      <selection activeCell="I35" sqref="I35"/>
    </sheetView>
  </sheetViews>
  <sheetFormatPr defaultRowHeight="15" x14ac:dyDescent="0.25"/>
  <cols>
    <col min="1" max="1" width="17.28515625" customWidth="1"/>
    <col min="2" max="2" width="8.140625" customWidth="1"/>
    <col min="3" max="3" width="9.42578125" customWidth="1"/>
    <col min="4" max="4" width="7.28515625" customWidth="1"/>
    <col min="5" max="5" width="7.85546875" customWidth="1"/>
    <col min="6" max="6" width="8.140625" customWidth="1"/>
    <col min="7" max="7" width="12.42578125" customWidth="1"/>
    <col min="8" max="8" width="9" customWidth="1"/>
    <col min="9" max="9" width="7.28515625" customWidth="1"/>
    <col min="12" max="12" width="11.5703125" customWidth="1"/>
    <col min="13" max="13" width="10" bestFit="1" customWidth="1"/>
  </cols>
  <sheetData>
    <row r="1" spans="1:16" x14ac:dyDescent="0.2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</row>
    <row r="2" spans="1:16" ht="15.75" x14ac:dyDescent="0.25">
      <c r="A2" s="79"/>
      <c r="B2" s="100"/>
      <c r="C2" s="100"/>
      <c r="D2" s="100"/>
      <c r="E2" s="100" t="s">
        <v>27</v>
      </c>
      <c r="F2" s="79"/>
      <c r="G2" s="100"/>
      <c r="H2" s="101"/>
      <c r="I2" s="79"/>
      <c r="J2" s="79"/>
      <c r="K2" s="79"/>
      <c r="L2" s="79"/>
      <c r="M2" s="79"/>
    </row>
    <row r="3" spans="1:16" ht="15.75" x14ac:dyDescent="0.25">
      <c r="A3" s="79"/>
      <c r="B3" s="100"/>
      <c r="C3" s="100"/>
      <c r="D3" s="100"/>
      <c r="E3" s="100" t="s">
        <v>0</v>
      </c>
      <c r="F3" s="100"/>
      <c r="G3" s="100"/>
      <c r="H3" s="102"/>
      <c r="I3" s="79"/>
      <c r="J3" s="79"/>
      <c r="K3" s="79"/>
      <c r="L3" s="79"/>
      <c r="M3" s="79"/>
    </row>
    <row r="4" spans="1:16" ht="18.75" x14ac:dyDescent="0.3">
      <c r="A4" s="103"/>
      <c r="D4" s="100" t="s">
        <v>277</v>
      </c>
      <c r="E4" s="100"/>
      <c r="G4" s="100"/>
      <c r="H4" s="104"/>
      <c r="I4" s="105"/>
      <c r="J4" s="105"/>
      <c r="K4" s="105"/>
      <c r="L4" s="105"/>
      <c r="M4" s="79"/>
    </row>
    <row r="5" spans="1:16" x14ac:dyDescent="0.25">
      <c r="A5" s="106" t="s">
        <v>2</v>
      </c>
      <c r="B5" s="106" t="s">
        <v>3</v>
      </c>
      <c r="C5" s="106" t="s">
        <v>4</v>
      </c>
      <c r="D5" s="107" t="s">
        <v>5</v>
      </c>
      <c r="E5" s="106" t="s">
        <v>6</v>
      </c>
      <c r="F5" s="123" t="s">
        <v>63</v>
      </c>
      <c r="G5" s="106" t="s">
        <v>96</v>
      </c>
      <c r="H5" s="108" t="s">
        <v>7</v>
      </c>
      <c r="I5" s="106" t="s">
        <v>8</v>
      </c>
      <c r="J5" s="106" t="s">
        <v>9</v>
      </c>
      <c r="K5" s="106" t="s">
        <v>91</v>
      </c>
      <c r="L5" s="106" t="s">
        <v>123</v>
      </c>
      <c r="M5" s="79"/>
    </row>
    <row r="6" spans="1:16" x14ac:dyDescent="0.25">
      <c r="A6" s="61" t="s">
        <v>61</v>
      </c>
      <c r="B6" s="68" t="s">
        <v>52</v>
      </c>
      <c r="C6" s="63"/>
      <c r="D6" s="64">
        <f>'SEPTEMBER 20'!J6:J39</f>
        <v>2972</v>
      </c>
      <c r="E6" s="66">
        <v>6000</v>
      </c>
      <c r="F6" s="124">
        <v>527</v>
      </c>
      <c r="G6" s="66">
        <v>200</v>
      </c>
      <c r="H6" s="66">
        <f>D6+E6+F6+G6</f>
        <v>9699</v>
      </c>
      <c r="I6" s="66"/>
      <c r="J6" s="66">
        <f>H6-I6</f>
        <v>9699</v>
      </c>
      <c r="K6" s="66"/>
      <c r="L6" s="66"/>
      <c r="M6" s="79"/>
      <c r="O6" s="53"/>
    </row>
    <row r="7" spans="1:16" x14ac:dyDescent="0.25">
      <c r="A7" s="59" t="s">
        <v>64</v>
      </c>
      <c r="B7" s="68" t="s">
        <v>51</v>
      </c>
      <c r="C7" s="63"/>
      <c r="D7" s="64">
        <f>'SEPTEMBER 20'!J7:J40</f>
        <v>3875</v>
      </c>
      <c r="E7" s="65">
        <v>6000</v>
      </c>
      <c r="F7" s="113">
        <v>391</v>
      </c>
      <c r="G7" s="65">
        <v>200</v>
      </c>
      <c r="H7" s="66">
        <f t="shared" ref="H7:H39" si="0">D7+E7+F7+G7</f>
        <v>10466</v>
      </c>
      <c r="I7" s="66">
        <f>3000+2000+3000</f>
        <v>8000</v>
      </c>
      <c r="J7" s="66">
        <f>H7-I7</f>
        <v>2466</v>
      </c>
      <c r="K7" s="66"/>
      <c r="L7" s="66"/>
      <c r="M7" s="79"/>
      <c r="O7" s="53"/>
      <c r="P7" s="53"/>
    </row>
    <row r="8" spans="1:16" x14ac:dyDescent="0.25">
      <c r="A8" s="59" t="s">
        <v>65</v>
      </c>
      <c r="B8" s="68" t="s">
        <v>54</v>
      </c>
      <c r="C8" s="63"/>
      <c r="D8" s="64">
        <f>'SEPTEMBER 20'!J8:J41</f>
        <v>0</v>
      </c>
      <c r="E8" s="65"/>
      <c r="F8" s="113"/>
      <c r="G8" s="65"/>
      <c r="H8" s="66">
        <f t="shared" si="0"/>
        <v>0</v>
      </c>
      <c r="I8" s="66"/>
      <c r="J8" s="66">
        <f>H8-I8</f>
        <v>0</v>
      </c>
      <c r="K8" s="66"/>
      <c r="L8" s="66"/>
      <c r="M8" s="79"/>
    </row>
    <row r="9" spans="1:16" x14ac:dyDescent="0.25">
      <c r="A9" s="120" t="s">
        <v>67</v>
      </c>
      <c r="B9" s="68" t="s">
        <v>50</v>
      </c>
      <c r="C9" s="63"/>
      <c r="D9" s="64">
        <f>'SEPTEMBER 20'!J9:J42</f>
        <v>0</v>
      </c>
      <c r="E9" s="64"/>
      <c r="F9" s="115"/>
      <c r="G9" s="65"/>
      <c r="H9" s="66">
        <f t="shared" si="0"/>
        <v>0</v>
      </c>
      <c r="I9" s="66"/>
      <c r="J9" s="66">
        <f>H9-I9</f>
        <v>0</v>
      </c>
      <c r="K9" s="66"/>
      <c r="L9" s="66"/>
      <c r="M9" s="79"/>
      <c r="N9" s="53"/>
    </row>
    <row r="10" spans="1:16" x14ac:dyDescent="0.25">
      <c r="A10" s="143" t="s">
        <v>151</v>
      </c>
      <c r="B10" s="149" t="s">
        <v>49</v>
      </c>
      <c r="C10" s="146"/>
      <c r="D10" s="64">
        <f>'SEPTEMBER 20'!J10:J43</f>
        <v>0</v>
      </c>
      <c r="E10" s="65"/>
      <c r="F10" s="113"/>
      <c r="G10" s="65"/>
      <c r="H10" s="66">
        <f t="shared" si="0"/>
        <v>0</v>
      </c>
      <c r="I10" s="66"/>
      <c r="J10" s="66">
        <f>H10-I10</f>
        <v>0</v>
      </c>
      <c r="K10" s="66"/>
      <c r="L10" s="66"/>
      <c r="M10" s="79"/>
    </row>
    <row r="11" spans="1:16" x14ac:dyDescent="0.25">
      <c r="A11" s="109" t="s">
        <v>263</v>
      </c>
      <c r="B11" s="68" t="s">
        <v>53</v>
      </c>
      <c r="C11" s="63"/>
      <c r="D11" s="64">
        <f>'SEPTEMBER 20'!J11:J44</f>
        <v>1427</v>
      </c>
      <c r="E11" s="65">
        <v>6000</v>
      </c>
      <c r="F11" s="113">
        <v>799</v>
      </c>
      <c r="G11" s="65">
        <v>200</v>
      </c>
      <c r="H11" s="66">
        <f>D11+E11+F11+G11</f>
        <v>8426</v>
      </c>
      <c r="I11" s="66">
        <v>7000</v>
      </c>
      <c r="J11" s="66">
        <f t="shared" ref="J11:J36" si="1">H11-I11</f>
        <v>1426</v>
      </c>
      <c r="K11" s="66"/>
      <c r="L11" s="66"/>
      <c r="M11" s="94"/>
    </row>
    <row r="12" spans="1:16" x14ac:dyDescent="0.25">
      <c r="A12" s="61" t="s">
        <v>262</v>
      </c>
      <c r="B12" s="68" t="s">
        <v>48</v>
      </c>
      <c r="C12" s="63"/>
      <c r="D12" s="64">
        <f>'SEPTEMBER 20'!J12:J45</f>
        <v>0</v>
      </c>
      <c r="E12" s="65">
        <v>6000</v>
      </c>
      <c r="F12" s="113">
        <v>255</v>
      </c>
      <c r="G12" s="65">
        <v>200</v>
      </c>
      <c r="H12" s="66">
        <f t="shared" si="0"/>
        <v>6455</v>
      </c>
      <c r="I12" s="66">
        <f>6455</f>
        <v>6455</v>
      </c>
      <c r="J12" s="66">
        <f t="shared" si="1"/>
        <v>0</v>
      </c>
      <c r="K12" s="66"/>
      <c r="L12" s="66"/>
      <c r="M12" s="53"/>
    </row>
    <row r="13" spans="1:16" x14ac:dyDescent="0.25">
      <c r="A13" s="67" t="s">
        <v>181</v>
      </c>
      <c r="B13" s="68" t="s">
        <v>47</v>
      </c>
      <c r="C13" s="63"/>
      <c r="D13" s="64">
        <f>'SEPTEMBER 20'!J13:J46</f>
        <v>133</v>
      </c>
      <c r="E13" s="65">
        <v>6000</v>
      </c>
      <c r="F13" s="113">
        <v>102</v>
      </c>
      <c r="G13" s="65">
        <v>200</v>
      </c>
      <c r="H13" s="66">
        <f t="shared" si="0"/>
        <v>6435</v>
      </c>
      <c r="I13" s="66">
        <f>5000</f>
        <v>5000</v>
      </c>
      <c r="J13" s="66">
        <f t="shared" si="1"/>
        <v>1435</v>
      </c>
      <c r="K13" s="66"/>
      <c r="L13" s="66"/>
      <c r="M13" s="94"/>
    </row>
    <row r="14" spans="1:16" x14ac:dyDescent="0.25">
      <c r="A14" s="61" t="s">
        <v>260</v>
      </c>
      <c r="B14" s="68" t="s">
        <v>46</v>
      </c>
      <c r="C14" s="63"/>
      <c r="D14" s="64">
        <f>'SEPTEMBER 20'!J14:J47</f>
        <v>0</v>
      </c>
      <c r="E14" s="65">
        <v>6000</v>
      </c>
      <c r="F14" s="113">
        <v>340</v>
      </c>
      <c r="G14" s="65">
        <v>200</v>
      </c>
      <c r="H14" s="66">
        <f t="shared" si="0"/>
        <v>6540</v>
      </c>
      <c r="I14" s="66">
        <f>6000+540</f>
        <v>6540</v>
      </c>
      <c r="J14" s="66">
        <f>H14-I14</f>
        <v>0</v>
      </c>
      <c r="K14" s="66"/>
      <c r="L14" s="66"/>
      <c r="M14" s="79">
        <v>702391468</v>
      </c>
    </row>
    <row r="15" spans="1:16" x14ac:dyDescent="0.25">
      <c r="A15" s="59" t="s">
        <v>156</v>
      </c>
      <c r="B15" s="68" t="s">
        <v>45</v>
      </c>
      <c r="C15" s="63"/>
      <c r="D15" s="64">
        <f>'SEPTEMBER 20'!J15:J48</f>
        <v>1463</v>
      </c>
      <c r="E15" s="65">
        <v>6000</v>
      </c>
      <c r="F15" s="113">
        <v>476</v>
      </c>
      <c r="G15" s="65">
        <v>200</v>
      </c>
      <c r="H15" s="66">
        <f t="shared" si="0"/>
        <v>8139</v>
      </c>
      <c r="I15" s="66">
        <f>6000+676</f>
        <v>6676</v>
      </c>
      <c r="J15" s="66">
        <f t="shared" si="1"/>
        <v>1463</v>
      </c>
      <c r="K15" s="66"/>
      <c r="L15" s="66"/>
      <c r="M15" s="94"/>
    </row>
    <row r="16" spans="1:16" x14ac:dyDescent="0.25">
      <c r="A16" s="60" t="s">
        <v>225</v>
      </c>
      <c r="B16" s="68" t="s">
        <v>44</v>
      </c>
      <c r="C16" s="63"/>
      <c r="D16" s="64">
        <f>'SEPTEMBER 20'!J16:J49</f>
        <v>0</v>
      </c>
      <c r="E16" s="65">
        <v>6000</v>
      </c>
      <c r="F16" s="113">
        <v>204</v>
      </c>
      <c r="G16" s="65">
        <v>200</v>
      </c>
      <c r="H16" s="66">
        <f t="shared" si="0"/>
        <v>6404</v>
      </c>
      <c r="I16" s="66">
        <f>6404</f>
        <v>6404</v>
      </c>
      <c r="J16" s="66">
        <f>H16-I16</f>
        <v>0</v>
      </c>
      <c r="K16" s="66"/>
      <c r="L16" s="66"/>
      <c r="M16" s="79"/>
    </row>
    <row r="17" spans="1:13" x14ac:dyDescent="0.25">
      <c r="A17" s="143" t="s">
        <v>67</v>
      </c>
      <c r="B17" s="68" t="s">
        <v>43</v>
      </c>
      <c r="C17" s="63"/>
      <c r="D17" s="64">
        <f>'SEPTEMBER 20'!J17:J50</f>
        <v>0</v>
      </c>
      <c r="E17" s="65"/>
      <c r="F17" s="113"/>
      <c r="G17" s="65"/>
      <c r="H17" s="66">
        <f t="shared" si="0"/>
        <v>0</v>
      </c>
      <c r="I17" s="66"/>
      <c r="J17" s="66">
        <f t="shared" si="1"/>
        <v>0</v>
      </c>
      <c r="K17" s="66"/>
      <c r="L17" s="66"/>
      <c r="M17" s="110"/>
    </row>
    <row r="18" spans="1:13" x14ac:dyDescent="0.25">
      <c r="A18" s="61" t="s">
        <v>73</v>
      </c>
      <c r="B18" s="68" t="s">
        <v>42</v>
      </c>
      <c r="C18" s="63"/>
      <c r="D18" s="64">
        <f>'SEPTEMBER 20'!J18:J53</f>
        <v>0</v>
      </c>
      <c r="E18" s="65">
        <v>6000</v>
      </c>
      <c r="F18" s="113">
        <v>510</v>
      </c>
      <c r="G18" s="65">
        <v>200</v>
      </c>
      <c r="H18" s="66">
        <f t="shared" si="0"/>
        <v>6710</v>
      </c>
      <c r="I18" s="66">
        <f>6200+510</f>
        <v>6710</v>
      </c>
      <c r="J18" s="66">
        <f t="shared" si="1"/>
        <v>0</v>
      </c>
      <c r="K18" s="66"/>
      <c r="L18" s="66"/>
      <c r="M18" s="94"/>
    </row>
    <row r="19" spans="1:13" x14ac:dyDescent="0.25">
      <c r="A19" s="60" t="s">
        <v>180</v>
      </c>
      <c r="B19" s="68" t="s">
        <v>41</v>
      </c>
      <c r="C19" s="63"/>
      <c r="D19" s="64">
        <f>'SEPTEMBER 20'!J19:J54</f>
        <v>0</v>
      </c>
      <c r="E19" s="65">
        <v>6000</v>
      </c>
      <c r="F19" s="113">
        <v>170</v>
      </c>
      <c r="G19" s="65">
        <v>200</v>
      </c>
      <c r="H19" s="66">
        <f t="shared" si="0"/>
        <v>6370</v>
      </c>
      <c r="I19" s="66">
        <f>3370+2700+300</f>
        <v>6370</v>
      </c>
      <c r="J19" s="66">
        <f t="shared" si="1"/>
        <v>0</v>
      </c>
      <c r="K19" s="66"/>
      <c r="L19" s="66"/>
      <c r="M19" s="79"/>
    </row>
    <row r="20" spans="1:13" x14ac:dyDescent="0.25">
      <c r="A20" s="59" t="s">
        <v>75</v>
      </c>
      <c r="B20" s="68" t="s">
        <v>40</v>
      </c>
      <c r="C20" s="63"/>
      <c r="D20" s="64">
        <f>'SEPTEMBER 20'!J20:J55</f>
        <v>0</v>
      </c>
      <c r="E20" s="65">
        <v>6000</v>
      </c>
      <c r="F20" s="113">
        <v>119</v>
      </c>
      <c r="G20" s="65">
        <v>200</v>
      </c>
      <c r="H20" s="66">
        <f t="shared" si="0"/>
        <v>6319</v>
      </c>
      <c r="I20" s="66">
        <f>6319</f>
        <v>6319</v>
      </c>
      <c r="J20" s="66">
        <f t="shared" si="1"/>
        <v>0</v>
      </c>
      <c r="K20" s="66"/>
      <c r="L20" s="66"/>
      <c r="M20" s="94"/>
    </row>
    <row r="21" spans="1:13" x14ac:dyDescent="0.25">
      <c r="A21" s="144" t="s">
        <v>76</v>
      </c>
      <c r="B21" s="145" t="s">
        <v>39</v>
      </c>
      <c r="C21" s="146"/>
      <c r="D21" s="122">
        <f>'SEPTEMBER 20'!J21:J56</f>
        <v>10054</v>
      </c>
      <c r="E21" s="147"/>
      <c r="F21" s="148"/>
      <c r="G21" s="147"/>
      <c r="H21" s="58">
        <f>D21+E21+F21+G21</f>
        <v>10054</v>
      </c>
      <c r="I21" s="58">
        <f>9000</f>
        <v>9000</v>
      </c>
      <c r="J21" s="58">
        <f t="shared" si="1"/>
        <v>1054</v>
      </c>
      <c r="K21" s="66"/>
      <c r="L21" s="66"/>
      <c r="M21" s="79"/>
    </row>
    <row r="22" spans="1:13" x14ac:dyDescent="0.25">
      <c r="A22" s="61" t="s">
        <v>150</v>
      </c>
      <c r="B22" s="68" t="s">
        <v>38</v>
      </c>
      <c r="C22" s="63"/>
      <c r="D22" s="64">
        <f>'SEPTEMBER 20'!J22:J57</f>
        <v>0</v>
      </c>
      <c r="E22" s="65">
        <v>6000</v>
      </c>
      <c r="F22" s="113">
        <v>510</v>
      </c>
      <c r="G22" s="65">
        <v>200</v>
      </c>
      <c r="H22" s="66">
        <f t="shared" si="0"/>
        <v>6710</v>
      </c>
      <c r="I22" s="66">
        <f>5000+1710</f>
        <v>6710</v>
      </c>
      <c r="J22" s="66">
        <f t="shared" si="1"/>
        <v>0</v>
      </c>
      <c r="K22" s="66"/>
      <c r="L22" s="66"/>
      <c r="M22" s="79"/>
    </row>
    <row r="23" spans="1:13" x14ac:dyDescent="0.25">
      <c r="A23" s="59" t="s">
        <v>78</v>
      </c>
      <c r="B23" s="68" t="s">
        <v>37</v>
      </c>
      <c r="C23" s="63"/>
      <c r="D23" s="64">
        <f>'SEPTEMBER 20'!J23:J58</f>
        <v>0</v>
      </c>
      <c r="E23" s="65">
        <v>6000</v>
      </c>
      <c r="F23" s="113">
        <v>170</v>
      </c>
      <c r="G23" s="65">
        <v>200</v>
      </c>
      <c r="H23" s="66">
        <f t="shared" si="0"/>
        <v>6370</v>
      </c>
      <c r="I23" s="66">
        <f>5000+1370</f>
        <v>6370</v>
      </c>
      <c r="J23" s="66">
        <f t="shared" si="1"/>
        <v>0</v>
      </c>
      <c r="K23" s="66"/>
      <c r="L23" s="66"/>
      <c r="M23" s="79"/>
    </row>
    <row r="24" spans="1:13" x14ac:dyDescent="0.25">
      <c r="A24" s="61" t="s">
        <v>261</v>
      </c>
      <c r="B24" s="62" t="s">
        <v>28</v>
      </c>
      <c r="C24" s="63"/>
      <c r="D24" s="64">
        <f>'SEPTEMBER 20'!J24:J59</f>
        <v>0</v>
      </c>
      <c r="E24" s="65">
        <v>6500</v>
      </c>
      <c r="F24" s="113">
        <v>1241</v>
      </c>
      <c r="G24" s="65">
        <v>200</v>
      </c>
      <c r="H24" s="66">
        <f t="shared" si="0"/>
        <v>7941</v>
      </c>
      <c r="I24" s="66">
        <f>3500+3000</f>
        <v>6500</v>
      </c>
      <c r="J24" s="66">
        <f>H24-I24</f>
        <v>1441</v>
      </c>
      <c r="K24" s="66"/>
      <c r="L24" s="66"/>
      <c r="M24" s="79"/>
    </row>
    <row r="25" spans="1:13" x14ac:dyDescent="0.25">
      <c r="A25" s="61" t="s">
        <v>80</v>
      </c>
      <c r="B25" s="62" t="s">
        <v>29</v>
      </c>
      <c r="C25" s="63"/>
      <c r="D25" s="64">
        <f>'SEPTEMBER 20'!J25:J60</f>
        <v>2333</v>
      </c>
      <c r="E25" s="65">
        <v>6500</v>
      </c>
      <c r="F25" s="113">
        <v>1173</v>
      </c>
      <c r="G25" s="65">
        <v>200</v>
      </c>
      <c r="H25" s="66">
        <f t="shared" si="0"/>
        <v>10206</v>
      </c>
      <c r="I25" s="66">
        <f>7873+2333</f>
        <v>10206</v>
      </c>
      <c r="J25" s="66">
        <f t="shared" si="1"/>
        <v>0</v>
      </c>
      <c r="K25" s="66"/>
      <c r="L25" s="66"/>
      <c r="M25" s="94"/>
    </row>
    <row r="26" spans="1:13" x14ac:dyDescent="0.25">
      <c r="A26" s="61" t="s">
        <v>81</v>
      </c>
      <c r="B26" s="62" t="s">
        <v>30</v>
      </c>
      <c r="C26" s="63"/>
      <c r="D26" s="64">
        <f>'SEPTEMBER 20'!J26:J61</f>
        <v>0</v>
      </c>
      <c r="E26" s="65">
        <v>6500</v>
      </c>
      <c r="F26" s="113">
        <v>221</v>
      </c>
      <c r="G26" s="65">
        <v>200</v>
      </c>
      <c r="H26" s="66">
        <f t="shared" si="0"/>
        <v>6921</v>
      </c>
      <c r="I26" s="66">
        <f>6921</f>
        <v>6921</v>
      </c>
      <c r="J26" s="66">
        <f t="shared" si="1"/>
        <v>0</v>
      </c>
      <c r="K26" s="66"/>
      <c r="L26" s="66"/>
      <c r="M26" s="112"/>
    </row>
    <row r="27" spans="1:13" x14ac:dyDescent="0.25">
      <c r="A27" s="144" t="s">
        <v>284</v>
      </c>
      <c r="B27" s="62" t="s">
        <v>55</v>
      </c>
      <c r="C27" s="63"/>
      <c r="D27" s="64"/>
      <c r="E27" s="65"/>
      <c r="F27" s="113"/>
      <c r="G27" s="65"/>
      <c r="H27" s="66">
        <f t="shared" si="0"/>
        <v>0</v>
      </c>
      <c r="I27" s="66"/>
      <c r="J27" s="66">
        <f>H27-I27</f>
        <v>0</v>
      </c>
      <c r="K27" s="66"/>
      <c r="L27" s="66"/>
      <c r="M27" s="112"/>
    </row>
    <row r="28" spans="1:13" x14ac:dyDescent="0.25">
      <c r="A28" s="61" t="s">
        <v>83</v>
      </c>
      <c r="B28" s="62" t="s">
        <v>56</v>
      </c>
      <c r="C28" s="63"/>
      <c r="D28" s="64">
        <f>'SEPTEMBER 20'!J28:J63</f>
        <v>5362</v>
      </c>
      <c r="E28" s="65">
        <v>8000</v>
      </c>
      <c r="F28" s="113">
        <v>408</v>
      </c>
      <c r="G28" s="65">
        <v>200</v>
      </c>
      <c r="H28" s="66">
        <f t="shared" si="0"/>
        <v>13970</v>
      </c>
      <c r="I28" s="66">
        <v>10000</v>
      </c>
      <c r="J28" s="66">
        <f t="shared" si="1"/>
        <v>3970</v>
      </c>
      <c r="K28" s="66"/>
      <c r="L28" s="66"/>
      <c r="M28" s="94"/>
    </row>
    <row r="29" spans="1:13" x14ac:dyDescent="0.25">
      <c r="A29" s="61" t="s">
        <v>128</v>
      </c>
      <c r="B29" s="62" t="s">
        <v>57</v>
      </c>
      <c r="C29" s="63"/>
      <c r="D29" s="64">
        <f>'SEPTEMBER 20'!J29:J64</f>
        <v>0</v>
      </c>
      <c r="E29" s="65">
        <v>6500</v>
      </c>
      <c r="F29" s="113">
        <v>578</v>
      </c>
      <c r="G29" s="65">
        <v>200</v>
      </c>
      <c r="H29" s="66">
        <f t="shared" si="0"/>
        <v>7278</v>
      </c>
      <c r="I29" s="66">
        <f>7000+278</f>
        <v>7278</v>
      </c>
      <c r="J29" s="66">
        <f t="shared" si="1"/>
        <v>0</v>
      </c>
      <c r="K29" s="66"/>
      <c r="L29" s="66"/>
      <c r="M29" s="94"/>
    </row>
    <row r="30" spans="1:13" x14ac:dyDescent="0.25">
      <c r="A30" s="61" t="s">
        <v>92</v>
      </c>
      <c r="B30" s="62" t="s">
        <v>58</v>
      </c>
      <c r="C30" s="63"/>
      <c r="D30" s="64">
        <f>'SEPTEMBER 20'!J30:J65</f>
        <v>5756</v>
      </c>
      <c r="E30" s="65">
        <v>6500</v>
      </c>
      <c r="F30" s="113">
        <v>646</v>
      </c>
      <c r="G30" s="65">
        <v>200</v>
      </c>
      <c r="H30" s="66">
        <f t="shared" si="0"/>
        <v>13102</v>
      </c>
      <c r="I30" s="66">
        <v>5000</v>
      </c>
      <c r="J30" s="66">
        <f t="shared" si="1"/>
        <v>8102</v>
      </c>
      <c r="K30" s="66"/>
      <c r="L30" s="66"/>
      <c r="M30" s="79"/>
    </row>
    <row r="31" spans="1:13" x14ac:dyDescent="0.25">
      <c r="A31" s="61" t="s">
        <v>176</v>
      </c>
      <c r="B31" s="62" t="s">
        <v>59</v>
      </c>
      <c r="C31" s="63"/>
      <c r="D31" s="64">
        <f>'SEPTEMBER 20'!J31:J66</f>
        <v>5226</v>
      </c>
      <c r="E31" s="65">
        <v>6500</v>
      </c>
      <c r="F31" s="113">
        <v>714</v>
      </c>
      <c r="G31" s="65">
        <v>200</v>
      </c>
      <c r="H31" s="66">
        <f t="shared" si="0"/>
        <v>12640</v>
      </c>
      <c r="I31" s="66">
        <f>3000+5000</f>
        <v>8000</v>
      </c>
      <c r="J31" s="66">
        <f t="shared" si="1"/>
        <v>4640</v>
      </c>
      <c r="K31" s="66"/>
      <c r="L31" s="66"/>
      <c r="M31" s="94"/>
    </row>
    <row r="32" spans="1:13" x14ac:dyDescent="0.25">
      <c r="A32" s="61" t="s">
        <v>170</v>
      </c>
      <c r="B32" s="62" t="s">
        <v>60</v>
      </c>
      <c r="C32" s="63"/>
      <c r="D32" s="64">
        <f>'SEPTEMBER 20'!J32:J67</f>
        <v>0</v>
      </c>
      <c r="E32" s="65">
        <v>6500</v>
      </c>
      <c r="F32" s="113">
        <v>765</v>
      </c>
      <c r="G32" s="65">
        <v>200</v>
      </c>
      <c r="H32" s="66">
        <f t="shared" si="0"/>
        <v>7465</v>
      </c>
      <c r="I32" s="66">
        <v>7314</v>
      </c>
      <c r="J32" s="66">
        <f t="shared" si="1"/>
        <v>151</v>
      </c>
      <c r="K32" s="66"/>
      <c r="L32" s="66"/>
      <c r="M32" s="141"/>
    </row>
    <row r="33" spans="1:14" x14ac:dyDescent="0.25">
      <c r="A33" s="61" t="s">
        <v>86</v>
      </c>
      <c r="B33" s="62" t="s">
        <v>31</v>
      </c>
      <c r="C33" s="63"/>
      <c r="D33" s="64">
        <f>'SEPTEMBER 20'!J33:J68</f>
        <v>146</v>
      </c>
      <c r="E33" s="65">
        <v>8000</v>
      </c>
      <c r="F33" s="113">
        <v>901</v>
      </c>
      <c r="G33" s="65">
        <v>200</v>
      </c>
      <c r="H33" s="66">
        <f t="shared" si="0"/>
        <v>9247</v>
      </c>
      <c r="I33" s="66">
        <f>8100+1147</f>
        <v>9247</v>
      </c>
      <c r="J33" s="66">
        <f>H33-I33</f>
        <v>0</v>
      </c>
      <c r="K33" s="66"/>
      <c r="L33" s="66"/>
      <c r="M33" s="94"/>
    </row>
    <row r="34" spans="1:14" x14ac:dyDescent="0.25">
      <c r="A34" s="61" t="s">
        <v>121</v>
      </c>
      <c r="B34" s="62" t="s">
        <v>32</v>
      </c>
      <c r="C34" s="63"/>
      <c r="D34" s="64">
        <f>'SEPTEMBER 20'!J34:J69</f>
        <v>2440</v>
      </c>
      <c r="E34" s="113">
        <v>6500</v>
      </c>
      <c r="F34" s="113">
        <v>289</v>
      </c>
      <c r="G34" s="65">
        <v>200</v>
      </c>
      <c r="H34" s="66">
        <f>D34+E34+F34+G34</f>
        <v>9429</v>
      </c>
      <c r="I34" s="66">
        <f>2000+2200+2200</f>
        <v>6400</v>
      </c>
      <c r="J34" s="66">
        <f t="shared" si="1"/>
        <v>3029</v>
      </c>
      <c r="K34" s="66"/>
      <c r="L34" s="66"/>
      <c r="M34" s="79"/>
    </row>
    <row r="35" spans="1:14" x14ac:dyDescent="0.25">
      <c r="A35" s="60" t="s">
        <v>245</v>
      </c>
      <c r="B35" s="62" t="s">
        <v>33</v>
      </c>
      <c r="C35" s="63"/>
      <c r="D35" s="64">
        <f>'SEPTEMBER 20'!J35:J70</f>
        <v>0</v>
      </c>
      <c r="E35" s="113">
        <v>6500</v>
      </c>
      <c r="F35" s="113">
        <v>952</v>
      </c>
      <c r="G35" s="65">
        <v>200</v>
      </c>
      <c r="H35" s="66">
        <f t="shared" si="0"/>
        <v>7652</v>
      </c>
      <c r="I35" s="66">
        <f>7652</f>
        <v>7652</v>
      </c>
      <c r="J35" s="58">
        <f t="shared" si="1"/>
        <v>0</v>
      </c>
      <c r="K35" s="66"/>
      <c r="L35" s="66"/>
      <c r="M35" s="79"/>
      <c r="N35" s="53">
        <f>D34+E34+F34+G34</f>
        <v>9429</v>
      </c>
    </row>
    <row r="36" spans="1:14" x14ac:dyDescent="0.25">
      <c r="A36" s="61" t="s">
        <v>89</v>
      </c>
      <c r="B36" s="62" t="s">
        <v>34</v>
      </c>
      <c r="C36" s="63"/>
      <c r="D36" s="64">
        <f>'SEPTEMBER 20'!J36:J71</f>
        <v>17</v>
      </c>
      <c r="E36" s="113">
        <v>6500</v>
      </c>
      <c r="F36" s="113">
        <v>204</v>
      </c>
      <c r="G36" s="65">
        <v>200</v>
      </c>
      <c r="H36" s="66">
        <f t="shared" si="0"/>
        <v>6921</v>
      </c>
      <c r="I36" s="66">
        <f>6904</f>
        <v>6904</v>
      </c>
      <c r="J36" s="66">
        <f t="shared" si="1"/>
        <v>17</v>
      </c>
      <c r="K36" s="66"/>
      <c r="L36" s="66"/>
      <c r="M36" s="79"/>
    </row>
    <row r="37" spans="1:14" x14ac:dyDescent="0.25">
      <c r="A37" s="61" t="s">
        <v>103</v>
      </c>
      <c r="B37" s="62" t="s">
        <v>35</v>
      </c>
      <c r="C37" s="63"/>
      <c r="D37" s="64">
        <f>'SEPTEMBER 20'!J37:J72</f>
        <v>0</v>
      </c>
      <c r="E37" s="113">
        <v>6500</v>
      </c>
      <c r="F37" s="113">
        <v>680</v>
      </c>
      <c r="G37" s="65">
        <v>200</v>
      </c>
      <c r="H37" s="66">
        <f t="shared" si="0"/>
        <v>7380</v>
      </c>
      <c r="I37" s="66">
        <f>7350+30</f>
        <v>7380</v>
      </c>
      <c r="J37" s="66">
        <f>H37-I37</f>
        <v>0</v>
      </c>
      <c r="K37" s="66"/>
      <c r="L37" s="66"/>
      <c r="M37" s="79"/>
    </row>
    <row r="38" spans="1:14" x14ac:dyDescent="0.25">
      <c r="A38" s="61" t="s">
        <v>138</v>
      </c>
      <c r="B38" s="62" t="s">
        <v>36</v>
      </c>
      <c r="C38" s="63"/>
      <c r="D38" s="64">
        <f>'SEPTEMBER 20'!J38:J73</f>
        <v>2380</v>
      </c>
      <c r="E38" s="115">
        <v>8000</v>
      </c>
      <c r="F38" s="115">
        <v>500</v>
      </c>
      <c r="G38" s="65">
        <v>200</v>
      </c>
      <c r="H38" s="66">
        <f>D38+E38+F38+G38</f>
        <v>11080</v>
      </c>
      <c r="I38" s="66">
        <f>8400</f>
        <v>8400</v>
      </c>
      <c r="J38" s="66">
        <f>H38-I38</f>
        <v>2680</v>
      </c>
      <c r="K38" s="66"/>
      <c r="L38" s="66"/>
      <c r="M38" s="94">
        <f>NOVEMBER20!D3</f>
        <v>0</v>
      </c>
    </row>
    <row r="39" spans="1:14" x14ac:dyDescent="0.25">
      <c r="A39" s="61"/>
      <c r="B39" s="114"/>
      <c r="C39" s="63"/>
      <c r="D39" s="64">
        <f>'SEPTEMBER 20'!J39:J74</f>
        <v>0</v>
      </c>
      <c r="E39" s="115"/>
      <c r="F39" s="115"/>
      <c r="G39" s="65"/>
      <c r="H39" s="66">
        <f t="shared" si="0"/>
        <v>0</v>
      </c>
      <c r="I39" s="66">
        <f t="shared" ref="I39" si="2">SUM(D39:H39)</f>
        <v>0</v>
      </c>
      <c r="J39" s="66">
        <f>H39-I39</f>
        <v>0</v>
      </c>
      <c r="K39" s="66"/>
      <c r="L39" s="66"/>
      <c r="M39" s="79"/>
    </row>
    <row r="40" spans="1:14" x14ac:dyDescent="0.25">
      <c r="A40" s="116" t="s">
        <v>10</v>
      </c>
      <c r="B40" s="60"/>
      <c r="C40" s="63">
        <f t="shared" ref="C40:L40" si="3">SUM(C6:C39)</f>
        <v>0</v>
      </c>
      <c r="D40" s="64">
        <f>SUM(D6:D39)</f>
        <v>43584</v>
      </c>
      <c r="E40" s="117">
        <f>SUM(E6:E39)</f>
        <v>173500</v>
      </c>
      <c r="F40" s="118">
        <f>SUM(F6:F39)</f>
        <v>13845</v>
      </c>
      <c r="G40" s="130">
        <f t="shared" si="3"/>
        <v>5400</v>
      </c>
      <c r="H40" s="131">
        <f>SUM(H6:H39)</f>
        <v>236329</v>
      </c>
      <c r="I40" s="131">
        <f>SUM(I6:I39)</f>
        <v>194756</v>
      </c>
      <c r="J40" s="131">
        <f>SUM(J6:J39)</f>
        <v>41573</v>
      </c>
      <c r="K40" s="131">
        <f t="shared" si="3"/>
        <v>0</v>
      </c>
      <c r="L40" s="131">
        <f t="shared" si="3"/>
        <v>0</v>
      </c>
      <c r="M40" s="79"/>
    </row>
    <row r="41" spans="1:14" x14ac:dyDescent="0.25">
      <c r="A41" s="79"/>
      <c r="B41" s="79"/>
      <c r="D41" s="64">
        <f>'SEPTEMBER 20'!J41:J76</f>
        <v>0</v>
      </c>
      <c r="E41" s="79"/>
      <c r="F41" s="79"/>
      <c r="G41" s="18"/>
      <c r="H41" s="18"/>
      <c r="I41" s="18"/>
      <c r="J41" s="18"/>
      <c r="K41" s="18"/>
      <c r="L41" s="18"/>
      <c r="M41" s="18"/>
    </row>
    <row r="42" spans="1:14" x14ac:dyDescent="0.25">
      <c r="B42" s="18"/>
      <c r="C42" s="18"/>
      <c r="D42" s="64">
        <f>'SEPTEMBER 20'!J42:J77</f>
        <v>0</v>
      </c>
      <c r="E42" s="41" t="s">
        <v>213</v>
      </c>
      <c r="F42" s="18"/>
      <c r="G42" s="120" t="s">
        <v>147</v>
      </c>
      <c r="H42" s="18" t="s">
        <v>149</v>
      </c>
    </row>
    <row r="43" spans="1:14" x14ac:dyDescent="0.25">
      <c r="A43" s="79"/>
      <c r="B43" s="79"/>
      <c r="C43" s="18" t="s">
        <v>267</v>
      </c>
      <c r="D43" s="18"/>
      <c r="E43" s="132">
        <v>1370</v>
      </c>
      <c r="F43" s="41"/>
      <c r="G43" s="136">
        <v>1370</v>
      </c>
      <c r="H43" s="132">
        <f>E43-G43</f>
        <v>0</v>
      </c>
    </row>
    <row r="44" spans="1:14" x14ac:dyDescent="0.25">
      <c r="A44" s="7"/>
      <c r="B44" s="18"/>
      <c r="C44" s="18" t="s">
        <v>268</v>
      </c>
      <c r="D44" s="18"/>
      <c r="E44" s="47">
        <f>I26</f>
        <v>6921</v>
      </c>
      <c r="F44" s="41"/>
      <c r="G44" s="137">
        <v>6921</v>
      </c>
      <c r="H44" s="132">
        <f t="shared" ref="H44:H47" si="4">E44-G44</f>
        <v>0</v>
      </c>
      <c r="L44" s="53"/>
    </row>
    <row r="45" spans="1:14" x14ac:dyDescent="0.25">
      <c r="A45" s="7"/>
      <c r="B45" s="18"/>
      <c r="C45" t="s">
        <v>282</v>
      </c>
      <c r="D45" s="18"/>
      <c r="E45" s="132">
        <f>H38</f>
        <v>11080</v>
      </c>
      <c r="F45" s="41"/>
      <c r="G45" s="137">
        <f>8400</f>
        <v>8400</v>
      </c>
      <c r="H45" s="132">
        <f t="shared" si="4"/>
        <v>2680</v>
      </c>
      <c r="K45" s="53"/>
    </row>
    <row r="46" spans="1:14" x14ac:dyDescent="0.25">
      <c r="A46" s="7"/>
      <c r="B46" s="18"/>
      <c r="C46" s="18" t="s">
        <v>283</v>
      </c>
      <c r="E46" s="132">
        <f>H14</f>
        <v>6540</v>
      </c>
      <c r="F46" s="41"/>
      <c r="G46" s="137">
        <f>6000+540</f>
        <v>6540</v>
      </c>
      <c r="H46" s="132">
        <f t="shared" si="4"/>
        <v>0</v>
      </c>
      <c r="K46" s="53"/>
    </row>
    <row r="47" spans="1:14" x14ac:dyDescent="0.25">
      <c r="A47" s="7"/>
      <c r="B47" s="18"/>
      <c r="C47" s="18" t="s">
        <v>270</v>
      </c>
      <c r="D47" s="47"/>
      <c r="E47" s="132">
        <f>H37</f>
        <v>7380</v>
      </c>
      <c r="F47" s="41"/>
      <c r="G47" s="137">
        <f>7350+30</f>
        <v>7380</v>
      </c>
      <c r="H47" s="132">
        <f t="shared" si="4"/>
        <v>0</v>
      </c>
      <c r="K47" s="53"/>
    </row>
    <row r="48" spans="1:14" x14ac:dyDescent="0.25">
      <c r="A48" s="7"/>
      <c r="B48" s="18"/>
      <c r="C48" s="125" t="s">
        <v>288</v>
      </c>
      <c r="D48" s="125"/>
      <c r="E48" s="132">
        <f>H33</f>
        <v>9247</v>
      </c>
      <c r="F48" s="41"/>
      <c r="G48" s="137">
        <v>9247</v>
      </c>
      <c r="H48" s="132">
        <f>E48-G48</f>
        <v>0</v>
      </c>
      <c r="K48" s="53"/>
    </row>
    <row r="49" spans="1:13" x14ac:dyDescent="0.25">
      <c r="A49" s="7"/>
      <c r="B49" s="18"/>
      <c r="C49" s="125" t="s">
        <v>289</v>
      </c>
      <c r="D49" s="125"/>
      <c r="E49" s="132">
        <v>2333</v>
      </c>
      <c r="F49" s="41"/>
      <c r="G49" s="137">
        <v>2333</v>
      </c>
      <c r="H49" s="132"/>
      <c r="K49" s="53"/>
    </row>
    <row r="50" spans="1:13" x14ac:dyDescent="0.25">
      <c r="A50" s="7"/>
      <c r="B50" s="18"/>
      <c r="C50" s="18" t="s">
        <v>271</v>
      </c>
      <c r="D50" s="18"/>
      <c r="E50" s="132">
        <v>7278</v>
      </c>
      <c r="F50" s="41"/>
      <c r="G50" s="138">
        <v>7278</v>
      </c>
      <c r="H50" s="132"/>
      <c r="K50" s="53"/>
    </row>
    <row r="51" spans="1:13" x14ac:dyDescent="0.25">
      <c r="A51" s="7"/>
      <c r="B51" s="18"/>
      <c r="C51" s="18"/>
      <c r="D51" s="18"/>
      <c r="E51" s="132"/>
      <c r="F51" s="41"/>
      <c r="G51" s="137"/>
      <c r="H51" s="132"/>
      <c r="K51" s="53"/>
    </row>
    <row r="52" spans="1:13" x14ac:dyDescent="0.25">
      <c r="A52" s="7"/>
      <c r="B52" s="18"/>
      <c r="C52" s="142"/>
      <c r="D52" s="18"/>
      <c r="E52" s="132"/>
      <c r="F52" s="41"/>
      <c r="G52" s="137"/>
      <c r="H52" s="132"/>
      <c r="I52" s="41"/>
    </row>
    <row r="53" spans="1:13" x14ac:dyDescent="0.25">
      <c r="A53" s="7"/>
      <c r="B53" s="18"/>
      <c r="C53" s="142"/>
      <c r="D53" s="18"/>
      <c r="E53" s="132"/>
      <c r="F53" s="41"/>
      <c r="G53" s="137"/>
      <c r="H53" s="132"/>
    </row>
    <row r="54" spans="1:13" x14ac:dyDescent="0.25">
      <c r="A54" s="7"/>
      <c r="B54" s="18"/>
      <c r="C54" s="18" t="s">
        <v>23</v>
      </c>
      <c r="D54" s="41"/>
      <c r="E54" s="132">
        <f>SUM(E43:E53)</f>
        <v>52149</v>
      </c>
      <c r="F54" s="41"/>
      <c r="G54" s="137">
        <f>SUM(G43:G53)</f>
        <v>49469</v>
      </c>
      <c r="H54" s="132">
        <f>E54-G54</f>
        <v>2680</v>
      </c>
    </row>
    <row r="55" spans="1:13" x14ac:dyDescent="0.25">
      <c r="B55" s="134"/>
      <c r="C55" s="133"/>
      <c r="D55" s="133"/>
      <c r="E55" s="47"/>
      <c r="F55" s="18"/>
      <c r="G55" s="47"/>
      <c r="H55" s="18"/>
    </row>
    <row r="56" spans="1:13" x14ac:dyDescent="0.25">
      <c r="A56" s="85" t="s">
        <v>12</v>
      </c>
      <c r="B56" s="85"/>
      <c r="C56" s="85"/>
      <c r="D56" s="86"/>
      <c r="E56" s="82"/>
      <c r="F56" s="85" t="s">
        <v>8</v>
      </c>
      <c r="G56" s="85"/>
      <c r="H56" s="85"/>
      <c r="I56" s="79"/>
      <c r="J56" s="79"/>
      <c r="K56" s="79"/>
      <c r="L56" s="71"/>
      <c r="M56" s="5"/>
    </row>
    <row r="57" spans="1:13" x14ac:dyDescent="0.25">
      <c r="A57" s="87" t="s">
        <v>13</v>
      </c>
      <c r="B57" s="87" t="s">
        <v>14</v>
      </c>
      <c r="C57" s="87" t="s">
        <v>15</v>
      </c>
      <c r="D57" s="87" t="s">
        <v>16</v>
      </c>
      <c r="E57" s="87"/>
      <c r="F57" s="87" t="s">
        <v>13</v>
      </c>
      <c r="G57" s="87"/>
      <c r="H57" s="87" t="s">
        <v>265</v>
      </c>
      <c r="I57" s="87" t="s">
        <v>15</v>
      </c>
      <c r="J57" s="87" t="s">
        <v>16</v>
      </c>
      <c r="K57" s="87"/>
      <c r="L57" s="73"/>
      <c r="M57" s="5"/>
    </row>
    <row r="58" spans="1:13" x14ac:dyDescent="0.25">
      <c r="A58" s="60" t="s">
        <v>278</v>
      </c>
      <c r="B58" s="88">
        <f>E40</f>
        <v>173500</v>
      </c>
      <c r="C58" s="60"/>
      <c r="D58" s="60"/>
      <c r="E58" s="60"/>
      <c r="F58" s="60" t="s">
        <v>278</v>
      </c>
      <c r="G58" s="60"/>
      <c r="H58" s="89">
        <f>I40</f>
        <v>194756</v>
      </c>
      <c r="I58" s="60"/>
      <c r="J58" s="60"/>
      <c r="K58" s="60"/>
      <c r="L58" s="74"/>
      <c r="M58" s="5"/>
    </row>
    <row r="59" spans="1:13" x14ac:dyDescent="0.25">
      <c r="A59" s="60" t="s">
        <v>18</v>
      </c>
      <c r="B59" s="88">
        <f>'SEPTEMBER 20'!D74</f>
        <v>0</v>
      </c>
      <c r="C59" s="60"/>
      <c r="D59" s="60"/>
      <c r="E59" s="60"/>
      <c r="F59" s="60" t="s">
        <v>18</v>
      </c>
      <c r="G59" s="60"/>
      <c r="H59" s="88">
        <f>'SEPTEMBER 20'!J74</f>
        <v>-36288</v>
      </c>
      <c r="I59" s="60"/>
      <c r="J59" s="60"/>
      <c r="K59" s="60"/>
      <c r="L59" s="74"/>
      <c r="M59" s="53"/>
    </row>
    <row r="60" spans="1:13" x14ac:dyDescent="0.25">
      <c r="A60" s="60" t="s">
        <v>19</v>
      </c>
      <c r="B60" s="88">
        <f>C40</f>
        <v>0</v>
      </c>
      <c r="C60" s="60"/>
      <c r="D60" s="60"/>
      <c r="E60" s="60"/>
      <c r="F60" s="60"/>
      <c r="G60" s="60"/>
      <c r="H60" s="60"/>
      <c r="I60" s="60"/>
      <c r="J60" s="60"/>
      <c r="K60" s="60"/>
      <c r="L60" s="74"/>
      <c r="M60" s="53"/>
    </row>
    <row r="61" spans="1:13" x14ac:dyDescent="0.25">
      <c r="A61" s="60" t="s">
        <v>63</v>
      </c>
      <c r="B61" s="88">
        <f>F40</f>
        <v>13845</v>
      </c>
      <c r="C61" s="60"/>
      <c r="D61" s="60"/>
      <c r="E61" s="60"/>
      <c r="F61" s="60"/>
      <c r="G61" s="60"/>
      <c r="H61" s="60"/>
      <c r="I61" s="60"/>
      <c r="J61" s="60"/>
      <c r="K61" s="60"/>
      <c r="L61" s="74"/>
    </row>
    <row r="62" spans="1:13" x14ac:dyDescent="0.25">
      <c r="A62" s="60" t="s">
        <v>62</v>
      </c>
      <c r="B62" s="88">
        <f>K40</f>
        <v>0</v>
      </c>
      <c r="C62" s="60"/>
      <c r="D62" s="60"/>
      <c r="E62" s="60"/>
      <c r="F62" s="60"/>
      <c r="G62" s="60"/>
      <c r="H62" s="60"/>
      <c r="I62" s="60"/>
      <c r="J62" s="60"/>
      <c r="K62" s="60"/>
      <c r="L62" s="74"/>
      <c r="M62" s="5"/>
    </row>
    <row r="63" spans="1:13" x14ac:dyDescent="0.25">
      <c r="A63" s="60" t="s">
        <v>96</v>
      </c>
      <c r="B63" s="88">
        <f>G40</f>
        <v>5400</v>
      </c>
      <c r="C63" s="60"/>
      <c r="D63" s="60"/>
      <c r="E63" s="60"/>
      <c r="F63" s="60" t="s">
        <v>126</v>
      </c>
      <c r="G63" s="60"/>
      <c r="H63" s="60"/>
      <c r="I63" s="60"/>
      <c r="J63" s="60"/>
      <c r="K63" s="60"/>
      <c r="L63" s="74"/>
      <c r="M63" s="5"/>
    </row>
    <row r="64" spans="1:13" x14ac:dyDescent="0.25">
      <c r="A64" s="60" t="s">
        <v>167</v>
      </c>
      <c r="B64" s="88"/>
      <c r="C64" s="60"/>
      <c r="D64" s="60"/>
      <c r="E64" s="60"/>
      <c r="F64" s="60" t="s">
        <v>167</v>
      </c>
      <c r="G64" s="88"/>
      <c r="J64" s="60"/>
      <c r="K64" s="60"/>
      <c r="L64" s="74"/>
    </row>
    <row r="65" spans="1:12" x14ac:dyDescent="0.25">
      <c r="A65" s="60" t="s">
        <v>126</v>
      </c>
      <c r="B65" s="89">
        <f>L40</f>
        <v>0</v>
      </c>
      <c r="C65" s="88"/>
      <c r="D65" s="60"/>
      <c r="E65" s="60"/>
      <c r="F65" s="60"/>
      <c r="G65" s="60"/>
      <c r="H65" s="60"/>
      <c r="I65" s="88"/>
      <c r="J65" s="88"/>
      <c r="K65" s="88"/>
      <c r="L65" s="75"/>
    </row>
    <row r="66" spans="1:12" x14ac:dyDescent="0.25">
      <c r="A66" s="87" t="s">
        <v>21</v>
      </c>
      <c r="B66" s="60" t="s">
        <v>22</v>
      </c>
      <c r="C66" s="60"/>
      <c r="D66" s="60"/>
      <c r="E66" s="60"/>
      <c r="F66" s="87" t="s">
        <v>21</v>
      </c>
      <c r="G66" s="87"/>
      <c r="H66" s="87"/>
      <c r="I66" s="60"/>
      <c r="J66" s="60"/>
      <c r="K66" s="60"/>
      <c r="L66" s="74"/>
    </row>
    <row r="67" spans="1:12" x14ac:dyDescent="0.25">
      <c r="A67" s="91" t="s">
        <v>111</v>
      </c>
      <c r="B67" s="90">
        <v>0.05</v>
      </c>
      <c r="C67" s="89">
        <f>B67*E40</f>
        <v>8675</v>
      </c>
      <c r="D67" s="60"/>
      <c r="E67" s="60"/>
      <c r="F67" s="91" t="s">
        <v>111</v>
      </c>
      <c r="G67" s="91"/>
      <c r="H67" s="90">
        <v>0.05</v>
      </c>
      <c r="I67" s="89">
        <f>H67*E40</f>
        <v>8675</v>
      </c>
      <c r="J67" s="60"/>
      <c r="K67" s="60"/>
      <c r="L67" s="74"/>
    </row>
    <row r="68" spans="1:12" x14ac:dyDescent="0.25">
      <c r="A68" s="135" t="s">
        <v>281</v>
      </c>
      <c r="B68" s="93"/>
      <c r="C68">
        <v>184000</v>
      </c>
      <c r="D68" s="89"/>
      <c r="E68" s="89"/>
      <c r="F68" s="135" t="s">
        <v>281</v>
      </c>
      <c r="G68" s="93"/>
      <c r="I68">
        <v>184000</v>
      </c>
      <c r="K68" s="89"/>
      <c r="L68" s="76"/>
    </row>
    <row r="69" spans="1:12" x14ac:dyDescent="0.25">
      <c r="A69" s="135"/>
      <c r="B69" s="90"/>
      <c r="C69" s="89"/>
      <c r="D69" s="60"/>
      <c r="E69" s="60"/>
      <c r="F69" s="89"/>
      <c r="H69" s="90"/>
      <c r="I69" s="89"/>
      <c r="J69" s="60"/>
      <c r="K69" s="60"/>
      <c r="L69" s="74"/>
    </row>
    <row r="70" spans="1:12" x14ac:dyDescent="0.25">
      <c r="A70" s="60"/>
      <c r="B70" s="60"/>
      <c r="C70" s="94"/>
      <c r="D70" s="60"/>
      <c r="E70" s="60"/>
      <c r="F70" s="94"/>
      <c r="G70" s="94"/>
      <c r="H70" s="60"/>
      <c r="I70" s="94"/>
      <c r="J70" s="60"/>
      <c r="K70" s="60"/>
      <c r="L70" s="74"/>
    </row>
    <row r="71" spans="1:12" x14ac:dyDescent="0.25">
      <c r="A71" s="92"/>
      <c r="B71" s="60"/>
      <c r="C71" s="89"/>
      <c r="D71" s="60"/>
      <c r="E71" s="60"/>
      <c r="F71" s="60"/>
      <c r="G71" s="89"/>
      <c r="H71" s="91"/>
      <c r="I71" s="89"/>
      <c r="J71" s="89"/>
      <c r="K71" s="89"/>
      <c r="L71" s="76"/>
    </row>
    <row r="72" spans="1:12" x14ac:dyDescent="0.25">
      <c r="A72" s="87" t="s">
        <v>23</v>
      </c>
      <c r="B72" s="96">
        <f>B58+B59+B60+B61+B62+B63+B65+B64</f>
        <v>192745</v>
      </c>
      <c r="C72" s="96">
        <f>SUM(C67:C71)</f>
        <v>192675</v>
      </c>
      <c r="D72" s="96">
        <f>B72-C72</f>
        <v>70</v>
      </c>
      <c r="E72" s="96"/>
      <c r="F72" s="87"/>
      <c r="G72" s="87"/>
      <c r="H72" s="96">
        <f>H58+H59+H61+H63+H64</f>
        <v>158468</v>
      </c>
      <c r="I72" s="96">
        <f>SUM(I67:I71)</f>
        <v>192675</v>
      </c>
      <c r="J72" s="96">
        <f>H72-I72</f>
        <v>-34207</v>
      </c>
      <c r="K72" s="96"/>
      <c r="L72" s="77"/>
    </row>
    <row r="73" spans="1:12" x14ac:dyDescent="0.25">
      <c r="A73" s="79"/>
      <c r="B73" s="79"/>
      <c r="C73" s="79"/>
      <c r="D73" s="79"/>
      <c r="E73" s="79"/>
      <c r="F73" s="79"/>
      <c r="G73" s="79"/>
      <c r="H73" s="79"/>
      <c r="I73" s="119">
        <f>I72-I67</f>
        <v>184000</v>
      </c>
      <c r="J73" s="79"/>
      <c r="K73" s="79"/>
      <c r="L73" s="71"/>
    </row>
    <row r="74" spans="1:12" x14ac:dyDescent="0.25">
      <c r="A74" s="97" t="s">
        <v>24</v>
      </c>
      <c r="B74" s="98"/>
      <c r="C74" s="98" t="s">
        <v>25</v>
      </c>
      <c r="D74" s="99"/>
      <c r="E74" s="99"/>
      <c r="F74" s="97"/>
      <c r="G74" s="97"/>
      <c r="H74" s="97" t="s">
        <v>26</v>
      </c>
      <c r="I74" s="79"/>
      <c r="J74" s="79"/>
      <c r="K74" s="79"/>
      <c r="L74" s="71"/>
    </row>
    <row r="75" spans="1:12" x14ac:dyDescent="0.25">
      <c r="A75" s="79" t="s">
        <v>104</v>
      </c>
      <c r="B75" s="79"/>
      <c r="C75" s="79" t="s">
        <v>105</v>
      </c>
      <c r="D75" s="79"/>
      <c r="E75" s="79"/>
      <c r="F75" s="79"/>
      <c r="G75" s="79"/>
      <c r="H75" s="79" t="s">
        <v>27</v>
      </c>
      <c r="I75" s="79"/>
      <c r="J75" s="79"/>
      <c r="K75" s="119"/>
      <c r="L75" s="71"/>
    </row>
  </sheetData>
  <pageMargins left="0" right="0" top="0" bottom="0" header="0.3" footer="0.3"/>
  <pageSetup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5"/>
  <sheetViews>
    <sheetView topLeftCell="A7" workbookViewId="0">
      <selection activeCell="J35" sqref="J35"/>
    </sheetView>
  </sheetViews>
  <sheetFormatPr defaultRowHeight="15" x14ac:dyDescent="0.25"/>
  <cols>
    <col min="1" max="1" width="15.7109375" customWidth="1"/>
    <col min="2" max="2" width="8.42578125" customWidth="1"/>
    <col min="3" max="3" width="10.85546875" customWidth="1"/>
    <col min="4" max="4" width="7.42578125" customWidth="1"/>
    <col min="5" max="5" width="9" customWidth="1"/>
    <col min="6" max="6" width="9.28515625" customWidth="1"/>
    <col min="8" max="8" width="11.5703125" customWidth="1"/>
    <col min="9" max="9" width="9.5703125" customWidth="1"/>
  </cols>
  <sheetData>
    <row r="1" spans="1:16" x14ac:dyDescent="0.25">
      <c r="C1" s="71"/>
      <c r="D1" s="71"/>
      <c r="E1" s="71"/>
      <c r="F1" s="71"/>
      <c r="G1" s="71"/>
      <c r="H1" s="71"/>
      <c r="I1" s="71"/>
      <c r="J1" s="71"/>
      <c r="K1" s="71"/>
      <c r="L1" s="71"/>
    </row>
    <row r="2" spans="1:16" ht="15.75" x14ac:dyDescent="0.25">
      <c r="C2" s="100"/>
      <c r="D2" s="100"/>
      <c r="E2" s="100" t="s">
        <v>27</v>
      </c>
      <c r="F2" s="79"/>
      <c r="G2" s="100"/>
      <c r="H2" s="101"/>
      <c r="I2" s="79"/>
      <c r="J2" s="79"/>
      <c r="K2" s="79"/>
      <c r="L2" s="79"/>
    </row>
    <row r="3" spans="1:16" ht="15.75" x14ac:dyDescent="0.25">
      <c r="A3" s="79"/>
      <c r="B3" s="100"/>
      <c r="C3" s="100"/>
      <c r="D3" s="100"/>
      <c r="E3" s="100" t="s">
        <v>0</v>
      </c>
      <c r="F3" s="100"/>
      <c r="G3" s="100"/>
      <c r="H3" s="102"/>
      <c r="I3" s="79"/>
      <c r="J3" s="79"/>
      <c r="K3" s="79"/>
      <c r="L3" s="79"/>
    </row>
    <row r="4" spans="1:16" ht="18.75" x14ac:dyDescent="0.3">
      <c r="A4" s="103"/>
      <c r="B4" s="79"/>
      <c r="D4" s="100" t="s">
        <v>286</v>
      </c>
      <c r="E4" s="100"/>
      <c r="G4" s="100"/>
      <c r="H4" s="104"/>
      <c r="I4" s="105"/>
      <c r="J4" s="105"/>
      <c r="K4" s="105"/>
      <c r="L4" s="105"/>
    </row>
    <row r="5" spans="1:16" x14ac:dyDescent="0.25">
      <c r="A5" s="106" t="s">
        <v>2</v>
      </c>
      <c r="B5" s="106" t="s">
        <v>3</v>
      </c>
      <c r="C5" s="106" t="s">
        <v>4</v>
      </c>
      <c r="D5" s="107" t="s">
        <v>5</v>
      </c>
      <c r="E5" s="106" t="s">
        <v>6</v>
      </c>
      <c r="F5" s="123" t="s">
        <v>63</v>
      </c>
      <c r="G5" s="106" t="s">
        <v>96</v>
      </c>
      <c r="H5" s="108" t="s">
        <v>7</v>
      </c>
      <c r="I5" s="106" t="s">
        <v>8</v>
      </c>
      <c r="J5" s="106" t="s">
        <v>9</v>
      </c>
      <c r="K5" s="106" t="s">
        <v>91</v>
      </c>
      <c r="L5" s="106" t="s">
        <v>123</v>
      </c>
    </row>
    <row r="6" spans="1:16" x14ac:dyDescent="0.25">
      <c r="A6" s="61" t="s">
        <v>61</v>
      </c>
      <c r="B6" s="68" t="s">
        <v>52</v>
      </c>
      <c r="C6" s="63"/>
      <c r="D6" s="64">
        <f>'OCTOBER 20'!J6:J38</f>
        <v>9699</v>
      </c>
      <c r="E6" s="66">
        <v>6000</v>
      </c>
      <c r="F6" s="124">
        <v>289</v>
      </c>
      <c r="G6" s="66">
        <v>200</v>
      </c>
      <c r="H6" s="66">
        <f>D6+E6+F6+G6</f>
        <v>16188</v>
      </c>
      <c r="I6" s="66">
        <f>10000</f>
        <v>10000</v>
      </c>
      <c r="J6" s="66">
        <f>H6-I6</f>
        <v>6188</v>
      </c>
      <c r="K6" s="66"/>
      <c r="L6" s="66"/>
      <c r="P6" s="53"/>
    </row>
    <row r="7" spans="1:16" x14ac:dyDescent="0.25">
      <c r="A7" s="59" t="s">
        <v>64</v>
      </c>
      <c r="B7" s="68" t="s">
        <v>51</v>
      </c>
      <c r="C7" s="63"/>
      <c r="D7" s="64">
        <f>'OCTOBER 20'!J7:J39</f>
        <v>2466</v>
      </c>
      <c r="E7" s="65">
        <v>6000</v>
      </c>
      <c r="F7" s="113">
        <v>459</v>
      </c>
      <c r="G7" s="65">
        <v>200</v>
      </c>
      <c r="H7" s="66">
        <f t="shared" ref="H7:H39" si="0">D7+E7+F7+G7</f>
        <v>9125</v>
      </c>
      <c r="I7" s="66">
        <f>3000+3000+3125</f>
        <v>9125</v>
      </c>
      <c r="J7" s="66">
        <f>H7-I7</f>
        <v>0</v>
      </c>
      <c r="K7" s="66"/>
      <c r="L7" s="66"/>
    </row>
    <row r="8" spans="1:16" x14ac:dyDescent="0.25">
      <c r="A8" s="59" t="s">
        <v>65</v>
      </c>
      <c r="B8" s="68" t="s">
        <v>54</v>
      </c>
      <c r="C8" s="63"/>
      <c r="D8" s="64">
        <f>'OCTOBER 20'!J8:J40</f>
        <v>0</v>
      </c>
      <c r="E8" s="65"/>
      <c r="F8" s="113">
        <v>0</v>
      </c>
      <c r="G8" s="65"/>
      <c r="H8" s="66">
        <f t="shared" si="0"/>
        <v>0</v>
      </c>
      <c r="I8" s="66"/>
      <c r="J8" s="66">
        <f>H8-I8</f>
        <v>0</v>
      </c>
      <c r="K8" s="66"/>
      <c r="L8" s="66"/>
    </row>
    <row r="9" spans="1:16" x14ac:dyDescent="0.25">
      <c r="A9" s="120" t="s">
        <v>67</v>
      </c>
      <c r="B9" s="68" t="s">
        <v>50</v>
      </c>
      <c r="C9" s="63"/>
      <c r="D9" s="64">
        <f>'OCTOBER 20'!J9:J41</f>
        <v>0</v>
      </c>
      <c r="E9" s="64"/>
      <c r="F9" s="115">
        <v>0</v>
      </c>
      <c r="G9" s="65"/>
      <c r="H9" s="66">
        <f t="shared" si="0"/>
        <v>0</v>
      </c>
      <c r="I9" s="66"/>
      <c r="J9" s="66">
        <f>H9-I9</f>
        <v>0</v>
      </c>
      <c r="K9" s="66"/>
      <c r="L9" s="66"/>
      <c r="P9" s="53">
        <f>D6+E6+F6+G6</f>
        <v>16188</v>
      </c>
    </row>
    <row r="10" spans="1:16" x14ac:dyDescent="0.25">
      <c r="A10" s="59" t="s">
        <v>151</v>
      </c>
      <c r="B10" s="68" t="s">
        <v>49</v>
      </c>
      <c r="C10" s="146"/>
      <c r="D10" s="64">
        <f>'OCTOBER 20'!J10:J42</f>
        <v>0</v>
      </c>
      <c r="E10" s="65">
        <v>6000</v>
      </c>
      <c r="F10" s="113">
        <v>323</v>
      </c>
      <c r="G10" s="65">
        <v>200</v>
      </c>
      <c r="H10" s="66">
        <f t="shared" si="0"/>
        <v>6523</v>
      </c>
      <c r="I10" s="66">
        <v>6000</v>
      </c>
      <c r="J10" s="66">
        <f>H10-I10</f>
        <v>523</v>
      </c>
      <c r="K10" s="66"/>
      <c r="L10" s="66"/>
    </row>
    <row r="11" spans="1:16" x14ac:dyDescent="0.25">
      <c r="A11" s="109" t="s">
        <v>263</v>
      </c>
      <c r="B11" s="68" t="s">
        <v>53</v>
      </c>
      <c r="C11" s="63"/>
      <c r="D11" s="64">
        <f>'OCTOBER 20'!J11:J43</f>
        <v>1426</v>
      </c>
      <c r="E11" s="65">
        <v>6000</v>
      </c>
      <c r="F11" s="113">
        <v>629</v>
      </c>
      <c r="G11" s="65">
        <v>200</v>
      </c>
      <c r="H11" s="66">
        <f t="shared" si="0"/>
        <v>8255</v>
      </c>
      <c r="I11" s="66">
        <f>6829</f>
        <v>6829</v>
      </c>
      <c r="J11" s="66">
        <f t="shared" ref="J11:J36" si="1">H11-I11</f>
        <v>1426</v>
      </c>
      <c r="K11" s="66"/>
      <c r="L11" s="66"/>
    </row>
    <row r="12" spans="1:16" x14ac:dyDescent="0.25">
      <c r="A12" s="61" t="s">
        <v>262</v>
      </c>
      <c r="B12" s="68" t="s">
        <v>48</v>
      </c>
      <c r="C12" s="63"/>
      <c r="D12" s="64">
        <f>'OCTOBER 20'!J12:J44</f>
        <v>0</v>
      </c>
      <c r="E12" s="65">
        <v>6000</v>
      </c>
      <c r="F12" s="113">
        <v>408</v>
      </c>
      <c r="G12" s="65">
        <v>200</v>
      </c>
      <c r="H12" s="66">
        <f t="shared" si="0"/>
        <v>6608</v>
      </c>
      <c r="I12" s="66">
        <v>6000</v>
      </c>
      <c r="J12" s="66">
        <f t="shared" si="1"/>
        <v>608</v>
      </c>
      <c r="K12" s="66"/>
      <c r="L12" s="66"/>
    </row>
    <row r="13" spans="1:16" x14ac:dyDescent="0.25">
      <c r="A13" s="67" t="s">
        <v>181</v>
      </c>
      <c r="B13" s="68" t="s">
        <v>47</v>
      </c>
      <c r="C13" s="63"/>
      <c r="D13" s="64">
        <f>'OCTOBER 20'!J13:J45</f>
        <v>1435</v>
      </c>
      <c r="E13" s="65">
        <v>6000</v>
      </c>
      <c r="F13" s="113">
        <v>612</v>
      </c>
      <c r="G13" s="65">
        <v>200</v>
      </c>
      <c r="H13" s="66">
        <f t="shared" si="0"/>
        <v>8247</v>
      </c>
      <c r="I13" s="66">
        <f>6000+2000</f>
        <v>8000</v>
      </c>
      <c r="J13" s="66">
        <f t="shared" si="1"/>
        <v>247</v>
      </c>
      <c r="K13" s="66"/>
      <c r="L13" s="66"/>
    </row>
    <row r="14" spans="1:16" x14ac:dyDescent="0.25">
      <c r="A14" s="61" t="s">
        <v>67</v>
      </c>
      <c r="B14" s="68" t="s">
        <v>46</v>
      </c>
      <c r="C14" s="63"/>
      <c r="D14" s="64"/>
      <c r="E14" s="65"/>
      <c r="F14" s="113"/>
      <c r="G14" s="65"/>
      <c r="H14" s="66">
        <f t="shared" si="0"/>
        <v>0</v>
      </c>
      <c r="I14" s="66"/>
      <c r="J14" s="66">
        <f>H14-I14</f>
        <v>0</v>
      </c>
      <c r="K14" s="66"/>
      <c r="L14" s="66"/>
    </row>
    <row r="15" spans="1:16" x14ac:dyDescent="0.25">
      <c r="A15" s="59" t="s">
        <v>156</v>
      </c>
      <c r="B15" s="68" t="s">
        <v>45</v>
      </c>
      <c r="C15" s="63"/>
      <c r="D15" s="64">
        <f>'OCTOBER 20'!J15:J47</f>
        <v>1463</v>
      </c>
      <c r="E15" s="65">
        <v>6000</v>
      </c>
      <c r="F15" s="113">
        <v>510</v>
      </c>
      <c r="G15" s="65">
        <v>200</v>
      </c>
      <c r="H15" s="66">
        <f t="shared" si="0"/>
        <v>8173</v>
      </c>
      <c r="I15" s="66">
        <f>6710</f>
        <v>6710</v>
      </c>
      <c r="J15" s="66">
        <f t="shared" si="1"/>
        <v>1463</v>
      </c>
      <c r="K15" s="66"/>
      <c r="L15" s="66"/>
    </row>
    <row r="16" spans="1:16" x14ac:dyDescent="0.25">
      <c r="A16" s="60" t="s">
        <v>225</v>
      </c>
      <c r="B16" s="68" t="s">
        <v>44</v>
      </c>
      <c r="C16" s="63"/>
      <c r="D16" s="64">
        <f>'OCTOBER 20'!J16:J48</f>
        <v>0</v>
      </c>
      <c r="E16" s="65">
        <v>6000</v>
      </c>
      <c r="F16" s="113">
        <v>238</v>
      </c>
      <c r="G16" s="65">
        <v>200</v>
      </c>
      <c r="H16" s="66">
        <f t="shared" si="0"/>
        <v>6438</v>
      </c>
      <c r="I16" s="66">
        <v>6438</v>
      </c>
      <c r="J16" s="66">
        <f>H16-I16</f>
        <v>0</v>
      </c>
      <c r="K16" s="66"/>
      <c r="L16" s="66"/>
    </row>
    <row r="17" spans="1:17" x14ac:dyDescent="0.25">
      <c r="A17" s="59" t="s">
        <v>260</v>
      </c>
      <c r="B17" s="68" t="s">
        <v>43</v>
      </c>
      <c r="C17" s="63"/>
      <c r="D17" s="64"/>
      <c r="E17" s="65">
        <v>6000</v>
      </c>
      <c r="F17" s="113">
        <v>765</v>
      </c>
      <c r="G17" s="65">
        <v>200</v>
      </c>
      <c r="H17" s="66">
        <f t="shared" si="0"/>
        <v>6965</v>
      </c>
      <c r="I17" s="66">
        <f>6000</f>
        <v>6000</v>
      </c>
      <c r="J17" s="66">
        <f t="shared" si="1"/>
        <v>965</v>
      </c>
      <c r="K17" s="66"/>
      <c r="L17" s="66"/>
    </row>
    <row r="18" spans="1:17" x14ac:dyDescent="0.25">
      <c r="A18" s="61" t="s">
        <v>73</v>
      </c>
      <c r="B18" s="68" t="s">
        <v>42</v>
      </c>
      <c r="C18" s="63"/>
      <c r="D18" s="64">
        <f>'OCTOBER 20'!J18:J50</f>
        <v>0</v>
      </c>
      <c r="E18" s="65">
        <v>6000</v>
      </c>
      <c r="F18" s="113">
        <v>442</v>
      </c>
      <c r="G18" s="65">
        <v>200</v>
      </c>
      <c r="H18" s="66">
        <f t="shared" si="0"/>
        <v>6642</v>
      </c>
      <c r="I18" s="66">
        <v>6640</v>
      </c>
      <c r="J18" s="66">
        <f t="shared" si="1"/>
        <v>2</v>
      </c>
      <c r="K18" s="66"/>
      <c r="L18" s="66"/>
    </row>
    <row r="19" spans="1:17" x14ac:dyDescent="0.25">
      <c r="A19" s="60" t="s">
        <v>180</v>
      </c>
      <c r="B19" s="68" t="s">
        <v>41</v>
      </c>
      <c r="C19" s="63"/>
      <c r="D19" s="64">
        <f>'OCTOBER 20'!J19:J51</f>
        <v>0</v>
      </c>
      <c r="E19" s="65">
        <v>6000</v>
      </c>
      <c r="F19" s="113">
        <v>68</v>
      </c>
      <c r="G19" s="65">
        <v>200</v>
      </c>
      <c r="H19" s="66">
        <f t="shared" si="0"/>
        <v>6268</v>
      </c>
      <c r="I19" s="66">
        <f>3000+3268</f>
        <v>6268</v>
      </c>
      <c r="J19" s="66">
        <f t="shared" si="1"/>
        <v>0</v>
      </c>
      <c r="K19" s="66"/>
      <c r="L19" s="66"/>
    </row>
    <row r="20" spans="1:17" x14ac:dyDescent="0.25">
      <c r="A20" s="59" t="s">
        <v>75</v>
      </c>
      <c r="B20" s="68" t="s">
        <v>40</v>
      </c>
      <c r="C20" s="63"/>
      <c r="D20" s="64">
        <f>'OCTOBER 20'!J20:J52</f>
        <v>0</v>
      </c>
      <c r="E20" s="65">
        <v>6000</v>
      </c>
      <c r="F20" s="113">
        <v>170</v>
      </c>
      <c r="G20" s="65">
        <v>200</v>
      </c>
      <c r="H20" s="66">
        <f t="shared" si="0"/>
        <v>6370</v>
      </c>
      <c r="I20" s="66">
        <f>6370</f>
        <v>6370</v>
      </c>
      <c r="J20" s="66">
        <f t="shared" si="1"/>
        <v>0</v>
      </c>
      <c r="K20" s="66"/>
      <c r="L20" s="66"/>
    </row>
    <row r="21" spans="1:17" x14ac:dyDescent="0.25">
      <c r="A21" s="61" t="s">
        <v>76</v>
      </c>
      <c r="B21" s="111" t="s">
        <v>39</v>
      </c>
      <c r="C21" s="63"/>
      <c r="D21" s="64">
        <f>'OCTOBER 20'!J21:J53</f>
        <v>1054</v>
      </c>
      <c r="E21" s="65">
        <v>6000</v>
      </c>
      <c r="F21" s="113">
        <v>799</v>
      </c>
      <c r="G21" s="65">
        <v>200</v>
      </c>
      <c r="H21" s="66">
        <f t="shared" si="0"/>
        <v>8053</v>
      </c>
      <c r="I21" s="66">
        <f>6000</f>
        <v>6000</v>
      </c>
      <c r="J21" s="66">
        <f t="shared" si="1"/>
        <v>2053</v>
      </c>
      <c r="K21" s="66"/>
      <c r="L21" s="66"/>
    </row>
    <row r="22" spans="1:17" x14ac:dyDescent="0.25">
      <c r="A22" s="61" t="s">
        <v>150</v>
      </c>
      <c r="B22" s="68" t="s">
        <v>38</v>
      </c>
      <c r="C22" s="63"/>
      <c r="D22" s="64">
        <f>'OCTOBER 20'!J22:J54</f>
        <v>0</v>
      </c>
      <c r="E22" s="65">
        <v>6000</v>
      </c>
      <c r="F22" s="113">
        <v>680</v>
      </c>
      <c r="G22" s="65">
        <v>200</v>
      </c>
      <c r="H22" s="66">
        <f t="shared" si="0"/>
        <v>6880</v>
      </c>
      <c r="I22" s="66">
        <v>6880</v>
      </c>
      <c r="J22" s="66">
        <f t="shared" si="1"/>
        <v>0</v>
      </c>
      <c r="K22" s="66"/>
      <c r="L22" s="66"/>
    </row>
    <row r="23" spans="1:17" x14ac:dyDescent="0.25">
      <c r="A23" s="59" t="s">
        <v>78</v>
      </c>
      <c r="B23" s="68" t="s">
        <v>37</v>
      </c>
      <c r="C23" s="63"/>
      <c r="D23" s="64">
        <f>'OCTOBER 20'!J23:J55</f>
        <v>0</v>
      </c>
      <c r="E23" s="65">
        <v>6000</v>
      </c>
      <c r="F23" s="113">
        <v>0</v>
      </c>
      <c r="G23" s="65">
        <v>200</v>
      </c>
      <c r="H23" s="66">
        <f t="shared" si="0"/>
        <v>6200</v>
      </c>
      <c r="I23" s="66">
        <f>6000</f>
        <v>6000</v>
      </c>
      <c r="J23" s="66">
        <f t="shared" si="1"/>
        <v>200</v>
      </c>
      <c r="K23" s="66"/>
      <c r="L23" s="66"/>
    </row>
    <row r="24" spans="1:17" x14ac:dyDescent="0.25">
      <c r="A24" s="61" t="s">
        <v>261</v>
      </c>
      <c r="B24" s="62" t="s">
        <v>28</v>
      </c>
      <c r="C24" s="63"/>
      <c r="D24" s="64">
        <f>'OCTOBER 20'!J24:J56</f>
        <v>1441</v>
      </c>
      <c r="E24" s="65">
        <v>6500</v>
      </c>
      <c r="F24" s="113">
        <v>816</v>
      </c>
      <c r="G24" s="65">
        <v>200</v>
      </c>
      <c r="H24" s="66">
        <f t="shared" si="0"/>
        <v>8957</v>
      </c>
      <c r="I24" s="66">
        <f>4000</f>
        <v>4000</v>
      </c>
      <c r="J24" s="66">
        <f>H24-I24</f>
        <v>4957</v>
      </c>
      <c r="K24" s="66"/>
      <c r="L24" s="66"/>
      <c r="N24" s="53"/>
    </row>
    <row r="25" spans="1:17" x14ac:dyDescent="0.25">
      <c r="A25" s="61" t="s">
        <v>80</v>
      </c>
      <c r="B25" s="62" t="s">
        <v>29</v>
      </c>
      <c r="C25" s="63"/>
      <c r="D25" s="64">
        <f>'OCTOBER 20'!J25:J57</f>
        <v>0</v>
      </c>
      <c r="E25" s="65">
        <v>6500</v>
      </c>
      <c r="F25" s="113">
        <v>1003</v>
      </c>
      <c r="G25" s="65">
        <v>200</v>
      </c>
      <c r="H25" s="66">
        <f t="shared" si="0"/>
        <v>7703</v>
      </c>
      <c r="I25" s="66">
        <v>7703</v>
      </c>
      <c r="J25" s="66">
        <f t="shared" ref="J25:J27" si="2">H25-I25</f>
        <v>0</v>
      </c>
      <c r="K25" s="66"/>
      <c r="L25" s="66"/>
    </row>
    <row r="26" spans="1:17" x14ac:dyDescent="0.25">
      <c r="A26" s="61" t="s">
        <v>81</v>
      </c>
      <c r="B26" s="62" t="s">
        <v>30</v>
      </c>
      <c r="C26" s="63"/>
      <c r="D26" s="64">
        <f>'OCTOBER 20'!J26:J58</f>
        <v>0</v>
      </c>
      <c r="E26" s="65">
        <v>6500</v>
      </c>
      <c r="F26" s="113">
        <v>357</v>
      </c>
      <c r="G26" s="65">
        <v>200</v>
      </c>
      <c r="H26" s="66">
        <f t="shared" si="0"/>
        <v>7057</v>
      </c>
      <c r="I26" s="66">
        <f>7050</f>
        <v>7050</v>
      </c>
      <c r="J26" s="66">
        <f t="shared" si="2"/>
        <v>7</v>
      </c>
      <c r="K26" s="66"/>
      <c r="L26" s="66"/>
    </row>
    <row r="27" spans="1:17" x14ac:dyDescent="0.25">
      <c r="A27" s="144"/>
      <c r="B27" s="62" t="s">
        <v>55</v>
      </c>
      <c r="C27" s="63"/>
      <c r="D27" s="64">
        <f>'OCTOBER 20'!J27:J59</f>
        <v>0</v>
      </c>
      <c r="E27" s="65"/>
      <c r="F27" s="113"/>
      <c r="G27" s="65"/>
      <c r="H27" s="66">
        <f t="shared" si="0"/>
        <v>0</v>
      </c>
      <c r="I27" s="66"/>
      <c r="J27" s="66">
        <f t="shared" si="2"/>
        <v>0</v>
      </c>
      <c r="K27" s="66"/>
      <c r="L27" s="66"/>
    </row>
    <row r="28" spans="1:17" x14ac:dyDescent="0.25">
      <c r="A28" s="61" t="s">
        <v>83</v>
      </c>
      <c r="B28" s="62" t="s">
        <v>56</v>
      </c>
      <c r="C28" s="63"/>
      <c r="D28" s="64">
        <f>'OCTOBER 20'!J28:J60</f>
        <v>3970</v>
      </c>
      <c r="E28" s="65">
        <v>8000</v>
      </c>
      <c r="F28" s="113">
        <v>306</v>
      </c>
      <c r="G28" s="65">
        <v>200</v>
      </c>
      <c r="H28" s="66">
        <f>D28+E28+F28+G28</f>
        <v>12476</v>
      </c>
      <c r="I28" s="66">
        <v>8000</v>
      </c>
      <c r="J28" s="66">
        <f>H28-I28</f>
        <v>4476</v>
      </c>
      <c r="K28" s="66"/>
      <c r="L28" s="66"/>
    </row>
    <row r="29" spans="1:17" x14ac:dyDescent="0.25">
      <c r="A29" s="61" t="s">
        <v>128</v>
      </c>
      <c r="B29" s="62" t="s">
        <v>57</v>
      </c>
      <c r="C29" s="63"/>
      <c r="D29" s="64">
        <f>'OCTOBER 20'!J29:J61</f>
        <v>0</v>
      </c>
      <c r="E29" s="65">
        <v>6500</v>
      </c>
      <c r="F29" s="113">
        <v>595</v>
      </c>
      <c r="G29" s="65">
        <v>200</v>
      </c>
      <c r="H29" s="66">
        <f t="shared" si="0"/>
        <v>7295</v>
      </c>
      <c r="I29" s="66">
        <f>7000</f>
        <v>7000</v>
      </c>
      <c r="J29" s="66">
        <f t="shared" ref="J29" si="3">H29-I29</f>
        <v>295</v>
      </c>
      <c r="K29" s="66"/>
      <c r="L29" s="66"/>
    </row>
    <row r="30" spans="1:17" x14ac:dyDescent="0.25">
      <c r="A30" s="61" t="s">
        <v>92</v>
      </c>
      <c r="B30" s="62" t="s">
        <v>58</v>
      </c>
      <c r="C30" s="63"/>
      <c r="D30" s="64">
        <f>'OCTOBER 20'!J30:J62</f>
        <v>8102</v>
      </c>
      <c r="E30" s="65">
        <v>6500</v>
      </c>
      <c r="F30" s="113">
        <v>340</v>
      </c>
      <c r="G30" s="65">
        <v>200</v>
      </c>
      <c r="H30" s="66">
        <f t="shared" si="0"/>
        <v>15142</v>
      </c>
      <c r="I30" s="66">
        <v>5000</v>
      </c>
      <c r="J30" s="66">
        <f t="shared" si="1"/>
        <v>10142</v>
      </c>
      <c r="K30" s="66"/>
      <c r="L30" s="66"/>
      <c r="Q30" s="66">
        <f>H28-I28</f>
        <v>4476</v>
      </c>
    </row>
    <row r="31" spans="1:17" x14ac:dyDescent="0.25">
      <c r="A31" s="61" t="s">
        <v>176</v>
      </c>
      <c r="B31" s="62" t="s">
        <v>59</v>
      </c>
      <c r="C31" s="63"/>
      <c r="D31" s="64">
        <f>'OCTOBER 20'!J31:J63</f>
        <v>4640</v>
      </c>
      <c r="E31" s="65">
        <v>6500</v>
      </c>
      <c r="F31" s="113">
        <v>544</v>
      </c>
      <c r="G31" s="65">
        <v>200</v>
      </c>
      <c r="H31" s="66">
        <f t="shared" si="0"/>
        <v>11884</v>
      </c>
      <c r="I31" s="66">
        <f>4000+5000</f>
        <v>9000</v>
      </c>
      <c r="J31" s="66">
        <f t="shared" si="1"/>
        <v>2884</v>
      </c>
      <c r="K31" s="66"/>
      <c r="L31" s="66"/>
    </row>
    <row r="32" spans="1:17" x14ac:dyDescent="0.25">
      <c r="A32" s="61" t="s">
        <v>170</v>
      </c>
      <c r="B32" s="62" t="s">
        <v>60</v>
      </c>
      <c r="C32" s="63"/>
      <c r="D32" s="64">
        <f>'OCTOBER 20'!J32:J64</f>
        <v>151</v>
      </c>
      <c r="E32" s="65">
        <v>6500</v>
      </c>
      <c r="F32" s="113">
        <v>340</v>
      </c>
      <c r="G32" s="65">
        <v>200</v>
      </c>
      <c r="H32" s="66">
        <f t="shared" si="0"/>
        <v>7191</v>
      </c>
      <c r="I32" s="66">
        <f>7090</f>
        <v>7090</v>
      </c>
      <c r="J32" s="66">
        <f t="shared" si="1"/>
        <v>101</v>
      </c>
      <c r="K32" s="66"/>
      <c r="L32" s="66"/>
    </row>
    <row r="33" spans="1:14" x14ac:dyDescent="0.25">
      <c r="A33" s="61" t="s">
        <v>86</v>
      </c>
      <c r="B33" s="62" t="s">
        <v>31</v>
      </c>
      <c r="C33" s="63"/>
      <c r="D33" s="64">
        <f>'OCTOBER 20'!J33:J65</f>
        <v>0</v>
      </c>
      <c r="E33" s="65">
        <v>8000</v>
      </c>
      <c r="F33" s="113">
        <v>680</v>
      </c>
      <c r="G33" s="65">
        <v>200</v>
      </c>
      <c r="H33" s="66">
        <f t="shared" si="0"/>
        <v>8880</v>
      </c>
      <c r="I33" s="66">
        <f>8700</f>
        <v>8700</v>
      </c>
      <c r="J33" s="66">
        <f>H33-I33</f>
        <v>180</v>
      </c>
      <c r="K33" s="66"/>
      <c r="L33" s="66"/>
    </row>
    <row r="34" spans="1:14" x14ac:dyDescent="0.25">
      <c r="A34" s="61" t="s">
        <v>121</v>
      </c>
      <c r="B34" s="62" t="s">
        <v>32</v>
      </c>
      <c r="C34" s="63"/>
      <c r="D34" s="64">
        <f>'OCTOBER 20'!J34:J66</f>
        <v>3029</v>
      </c>
      <c r="E34" s="113">
        <v>6500</v>
      </c>
      <c r="F34" s="113">
        <v>119</v>
      </c>
      <c r="G34" s="65">
        <v>200</v>
      </c>
      <c r="H34" s="66">
        <f t="shared" si="0"/>
        <v>9848</v>
      </c>
      <c r="I34" s="66">
        <f>3500+3000</f>
        <v>6500</v>
      </c>
      <c r="J34" s="66">
        <f t="shared" si="1"/>
        <v>3348</v>
      </c>
      <c r="K34" s="66"/>
      <c r="L34" s="66"/>
    </row>
    <row r="35" spans="1:14" x14ac:dyDescent="0.25">
      <c r="A35" s="60" t="s">
        <v>245</v>
      </c>
      <c r="B35" s="62" t="s">
        <v>33</v>
      </c>
      <c r="C35" s="63"/>
      <c r="D35" s="64">
        <f>'OCTOBER 20'!J35:J67</f>
        <v>0</v>
      </c>
      <c r="E35" s="113">
        <v>6500</v>
      </c>
      <c r="F35" s="113">
        <v>1156</v>
      </c>
      <c r="G35" s="65">
        <v>200</v>
      </c>
      <c r="H35" s="66">
        <f t="shared" si="0"/>
        <v>7856</v>
      </c>
      <c r="I35" s="66">
        <f>6000+500</f>
        <v>6500</v>
      </c>
      <c r="J35" s="66">
        <f>H35-I35</f>
        <v>1356</v>
      </c>
      <c r="K35" s="66"/>
      <c r="L35" s="66"/>
      <c r="N35" s="53">
        <f>D34+E34+F34+G34</f>
        <v>9848</v>
      </c>
    </row>
    <row r="36" spans="1:14" x14ac:dyDescent="0.25">
      <c r="A36" s="61" t="s">
        <v>89</v>
      </c>
      <c r="B36" s="62" t="s">
        <v>34</v>
      </c>
      <c r="C36" s="63"/>
      <c r="D36" s="64">
        <f>'OCTOBER 20'!J36:J68</f>
        <v>17</v>
      </c>
      <c r="E36" s="113">
        <v>6500</v>
      </c>
      <c r="F36" s="113">
        <v>204</v>
      </c>
      <c r="G36" s="65">
        <v>200</v>
      </c>
      <c r="H36" s="66">
        <f t="shared" si="0"/>
        <v>6921</v>
      </c>
      <c r="I36" s="66">
        <v>6921</v>
      </c>
      <c r="J36" s="66">
        <f t="shared" si="1"/>
        <v>0</v>
      </c>
      <c r="K36" s="66"/>
      <c r="L36" s="66"/>
    </row>
    <row r="37" spans="1:14" x14ac:dyDescent="0.25">
      <c r="A37" s="61" t="s">
        <v>103</v>
      </c>
      <c r="B37" s="62" t="s">
        <v>35</v>
      </c>
      <c r="C37" s="63"/>
      <c r="D37" s="64">
        <f>'OCTOBER 20'!J37:J69</f>
        <v>0</v>
      </c>
      <c r="E37" s="113">
        <v>6500</v>
      </c>
      <c r="F37" s="113">
        <v>510</v>
      </c>
      <c r="G37" s="65">
        <v>200</v>
      </c>
      <c r="H37" s="66">
        <f t="shared" si="0"/>
        <v>7210</v>
      </c>
      <c r="I37" s="66">
        <v>7210</v>
      </c>
      <c r="J37" s="66">
        <f>H37-I37</f>
        <v>0</v>
      </c>
      <c r="K37" s="66"/>
      <c r="L37" s="66"/>
    </row>
    <row r="38" spans="1:14" x14ac:dyDescent="0.25">
      <c r="A38" s="61" t="s">
        <v>138</v>
      </c>
      <c r="B38" s="62" t="s">
        <v>36</v>
      </c>
      <c r="C38" s="63"/>
      <c r="D38" s="64">
        <f>'OCTOBER 20'!J38:J70</f>
        <v>2680</v>
      </c>
      <c r="E38" s="115">
        <v>8000</v>
      </c>
      <c r="F38" s="115">
        <v>500</v>
      </c>
      <c r="G38" s="65">
        <v>200</v>
      </c>
      <c r="H38" s="66">
        <f t="shared" si="0"/>
        <v>11380</v>
      </c>
      <c r="I38" s="66">
        <f>8700</f>
        <v>8700</v>
      </c>
      <c r="J38" s="66">
        <f>H38-I38</f>
        <v>2680</v>
      </c>
      <c r="K38" s="66"/>
      <c r="L38" s="66"/>
    </row>
    <row r="39" spans="1:14" x14ac:dyDescent="0.25">
      <c r="A39" s="61"/>
      <c r="B39" s="114"/>
      <c r="C39" s="63"/>
      <c r="D39" s="64">
        <f>'OCTOBER 20'!J39:J71</f>
        <v>0</v>
      </c>
      <c r="E39" s="115"/>
      <c r="F39" s="115"/>
      <c r="G39" s="65"/>
      <c r="H39" s="66">
        <f t="shared" si="0"/>
        <v>0</v>
      </c>
      <c r="I39" s="66">
        <f t="shared" ref="I39" si="4">SUM(D39:H39)</f>
        <v>0</v>
      </c>
      <c r="J39" s="66">
        <f>H39-I39</f>
        <v>0</v>
      </c>
      <c r="K39" s="66"/>
      <c r="L39" s="66"/>
    </row>
    <row r="40" spans="1:14" x14ac:dyDescent="0.25">
      <c r="A40" s="116" t="s">
        <v>10</v>
      </c>
      <c r="B40" s="60"/>
      <c r="C40" s="63">
        <f t="shared" ref="C40:L40" si="5">SUM(C6:C39)</f>
        <v>0</v>
      </c>
      <c r="D40" s="64">
        <f>'OCTOBER 20'!J40:J72</f>
        <v>41573</v>
      </c>
      <c r="E40" s="117">
        <f>SUM(E6:E39)</f>
        <v>185500</v>
      </c>
      <c r="F40" s="118">
        <f>SUM(F6:F39)</f>
        <v>13862</v>
      </c>
      <c r="G40" s="130">
        <f t="shared" si="5"/>
        <v>5800</v>
      </c>
      <c r="H40" s="66">
        <f>SUM(H6:H39)</f>
        <v>246735</v>
      </c>
      <c r="I40" s="131">
        <f>SUM(I6:I39)</f>
        <v>202634</v>
      </c>
      <c r="J40" s="131">
        <f>SUM(J6:J39)</f>
        <v>44101</v>
      </c>
      <c r="K40" s="131">
        <f t="shared" si="5"/>
        <v>0</v>
      </c>
      <c r="L40" s="131">
        <f t="shared" si="5"/>
        <v>0</v>
      </c>
    </row>
    <row r="41" spans="1:14" x14ac:dyDescent="0.25">
      <c r="A41" s="79"/>
      <c r="B41" s="79"/>
      <c r="D41" s="64">
        <f>'SEPTEMBER 20'!J41:J76</f>
        <v>0</v>
      </c>
      <c r="E41" s="79"/>
      <c r="F41" s="79"/>
      <c r="G41" s="18"/>
      <c r="H41" s="18"/>
      <c r="I41" s="18"/>
      <c r="J41" s="18"/>
      <c r="K41" s="18"/>
      <c r="L41" s="18"/>
    </row>
    <row r="42" spans="1:14" x14ac:dyDescent="0.25">
      <c r="B42" s="18"/>
      <c r="C42" s="18"/>
      <c r="D42" s="64">
        <f>'SEPTEMBER 20'!J42:J77</f>
        <v>0</v>
      </c>
      <c r="E42" s="41" t="s">
        <v>213</v>
      </c>
      <c r="F42" s="18"/>
      <c r="G42" s="120" t="s">
        <v>147</v>
      </c>
      <c r="H42" s="18" t="s">
        <v>149</v>
      </c>
    </row>
    <row r="43" spans="1:14" x14ac:dyDescent="0.25">
      <c r="A43" s="79"/>
      <c r="B43" s="79"/>
      <c r="C43" s="18" t="s">
        <v>267</v>
      </c>
      <c r="D43" s="18"/>
      <c r="E43" s="132">
        <f>H23</f>
        <v>6200</v>
      </c>
      <c r="F43" s="41"/>
      <c r="G43" s="136">
        <f>6000</f>
        <v>6000</v>
      </c>
      <c r="H43" s="132">
        <f>E43-G43</f>
        <v>200</v>
      </c>
    </row>
    <row r="44" spans="1:14" x14ac:dyDescent="0.25">
      <c r="A44" s="7"/>
      <c r="B44" s="18"/>
      <c r="C44" s="18" t="s">
        <v>268</v>
      </c>
      <c r="D44" s="18"/>
      <c r="E44" s="47">
        <f>H26</f>
        <v>7057</v>
      </c>
      <c r="F44" s="41"/>
      <c r="G44" s="137">
        <v>7050</v>
      </c>
      <c r="H44" s="132">
        <f t="shared" ref="H44:H53" si="6">E44-G44</f>
        <v>7</v>
      </c>
    </row>
    <row r="45" spans="1:14" x14ac:dyDescent="0.25">
      <c r="A45" s="7"/>
      <c r="B45" s="18"/>
      <c r="C45" t="s">
        <v>282</v>
      </c>
      <c r="D45" s="18"/>
      <c r="E45" s="132">
        <f>E38+F38+G38</f>
        <v>8700</v>
      </c>
      <c r="F45" s="41"/>
      <c r="G45" s="137">
        <f>8700</f>
        <v>8700</v>
      </c>
      <c r="H45" s="132">
        <f t="shared" si="6"/>
        <v>0</v>
      </c>
      <c r="K45" s="53"/>
    </row>
    <row r="46" spans="1:14" x14ac:dyDescent="0.25">
      <c r="A46" s="7"/>
      <c r="B46" s="18"/>
      <c r="C46" s="18" t="s">
        <v>283</v>
      </c>
      <c r="E46" s="132">
        <f>H17</f>
        <v>6965</v>
      </c>
      <c r="F46" s="41"/>
      <c r="G46" s="137">
        <f>2390+3610</f>
        <v>6000</v>
      </c>
      <c r="H46" s="132">
        <f t="shared" si="6"/>
        <v>965</v>
      </c>
      <c r="K46" s="53"/>
    </row>
    <row r="47" spans="1:14" x14ac:dyDescent="0.25">
      <c r="A47" s="7"/>
      <c r="B47" s="18"/>
      <c r="C47" s="18" t="s">
        <v>270</v>
      </c>
      <c r="D47" s="47"/>
      <c r="E47" s="132">
        <f>H37</f>
        <v>7210</v>
      </c>
      <c r="F47" s="41"/>
      <c r="G47" s="137">
        <v>7210</v>
      </c>
      <c r="H47" s="132">
        <f t="shared" si="6"/>
        <v>0</v>
      </c>
    </row>
    <row r="48" spans="1:14" x14ac:dyDescent="0.25">
      <c r="A48" s="7"/>
      <c r="B48" s="18"/>
      <c r="C48" s="18" t="s">
        <v>271</v>
      </c>
      <c r="D48" s="125"/>
      <c r="E48" s="132">
        <f>H29</f>
        <v>7295</v>
      </c>
      <c r="F48" s="41"/>
      <c r="G48" s="137">
        <v>7000</v>
      </c>
      <c r="H48" s="132">
        <f t="shared" si="6"/>
        <v>295</v>
      </c>
    </row>
    <row r="49" spans="1:12" x14ac:dyDescent="0.25">
      <c r="A49" s="7"/>
      <c r="B49" s="18"/>
      <c r="C49" s="125" t="s">
        <v>280</v>
      </c>
      <c r="D49" s="125"/>
      <c r="E49" s="132">
        <f>H33</f>
        <v>8880</v>
      </c>
      <c r="F49" s="41"/>
      <c r="G49" s="137">
        <f>8700</f>
        <v>8700</v>
      </c>
      <c r="H49" s="132">
        <f t="shared" si="6"/>
        <v>180</v>
      </c>
    </row>
    <row r="50" spans="1:12" x14ac:dyDescent="0.25">
      <c r="A50" s="7"/>
      <c r="B50" s="18"/>
      <c r="C50" s="18" t="s">
        <v>272</v>
      </c>
      <c r="D50" s="18"/>
      <c r="E50" s="132">
        <f>H25</f>
        <v>7703</v>
      </c>
      <c r="F50" s="41"/>
      <c r="G50" s="138">
        <v>7703</v>
      </c>
      <c r="H50" s="132">
        <f t="shared" si="6"/>
        <v>0</v>
      </c>
      <c r="J50" s="53"/>
    </row>
    <row r="51" spans="1:12" x14ac:dyDescent="0.25">
      <c r="A51" s="7"/>
      <c r="B51" s="18"/>
      <c r="C51" s="142" t="s">
        <v>290</v>
      </c>
      <c r="D51" s="18"/>
      <c r="E51" s="132">
        <f>H20</f>
        <v>6370</v>
      </c>
      <c r="F51" s="41"/>
      <c r="G51" s="137">
        <v>6370</v>
      </c>
      <c r="H51" s="132">
        <f t="shared" si="6"/>
        <v>0</v>
      </c>
      <c r="K51" s="53"/>
    </row>
    <row r="52" spans="1:12" x14ac:dyDescent="0.25">
      <c r="A52" s="7"/>
      <c r="B52" s="18"/>
      <c r="C52" s="142" t="s">
        <v>292</v>
      </c>
      <c r="D52" s="18"/>
      <c r="E52" s="132">
        <f>H10</f>
        <v>6523</v>
      </c>
      <c r="F52" s="41"/>
      <c r="G52" s="137">
        <f>6000</f>
        <v>6000</v>
      </c>
      <c r="H52" s="132">
        <f t="shared" si="6"/>
        <v>523</v>
      </c>
      <c r="I52" s="41"/>
    </row>
    <row r="53" spans="1:12" x14ac:dyDescent="0.25">
      <c r="A53" s="7"/>
      <c r="B53" s="18"/>
      <c r="C53" s="142" t="s">
        <v>293</v>
      </c>
      <c r="D53" s="18"/>
      <c r="E53" s="132">
        <f>H12</f>
        <v>6608</v>
      </c>
      <c r="F53" s="41"/>
      <c r="G53" s="137">
        <v>6000</v>
      </c>
      <c r="H53" s="132">
        <f t="shared" si="6"/>
        <v>608</v>
      </c>
    </row>
    <row r="54" spans="1:12" x14ac:dyDescent="0.25">
      <c r="A54" s="7"/>
      <c r="B54" s="18"/>
      <c r="C54" s="18" t="s">
        <v>23</v>
      </c>
      <c r="D54" s="41"/>
      <c r="E54" s="132">
        <f>SUM(E43:E53)</f>
        <v>79511</v>
      </c>
      <c r="F54" s="41"/>
      <c r="G54" s="137">
        <f>SUM(G43:G53)</f>
        <v>76733</v>
      </c>
      <c r="H54" s="132">
        <f>E54-G54</f>
        <v>2778</v>
      </c>
      <c r="I54">
        <f>I44+I46+I50+I51</f>
        <v>0</v>
      </c>
    </row>
    <row r="55" spans="1:12" x14ac:dyDescent="0.25">
      <c r="B55" s="134"/>
      <c r="C55" s="133"/>
      <c r="D55" s="133"/>
      <c r="E55" s="47"/>
      <c r="F55" s="18"/>
      <c r="G55" s="47"/>
      <c r="H55" s="18"/>
    </row>
    <row r="56" spans="1:12" x14ac:dyDescent="0.25">
      <c r="A56" s="85" t="s">
        <v>12</v>
      </c>
      <c r="B56" s="85"/>
      <c r="C56" s="85"/>
      <c r="D56" s="86"/>
      <c r="E56" s="82"/>
      <c r="F56" s="85" t="s">
        <v>8</v>
      </c>
      <c r="G56" s="85"/>
      <c r="H56" s="85"/>
      <c r="I56" s="79"/>
      <c r="J56" s="79"/>
      <c r="K56" s="79"/>
      <c r="L56" s="71"/>
    </row>
    <row r="57" spans="1:12" x14ac:dyDescent="0.25">
      <c r="A57" s="87" t="s">
        <v>13</v>
      </c>
      <c r="B57" s="87" t="s">
        <v>14</v>
      </c>
      <c r="C57" s="87" t="s">
        <v>15</v>
      </c>
      <c r="D57" s="87" t="s">
        <v>16</v>
      </c>
      <c r="E57" s="87"/>
      <c r="F57" s="87" t="s">
        <v>13</v>
      </c>
      <c r="G57" s="87"/>
      <c r="H57" s="87" t="s">
        <v>265</v>
      </c>
      <c r="I57" s="87" t="s">
        <v>15</v>
      </c>
      <c r="J57" s="87" t="s">
        <v>16</v>
      </c>
      <c r="K57" s="87"/>
      <c r="L57" s="73"/>
    </row>
    <row r="58" spans="1:12" x14ac:dyDescent="0.25">
      <c r="A58" s="60" t="s">
        <v>285</v>
      </c>
      <c r="B58" s="88">
        <f>E40</f>
        <v>185500</v>
      </c>
      <c r="C58" s="60"/>
      <c r="D58" s="60"/>
      <c r="E58" s="60"/>
      <c r="F58" s="60" t="s">
        <v>285</v>
      </c>
      <c r="G58" s="60"/>
      <c r="H58" s="89">
        <f>I40</f>
        <v>202634</v>
      </c>
      <c r="I58" s="60"/>
      <c r="J58" s="60"/>
      <c r="K58" s="60"/>
      <c r="L58" s="74"/>
    </row>
    <row r="59" spans="1:12" x14ac:dyDescent="0.25">
      <c r="A59" s="60" t="s">
        <v>18</v>
      </c>
      <c r="B59" s="88">
        <f>'OCTOBER 20'!D72</f>
        <v>70</v>
      </c>
      <c r="C59" s="60"/>
      <c r="D59" s="60"/>
      <c r="E59" s="60"/>
      <c r="F59" s="60" t="s">
        <v>18</v>
      </c>
      <c r="G59" s="60"/>
      <c r="H59" s="88">
        <f>'OCTOBER 20'!J72</f>
        <v>-34207</v>
      </c>
      <c r="I59" s="60"/>
      <c r="J59" s="60"/>
      <c r="K59" s="60"/>
      <c r="L59" s="74"/>
    </row>
    <row r="60" spans="1:12" x14ac:dyDescent="0.25">
      <c r="A60" s="60" t="s">
        <v>19</v>
      </c>
      <c r="B60" s="88">
        <f>C40</f>
        <v>0</v>
      </c>
      <c r="C60" s="60"/>
      <c r="D60" s="60"/>
      <c r="E60" s="60"/>
      <c r="F60" s="60"/>
      <c r="G60" s="60"/>
      <c r="H60" s="60"/>
      <c r="I60" s="60"/>
      <c r="J60" s="60"/>
      <c r="K60" s="60"/>
      <c r="L60" s="74"/>
    </row>
    <row r="61" spans="1:12" x14ac:dyDescent="0.25">
      <c r="A61" s="60" t="s">
        <v>63</v>
      </c>
      <c r="B61" s="88">
        <f>F40</f>
        <v>13862</v>
      </c>
      <c r="C61" s="60"/>
      <c r="D61" s="60"/>
      <c r="E61" s="60"/>
      <c r="F61" s="60"/>
      <c r="G61" s="60"/>
      <c r="H61" s="60"/>
      <c r="I61" s="60"/>
      <c r="J61" s="60"/>
      <c r="K61" s="60"/>
      <c r="L61" s="74"/>
    </row>
    <row r="62" spans="1:12" x14ac:dyDescent="0.25">
      <c r="A62" s="60" t="s">
        <v>62</v>
      </c>
      <c r="B62" s="88">
        <f>K40</f>
        <v>0</v>
      </c>
      <c r="C62" s="60"/>
      <c r="D62" s="60"/>
      <c r="E62" s="60"/>
      <c r="F62" s="60"/>
      <c r="G62" s="60"/>
      <c r="H62" s="60"/>
      <c r="I62" s="60"/>
      <c r="J62" s="60"/>
      <c r="K62" s="60"/>
      <c r="L62" s="74"/>
    </row>
    <row r="63" spans="1:12" x14ac:dyDescent="0.25">
      <c r="A63" s="60" t="s">
        <v>96</v>
      </c>
      <c r="B63" s="88">
        <f>G40</f>
        <v>5800</v>
      </c>
      <c r="C63" s="60"/>
      <c r="D63" s="60"/>
      <c r="E63" s="60"/>
      <c r="F63" s="60" t="s">
        <v>126</v>
      </c>
      <c r="G63" s="60"/>
      <c r="H63" s="60"/>
      <c r="I63" s="60"/>
      <c r="J63" s="60"/>
      <c r="K63" s="60"/>
      <c r="L63" s="74"/>
    </row>
    <row r="64" spans="1:12" x14ac:dyDescent="0.25">
      <c r="A64" s="60" t="s">
        <v>167</v>
      </c>
      <c r="B64" s="88"/>
      <c r="C64" s="60"/>
      <c r="D64" s="60"/>
      <c r="E64" s="60"/>
      <c r="F64" s="60" t="s">
        <v>167</v>
      </c>
      <c r="G64" s="88"/>
      <c r="J64" s="60"/>
      <c r="K64" s="60"/>
      <c r="L64" s="74"/>
    </row>
    <row r="65" spans="1:12" x14ac:dyDescent="0.25">
      <c r="A65" s="60" t="s">
        <v>126</v>
      </c>
      <c r="B65" s="89">
        <f>L40</f>
        <v>0</v>
      </c>
      <c r="C65" s="88"/>
      <c r="D65" s="60"/>
      <c r="E65" s="60"/>
      <c r="F65" s="60"/>
      <c r="G65" s="60"/>
      <c r="H65" s="60"/>
      <c r="I65" s="88"/>
      <c r="J65" s="88"/>
      <c r="K65" s="88"/>
      <c r="L65" s="75"/>
    </row>
    <row r="66" spans="1:12" x14ac:dyDescent="0.25">
      <c r="A66" s="87" t="s">
        <v>21</v>
      </c>
      <c r="B66" s="60" t="s">
        <v>22</v>
      </c>
      <c r="C66" s="60"/>
      <c r="D66" s="60"/>
      <c r="E66" s="60"/>
      <c r="F66" s="87" t="s">
        <v>21</v>
      </c>
      <c r="G66" s="87"/>
      <c r="H66" s="87"/>
      <c r="I66" s="60"/>
      <c r="J66" s="60"/>
      <c r="K66" s="60"/>
      <c r="L66" s="74"/>
    </row>
    <row r="67" spans="1:12" x14ac:dyDescent="0.25">
      <c r="A67" s="91" t="s">
        <v>111</v>
      </c>
      <c r="B67" s="90">
        <v>0.05</v>
      </c>
      <c r="C67" s="89">
        <f>B67*E40</f>
        <v>9275</v>
      </c>
      <c r="D67" s="60"/>
      <c r="E67" s="60"/>
      <c r="F67" s="91" t="s">
        <v>111</v>
      </c>
      <c r="G67" s="91"/>
      <c r="H67" s="90">
        <v>0.05</v>
      </c>
      <c r="I67" s="89">
        <f>H67*E40</f>
        <v>9275</v>
      </c>
      <c r="J67" s="60"/>
      <c r="K67" s="60"/>
      <c r="L67" s="74"/>
    </row>
    <row r="68" spans="1:12" x14ac:dyDescent="0.25">
      <c r="A68" s="135" t="s">
        <v>287</v>
      </c>
      <c r="B68" s="93"/>
      <c r="C68">
        <v>195950</v>
      </c>
      <c r="D68" s="89"/>
      <c r="E68" s="89"/>
      <c r="F68" s="135" t="s">
        <v>287</v>
      </c>
      <c r="G68" s="93"/>
      <c r="I68">
        <f>C68</f>
        <v>195950</v>
      </c>
      <c r="K68" s="89"/>
      <c r="L68" s="76"/>
    </row>
    <row r="69" spans="1:12" x14ac:dyDescent="0.25">
      <c r="A69" s="135"/>
      <c r="B69" s="90"/>
      <c r="C69" s="89"/>
      <c r="D69" s="60"/>
      <c r="E69" s="60"/>
      <c r="F69" s="89"/>
      <c r="H69" s="90"/>
      <c r="I69" s="89"/>
      <c r="J69" s="60"/>
      <c r="K69" s="60"/>
      <c r="L69" s="74"/>
    </row>
    <row r="70" spans="1:12" x14ac:dyDescent="0.25">
      <c r="A70" s="60"/>
      <c r="B70" s="60"/>
      <c r="C70" s="94"/>
      <c r="D70" s="60"/>
      <c r="E70" s="60"/>
      <c r="F70" s="94"/>
      <c r="G70" s="94"/>
      <c r="H70" s="60"/>
      <c r="I70" s="94"/>
      <c r="J70" s="60"/>
      <c r="K70" s="60"/>
      <c r="L70" s="74"/>
    </row>
    <row r="71" spans="1:12" x14ac:dyDescent="0.25">
      <c r="A71" s="92"/>
      <c r="B71" s="60"/>
      <c r="C71" s="89"/>
      <c r="D71" s="60"/>
      <c r="E71" s="60"/>
      <c r="F71" s="60"/>
      <c r="G71" s="89"/>
      <c r="H71" s="91"/>
      <c r="I71" s="89"/>
      <c r="J71" s="89"/>
      <c r="K71" s="89"/>
      <c r="L71" s="76"/>
    </row>
    <row r="72" spans="1:12" x14ac:dyDescent="0.25">
      <c r="A72" s="87" t="s">
        <v>23</v>
      </c>
      <c r="B72" s="96">
        <f>B58+B59+B60+B61+B62+B63+B65+B64</f>
        <v>205232</v>
      </c>
      <c r="C72" s="96">
        <f>SUM(C67:C71)</f>
        <v>205225</v>
      </c>
      <c r="D72" s="96">
        <f>B72-C72</f>
        <v>7</v>
      </c>
      <c r="E72" s="96"/>
      <c r="F72" s="87"/>
      <c r="G72" s="87"/>
      <c r="H72" s="96">
        <f>H58+H59+H61+H63+H64</f>
        <v>168427</v>
      </c>
      <c r="I72" s="96">
        <f>SUM(I67:I71)</f>
        <v>205225</v>
      </c>
      <c r="J72" s="96">
        <f>H72-I72</f>
        <v>-36798</v>
      </c>
      <c r="K72" s="96"/>
      <c r="L72" s="77"/>
    </row>
    <row r="73" spans="1:12" x14ac:dyDescent="0.25">
      <c r="A73" s="79"/>
      <c r="B73" s="79"/>
      <c r="C73" s="79"/>
      <c r="D73" s="79"/>
      <c r="E73" s="79"/>
      <c r="F73" s="79"/>
      <c r="G73" s="79"/>
      <c r="H73" s="79"/>
      <c r="I73" s="119">
        <f>I72-I67</f>
        <v>195950</v>
      </c>
      <c r="J73" s="79"/>
      <c r="K73" s="79"/>
      <c r="L73" s="71"/>
    </row>
    <row r="74" spans="1:12" x14ac:dyDescent="0.25">
      <c r="A74" s="97" t="s">
        <v>24</v>
      </c>
      <c r="B74" s="98"/>
      <c r="C74" s="98" t="s">
        <v>25</v>
      </c>
      <c r="D74" s="99"/>
      <c r="E74" s="99"/>
      <c r="F74" s="97"/>
      <c r="G74" s="97"/>
      <c r="H74" s="97" t="s">
        <v>26</v>
      </c>
      <c r="I74" s="79"/>
      <c r="J74" s="79"/>
      <c r="K74" s="79"/>
      <c r="L74" s="71"/>
    </row>
    <row r="75" spans="1:12" x14ac:dyDescent="0.25">
      <c r="A75" s="79" t="s">
        <v>104</v>
      </c>
      <c r="B75" s="79"/>
      <c r="C75" s="79" t="s">
        <v>105</v>
      </c>
      <c r="D75" s="79"/>
      <c r="E75" s="79"/>
      <c r="F75" s="79"/>
      <c r="G75" s="79"/>
      <c r="H75" s="79" t="s">
        <v>27</v>
      </c>
      <c r="I75" s="79"/>
      <c r="J75" s="79"/>
      <c r="K75" s="119"/>
      <c r="L75" s="71"/>
    </row>
  </sheetData>
  <pageMargins left="0" right="0" top="0" bottom="0" header="0.3" footer="0.3"/>
  <pageSetup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0"/>
  <sheetViews>
    <sheetView topLeftCell="A10" workbookViewId="0">
      <selection activeCell="F35" sqref="F35"/>
    </sheetView>
  </sheetViews>
  <sheetFormatPr defaultRowHeight="15" x14ac:dyDescent="0.25"/>
  <cols>
    <col min="1" max="1" width="16.140625" customWidth="1"/>
    <col min="2" max="2" width="7.5703125" customWidth="1"/>
    <col min="3" max="3" width="7.85546875" customWidth="1"/>
    <col min="4" max="4" width="8.28515625" customWidth="1"/>
    <col min="5" max="5" width="7.85546875" customWidth="1"/>
    <col min="6" max="6" width="8" customWidth="1"/>
    <col min="7" max="7" width="10.42578125" customWidth="1"/>
    <col min="8" max="8" width="8.85546875" customWidth="1"/>
    <col min="9" max="10" width="8.7109375" customWidth="1"/>
    <col min="11" max="11" width="11.140625" customWidth="1"/>
    <col min="12" max="12" width="12.5703125" customWidth="1"/>
  </cols>
  <sheetData>
    <row r="1" spans="1:14" x14ac:dyDescent="0.25">
      <c r="C1" s="71"/>
      <c r="D1" s="71"/>
      <c r="E1" s="71"/>
      <c r="F1" s="71"/>
      <c r="G1" s="71"/>
      <c r="I1" s="71"/>
      <c r="J1" s="71"/>
      <c r="K1" s="71"/>
      <c r="L1" s="71"/>
    </row>
    <row r="2" spans="1:14" ht="15.75" x14ac:dyDescent="0.25">
      <c r="C2" s="100"/>
      <c r="D2" s="100"/>
      <c r="E2" s="100" t="s">
        <v>27</v>
      </c>
      <c r="F2" s="79"/>
      <c r="G2" s="100"/>
      <c r="H2" s="101"/>
      <c r="I2" s="79"/>
      <c r="J2" s="79"/>
      <c r="K2" s="79"/>
      <c r="L2" s="79"/>
    </row>
    <row r="3" spans="1:14" ht="15.75" x14ac:dyDescent="0.25">
      <c r="A3" s="79"/>
      <c r="B3" s="100"/>
      <c r="C3" s="100"/>
      <c r="D3" s="100"/>
      <c r="E3" s="100" t="s">
        <v>0</v>
      </c>
      <c r="F3" s="100"/>
      <c r="G3" s="71"/>
      <c r="H3" s="102"/>
      <c r="I3" s="79"/>
      <c r="J3" s="79"/>
      <c r="K3" s="79"/>
      <c r="L3" s="79"/>
    </row>
    <row r="4" spans="1:14" ht="18.75" x14ac:dyDescent="0.3">
      <c r="A4" s="103"/>
      <c r="B4" s="79"/>
      <c r="D4" s="100" t="s">
        <v>291</v>
      </c>
      <c r="E4" s="100"/>
      <c r="G4" s="100"/>
      <c r="H4" s="104"/>
      <c r="I4" s="105"/>
      <c r="J4" s="105"/>
      <c r="K4" s="105"/>
      <c r="L4" s="105"/>
    </row>
    <row r="5" spans="1:14" x14ac:dyDescent="0.25">
      <c r="A5" s="106" t="s">
        <v>2</v>
      </c>
      <c r="B5" s="106" t="s">
        <v>3</v>
      </c>
      <c r="C5" s="106" t="s">
        <v>4</v>
      </c>
      <c r="D5" s="107" t="s">
        <v>5</v>
      </c>
      <c r="E5" s="106" t="s">
        <v>6</v>
      </c>
      <c r="F5" s="123" t="s">
        <v>63</v>
      </c>
      <c r="G5" s="106" t="s">
        <v>96</v>
      </c>
      <c r="H5" s="108" t="s">
        <v>7</v>
      </c>
      <c r="I5" s="106" t="s">
        <v>8</v>
      </c>
      <c r="J5" s="106" t="s">
        <v>9</v>
      </c>
      <c r="K5" s="106" t="s">
        <v>91</v>
      </c>
      <c r="L5" s="106" t="s">
        <v>123</v>
      </c>
    </row>
    <row r="6" spans="1:14" x14ac:dyDescent="0.25">
      <c r="A6" s="61" t="s">
        <v>61</v>
      </c>
      <c r="B6" s="68" t="s">
        <v>52</v>
      </c>
      <c r="C6" s="63"/>
      <c r="D6" s="64">
        <f>NOVEMBER20!J6:J39</f>
        <v>6188</v>
      </c>
      <c r="E6" s="66">
        <v>6000</v>
      </c>
      <c r="F6" s="124">
        <v>629</v>
      </c>
      <c r="G6" s="66">
        <v>200</v>
      </c>
      <c r="H6" s="66">
        <f>D6+E6+F6+G6</f>
        <v>13017</v>
      </c>
      <c r="I6" s="66"/>
      <c r="J6" s="66">
        <f>H6-I6</f>
        <v>13017</v>
      </c>
      <c r="K6" s="66"/>
      <c r="L6" s="66"/>
    </row>
    <row r="7" spans="1:14" x14ac:dyDescent="0.25">
      <c r="A7" s="59" t="s">
        <v>64</v>
      </c>
      <c r="B7" s="68" t="s">
        <v>51</v>
      </c>
      <c r="C7" s="63"/>
      <c r="D7" s="64">
        <f>NOVEMBER20!J7:J40</f>
        <v>0</v>
      </c>
      <c r="E7" s="65">
        <v>6000</v>
      </c>
      <c r="F7" s="113">
        <v>306</v>
      </c>
      <c r="G7" s="65">
        <v>200</v>
      </c>
      <c r="H7" s="66">
        <f t="shared" ref="H7:H39" si="0">D7+E7+F7+G7</f>
        <v>6506</v>
      </c>
      <c r="I7" s="66">
        <f>3000</f>
        <v>3000</v>
      </c>
      <c r="J7" s="66">
        <f>H7-I7</f>
        <v>3506</v>
      </c>
      <c r="K7" s="66"/>
      <c r="L7" s="66"/>
    </row>
    <row r="8" spans="1:14" x14ac:dyDescent="0.25">
      <c r="A8" s="59" t="s">
        <v>65</v>
      </c>
      <c r="B8" s="68" t="s">
        <v>54</v>
      </c>
      <c r="C8" s="63"/>
      <c r="D8" s="64">
        <f>NOVEMBER20!J8:J41</f>
        <v>0</v>
      </c>
      <c r="E8" s="65"/>
      <c r="F8" s="113"/>
      <c r="G8" s="65"/>
      <c r="H8" s="66">
        <f t="shared" si="0"/>
        <v>0</v>
      </c>
      <c r="I8" s="66"/>
      <c r="J8" s="66">
        <f>H8-I8</f>
        <v>0</v>
      </c>
      <c r="K8" s="66"/>
      <c r="L8" s="66"/>
      <c r="N8" s="53"/>
    </row>
    <row r="9" spans="1:14" x14ac:dyDescent="0.25">
      <c r="A9" s="60" t="s">
        <v>67</v>
      </c>
      <c r="B9" s="68" t="s">
        <v>50</v>
      </c>
      <c r="C9" s="63"/>
      <c r="D9" s="64">
        <f>NOVEMBER20!J9:J42</f>
        <v>0</v>
      </c>
      <c r="E9" s="64"/>
      <c r="F9" s="115"/>
      <c r="G9" s="65"/>
      <c r="H9" s="66">
        <f t="shared" si="0"/>
        <v>0</v>
      </c>
      <c r="I9" s="66"/>
      <c r="J9" s="66">
        <f>H9-I9</f>
        <v>0</v>
      </c>
      <c r="K9" s="66"/>
      <c r="L9" s="66"/>
    </row>
    <row r="10" spans="1:14" x14ac:dyDescent="0.25">
      <c r="A10" s="59" t="s">
        <v>151</v>
      </c>
      <c r="B10" s="68" t="s">
        <v>49</v>
      </c>
      <c r="C10" s="146"/>
      <c r="D10" s="64">
        <f>NOVEMBER20!J10:J43</f>
        <v>523</v>
      </c>
      <c r="E10" s="65">
        <v>6000</v>
      </c>
      <c r="F10" s="113">
        <v>816</v>
      </c>
      <c r="G10" s="65">
        <v>200</v>
      </c>
      <c r="H10" s="66">
        <f t="shared" si="0"/>
        <v>7539</v>
      </c>
      <c r="I10" s="66">
        <f>6000+1000</f>
        <v>7000</v>
      </c>
      <c r="J10" s="66">
        <f>H10-I10</f>
        <v>539</v>
      </c>
      <c r="K10" s="66"/>
      <c r="L10" s="66"/>
    </row>
    <row r="11" spans="1:14" x14ac:dyDescent="0.25">
      <c r="A11" s="109" t="s">
        <v>263</v>
      </c>
      <c r="B11" s="68" t="s">
        <v>53</v>
      </c>
      <c r="C11" s="63"/>
      <c r="D11" s="64">
        <f>NOVEMBER20!J11:J44</f>
        <v>1426</v>
      </c>
      <c r="E11" s="65">
        <v>6000</v>
      </c>
      <c r="F11" s="113">
        <v>510</v>
      </c>
      <c r="G11" s="65">
        <v>200</v>
      </c>
      <c r="H11" s="66">
        <f t="shared" si="0"/>
        <v>8136</v>
      </c>
      <c r="I11" s="66">
        <f>6700</f>
        <v>6700</v>
      </c>
      <c r="J11" s="66">
        <f t="shared" ref="J11:J36" si="1">H11-I11</f>
        <v>1436</v>
      </c>
      <c r="K11" s="66"/>
      <c r="L11" s="66"/>
    </row>
    <row r="12" spans="1:14" x14ac:dyDescent="0.25">
      <c r="A12" s="61" t="s">
        <v>262</v>
      </c>
      <c r="B12" s="68" t="s">
        <v>48</v>
      </c>
      <c r="C12" s="63"/>
      <c r="D12" s="64">
        <f>NOVEMBER20!J12:J45</f>
        <v>608</v>
      </c>
      <c r="E12" s="65">
        <v>6000</v>
      </c>
      <c r="F12" s="113">
        <v>238</v>
      </c>
      <c r="G12" s="65">
        <v>200</v>
      </c>
      <c r="H12" s="66">
        <f t="shared" si="0"/>
        <v>7046</v>
      </c>
      <c r="I12" s="66">
        <v>6438</v>
      </c>
      <c r="J12" s="66">
        <f t="shared" si="1"/>
        <v>608</v>
      </c>
      <c r="K12" s="66"/>
      <c r="L12" s="66"/>
    </row>
    <row r="13" spans="1:14" x14ac:dyDescent="0.25">
      <c r="A13" s="67" t="s">
        <v>181</v>
      </c>
      <c r="B13" s="68" t="s">
        <v>47</v>
      </c>
      <c r="C13" s="63"/>
      <c r="D13" s="64">
        <f>NOVEMBER20!J13:J46</f>
        <v>247</v>
      </c>
      <c r="E13" s="65">
        <v>6000</v>
      </c>
      <c r="F13" s="113">
        <v>544</v>
      </c>
      <c r="G13" s="65">
        <v>200</v>
      </c>
      <c r="H13" s="66">
        <f t="shared" si="0"/>
        <v>6991</v>
      </c>
      <c r="I13" s="66">
        <f>750+6000</f>
        <v>6750</v>
      </c>
      <c r="J13" s="66">
        <f t="shared" si="1"/>
        <v>241</v>
      </c>
      <c r="K13" s="66"/>
      <c r="L13" s="66"/>
    </row>
    <row r="14" spans="1:14" x14ac:dyDescent="0.25">
      <c r="A14" s="61" t="s">
        <v>110</v>
      </c>
      <c r="B14" s="68" t="s">
        <v>46</v>
      </c>
      <c r="C14" s="63"/>
      <c r="D14" s="64">
        <f>NOVEMBER20!J14:J47</f>
        <v>0</v>
      </c>
      <c r="E14" s="65">
        <v>6000</v>
      </c>
      <c r="F14" s="113">
        <v>1054</v>
      </c>
      <c r="G14" s="65">
        <v>200</v>
      </c>
      <c r="H14" s="66">
        <f t="shared" si="0"/>
        <v>7254</v>
      </c>
      <c r="I14" s="66">
        <v>7254</v>
      </c>
      <c r="J14" s="66">
        <f>H14-I14</f>
        <v>0</v>
      </c>
      <c r="K14" s="66"/>
      <c r="L14" s="66"/>
    </row>
    <row r="15" spans="1:14" x14ac:dyDescent="0.25">
      <c r="A15" s="59" t="s">
        <v>156</v>
      </c>
      <c r="B15" s="68" t="s">
        <v>45</v>
      </c>
      <c r="C15" s="63"/>
      <c r="D15" s="64">
        <f>NOVEMBER20!J15:J48</f>
        <v>1463</v>
      </c>
      <c r="E15" s="65">
        <v>6000</v>
      </c>
      <c r="F15" s="113">
        <v>510</v>
      </c>
      <c r="G15" s="65">
        <v>200</v>
      </c>
      <c r="H15" s="66">
        <f t="shared" si="0"/>
        <v>8173</v>
      </c>
      <c r="I15" s="66">
        <f>6500</f>
        <v>6500</v>
      </c>
      <c r="J15" s="66">
        <f>H15-I15</f>
        <v>1673</v>
      </c>
      <c r="K15" s="66"/>
      <c r="L15" s="66"/>
    </row>
    <row r="16" spans="1:14" x14ac:dyDescent="0.25">
      <c r="A16" s="60" t="s">
        <v>225</v>
      </c>
      <c r="B16" s="68" t="s">
        <v>44</v>
      </c>
      <c r="C16" s="63"/>
      <c r="D16" s="64">
        <f>NOVEMBER20!J16:J49</f>
        <v>0</v>
      </c>
      <c r="E16" s="65">
        <v>6000</v>
      </c>
      <c r="F16" s="113">
        <v>408</v>
      </c>
      <c r="G16" s="65">
        <v>200</v>
      </c>
      <c r="H16" s="66">
        <f t="shared" si="0"/>
        <v>6608</v>
      </c>
      <c r="I16" s="66">
        <v>6608</v>
      </c>
      <c r="J16" s="66">
        <f>H16-I16</f>
        <v>0</v>
      </c>
      <c r="K16" s="66"/>
      <c r="L16" s="66"/>
    </row>
    <row r="17" spans="1:14" x14ac:dyDescent="0.25">
      <c r="A17" s="59" t="s">
        <v>260</v>
      </c>
      <c r="B17" s="68" t="s">
        <v>43</v>
      </c>
      <c r="C17" s="63"/>
      <c r="D17" s="64">
        <f>NOVEMBER20!J17:J50</f>
        <v>965</v>
      </c>
      <c r="E17" s="65">
        <v>6000</v>
      </c>
      <c r="F17" s="113">
        <v>816</v>
      </c>
      <c r="G17" s="65">
        <v>200</v>
      </c>
      <c r="H17" s="66">
        <f t="shared" si="0"/>
        <v>7981</v>
      </c>
      <c r="I17" s="66">
        <f>6000</f>
        <v>6000</v>
      </c>
      <c r="J17" s="66">
        <f t="shared" si="1"/>
        <v>1981</v>
      </c>
      <c r="K17" s="66"/>
      <c r="L17" s="66"/>
    </row>
    <row r="18" spans="1:14" x14ac:dyDescent="0.25">
      <c r="A18" s="61" t="s">
        <v>73</v>
      </c>
      <c r="B18" s="68" t="s">
        <v>42</v>
      </c>
      <c r="C18" s="63"/>
      <c r="D18" s="64">
        <f>NOVEMBER20!J18:J51</f>
        <v>2</v>
      </c>
      <c r="E18" s="65">
        <v>6000</v>
      </c>
      <c r="F18" s="113">
        <v>561</v>
      </c>
      <c r="G18" s="65">
        <v>200</v>
      </c>
      <c r="H18" s="66">
        <f t="shared" si="0"/>
        <v>6763</v>
      </c>
      <c r="I18" s="66">
        <v>6760</v>
      </c>
      <c r="J18" s="66">
        <f t="shared" si="1"/>
        <v>3</v>
      </c>
      <c r="K18" s="66"/>
      <c r="L18" s="66"/>
    </row>
    <row r="19" spans="1:14" x14ac:dyDescent="0.25">
      <c r="A19" s="60" t="s">
        <v>180</v>
      </c>
      <c r="B19" s="68" t="s">
        <v>41</v>
      </c>
      <c r="C19" s="63"/>
      <c r="D19" s="64">
        <f>NOVEMBER20!J19:J52</f>
        <v>0</v>
      </c>
      <c r="E19" s="65">
        <v>6000</v>
      </c>
      <c r="F19" s="113">
        <v>306</v>
      </c>
      <c r="G19" s="65">
        <v>200</v>
      </c>
      <c r="H19" s="66">
        <f t="shared" si="0"/>
        <v>6506</v>
      </c>
      <c r="I19" s="66">
        <v>6506</v>
      </c>
      <c r="J19" s="66">
        <f t="shared" si="1"/>
        <v>0</v>
      </c>
      <c r="K19" s="66"/>
      <c r="L19" s="66"/>
    </row>
    <row r="20" spans="1:14" x14ac:dyDescent="0.25">
      <c r="A20" s="59" t="s">
        <v>75</v>
      </c>
      <c r="B20" s="68" t="s">
        <v>40</v>
      </c>
      <c r="C20" s="63"/>
      <c r="D20" s="64">
        <f>NOVEMBER20!J20:J53</f>
        <v>0</v>
      </c>
      <c r="E20" s="65">
        <v>6000</v>
      </c>
      <c r="F20" s="113">
        <v>306</v>
      </c>
      <c r="G20" s="65">
        <v>200</v>
      </c>
      <c r="H20" s="66">
        <f t="shared" si="0"/>
        <v>6506</v>
      </c>
      <c r="I20" s="66">
        <f>6506</f>
        <v>6506</v>
      </c>
      <c r="J20" s="66">
        <f t="shared" si="1"/>
        <v>0</v>
      </c>
      <c r="K20" s="66"/>
      <c r="L20" s="66"/>
    </row>
    <row r="21" spans="1:14" x14ac:dyDescent="0.25">
      <c r="A21" s="61" t="s">
        <v>76</v>
      </c>
      <c r="B21" s="111" t="s">
        <v>39</v>
      </c>
      <c r="C21" s="63"/>
      <c r="D21" s="64">
        <f>NOVEMBER20!J21:J54</f>
        <v>2053</v>
      </c>
      <c r="E21" s="65"/>
      <c r="F21" s="113"/>
      <c r="G21" s="65"/>
      <c r="H21" s="66">
        <f>D21+E21+F21+G21</f>
        <v>2053</v>
      </c>
      <c r="I21" s="66"/>
      <c r="J21" s="66">
        <f t="shared" si="1"/>
        <v>2053</v>
      </c>
      <c r="K21" s="66"/>
      <c r="L21" s="66"/>
    </row>
    <row r="22" spans="1:14" x14ac:dyDescent="0.25">
      <c r="A22" s="61" t="s">
        <v>150</v>
      </c>
      <c r="B22" s="68" t="s">
        <v>38</v>
      </c>
      <c r="C22" s="63"/>
      <c r="D22" s="64">
        <f>NOVEMBER20!J22:J55</f>
        <v>0</v>
      </c>
      <c r="E22" s="65">
        <v>6000</v>
      </c>
      <c r="F22" s="113">
        <v>510</v>
      </c>
      <c r="G22" s="65">
        <v>200</v>
      </c>
      <c r="H22" s="66">
        <f t="shared" si="0"/>
        <v>6710</v>
      </c>
      <c r="I22" s="66">
        <v>6710</v>
      </c>
      <c r="J22" s="66">
        <f t="shared" si="1"/>
        <v>0</v>
      </c>
      <c r="K22" s="66"/>
      <c r="L22" s="66"/>
      <c r="N22" s="53"/>
    </row>
    <row r="23" spans="1:14" x14ac:dyDescent="0.25">
      <c r="A23" s="59" t="s">
        <v>78</v>
      </c>
      <c r="B23" s="68" t="s">
        <v>37</v>
      </c>
      <c r="C23" s="63"/>
      <c r="D23" s="64">
        <f>NOVEMBER20!J23:J56</f>
        <v>200</v>
      </c>
      <c r="E23" s="65">
        <v>6000</v>
      </c>
      <c r="F23" s="113">
        <v>170</v>
      </c>
      <c r="G23" s="65">
        <v>200</v>
      </c>
      <c r="H23" s="66">
        <f t="shared" si="0"/>
        <v>6570</v>
      </c>
      <c r="I23" s="66">
        <f>6000</f>
        <v>6000</v>
      </c>
      <c r="J23" s="66">
        <f t="shared" si="1"/>
        <v>570</v>
      </c>
      <c r="K23" s="66"/>
      <c r="L23" s="66"/>
    </row>
    <row r="24" spans="1:14" x14ac:dyDescent="0.25">
      <c r="A24" s="61" t="s">
        <v>261</v>
      </c>
      <c r="B24" s="62" t="s">
        <v>28</v>
      </c>
      <c r="C24" s="63"/>
      <c r="D24" s="64">
        <f>NOVEMBER20!J24:J57</f>
        <v>4957</v>
      </c>
      <c r="E24" s="65">
        <v>6500</v>
      </c>
      <c r="F24" s="113">
        <v>799</v>
      </c>
      <c r="G24" s="65">
        <v>200</v>
      </c>
      <c r="H24" s="66">
        <f t="shared" si="0"/>
        <v>12456</v>
      </c>
      <c r="I24" s="66"/>
      <c r="J24" s="66">
        <f>H24-I24</f>
        <v>12456</v>
      </c>
      <c r="K24" s="66"/>
      <c r="L24" s="66"/>
      <c r="N24" s="53"/>
    </row>
    <row r="25" spans="1:14" x14ac:dyDescent="0.25">
      <c r="A25" s="61" t="s">
        <v>80</v>
      </c>
      <c r="B25" s="62" t="s">
        <v>29</v>
      </c>
      <c r="C25" s="63"/>
      <c r="D25" s="64">
        <f>NOVEMBER20!J25:J58</f>
        <v>0</v>
      </c>
      <c r="E25" s="65">
        <v>6500</v>
      </c>
      <c r="F25" s="113">
        <v>1054</v>
      </c>
      <c r="G25" s="65">
        <v>200</v>
      </c>
      <c r="H25" s="66">
        <f t="shared" si="0"/>
        <v>7754</v>
      </c>
      <c r="I25" s="66">
        <v>7754</v>
      </c>
      <c r="J25" s="66">
        <f t="shared" si="1"/>
        <v>0</v>
      </c>
      <c r="K25" s="66"/>
      <c r="L25" s="66"/>
    </row>
    <row r="26" spans="1:14" x14ac:dyDescent="0.25">
      <c r="A26" s="61" t="s">
        <v>81</v>
      </c>
      <c r="B26" s="62" t="s">
        <v>30</v>
      </c>
      <c r="C26" s="63"/>
      <c r="D26" s="64">
        <f>NOVEMBER20!J26:J59</f>
        <v>7</v>
      </c>
      <c r="E26" s="65">
        <v>6500</v>
      </c>
      <c r="F26" s="113">
        <v>391</v>
      </c>
      <c r="G26" s="65">
        <v>200</v>
      </c>
      <c r="H26" s="66">
        <f t="shared" si="0"/>
        <v>7098</v>
      </c>
      <c r="I26" s="66"/>
      <c r="J26" s="66">
        <f t="shared" si="1"/>
        <v>7098</v>
      </c>
      <c r="K26" s="66"/>
      <c r="L26" s="66"/>
    </row>
    <row r="27" spans="1:14" x14ac:dyDescent="0.25">
      <c r="A27" s="144"/>
      <c r="B27" s="62" t="s">
        <v>55</v>
      </c>
      <c r="C27" s="63"/>
      <c r="D27" s="64">
        <f>NOVEMBER20!J27:J60</f>
        <v>0</v>
      </c>
      <c r="E27" s="65"/>
      <c r="F27" s="113"/>
      <c r="G27" s="65"/>
      <c r="H27" s="66">
        <f t="shared" si="0"/>
        <v>0</v>
      </c>
      <c r="I27" s="66"/>
      <c r="J27" s="66">
        <f>H27-I27</f>
        <v>0</v>
      </c>
      <c r="K27" s="66"/>
      <c r="L27" s="66"/>
    </row>
    <row r="28" spans="1:14" x14ac:dyDescent="0.25">
      <c r="A28" s="61" t="s">
        <v>83</v>
      </c>
      <c r="B28" s="62" t="s">
        <v>56</v>
      </c>
      <c r="C28" s="63"/>
      <c r="D28" s="64">
        <f>NOVEMBER20!J28:J61</f>
        <v>4476</v>
      </c>
      <c r="E28" s="65">
        <v>8000</v>
      </c>
      <c r="F28" s="113">
        <v>391</v>
      </c>
      <c r="G28" s="65">
        <v>200</v>
      </c>
      <c r="H28" s="66">
        <f t="shared" si="0"/>
        <v>13067</v>
      </c>
      <c r="I28" s="66">
        <f>8300</f>
        <v>8300</v>
      </c>
      <c r="J28" s="66">
        <f t="shared" si="1"/>
        <v>4767</v>
      </c>
      <c r="K28" s="66"/>
      <c r="L28" s="66"/>
      <c r="N28" s="53"/>
    </row>
    <row r="29" spans="1:14" x14ac:dyDescent="0.25">
      <c r="A29" s="61" t="s">
        <v>128</v>
      </c>
      <c r="B29" s="62" t="s">
        <v>57</v>
      </c>
      <c r="C29" s="63"/>
      <c r="D29" s="64">
        <f>NOVEMBER20!J29:J62</f>
        <v>295</v>
      </c>
      <c r="E29" s="65">
        <v>6500</v>
      </c>
      <c r="F29" s="113">
        <v>629</v>
      </c>
      <c r="G29" s="65">
        <v>200</v>
      </c>
      <c r="H29" s="66">
        <f t="shared" si="0"/>
        <v>7624</v>
      </c>
      <c r="I29" s="66">
        <v>2500</v>
      </c>
      <c r="J29" s="66">
        <f t="shared" si="1"/>
        <v>5124</v>
      </c>
      <c r="K29" s="66"/>
      <c r="L29" s="66"/>
    </row>
    <row r="30" spans="1:14" x14ac:dyDescent="0.25">
      <c r="A30" s="61" t="s">
        <v>92</v>
      </c>
      <c r="B30" s="62" t="s">
        <v>58</v>
      </c>
      <c r="C30" s="63"/>
      <c r="D30" s="64">
        <f>NOVEMBER20!J30:J63</f>
        <v>10142</v>
      </c>
      <c r="E30" s="65">
        <v>6500</v>
      </c>
      <c r="F30" s="113">
        <v>306</v>
      </c>
      <c r="G30" s="65">
        <v>200</v>
      </c>
      <c r="H30" s="66">
        <f t="shared" si="0"/>
        <v>17148</v>
      </c>
      <c r="I30" s="66">
        <f>4000</f>
        <v>4000</v>
      </c>
      <c r="J30" s="66">
        <f t="shared" si="1"/>
        <v>13148</v>
      </c>
      <c r="K30" s="66"/>
      <c r="L30" s="66"/>
    </row>
    <row r="31" spans="1:14" x14ac:dyDescent="0.25">
      <c r="A31" s="61" t="s">
        <v>176</v>
      </c>
      <c r="B31" s="62" t="s">
        <v>59</v>
      </c>
      <c r="C31" s="63"/>
      <c r="D31" s="64">
        <f>NOVEMBER20!J31:J64</f>
        <v>2884</v>
      </c>
      <c r="E31" s="65">
        <v>6500</v>
      </c>
      <c r="F31" s="113">
        <v>578</v>
      </c>
      <c r="G31" s="65">
        <v>200</v>
      </c>
      <c r="H31" s="66">
        <f t="shared" si="0"/>
        <v>10162</v>
      </c>
      <c r="I31" s="66">
        <v>6000</v>
      </c>
      <c r="J31" s="66">
        <f t="shared" si="1"/>
        <v>4162</v>
      </c>
      <c r="K31" s="66"/>
      <c r="L31" s="66"/>
    </row>
    <row r="32" spans="1:14" x14ac:dyDescent="0.25">
      <c r="A32" s="61" t="s">
        <v>170</v>
      </c>
      <c r="B32" s="62" t="s">
        <v>60</v>
      </c>
      <c r="C32" s="63"/>
      <c r="D32" s="64">
        <f>NOVEMBER20!J32:J65</f>
        <v>101</v>
      </c>
      <c r="E32" s="65">
        <v>6500</v>
      </c>
      <c r="F32" s="113">
        <v>748</v>
      </c>
      <c r="G32" s="65">
        <v>200</v>
      </c>
      <c r="H32" s="66">
        <f t="shared" si="0"/>
        <v>7549</v>
      </c>
      <c r="I32" s="66">
        <f>7549</f>
        <v>7549</v>
      </c>
      <c r="J32" s="66">
        <f t="shared" si="1"/>
        <v>0</v>
      </c>
      <c r="K32" s="66"/>
      <c r="L32" s="66"/>
      <c r="M32" s="53"/>
      <c r="N32" s="53"/>
    </row>
    <row r="33" spans="1:16" x14ac:dyDescent="0.25">
      <c r="A33" s="61" t="s">
        <v>86</v>
      </c>
      <c r="B33" s="62" t="s">
        <v>31</v>
      </c>
      <c r="C33" s="63"/>
      <c r="D33" s="64">
        <f>NOVEMBER20!J33:J66</f>
        <v>180</v>
      </c>
      <c r="E33" s="65">
        <v>8000</v>
      </c>
      <c r="F33" s="113">
        <v>1224</v>
      </c>
      <c r="G33" s="65">
        <v>200</v>
      </c>
      <c r="H33" s="66">
        <f t="shared" si="0"/>
        <v>9604</v>
      </c>
      <c r="I33" s="66">
        <v>8700</v>
      </c>
      <c r="J33" s="66">
        <f>H33-I33</f>
        <v>904</v>
      </c>
      <c r="K33" s="66"/>
      <c r="L33" s="66"/>
      <c r="M33" s="53"/>
    </row>
    <row r="34" spans="1:16" x14ac:dyDescent="0.25">
      <c r="A34" s="61" t="s">
        <v>121</v>
      </c>
      <c r="B34" s="62" t="s">
        <v>32</v>
      </c>
      <c r="C34" s="63"/>
      <c r="D34" s="64">
        <f>NOVEMBER20!J34:J67</f>
        <v>3348</v>
      </c>
      <c r="E34" s="113">
        <v>6500</v>
      </c>
      <c r="F34" s="113">
        <v>289</v>
      </c>
      <c r="G34" s="65">
        <v>200</v>
      </c>
      <c r="H34" s="66">
        <f t="shared" si="0"/>
        <v>10337</v>
      </c>
      <c r="I34" s="66">
        <f>4000</f>
        <v>4000</v>
      </c>
      <c r="J34" s="66">
        <f t="shared" si="1"/>
        <v>6337</v>
      </c>
      <c r="K34" s="66"/>
      <c r="L34" s="66"/>
      <c r="M34" s="53"/>
    </row>
    <row r="35" spans="1:16" x14ac:dyDescent="0.25">
      <c r="A35" s="60" t="s">
        <v>245</v>
      </c>
      <c r="B35" s="62" t="s">
        <v>33</v>
      </c>
      <c r="C35" s="63"/>
      <c r="D35" s="64">
        <f>NOVEMBER20!J35:J68</f>
        <v>1356</v>
      </c>
      <c r="E35" s="113">
        <v>6500</v>
      </c>
      <c r="F35" s="113">
        <v>408</v>
      </c>
      <c r="G35" s="65">
        <v>200</v>
      </c>
      <c r="H35" s="66">
        <f t="shared" si="0"/>
        <v>8464</v>
      </c>
      <c r="I35" s="66">
        <f>5000+1000+500+450</f>
        <v>6950</v>
      </c>
      <c r="J35" s="66">
        <f t="shared" si="1"/>
        <v>1514</v>
      </c>
      <c r="K35" s="66"/>
      <c r="L35" s="66"/>
      <c r="M35" s="53"/>
      <c r="N35" s="53"/>
    </row>
    <row r="36" spans="1:16" x14ac:dyDescent="0.25">
      <c r="A36" s="61" t="s">
        <v>89</v>
      </c>
      <c r="B36" s="62" t="s">
        <v>34</v>
      </c>
      <c r="C36" s="63"/>
      <c r="D36" s="64">
        <f>NOVEMBER20!J36:J69</f>
        <v>0</v>
      </c>
      <c r="E36" s="113">
        <v>6500</v>
      </c>
      <c r="F36" s="113">
        <v>544</v>
      </c>
      <c r="G36" s="65">
        <v>200</v>
      </c>
      <c r="H36" s="66">
        <f t="shared" si="0"/>
        <v>7244</v>
      </c>
      <c r="I36" s="66">
        <v>7244</v>
      </c>
      <c r="J36" s="66">
        <f t="shared" si="1"/>
        <v>0</v>
      </c>
      <c r="K36" s="66"/>
      <c r="L36" s="66"/>
    </row>
    <row r="37" spans="1:16" x14ac:dyDescent="0.25">
      <c r="A37" s="61" t="s">
        <v>103</v>
      </c>
      <c r="B37" s="62" t="s">
        <v>35</v>
      </c>
      <c r="C37" s="63"/>
      <c r="D37" s="64">
        <f>NOVEMBER20!J37:J70</f>
        <v>0</v>
      </c>
      <c r="E37" s="113">
        <v>6500</v>
      </c>
      <c r="F37" s="113">
        <v>850</v>
      </c>
      <c r="G37" s="65">
        <v>200</v>
      </c>
      <c r="H37" s="66">
        <f t="shared" si="0"/>
        <v>7550</v>
      </c>
      <c r="I37" s="66">
        <v>7550</v>
      </c>
      <c r="J37" s="66">
        <f>H37-I37</f>
        <v>0</v>
      </c>
      <c r="K37" s="66"/>
      <c r="L37" s="66"/>
      <c r="N37">
        <f>1156+408</f>
        <v>1564</v>
      </c>
    </row>
    <row r="38" spans="1:16" x14ac:dyDescent="0.25">
      <c r="A38" s="61" t="s">
        <v>138</v>
      </c>
      <c r="B38" s="62" t="s">
        <v>36</v>
      </c>
      <c r="C38" s="63"/>
      <c r="D38" s="64">
        <f>NOVEMBER20!J38:J71</f>
        <v>2680</v>
      </c>
      <c r="E38" s="115">
        <v>8000</v>
      </c>
      <c r="F38" s="115">
        <v>500</v>
      </c>
      <c r="G38" s="65">
        <v>200</v>
      </c>
      <c r="H38" s="66">
        <f t="shared" si="0"/>
        <v>11380</v>
      </c>
      <c r="I38" s="66">
        <v>8000</v>
      </c>
      <c r="J38" s="66">
        <f>H38-I38</f>
        <v>3380</v>
      </c>
      <c r="K38" s="66"/>
      <c r="L38" s="66"/>
      <c r="N38" s="53">
        <f>N37-J35</f>
        <v>50</v>
      </c>
      <c r="O38" s="53"/>
    </row>
    <row r="39" spans="1:16" x14ac:dyDescent="0.25">
      <c r="A39" s="61"/>
      <c r="B39" s="114"/>
      <c r="C39" s="63"/>
      <c r="D39" s="64">
        <f>NOVEMBER20!J39:J72</f>
        <v>0</v>
      </c>
      <c r="E39" s="115"/>
      <c r="F39" s="115"/>
      <c r="G39" s="65"/>
      <c r="H39" s="66">
        <f t="shared" si="0"/>
        <v>0</v>
      </c>
      <c r="I39" s="66">
        <f>SUM(D39:H39)</f>
        <v>0</v>
      </c>
      <c r="J39" s="66">
        <f>H39-I39</f>
        <v>0</v>
      </c>
      <c r="K39" s="66"/>
      <c r="L39" s="66"/>
    </row>
    <row r="40" spans="1:16" x14ac:dyDescent="0.25">
      <c r="A40" s="116" t="s">
        <v>10</v>
      </c>
      <c r="B40" s="60"/>
      <c r="C40" s="63">
        <f t="shared" ref="C40:L40" si="2">SUM(C6:C39)</f>
        <v>0</v>
      </c>
      <c r="D40" s="64">
        <f>SUM(D6:D39)</f>
        <v>44101</v>
      </c>
      <c r="E40" s="117">
        <f>SUM(E6:E39)</f>
        <v>185500</v>
      </c>
      <c r="F40" s="118">
        <f>SUM(F6:F39)</f>
        <v>16395</v>
      </c>
      <c r="G40" s="130">
        <f t="shared" si="2"/>
        <v>5800</v>
      </c>
      <c r="H40" s="66">
        <f>SUM(H6:H39)</f>
        <v>251796</v>
      </c>
      <c r="I40" s="131">
        <f>SUM(I6:I39)</f>
        <v>167279</v>
      </c>
      <c r="J40" s="131">
        <f>SUM(J6:J39)</f>
        <v>84517</v>
      </c>
      <c r="K40" s="131">
        <f t="shared" si="2"/>
        <v>0</v>
      </c>
      <c r="L40" s="131">
        <f t="shared" si="2"/>
        <v>0</v>
      </c>
      <c r="P40">
        <f>1156+408+357+408+212+712</f>
        <v>3253</v>
      </c>
    </row>
    <row r="41" spans="1:16" x14ac:dyDescent="0.25">
      <c r="A41" s="18"/>
      <c r="B41" s="18"/>
      <c r="C41" s="64"/>
      <c r="D41" s="41" t="s">
        <v>213</v>
      </c>
      <c r="E41" s="18"/>
      <c r="F41" s="120" t="s">
        <v>147</v>
      </c>
      <c r="G41" s="18" t="s">
        <v>149</v>
      </c>
      <c r="H41" s="18"/>
      <c r="I41" s="18"/>
      <c r="J41" s="18"/>
      <c r="K41" s="18"/>
      <c r="L41" s="18"/>
      <c r="M41" s="53">
        <f>I35-G35</f>
        <v>6750</v>
      </c>
    </row>
    <row r="42" spans="1:16" x14ac:dyDescent="0.25">
      <c r="A42" s="79"/>
      <c r="B42" s="18" t="s">
        <v>267</v>
      </c>
      <c r="C42" s="18"/>
      <c r="D42" s="132">
        <f>H23</f>
        <v>6570</v>
      </c>
      <c r="E42" s="41"/>
      <c r="F42" s="136">
        <v>6000</v>
      </c>
      <c r="G42" s="132">
        <f>D42-F42</f>
        <v>570</v>
      </c>
      <c r="M42" s="53">
        <f>M41-E35</f>
        <v>250</v>
      </c>
    </row>
    <row r="43" spans="1:16" x14ac:dyDescent="0.25">
      <c r="A43" s="18"/>
      <c r="B43" s="18" t="s">
        <v>268</v>
      </c>
      <c r="C43" s="18"/>
      <c r="D43" s="47">
        <f>H26</f>
        <v>7098</v>
      </c>
      <c r="E43" s="41"/>
      <c r="F43" s="137"/>
      <c r="G43" s="132">
        <f t="shared" ref="G43:G56" si="3">D43-F43</f>
        <v>7098</v>
      </c>
    </row>
    <row r="44" spans="1:16" x14ac:dyDescent="0.25">
      <c r="A44" s="18"/>
      <c r="C44" s="18"/>
      <c r="D44" s="132"/>
      <c r="E44" s="41"/>
      <c r="F44" s="137"/>
      <c r="G44" s="132">
        <f t="shared" si="3"/>
        <v>0</v>
      </c>
    </row>
    <row r="45" spans="1:16" x14ac:dyDescent="0.25">
      <c r="A45" s="18"/>
      <c r="B45" s="18" t="s">
        <v>298</v>
      </c>
      <c r="D45" s="132">
        <f>H17</f>
        <v>7981</v>
      </c>
      <c r="E45" s="41"/>
      <c r="F45" s="137">
        <f>6000</f>
        <v>6000</v>
      </c>
      <c r="G45" s="132">
        <f t="shared" si="3"/>
        <v>1981</v>
      </c>
      <c r="K45" s="53"/>
    </row>
    <row r="46" spans="1:16" x14ac:dyDescent="0.25">
      <c r="A46" s="18"/>
      <c r="B46" s="18" t="s">
        <v>270</v>
      </c>
      <c r="C46" s="47"/>
      <c r="D46" s="132">
        <f>H37</f>
        <v>7550</v>
      </c>
      <c r="E46" s="41"/>
      <c r="F46" s="137">
        <v>7550</v>
      </c>
      <c r="G46" s="132">
        <f t="shared" si="3"/>
        <v>0</v>
      </c>
      <c r="K46" s="53"/>
    </row>
    <row r="47" spans="1:16" x14ac:dyDescent="0.25">
      <c r="A47" s="18"/>
      <c r="B47" s="18" t="s">
        <v>271</v>
      </c>
      <c r="C47" s="125"/>
      <c r="D47" s="132">
        <f>H29</f>
        <v>7624</v>
      </c>
      <c r="E47" s="41"/>
      <c r="F47" s="137">
        <f>2500</f>
        <v>2500</v>
      </c>
      <c r="G47" s="132">
        <f t="shared" si="3"/>
        <v>5124</v>
      </c>
    </row>
    <row r="48" spans="1:16" x14ac:dyDescent="0.25">
      <c r="A48" s="18"/>
      <c r="B48" s="125" t="s">
        <v>280</v>
      </c>
      <c r="C48" s="125"/>
      <c r="D48" s="132">
        <f>H33</f>
        <v>9604</v>
      </c>
      <c r="E48" s="41"/>
      <c r="F48" s="137">
        <f>8700</f>
        <v>8700</v>
      </c>
      <c r="G48" s="132">
        <f t="shared" si="3"/>
        <v>904</v>
      </c>
    </row>
    <row r="49" spans="1:20" x14ac:dyDescent="0.25">
      <c r="A49" s="18"/>
      <c r="B49" s="18" t="s">
        <v>272</v>
      </c>
      <c r="C49" s="18"/>
      <c r="D49" s="132">
        <f>H25</f>
        <v>7754</v>
      </c>
      <c r="E49" s="41"/>
      <c r="F49" s="150">
        <f>7754</f>
        <v>7754</v>
      </c>
      <c r="G49" s="132">
        <f t="shared" si="3"/>
        <v>0</v>
      </c>
    </row>
    <row r="50" spans="1:20" x14ac:dyDescent="0.25">
      <c r="A50" s="18"/>
      <c r="B50" s="142" t="s">
        <v>290</v>
      </c>
      <c r="C50" s="18"/>
      <c r="D50" s="132">
        <f>H20</f>
        <v>6506</v>
      </c>
      <c r="E50" s="41"/>
      <c r="F50" s="150">
        <v>6506</v>
      </c>
      <c r="G50" s="132">
        <f t="shared" si="3"/>
        <v>0</v>
      </c>
    </row>
    <row r="51" spans="1:20" x14ac:dyDescent="0.25">
      <c r="A51" s="18"/>
      <c r="B51" s="142" t="s">
        <v>292</v>
      </c>
      <c r="C51" s="18"/>
      <c r="D51" s="132">
        <f>H10</f>
        <v>7539</v>
      </c>
      <c r="E51" s="41"/>
      <c r="F51" s="150">
        <f>6000+1000</f>
        <v>7000</v>
      </c>
      <c r="G51" s="132">
        <f t="shared" si="3"/>
        <v>539</v>
      </c>
    </row>
    <row r="52" spans="1:20" x14ac:dyDescent="0.25">
      <c r="A52" s="18"/>
      <c r="B52" s="142" t="s">
        <v>293</v>
      </c>
      <c r="C52" s="18"/>
      <c r="D52" s="132">
        <f>H12</f>
        <v>7046</v>
      </c>
      <c r="E52" s="41"/>
      <c r="F52" s="150">
        <f>6455</f>
        <v>6455</v>
      </c>
      <c r="G52" s="132">
        <f t="shared" si="3"/>
        <v>591</v>
      </c>
    </row>
    <row r="53" spans="1:20" x14ac:dyDescent="0.25">
      <c r="A53" s="18"/>
      <c r="B53" s="18" t="s">
        <v>295</v>
      </c>
      <c r="C53" s="18"/>
      <c r="D53" s="132">
        <v>5000</v>
      </c>
      <c r="E53" s="41"/>
      <c r="F53" s="150">
        <v>5000</v>
      </c>
      <c r="G53" s="132">
        <f t="shared" si="3"/>
        <v>0</v>
      </c>
    </row>
    <row r="54" spans="1:20" x14ac:dyDescent="0.25">
      <c r="A54" s="18"/>
      <c r="B54" s="18" t="s">
        <v>296</v>
      </c>
      <c r="C54" s="18"/>
      <c r="D54" s="132">
        <v>7146</v>
      </c>
      <c r="E54" s="41"/>
      <c r="F54" s="138">
        <v>7146</v>
      </c>
      <c r="G54" s="132">
        <f t="shared" si="3"/>
        <v>0</v>
      </c>
      <c r="J54" s="53"/>
    </row>
    <row r="55" spans="1:20" x14ac:dyDescent="0.25">
      <c r="A55" s="18"/>
      <c r="B55" s="142" t="s">
        <v>297</v>
      </c>
      <c r="C55" s="18"/>
      <c r="D55" s="132">
        <f>H14</f>
        <v>7254</v>
      </c>
      <c r="E55" s="41"/>
      <c r="F55" s="137">
        <v>7254</v>
      </c>
      <c r="G55" s="132">
        <f t="shared" si="3"/>
        <v>0</v>
      </c>
      <c r="J55" s="53"/>
      <c r="T55" s="41"/>
    </row>
    <row r="56" spans="1:20" x14ac:dyDescent="0.25">
      <c r="A56" s="18"/>
      <c r="B56" s="142" t="s">
        <v>276</v>
      </c>
      <c r="C56" s="18"/>
      <c r="D56" s="132"/>
      <c r="E56" s="41"/>
      <c r="F56" s="137"/>
      <c r="G56" s="132">
        <f t="shared" si="3"/>
        <v>0</v>
      </c>
      <c r="K56" s="53"/>
    </row>
    <row r="57" spans="1:20" x14ac:dyDescent="0.25">
      <c r="A57" s="18"/>
      <c r="B57" s="142" t="s">
        <v>282</v>
      </c>
      <c r="C57" s="18"/>
      <c r="D57" s="132">
        <f>H38</f>
        <v>11380</v>
      </c>
      <c r="E57" s="41"/>
      <c r="F57" s="137">
        <f>8000</f>
        <v>8000</v>
      </c>
      <c r="G57" s="132">
        <f>D57-F57</f>
        <v>3380</v>
      </c>
      <c r="T57">
        <f>T42+T44+T48+T54</f>
        <v>0</v>
      </c>
    </row>
    <row r="58" spans="1:20" x14ac:dyDescent="0.25">
      <c r="A58" s="18"/>
      <c r="B58" s="18" t="s">
        <v>23</v>
      </c>
      <c r="C58" s="41"/>
      <c r="D58" s="132">
        <f>SUM(D42:D57)</f>
        <v>106052</v>
      </c>
      <c r="E58" s="41"/>
      <c r="F58" s="137">
        <f>SUM(F42:F57)</f>
        <v>85865</v>
      </c>
      <c r="G58" s="132">
        <f>D58-F58</f>
        <v>20187</v>
      </c>
    </row>
    <row r="59" spans="1:20" x14ac:dyDescent="0.25">
      <c r="A59" s="134"/>
      <c r="B59" s="133"/>
      <c r="C59" s="133"/>
      <c r="D59" s="47"/>
      <c r="E59" s="18"/>
      <c r="F59" s="47"/>
      <c r="G59" s="18"/>
    </row>
    <row r="61" spans="1:20" x14ac:dyDescent="0.25">
      <c r="A61" s="85" t="s">
        <v>12</v>
      </c>
      <c r="B61" s="85"/>
      <c r="C61" s="85"/>
      <c r="D61" s="86"/>
      <c r="E61" s="82"/>
      <c r="F61" s="85" t="s">
        <v>8</v>
      </c>
      <c r="G61" s="85"/>
      <c r="H61" s="85"/>
      <c r="I61" s="79"/>
      <c r="J61" s="79"/>
      <c r="K61" s="79"/>
      <c r="L61" s="71"/>
    </row>
    <row r="62" spans="1:20" x14ac:dyDescent="0.25">
      <c r="A62" s="87" t="s">
        <v>13</v>
      </c>
      <c r="B62" s="87" t="s">
        <v>14</v>
      </c>
      <c r="C62" s="87" t="s">
        <v>15</v>
      </c>
      <c r="D62" s="87" t="s">
        <v>16</v>
      </c>
      <c r="E62" s="87"/>
      <c r="F62" s="87" t="s">
        <v>13</v>
      </c>
      <c r="G62" s="87"/>
      <c r="H62" s="87" t="s">
        <v>265</v>
      </c>
      <c r="I62" s="87" t="s">
        <v>15</v>
      </c>
      <c r="J62" s="87" t="s">
        <v>16</v>
      </c>
      <c r="K62" s="87"/>
      <c r="L62" s="73"/>
    </row>
    <row r="63" spans="1:20" x14ac:dyDescent="0.25">
      <c r="A63" s="60" t="s">
        <v>17</v>
      </c>
      <c r="B63" s="88">
        <f>E40</f>
        <v>185500</v>
      </c>
      <c r="C63" s="60"/>
      <c r="D63" s="60"/>
      <c r="E63" s="60"/>
      <c r="F63" s="60" t="s">
        <v>17</v>
      </c>
      <c r="G63" s="60"/>
      <c r="H63" s="89">
        <f>I40</f>
        <v>167279</v>
      </c>
      <c r="I63" s="60"/>
      <c r="J63" s="60"/>
      <c r="K63" s="60"/>
      <c r="L63" s="74"/>
    </row>
    <row r="64" spans="1:20" x14ac:dyDescent="0.25">
      <c r="A64" s="60" t="s">
        <v>18</v>
      </c>
      <c r="B64" s="88">
        <f>NOVEMBER20!D72</f>
        <v>7</v>
      </c>
      <c r="C64" s="60"/>
      <c r="D64" s="60"/>
      <c r="E64" s="60"/>
      <c r="F64" s="60" t="s">
        <v>18</v>
      </c>
      <c r="G64" s="60"/>
      <c r="H64" s="88">
        <f>NOVEMBER20!J72</f>
        <v>-36798</v>
      </c>
      <c r="I64" s="60"/>
      <c r="J64" s="60"/>
      <c r="K64" s="60"/>
      <c r="L64" s="74"/>
    </row>
    <row r="65" spans="1:12" x14ac:dyDescent="0.25">
      <c r="A65" s="60" t="s">
        <v>19</v>
      </c>
      <c r="B65" s="88">
        <f>C40</f>
        <v>0</v>
      </c>
      <c r="C65" s="60"/>
      <c r="D65" s="60"/>
      <c r="E65" s="60"/>
      <c r="F65" s="60"/>
      <c r="G65" s="60"/>
      <c r="H65" s="60"/>
      <c r="I65" s="60"/>
      <c r="J65" s="60"/>
      <c r="K65" s="60"/>
      <c r="L65" s="74"/>
    </row>
    <row r="66" spans="1:12" x14ac:dyDescent="0.25">
      <c r="A66" s="60" t="s">
        <v>63</v>
      </c>
      <c r="B66" s="88">
        <f>F40</f>
        <v>16395</v>
      </c>
      <c r="C66" s="60"/>
      <c r="D66" s="60"/>
      <c r="E66" s="60"/>
      <c r="F66" s="60"/>
      <c r="G66" s="60"/>
      <c r="H66" s="60"/>
      <c r="I66" s="60"/>
      <c r="J66" s="60"/>
      <c r="K66" s="60"/>
      <c r="L66" s="74"/>
    </row>
    <row r="67" spans="1:12" x14ac:dyDescent="0.25">
      <c r="A67" s="60" t="s">
        <v>62</v>
      </c>
      <c r="B67" s="88">
        <f>K40</f>
        <v>0</v>
      </c>
      <c r="C67" s="60"/>
      <c r="D67" s="60"/>
      <c r="E67" s="60"/>
      <c r="F67" s="60"/>
      <c r="G67" s="60"/>
      <c r="H67" s="60"/>
      <c r="I67" s="60"/>
      <c r="J67" s="60"/>
      <c r="K67" s="60"/>
      <c r="L67" s="74"/>
    </row>
    <row r="68" spans="1:12" x14ac:dyDescent="0.25">
      <c r="A68" s="60" t="s">
        <v>96</v>
      </c>
      <c r="B68" s="88">
        <f>G40</f>
        <v>5800</v>
      </c>
      <c r="C68" s="60"/>
      <c r="D68" s="60"/>
      <c r="E68" s="60"/>
      <c r="F68" s="60" t="s">
        <v>126</v>
      </c>
      <c r="G68" s="60"/>
      <c r="H68" s="60"/>
      <c r="I68" s="60"/>
      <c r="J68" s="60"/>
      <c r="K68" s="60"/>
      <c r="L68" s="74"/>
    </row>
    <row r="69" spans="1:12" x14ac:dyDescent="0.25">
      <c r="A69" s="60" t="s">
        <v>167</v>
      </c>
      <c r="B69" s="88"/>
      <c r="C69" s="60"/>
      <c r="D69" s="60"/>
      <c r="E69" s="60"/>
      <c r="F69" s="60" t="s">
        <v>167</v>
      </c>
      <c r="G69" s="88"/>
      <c r="J69" s="60"/>
      <c r="K69" s="60"/>
      <c r="L69" s="74"/>
    </row>
    <row r="70" spans="1:12" x14ac:dyDescent="0.25">
      <c r="A70" s="60" t="s">
        <v>126</v>
      </c>
      <c r="B70" s="89">
        <f>L40</f>
        <v>0</v>
      </c>
      <c r="C70" s="88"/>
      <c r="D70" s="60"/>
      <c r="E70" s="60"/>
      <c r="F70" s="60"/>
      <c r="G70" s="60"/>
      <c r="H70" s="60"/>
      <c r="I70" s="88"/>
      <c r="J70" s="88"/>
      <c r="K70" s="88"/>
      <c r="L70" s="75"/>
    </row>
    <row r="71" spans="1:12" x14ac:dyDescent="0.25">
      <c r="A71" s="87" t="s">
        <v>21</v>
      </c>
      <c r="B71" s="60" t="s">
        <v>22</v>
      </c>
      <c r="C71" s="60"/>
      <c r="D71" s="60"/>
      <c r="E71" s="60"/>
      <c r="F71" s="87" t="s">
        <v>21</v>
      </c>
      <c r="G71" s="87"/>
      <c r="H71" s="87"/>
      <c r="I71" s="60"/>
      <c r="J71" s="60"/>
      <c r="K71" s="60"/>
      <c r="L71" s="74"/>
    </row>
    <row r="72" spans="1:12" x14ac:dyDescent="0.25">
      <c r="A72" s="91" t="s">
        <v>111</v>
      </c>
      <c r="B72" s="90">
        <v>0.05</v>
      </c>
      <c r="C72" s="89">
        <f>B72*E40</f>
        <v>9275</v>
      </c>
      <c r="D72" s="60"/>
      <c r="E72" s="60"/>
      <c r="F72" s="91" t="s">
        <v>111</v>
      </c>
      <c r="G72" s="91"/>
      <c r="H72" s="90">
        <v>0.05</v>
      </c>
      <c r="I72" s="89">
        <f>H72*E40</f>
        <v>9275</v>
      </c>
      <c r="J72" s="60"/>
      <c r="K72" s="60"/>
      <c r="L72" s="74"/>
    </row>
    <row r="73" spans="1:12" x14ac:dyDescent="0.25">
      <c r="A73" s="135" t="s">
        <v>294</v>
      </c>
      <c r="B73" s="93"/>
      <c r="C73">
        <v>198420</v>
      </c>
      <c r="D73" s="89"/>
      <c r="E73" s="89"/>
      <c r="F73" s="135" t="s">
        <v>294</v>
      </c>
      <c r="G73" s="93"/>
      <c r="I73">
        <v>198420</v>
      </c>
      <c r="K73" s="89"/>
      <c r="L73" s="76"/>
    </row>
    <row r="74" spans="1:12" x14ac:dyDescent="0.25">
      <c r="A74" s="135"/>
      <c r="B74" s="90"/>
      <c r="C74" s="89"/>
      <c r="D74" s="60"/>
      <c r="E74" s="60"/>
      <c r="F74" s="89"/>
      <c r="H74" s="90"/>
      <c r="I74" s="89"/>
      <c r="J74" s="60"/>
      <c r="K74" s="60"/>
      <c r="L74" s="74"/>
    </row>
    <row r="75" spans="1:12" x14ac:dyDescent="0.25">
      <c r="A75" s="60"/>
      <c r="B75" s="60"/>
      <c r="C75" s="94"/>
      <c r="D75" s="60"/>
      <c r="E75" s="60"/>
      <c r="F75" s="94"/>
      <c r="G75" s="94"/>
      <c r="H75" s="60"/>
      <c r="I75" s="94"/>
      <c r="J75" s="60"/>
      <c r="K75" s="60"/>
      <c r="L75" s="74"/>
    </row>
    <row r="76" spans="1:12" x14ac:dyDescent="0.25">
      <c r="A76" s="92"/>
      <c r="B76" s="60"/>
      <c r="C76" s="89"/>
      <c r="D76" s="60"/>
      <c r="E76" s="60"/>
      <c r="F76" s="60"/>
      <c r="G76" s="89"/>
      <c r="H76" s="91"/>
      <c r="I76" s="89"/>
      <c r="J76" s="89"/>
      <c r="K76" s="89"/>
      <c r="L76" s="76"/>
    </row>
    <row r="77" spans="1:12" x14ac:dyDescent="0.25">
      <c r="A77" s="87" t="s">
        <v>23</v>
      </c>
      <c r="B77" s="96">
        <f>B63+B64+B65+B66+B67+B68+B70+B69</f>
        <v>207702</v>
      </c>
      <c r="C77" s="96">
        <f>SUM(C72:C76)</f>
        <v>207695</v>
      </c>
      <c r="D77" s="96">
        <f>B77-C77</f>
        <v>7</v>
      </c>
      <c r="E77" s="96"/>
      <c r="F77" s="87"/>
      <c r="G77" s="87"/>
      <c r="H77" s="96">
        <f>H63+H64+H66+H68+H69</f>
        <v>130481</v>
      </c>
      <c r="I77" s="96">
        <f>SUM(I72:I76)</f>
        <v>207695</v>
      </c>
      <c r="J77" s="96">
        <f>H77-I77</f>
        <v>-77214</v>
      </c>
      <c r="K77" s="96"/>
      <c r="L77" s="77"/>
    </row>
    <row r="78" spans="1:12" x14ac:dyDescent="0.25">
      <c r="A78" s="79"/>
      <c r="B78" s="79"/>
      <c r="C78" s="79"/>
      <c r="D78" s="79"/>
      <c r="E78" s="79"/>
      <c r="F78" s="79"/>
      <c r="G78" s="79"/>
      <c r="H78" s="79"/>
      <c r="I78" s="119">
        <f>I77-I72</f>
        <v>198420</v>
      </c>
      <c r="J78" s="79"/>
      <c r="K78" s="79"/>
      <c r="L78" s="71"/>
    </row>
    <row r="79" spans="1:12" x14ac:dyDescent="0.25">
      <c r="A79" s="97" t="s">
        <v>24</v>
      </c>
      <c r="B79" s="98"/>
      <c r="C79" s="98" t="s">
        <v>25</v>
      </c>
      <c r="D79" s="99"/>
      <c r="E79" s="99"/>
      <c r="F79" s="97"/>
      <c r="G79" s="97"/>
      <c r="H79" s="97" t="s">
        <v>26</v>
      </c>
      <c r="I79" s="79"/>
      <c r="J79" s="79"/>
      <c r="K79" s="79"/>
      <c r="L79" s="71"/>
    </row>
    <row r="80" spans="1:12" x14ac:dyDescent="0.25">
      <c r="A80" s="79" t="s">
        <v>104</v>
      </c>
      <c r="B80" s="79"/>
      <c r="C80" s="79" t="s">
        <v>105</v>
      </c>
      <c r="D80" s="79"/>
      <c r="E80" s="79"/>
      <c r="F80" s="79"/>
      <c r="G80" s="79"/>
      <c r="H80" s="79" t="s">
        <v>27</v>
      </c>
      <c r="I80" s="79"/>
      <c r="J80" s="79"/>
      <c r="K80" s="119"/>
      <c r="L80" s="71"/>
    </row>
  </sheetData>
  <pageMargins left="0" right="0" top="0" bottom="0" header="0.3" footer="0.3"/>
  <pageSetup orientation="landscape" horizontalDpi="203" verticalDpi="20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7"/>
  <sheetViews>
    <sheetView topLeftCell="A9" workbookViewId="0">
      <selection activeCell="D47" sqref="D47"/>
    </sheetView>
  </sheetViews>
  <sheetFormatPr defaultRowHeight="15" x14ac:dyDescent="0.25"/>
  <cols>
    <col min="1" max="1" width="17.7109375" customWidth="1"/>
    <col min="13" max="13" width="10" bestFit="1" customWidth="1"/>
  </cols>
  <sheetData>
    <row r="1" spans="1:16" x14ac:dyDescent="0.25">
      <c r="C1" s="71"/>
      <c r="D1" s="71"/>
      <c r="E1" s="71"/>
      <c r="F1" s="71"/>
      <c r="G1" s="71"/>
      <c r="I1" s="71"/>
      <c r="J1" s="71"/>
      <c r="K1" s="71"/>
      <c r="L1" s="71"/>
    </row>
    <row r="2" spans="1:16" ht="15.75" x14ac:dyDescent="0.25">
      <c r="C2" s="100"/>
      <c r="D2" s="100"/>
      <c r="E2" s="100" t="s">
        <v>27</v>
      </c>
      <c r="F2" s="79"/>
      <c r="G2" s="100"/>
      <c r="H2" s="101"/>
      <c r="I2" s="79"/>
      <c r="J2" s="79"/>
      <c r="K2" s="79"/>
      <c r="L2" s="79"/>
    </row>
    <row r="3" spans="1:16" ht="15.75" x14ac:dyDescent="0.25">
      <c r="A3" s="79"/>
      <c r="B3" s="100"/>
      <c r="C3" s="100"/>
      <c r="D3" s="100"/>
      <c r="E3" s="100" t="s">
        <v>0</v>
      </c>
      <c r="F3" s="100"/>
      <c r="G3" s="71"/>
      <c r="H3" s="102"/>
      <c r="I3" s="79"/>
      <c r="J3" s="79"/>
      <c r="K3" s="79"/>
      <c r="L3" s="79"/>
    </row>
    <row r="4" spans="1:16" ht="18.75" x14ac:dyDescent="0.3">
      <c r="A4" s="103"/>
      <c r="B4" s="79"/>
      <c r="D4" s="100" t="s">
        <v>299</v>
      </c>
      <c r="E4" s="100"/>
      <c r="G4" s="100"/>
      <c r="H4" s="104"/>
      <c r="I4" s="105"/>
      <c r="J4" s="105"/>
      <c r="K4" s="105"/>
      <c r="L4" s="105"/>
    </row>
    <row r="5" spans="1:16" x14ac:dyDescent="0.25">
      <c r="A5" s="106" t="s">
        <v>2</v>
      </c>
      <c r="B5" s="106" t="s">
        <v>3</v>
      </c>
      <c r="C5" s="106" t="s">
        <v>4</v>
      </c>
      <c r="D5" s="107" t="s">
        <v>5</v>
      </c>
      <c r="E5" s="106" t="s">
        <v>6</v>
      </c>
      <c r="F5" s="123" t="s">
        <v>63</v>
      </c>
      <c r="G5" s="106" t="s">
        <v>96</v>
      </c>
      <c r="H5" s="108" t="s">
        <v>7</v>
      </c>
      <c r="I5" s="106" t="s">
        <v>8</v>
      </c>
      <c r="J5" s="106" t="s">
        <v>9</v>
      </c>
      <c r="K5" s="106" t="s">
        <v>91</v>
      </c>
      <c r="L5" s="106" t="s">
        <v>123</v>
      </c>
    </row>
    <row r="6" spans="1:16" x14ac:dyDescent="0.25">
      <c r="A6" s="144" t="s">
        <v>61</v>
      </c>
      <c r="B6" s="149" t="s">
        <v>52</v>
      </c>
      <c r="C6" s="63"/>
      <c r="D6" s="64">
        <f>'DECEMBER 20'!J6:J39</f>
        <v>13017</v>
      </c>
      <c r="E6" s="66"/>
      <c r="F6" s="124"/>
      <c r="G6" s="66"/>
      <c r="H6" s="66">
        <f>D6+E6+F6+G6+6000+200+527</f>
        <v>19744</v>
      </c>
      <c r="I6" s="66"/>
      <c r="J6" s="66">
        <f>H6-I6</f>
        <v>19744</v>
      </c>
      <c r="K6" s="66"/>
      <c r="L6" s="66"/>
    </row>
    <row r="7" spans="1:16" x14ac:dyDescent="0.25">
      <c r="A7" s="59" t="s">
        <v>64</v>
      </c>
      <c r="B7" s="68" t="s">
        <v>51</v>
      </c>
      <c r="C7" s="63"/>
      <c r="D7" s="64">
        <f>'DECEMBER 20'!J7:J40</f>
        <v>3506</v>
      </c>
      <c r="E7" s="65">
        <v>6000</v>
      </c>
      <c r="F7" s="113">
        <v>459</v>
      </c>
      <c r="G7" s="65">
        <v>200</v>
      </c>
      <c r="H7" s="66">
        <f t="shared" ref="H7:H39" si="0">D7+E7+F7+G7</f>
        <v>10165</v>
      </c>
      <c r="I7" s="66">
        <f>8000</f>
        <v>8000</v>
      </c>
      <c r="J7" s="66">
        <f>H7-I7</f>
        <v>2165</v>
      </c>
      <c r="K7" s="66"/>
      <c r="L7" s="66"/>
    </row>
    <row r="8" spans="1:16" x14ac:dyDescent="0.25">
      <c r="A8" s="59" t="s">
        <v>65</v>
      </c>
      <c r="B8" s="68" t="s">
        <v>54</v>
      </c>
      <c r="C8" s="63"/>
      <c r="D8" s="64">
        <f>'DECEMBER 20'!J8:J41</f>
        <v>0</v>
      </c>
      <c r="E8" s="65"/>
      <c r="F8" s="113"/>
      <c r="G8" s="65"/>
      <c r="H8" s="66">
        <f t="shared" si="0"/>
        <v>0</v>
      </c>
      <c r="I8" s="66"/>
      <c r="J8" s="66">
        <f>H8-I8</f>
        <v>0</v>
      </c>
      <c r="K8" s="66"/>
      <c r="L8" s="66"/>
      <c r="N8" s="53">
        <f>E6+F6+G6</f>
        <v>0</v>
      </c>
    </row>
    <row r="9" spans="1:16" x14ac:dyDescent="0.25">
      <c r="A9" s="60" t="s">
        <v>321</v>
      </c>
      <c r="B9" s="68" t="s">
        <v>50</v>
      </c>
      <c r="C9" s="63"/>
      <c r="D9" s="64">
        <f>'DECEMBER 20'!J9:J42</f>
        <v>0</v>
      </c>
      <c r="E9" s="64">
        <v>6000</v>
      </c>
      <c r="F9" s="115"/>
      <c r="G9" s="65"/>
      <c r="H9" s="66">
        <f t="shared" si="0"/>
        <v>6000</v>
      </c>
      <c r="I9" s="66">
        <v>6000</v>
      </c>
      <c r="J9" s="66">
        <f>H9-I9</f>
        <v>0</v>
      </c>
      <c r="K9" s="66"/>
      <c r="L9" s="66">
        <v>1000</v>
      </c>
      <c r="M9">
        <v>7000</v>
      </c>
    </row>
    <row r="10" spans="1:16" x14ac:dyDescent="0.25">
      <c r="A10" s="59" t="s">
        <v>151</v>
      </c>
      <c r="B10" s="68" t="s">
        <v>49</v>
      </c>
      <c r="C10" s="146"/>
      <c r="D10" s="64">
        <f>'DECEMBER 20'!J10:J43</f>
        <v>539</v>
      </c>
      <c r="E10" s="65">
        <v>6000</v>
      </c>
      <c r="F10" s="113">
        <v>1071</v>
      </c>
      <c r="G10" s="65">
        <v>200</v>
      </c>
      <c r="H10" s="66">
        <f t="shared" si="0"/>
        <v>7810</v>
      </c>
      <c r="I10" s="66">
        <v>6500</v>
      </c>
      <c r="J10" s="66">
        <f>H10-I10</f>
        <v>1310</v>
      </c>
      <c r="K10" s="66"/>
      <c r="L10" s="66"/>
      <c r="P10" s="53">
        <f>N8-P19</f>
        <v>-300</v>
      </c>
    </row>
    <row r="11" spans="1:16" x14ac:dyDescent="0.25">
      <c r="A11" s="109" t="s">
        <v>263</v>
      </c>
      <c r="B11" s="68" t="s">
        <v>53</v>
      </c>
      <c r="C11" s="63"/>
      <c r="D11" s="64">
        <f>'DECEMBER 20'!J11:J44</f>
        <v>1436</v>
      </c>
      <c r="E11" s="65">
        <v>6000</v>
      </c>
      <c r="F11" s="113">
        <v>663</v>
      </c>
      <c r="G11" s="65">
        <v>200</v>
      </c>
      <c r="H11" s="66">
        <f t="shared" si="0"/>
        <v>8299</v>
      </c>
      <c r="I11" s="66">
        <f>6800</f>
        <v>6800</v>
      </c>
      <c r="J11" s="66">
        <f t="shared" ref="J11:J36" si="1">H11-I11</f>
        <v>1499</v>
      </c>
      <c r="K11" s="66"/>
      <c r="L11" s="66"/>
    </row>
    <row r="12" spans="1:16" x14ac:dyDescent="0.25">
      <c r="A12" s="61" t="s">
        <v>262</v>
      </c>
      <c r="B12" s="68" t="s">
        <v>48</v>
      </c>
      <c r="C12" s="63"/>
      <c r="D12" s="64">
        <f>'DECEMBER 20'!J12:J45</f>
        <v>608</v>
      </c>
      <c r="E12" s="65">
        <v>6000</v>
      </c>
      <c r="F12" s="113">
        <v>442</v>
      </c>
      <c r="G12" s="65">
        <v>200</v>
      </c>
      <c r="H12" s="66">
        <f t="shared" si="0"/>
        <v>7250</v>
      </c>
      <c r="I12" s="66">
        <v>7250</v>
      </c>
      <c r="J12" s="66">
        <f t="shared" si="1"/>
        <v>0</v>
      </c>
      <c r="K12" s="66"/>
      <c r="L12" s="66"/>
    </row>
    <row r="13" spans="1:16" x14ac:dyDescent="0.25">
      <c r="A13" s="67" t="s">
        <v>181</v>
      </c>
      <c r="B13" s="68" t="s">
        <v>47</v>
      </c>
      <c r="C13" s="63"/>
      <c r="D13" s="64">
        <f>'DECEMBER 20'!J13:J46</f>
        <v>241</v>
      </c>
      <c r="E13" s="65">
        <v>6000</v>
      </c>
      <c r="F13" s="113">
        <v>561</v>
      </c>
      <c r="G13" s="65">
        <v>200</v>
      </c>
      <c r="H13" s="66">
        <f t="shared" si="0"/>
        <v>7002</v>
      </c>
      <c r="I13" s="66">
        <f>6850</f>
        <v>6850</v>
      </c>
      <c r="J13" s="66">
        <f t="shared" si="1"/>
        <v>152</v>
      </c>
      <c r="K13" s="66"/>
      <c r="L13" s="66"/>
      <c r="N13" s="53"/>
    </row>
    <row r="14" spans="1:16" x14ac:dyDescent="0.25">
      <c r="A14" s="61" t="s">
        <v>302</v>
      </c>
      <c r="B14" s="68" t="s">
        <v>46</v>
      </c>
      <c r="C14" s="63"/>
      <c r="D14" s="64">
        <f>'DECEMBER 20'!J14:J47</f>
        <v>0</v>
      </c>
      <c r="E14" s="65">
        <v>6000</v>
      </c>
      <c r="F14" s="113">
        <v>204</v>
      </c>
      <c r="G14" s="65">
        <v>200</v>
      </c>
      <c r="H14" s="66">
        <f t="shared" si="0"/>
        <v>6404</v>
      </c>
      <c r="I14" s="66">
        <v>6700</v>
      </c>
      <c r="J14" s="66">
        <f>H14-I14</f>
        <v>-296</v>
      </c>
      <c r="K14" s="66"/>
      <c r="L14" s="66"/>
      <c r="M14">
        <v>721784080</v>
      </c>
    </row>
    <row r="15" spans="1:16" x14ac:dyDescent="0.25">
      <c r="A15" s="59" t="s">
        <v>156</v>
      </c>
      <c r="B15" s="68" t="s">
        <v>45</v>
      </c>
      <c r="C15" s="63"/>
      <c r="D15" s="64">
        <f>'DECEMBER 20'!J15:J48</f>
        <v>1673</v>
      </c>
      <c r="E15" s="65">
        <v>6000</v>
      </c>
      <c r="F15" s="113">
        <v>459</v>
      </c>
      <c r="G15" s="65">
        <v>200</v>
      </c>
      <c r="H15" s="66">
        <f t="shared" si="0"/>
        <v>8332</v>
      </c>
      <c r="I15" s="66">
        <v>6656</v>
      </c>
      <c r="J15" s="66">
        <f>H15-I15</f>
        <v>1676</v>
      </c>
      <c r="K15" s="66"/>
      <c r="L15" s="66"/>
    </row>
    <row r="16" spans="1:16" x14ac:dyDescent="0.25">
      <c r="A16" s="60" t="s">
        <v>225</v>
      </c>
      <c r="B16" s="68" t="s">
        <v>44</v>
      </c>
      <c r="C16" s="63"/>
      <c r="D16" s="64">
        <f>'DECEMBER 20'!J16:J49</f>
        <v>0</v>
      </c>
      <c r="E16" s="65">
        <v>6000</v>
      </c>
      <c r="F16" s="113">
        <v>170</v>
      </c>
      <c r="G16" s="65">
        <v>200</v>
      </c>
      <c r="H16" s="66">
        <f t="shared" si="0"/>
        <v>6370</v>
      </c>
      <c r="I16" s="66">
        <v>6370</v>
      </c>
      <c r="J16" s="66">
        <f>H16-I16</f>
        <v>0</v>
      </c>
      <c r="K16" s="66"/>
      <c r="L16" s="66"/>
    </row>
    <row r="17" spans="1:17" x14ac:dyDescent="0.25">
      <c r="A17" s="59" t="s">
        <v>260</v>
      </c>
      <c r="B17" s="68" t="s">
        <v>43</v>
      </c>
      <c r="C17" s="63"/>
      <c r="D17" s="64">
        <f>'DECEMBER 20'!J17:J50</f>
        <v>1981</v>
      </c>
      <c r="E17" s="65">
        <v>6000</v>
      </c>
      <c r="F17" s="113">
        <v>850</v>
      </c>
      <c r="G17" s="65">
        <v>200</v>
      </c>
      <c r="H17" s="66">
        <f t="shared" si="0"/>
        <v>9031</v>
      </c>
      <c r="I17" s="66"/>
      <c r="J17" s="66">
        <f t="shared" si="1"/>
        <v>9031</v>
      </c>
      <c r="K17" s="66"/>
      <c r="L17" s="66"/>
    </row>
    <row r="18" spans="1:17" x14ac:dyDescent="0.25">
      <c r="A18" s="61" t="s">
        <v>73</v>
      </c>
      <c r="B18" s="68" t="s">
        <v>42</v>
      </c>
      <c r="C18" s="63"/>
      <c r="D18" s="64">
        <f>'DECEMBER 20'!J18:J51</f>
        <v>3</v>
      </c>
      <c r="E18" s="65">
        <v>6000</v>
      </c>
      <c r="F18" s="113">
        <v>510</v>
      </c>
      <c r="G18" s="65">
        <v>200</v>
      </c>
      <c r="H18" s="66">
        <f t="shared" si="0"/>
        <v>6713</v>
      </c>
      <c r="I18" s="66">
        <f>6710</f>
        <v>6710</v>
      </c>
      <c r="J18" s="66">
        <f t="shared" si="1"/>
        <v>3</v>
      </c>
      <c r="K18" s="66"/>
      <c r="L18" s="66"/>
    </row>
    <row r="19" spans="1:17" x14ac:dyDescent="0.25">
      <c r="A19" s="60" t="s">
        <v>180</v>
      </c>
      <c r="B19" s="68" t="s">
        <v>41</v>
      </c>
      <c r="C19" s="63"/>
      <c r="D19" s="64">
        <f>'DECEMBER 20'!J19:J52</f>
        <v>0</v>
      </c>
      <c r="E19" s="65">
        <v>6000</v>
      </c>
      <c r="F19" s="113">
        <v>391</v>
      </c>
      <c r="G19" s="65">
        <v>200</v>
      </c>
      <c r="H19" s="66">
        <f t="shared" si="0"/>
        <v>6591</v>
      </c>
      <c r="I19" s="66">
        <f>6591</f>
        <v>6591</v>
      </c>
      <c r="J19" s="66">
        <f t="shared" si="1"/>
        <v>0</v>
      </c>
      <c r="K19" s="66"/>
      <c r="L19" s="66"/>
      <c r="P19">
        <f>E9*B72</f>
        <v>300</v>
      </c>
    </row>
    <row r="20" spans="1:17" x14ac:dyDescent="0.25">
      <c r="A20" s="59" t="s">
        <v>75</v>
      </c>
      <c r="B20" s="68" t="s">
        <v>40</v>
      </c>
      <c r="C20" s="63"/>
      <c r="D20" s="64">
        <f>'DECEMBER 20'!J20:J53</f>
        <v>0</v>
      </c>
      <c r="E20" s="65">
        <v>6000</v>
      </c>
      <c r="F20" s="113">
        <v>391</v>
      </c>
      <c r="G20" s="65">
        <v>200</v>
      </c>
      <c r="H20" s="66">
        <f t="shared" si="0"/>
        <v>6591</v>
      </c>
      <c r="I20" s="66">
        <f>6391</f>
        <v>6391</v>
      </c>
      <c r="J20" s="66">
        <f t="shared" si="1"/>
        <v>200</v>
      </c>
      <c r="K20" s="66"/>
      <c r="L20" s="66"/>
      <c r="P20">
        <f>7000-P19</f>
        <v>6700</v>
      </c>
    </row>
    <row r="21" spans="1:17" x14ac:dyDescent="0.25">
      <c r="A21" s="61" t="s">
        <v>76</v>
      </c>
      <c r="B21" s="111" t="s">
        <v>39</v>
      </c>
      <c r="C21" s="63"/>
      <c r="D21" s="64">
        <f>'DECEMBER 20'!J21:J54</f>
        <v>2053</v>
      </c>
      <c r="E21" s="65">
        <f>6000*3</f>
        <v>18000</v>
      </c>
      <c r="F21" s="113">
        <v>85</v>
      </c>
      <c r="G21" s="65">
        <v>600</v>
      </c>
      <c r="H21" s="66">
        <f>D21+E21+F21+G21</f>
        <v>20738</v>
      </c>
      <c r="I21" s="66">
        <f>10000+5000</f>
        <v>15000</v>
      </c>
      <c r="J21" s="66">
        <f t="shared" si="1"/>
        <v>5738</v>
      </c>
      <c r="K21" s="66"/>
      <c r="L21" s="66"/>
      <c r="M21" s="53">
        <f>J24-N24</f>
        <v>2456</v>
      </c>
      <c r="O21" s="53">
        <f>J24-N25</f>
        <v>2781</v>
      </c>
    </row>
    <row r="22" spans="1:17" x14ac:dyDescent="0.25">
      <c r="A22" s="61" t="s">
        <v>150</v>
      </c>
      <c r="B22" s="68" t="s">
        <v>38</v>
      </c>
      <c r="C22" s="63"/>
      <c r="D22" s="64">
        <f>'DECEMBER 20'!J22:J55</f>
        <v>0</v>
      </c>
      <c r="E22" s="65">
        <v>6000</v>
      </c>
      <c r="F22" s="113">
        <v>510</v>
      </c>
      <c r="G22" s="65">
        <v>200</v>
      </c>
      <c r="H22" s="66">
        <f t="shared" si="0"/>
        <v>6710</v>
      </c>
      <c r="I22" s="66">
        <f>6710</f>
        <v>6710</v>
      </c>
      <c r="J22" s="66">
        <f t="shared" si="1"/>
        <v>0</v>
      </c>
      <c r="K22" s="66"/>
      <c r="L22" s="66"/>
    </row>
    <row r="23" spans="1:17" x14ac:dyDescent="0.25">
      <c r="A23" s="59" t="s">
        <v>78</v>
      </c>
      <c r="B23" s="68" t="s">
        <v>37</v>
      </c>
      <c r="C23" s="63"/>
      <c r="D23" s="64">
        <f>'DECEMBER 20'!J23:J56</f>
        <v>570</v>
      </c>
      <c r="E23" s="65">
        <v>6000</v>
      </c>
      <c r="F23" s="113"/>
      <c r="G23" s="65">
        <v>200</v>
      </c>
      <c r="H23" s="66">
        <f t="shared" si="0"/>
        <v>6770</v>
      </c>
      <c r="I23" s="66">
        <v>6000</v>
      </c>
      <c r="J23" s="66">
        <f t="shared" si="1"/>
        <v>770</v>
      </c>
      <c r="K23" s="66"/>
      <c r="L23" s="66"/>
      <c r="M23" s="152" t="s">
        <v>303</v>
      </c>
    </row>
    <row r="24" spans="1:17" x14ac:dyDescent="0.25">
      <c r="A24" s="144" t="s">
        <v>261</v>
      </c>
      <c r="B24" s="121" t="s">
        <v>28</v>
      </c>
      <c r="C24" s="63"/>
      <c r="D24" s="64">
        <f>'DECEMBER 20'!J24:J57</f>
        <v>12456</v>
      </c>
      <c r="E24" s="65">
        <v>6500</v>
      </c>
      <c r="F24" s="113">
        <v>680</v>
      </c>
      <c r="G24" s="65">
        <v>200</v>
      </c>
      <c r="H24" s="66">
        <f>D24+E24+F24+G24</f>
        <v>19836</v>
      </c>
      <c r="I24" s="66">
        <f>5000+5000</f>
        <v>10000</v>
      </c>
      <c r="J24" s="66">
        <f>H24-I24</f>
        <v>9836</v>
      </c>
      <c r="K24" s="66"/>
      <c r="L24" s="66"/>
      <c r="M24" s="152"/>
      <c r="N24" s="53">
        <f>G24+F24+E24</f>
        <v>7380</v>
      </c>
    </row>
    <row r="25" spans="1:17" x14ac:dyDescent="0.25">
      <c r="A25" s="61" t="s">
        <v>80</v>
      </c>
      <c r="B25" s="62" t="s">
        <v>29</v>
      </c>
      <c r="C25" s="63"/>
      <c r="D25" s="64">
        <f>'DECEMBER 20'!J25:J58</f>
        <v>0</v>
      </c>
      <c r="E25" s="65">
        <v>6500</v>
      </c>
      <c r="F25" s="113">
        <v>1292</v>
      </c>
      <c r="G25" s="65">
        <v>200</v>
      </c>
      <c r="H25" s="66">
        <f t="shared" si="0"/>
        <v>7992</v>
      </c>
      <c r="I25" s="66">
        <v>7900</v>
      </c>
      <c r="J25" s="66">
        <f t="shared" si="1"/>
        <v>92</v>
      </c>
      <c r="K25" s="66"/>
      <c r="L25" s="66"/>
      <c r="N25" s="53">
        <f>N24-N38</f>
        <v>7055</v>
      </c>
    </row>
    <row r="26" spans="1:17" x14ac:dyDescent="0.25">
      <c r="A26" s="61" t="s">
        <v>81</v>
      </c>
      <c r="B26" s="62" t="s">
        <v>30</v>
      </c>
      <c r="C26" s="63"/>
      <c r="D26" s="64">
        <f>'DECEMBER 20'!J26:J59</f>
        <v>7098</v>
      </c>
      <c r="E26" s="65"/>
      <c r="F26" s="113"/>
      <c r="G26" s="65"/>
      <c r="H26" s="66">
        <f t="shared" si="0"/>
        <v>7098</v>
      </c>
      <c r="I26" s="66">
        <v>7098</v>
      </c>
      <c r="J26" s="66">
        <f t="shared" si="1"/>
        <v>0</v>
      </c>
      <c r="K26" s="66"/>
      <c r="L26" s="66"/>
      <c r="M26" s="152" t="s">
        <v>97</v>
      </c>
      <c r="N26" s="152"/>
      <c r="P26">
        <v>234044</v>
      </c>
    </row>
    <row r="27" spans="1:17" x14ac:dyDescent="0.25">
      <c r="A27" s="61" t="s">
        <v>300</v>
      </c>
      <c r="B27" s="62" t="s">
        <v>55</v>
      </c>
      <c r="C27" s="63"/>
      <c r="D27" s="64">
        <f>'DECEMBER 20'!J27:J60</f>
        <v>0</v>
      </c>
      <c r="E27" s="65">
        <v>6500</v>
      </c>
      <c r="F27" s="113">
        <v>629</v>
      </c>
      <c r="G27" s="65">
        <v>200</v>
      </c>
      <c r="H27" s="66">
        <f t="shared" si="0"/>
        <v>7329</v>
      </c>
      <c r="I27" s="66">
        <v>7000</v>
      </c>
      <c r="J27" s="66">
        <f>H27-I27</f>
        <v>329</v>
      </c>
      <c r="K27" s="66"/>
      <c r="L27" s="66"/>
      <c r="M27" s="152"/>
      <c r="N27" s="152"/>
    </row>
    <row r="28" spans="1:17" x14ac:dyDescent="0.25">
      <c r="A28" s="61" t="s">
        <v>83</v>
      </c>
      <c r="B28" s="62" t="s">
        <v>56</v>
      </c>
      <c r="C28" s="63"/>
      <c r="D28" s="64">
        <f>'DECEMBER 20'!J28:J61</f>
        <v>4767</v>
      </c>
      <c r="E28" s="65">
        <v>8000</v>
      </c>
      <c r="F28" s="113">
        <v>340</v>
      </c>
      <c r="G28" s="65">
        <v>200</v>
      </c>
      <c r="H28" s="66">
        <f t="shared" si="0"/>
        <v>13307</v>
      </c>
      <c r="I28" s="66"/>
      <c r="J28" s="66">
        <f t="shared" si="1"/>
        <v>13307</v>
      </c>
      <c r="K28" s="66"/>
      <c r="L28" s="66"/>
    </row>
    <row r="29" spans="1:17" x14ac:dyDescent="0.25">
      <c r="A29" s="61" t="s">
        <v>128</v>
      </c>
      <c r="B29" s="62" t="s">
        <v>57</v>
      </c>
      <c r="C29" s="63"/>
      <c r="D29" s="64">
        <f>'DECEMBER 20'!J29:J62</f>
        <v>5124</v>
      </c>
      <c r="E29" s="65">
        <v>6500</v>
      </c>
      <c r="F29" s="113">
        <v>510</v>
      </c>
      <c r="G29" s="65">
        <v>200</v>
      </c>
      <c r="H29" s="66">
        <f t="shared" si="0"/>
        <v>12334</v>
      </c>
      <c r="I29" s="66">
        <f>1000+1000</f>
        <v>2000</v>
      </c>
      <c r="J29" s="66">
        <f t="shared" si="1"/>
        <v>10334</v>
      </c>
      <c r="K29" s="66"/>
      <c r="L29" s="66"/>
    </row>
    <row r="30" spans="1:17" x14ac:dyDescent="0.25">
      <c r="A30" s="144" t="s">
        <v>92</v>
      </c>
      <c r="B30" s="121" t="s">
        <v>58</v>
      </c>
      <c r="C30" s="63"/>
      <c r="D30" s="64">
        <f>'DECEMBER 20'!J30:J63</f>
        <v>13148</v>
      </c>
      <c r="E30" s="65"/>
      <c r="F30" s="113"/>
      <c r="G30" s="65"/>
      <c r="H30" s="66">
        <f>D30+E30+F30+G30</f>
        <v>13148</v>
      </c>
      <c r="I30" s="66">
        <f>5000</f>
        <v>5000</v>
      </c>
      <c r="J30" s="66">
        <f t="shared" si="1"/>
        <v>8148</v>
      </c>
      <c r="K30" s="66"/>
      <c r="L30" s="66"/>
      <c r="O30">
        <f>6000*3</f>
        <v>18000</v>
      </c>
    </row>
    <row r="31" spans="1:17" x14ac:dyDescent="0.25">
      <c r="A31" s="61" t="s">
        <v>176</v>
      </c>
      <c r="B31" s="62" t="s">
        <v>59</v>
      </c>
      <c r="C31" s="63"/>
      <c r="D31" s="64">
        <f>'DECEMBER 20'!J31:J64</f>
        <v>4162</v>
      </c>
      <c r="E31" s="65">
        <v>6500</v>
      </c>
      <c r="F31" s="113">
        <v>680</v>
      </c>
      <c r="G31" s="65">
        <v>200</v>
      </c>
      <c r="H31" s="66">
        <f t="shared" si="0"/>
        <v>11542</v>
      </c>
      <c r="I31" s="66"/>
      <c r="J31" s="66">
        <f t="shared" si="1"/>
        <v>11542</v>
      </c>
      <c r="K31" s="66"/>
      <c r="L31" s="66"/>
    </row>
    <row r="32" spans="1:17" x14ac:dyDescent="0.25">
      <c r="A32" s="61" t="s">
        <v>170</v>
      </c>
      <c r="B32" s="62" t="s">
        <v>60</v>
      </c>
      <c r="C32" s="63"/>
      <c r="D32" s="64">
        <f>'DECEMBER 20'!J32:J65</f>
        <v>0</v>
      </c>
      <c r="E32" s="65">
        <v>6500</v>
      </c>
      <c r="F32" s="113">
        <v>442</v>
      </c>
      <c r="G32" s="65">
        <v>200</v>
      </c>
      <c r="H32" s="66">
        <f t="shared" si="0"/>
        <v>7142</v>
      </c>
      <c r="I32" s="66">
        <f>6000</f>
        <v>6000</v>
      </c>
      <c r="J32" s="66">
        <f t="shared" si="1"/>
        <v>1142</v>
      </c>
      <c r="K32" s="66"/>
      <c r="L32" s="66"/>
      <c r="M32" s="53"/>
      <c r="Q32">
        <v>17785</v>
      </c>
    </row>
    <row r="33" spans="1:20" x14ac:dyDescent="0.25">
      <c r="A33" s="61" t="s">
        <v>86</v>
      </c>
      <c r="B33" s="62" t="s">
        <v>31</v>
      </c>
      <c r="C33" s="63"/>
      <c r="D33" s="64">
        <f>'DECEMBER 20'!J33:J66</f>
        <v>904</v>
      </c>
      <c r="E33" s="65">
        <v>8000</v>
      </c>
      <c r="F33" s="113">
        <v>1394</v>
      </c>
      <c r="G33" s="65">
        <v>200</v>
      </c>
      <c r="H33" s="66">
        <f>D33+E33+F33+G33</f>
        <v>10498</v>
      </c>
      <c r="I33" s="66">
        <v>10498</v>
      </c>
      <c r="J33" s="66">
        <f>H33-I33</f>
        <v>0</v>
      </c>
      <c r="K33" s="66"/>
      <c r="L33" s="66"/>
      <c r="M33" s="153" t="s">
        <v>246</v>
      </c>
      <c r="O33">
        <f>B72*O30</f>
        <v>900</v>
      </c>
      <c r="Q33">
        <v>6700</v>
      </c>
    </row>
    <row r="34" spans="1:20" x14ac:dyDescent="0.25">
      <c r="A34" s="144" t="s">
        <v>121</v>
      </c>
      <c r="B34" s="121" t="s">
        <v>32</v>
      </c>
      <c r="C34" s="63"/>
      <c r="D34" s="64">
        <f>'DECEMBER 20'!J34:J67</f>
        <v>6337</v>
      </c>
      <c r="E34" s="113">
        <v>6500</v>
      </c>
      <c r="F34" s="113">
        <v>272</v>
      </c>
      <c r="G34" s="65">
        <v>200</v>
      </c>
      <c r="H34" s="66">
        <f t="shared" si="0"/>
        <v>13309</v>
      </c>
      <c r="I34" s="66"/>
      <c r="J34" s="66">
        <f t="shared" si="1"/>
        <v>13309</v>
      </c>
      <c r="K34" s="66"/>
      <c r="L34" s="66"/>
      <c r="M34" s="53"/>
      <c r="O34">
        <f>O30-O33</f>
        <v>17100</v>
      </c>
      <c r="Q34">
        <v>6647</v>
      </c>
    </row>
    <row r="35" spans="1:20" x14ac:dyDescent="0.25">
      <c r="A35" s="60" t="s">
        <v>245</v>
      </c>
      <c r="B35" s="62" t="s">
        <v>33</v>
      </c>
      <c r="C35" s="63"/>
      <c r="D35" s="64">
        <f>'DECEMBER 20'!J35:J68</f>
        <v>1514</v>
      </c>
      <c r="E35" s="113">
        <v>6500</v>
      </c>
      <c r="F35" s="113">
        <v>357</v>
      </c>
      <c r="G35" s="65">
        <v>200</v>
      </c>
      <c r="H35" s="66">
        <f t="shared" si="0"/>
        <v>8571</v>
      </c>
      <c r="I35" s="66">
        <f>1500+5000</f>
        <v>6500</v>
      </c>
      <c r="J35" s="66">
        <f t="shared" si="1"/>
        <v>2071</v>
      </c>
      <c r="K35" s="66"/>
      <c r="L35" s="66"/>
      <c r="M35" s="53"/>
      <c r="O35">
        <f>O34+685</f>
        <v>17785</v>
      </c>
    </row>
    <row r="36" spans="1:20" x14ac:dyDescent="0.25">
      <c r="A36" s="61" t="s">
        <v>89</v>
      </c>
      <c r="B36" s="62" t="s">
        <v>34</v>
      </c>
      <c r="C36" s="63"/>
      <c r="D36" s="64">
        <f>'DECEMBER 20'!J36:J69</f>
        <v>0</v>
      </c>
      <c r="E36" s="113">
        <v>6500</v>
      </c>
      <c r="F36" s="113">
        <v>221</v>
      </c>
      <c r="G36" s="65">
        <v>200</v>
      </c>
      <c r="H36" s="66">
        <f t="shared" si="0"/>
        <v>6921</v>
      </c>
      <c r="I36" s="66">
        <v>6921</v>
      </c>
      <c r="J36" s="66">
        <f t="shared" si="1"/>
        <v>0</v>
      </c>
      <c r="K36" s="66"/>
      <c r="L36" s="66"/>
      <c r="Q36">
        <f>SUM(Q32:Q35)</f>
        <v>31132</v>
      </c>
    </row>
    <row r="37" spans="1:20" x14ac:dyDescent="0.25">
      <c r="A37" s="61" t="s">
        <v>103</v>
      </c>
      <c r="B37" s="62" t="s">
        <v>35</v>
      </c>
      <c r="C37" s="63"/>
      <c r="D37" s="64">
        <f>'DECEMBER 20'!J37:J70</f>
        <v>0</v>
      </c>
      <c r="E37" s="113">
        <v>6500</v>
      </c>
      <c r="F37" s="113">
        <v>680</v>
      </c>
      <c r="G37" s="65">
        <v>200</v>
      </c>
      <c r="H37" s="66">
        <f>D37+E37+F37+G37</f>
        <v>7380</v>
      </c>
      <c r="I37" s="66">
        <v>7380</v>
      </c>
      <c r="J37" s="66">
        <f>H37-I37</f>
        <v>0</v>
      </c>
      <c r="K37" s="66"/>
      <c r="L37" s="66"/>
      <c r="N37">
        <f>6500+200+272</f>
        <v>6972</v>
      </c>
    </row>
    <row r="38" spans="1:20" x14ac:dyDescent="0.25">
      <c r="A38" s="61" t="s">
        <v>138</v>
      </c>
      <c r="B38" s="62" t="s">
        <v>36</v>
      </c>
      <c r="C38" s="63"/>
      <c r="D38" s="64">
        <f>'DECEMBER 20'!J38:J71</f>
        <v>3380</v>
      </c>
      <c r="E38" s="115">
        <v>8000</v>
      </c>
      <c r="F38" s="115">
        <v>500</v>
      </c>
      <c r="G38" s="65">
        <v>200</v>
      </c>
      <c r="H38" s="66">
        <f t="shared" si="0"/>
        <v>12080</v>
      </c>
      <c r="I38" s="66">
        <v>4500</v>
      </c>
      <c r="J38" s="66">
        <f>H38-I38</f>
        <v>7580</v>
      </c>
      <c r="K38" s="66"/>
      <c r="L38" s="66"/>
      <c r="M38">
        <f>2071+408+200+357</f>
        <v>3036</v>
      </c>
      <c r="N38" s="53">
        <f>B72*E34</f>
        <v>325</v>
      </c>
      <c r="O38" s="53">
        <f>B72*E24</f>
        <v>325</v>
      </c>
    </row>
    <row r="39" spans="1:20" x14ac:dyDescent="0.25">
      <c r="A39" s="61"/>
      <c r="B39" s="114"/>
      <c r="C39" s="63"/>
      <c r="D39" s="64">
        <f>'DECEMBER 20'!J39:J72</f>
        <v>0</v>
      </c>
      <c r="E39" s="115"/>
      <c r="F39" s="115"/>
      <c r="G39" s="65"/>
      <c r="H39" s="66">
        <f t="shared" si="0"/>
        <v>0</v>
      </c>
      <c r="I39" s="66">
        <f>SUM(D39:H39)</f>
        <v>0</v>
      </c>
      <c r="J39" s="66">
        <f>H39-I39</f>
        <v>0</v>
      </c>
      <c r="K39" s="66"/>
      <c r="L39" s="66"/>
      <c r="N39" s="53">
        <f>N37-N38</f>
        <v>6647</v>
      </c>
    </row>
    <row r="40" spans="1:20" x14ac:dyDescent="0.25">
      <c r="A40" s="116" t="s">
        <v>10</v>
      </c>
      <c r="B40" s="60"/>
      <c r="C40" s="63">
        <f t="shared" ref="C40:L40" si="2">SUM(C6:C39)</f>
        <v>0</v>
      </c>
      <c r="D40" s="64">
        <f>SUM(D6:D39)</f>
        <v>84517</v>
      </c>
      <c r="E40" s="117">
        <f>SUM(E6:E39)</f>
        <v>197000</v>
      </c>
      <c r="F40" s="118">
        <f>SUM(F6:F39)</f>
        <v>14763</v>
      </c>
      <c r="G40" s="130">
        <f t="shared" si="2"/>
        <v>6000</v>
      </c>
      <c r="H40" s="66">
        <f>SUM(H6:H39)</f>
        <v>309007</v>
      </c>
      <c r="I40" s="131">
        <f>SUM(I6:I39)</f>
        <v>189325</v>
      </c>
      <c r="J40" s="131">
        <f>SUM(J6:J39)</f>
        <v>119682</v>
      </c>
      <c r="K40" s="131">
        <f t="shared" si="2"/>
        <v>0</v>
      </c>
      <c r="L40" s="131">
        <f t="shared" si="2"/>
        <v>1000</v>
      </c>
      <c r="N40" s="151">
        <f>714/2</f>
        <v>357</v>
      </c>
      <c r="O40">
        <f>6000-300</f>
        <v>5700</v>
      </c>
    </row>
    <row r="41" spans="1:20" x14ac:dyDescent="0.25">
      <c r="A41" s="18"/>
      <c r="B41" s="18"/>
      <c r="C41" s="64"/>
      <c r="D41" s="41" t="s">
        <v>213</v>
      </c>
      <c r="E41" s="18"/>
      <c r="F41" s="120" t="s">
        <v>147</v>
      </c>
      <c r="G41" s="18" t="s">
        <v>149</v>
      </c>
      <c r="H41" s="18"/>
      <c r="I41" s="18"/>
      <c r="J41" s="18"/>
      <c r="K41" s="18"/>
      <c r="L41" s="18"/>
    </row>
    <row r="42" spans="1:20" x14ac:dyDescent="0.25">
      <c r="A42" s="79"/>
    </row>
    <row r="43" spans="1:20" x14ac:dyDescent="0.25">
      <c r="A43" s="18"/>
    </row>
    <row r="44" spans="1:20" x14ac:dyDescent="0.25">
      <c r="A44" s="18"/>
      <c r="M44">
        <f>M38-500</f>
        <v>2536</v>
      </c>
    </row>
    <row r="45" spans="1:20" x14ac:dyDescent="0.25">
      <c r="A45" s="18"/>
      <c r="K45" s="53"/>
      <c r="M45">
        <f>272+85+680</f>
        <v>1037</v>
      </c>
      <c r="O45" s="18" t="s">
        <v>267</v>
      </c>
      <c r="P45" s="18"/>
      <c r="Q45" s="132">
        <f>H23</f>
        <v>6770</v>
      </c>
      <c r="R45" s="41"/>
      <c r="S45" s="136">
        <v>6000</v>
      </c>
      <c r="T45" s="132">
        <f>Q45-S45</f>
        <v>770</v>
      </c>
    </row>
    <row r="46" spans="1:20" x14ac:dyDescent="0.25">
      <c r="A46" s="18"/>
      <c r="K46" s="53">
        <f>18000+6500+6000+6500</f>
        <v>37000</v>
      </c>
      <c r="M46">
        <v>600</v>
      </c>
      <c r="O46" s="18" t="s">
        <v>268</v>
      </c>
      <c r="P46" s="18"/>
      <c r="Q46" s="47">
        <v>7098</v>
      </c>
      <c r="R46" s="41"/>
      <c r="S46" s="137">
        <v>7098</v>
      </c>
      <c r="T46" s="132">
        <f t="shared" ref="T46:T59" si="3">Q46-S46</f>
        <v>0</v>
      </c>
    </row>
    <row r="47" spans="1:20" x14ac:dyDescent="0.25">
      <c r="A47" s="18"/>
      <c r="K47" s="53">
        <f>B72*K46</f>
        <v>1850</v>
      </c>
      <c r="M47">
        <v>400</v>
      </c>
      <c r="O47" t="s">
        <v>304</v>
      </c>
      <c r="P47" s="18"/>
      <c r="Q47" s="132">
        <v>7000</v>
      </c>
      <c r="R47" s="41"/>
      <c r="S47" s="137">
        <v>7000</v>
      </c>
      <c r="T47" s="132">
        <f t="shared" si="3"/>
        <v>0</v>
      </c>
    </row>
    <row r="48" spans="1:20" x14ac:dyDescent="0.25">
      <c r="A48" s="18"/>
      <c r="K48" s="53">
        <f>K46-K47</f>
        <v>35150</v>
      </c>
      <c r="M48">
        <v>1000</v>
      </c>
      <c r="O48" s="18" t="s">
        <v>298</v>
      </c>
      <c r="Q48" s="132"/>
      <c r="R48" s="41"/>
      <c r="S48" s="137"/>
      <c r="T48" s="132">
        <f t="shared" si="3"/>
        <v>0</v>
      </c>
    </row>
    <row r="49" spans="1:20" x14ac:dyDescent="0.25">
      <c r="A49" s="18"/>
      <c r="F49">
        <f>18520</f>
        <v>18520</v>
      </c>
      <c r="K49" s="53">
        <f>K48+M49</f>
        <v>38187</v>
      </c>
      <c r="M49">
        <f>SUM(M45:M48)</f>
        <v>3037</v>
      </c>
      <c r="O49" s="18" t="s">
        <v>270</v>
      </c>
      <c r="P49" s="47"/>
      <c r="Q49" s="132"/>
      <c r="R49" s="41"/>
      <c r="S49" s="137"/>
      <c r="T49" s="132">
        <f t="shared" si="3"/>
        <v>0</v>
      </c>
    </row>
    <row r="50" spans="1:20" x14ac:dyDescent="0.25">
      <c r="A50" s="18"/>
      <c r="F50">
        <f>6*3000</f>
        <v>18000</v>
      </c>
      <c r="O50" s="18" t="s">
        <v>271</v>
      </c>
      <c r="P50" s="125"/>
      <c r="Q50" s="132">
        <f>H29</f>
        <v>12334</v>
      </c>
      <c r="R50" s="41"/>
      <c r="S50" s="137">
        <v>1000</v>
      </c>
      <c r="T50" s="132">
        <f t="shared" si="3"/>
        <v>11334</v>
      </c>
    </row>
    <row r="51" spans="1:20" x14ac:dyDescent="0.25">
      <c r="A51" s="18"/>
      <c r="F51">
        <f>F49+F50</f>
        <v>36520</v>
      </c>
      <c r="O51" s="125" t="s">
        <v>280</v>
      </c>
      <c r="P51" s="125"/>
      <c r="Q51" s="132">
        <v>10498</v>
      </c>
      <c r="R51" s="41"/>
      <c r="S51" s="137">
        <v>10498</v>
      </c>
      <c r="T51" s="132">
        <f t="shared" si="3"/>
        <v>0</v>
      </c>
    </row>
    <row r="52" spans="1:20" x14ac:dyDescent="0.25">
      <c r="A52" s="18"/>
      <c r="O52" s="18" t="s">
        <v>272</v>
      </c>
      <c r="P52" s="18"/>
      <c r="Q52" s="132">
        <f>H25</f>
        <v>7992</v>
      </c>
      <c r="R52" s="41"/>
      <c r="S52" s="150">
        <v>7900</v>
      </c>
      <c r="T52" s="132">
        <f t="shared" si="3"/>
        <v>92</v>
      </c>
    </row>
    <row r="53" spans="1:20" x14ac:dyDescent="0.25">
      <c r="A53" s="18"/>
      <c r="O53" s="142" t="s">
        <v>290</v>
      </c>
      <c r="P53" s="18"/>
      <c r="Q53" s="132"/>
      <c r="R53" s="41"/>
      <c r="S53" s="150"/>
      <c r="T53" s="132">
        <f t="shared" si="3"/>
        <v>0</v>
      </c>
    </row>
    <row r="54" spans="1:20" x14ac:dyDescent="0.25">
      <c r="A54" s="18"/>
      <c r="J54" s="53"/>
      <c r="O54" s="142" t="s">
        <v>292</v>
      </c>
      <c r="P54" s="18"/>
      <c r="Q54" s="132">
        <f>H10</f>
        <v>7810</v>
      </c>
      <c r="R54" s="41"/>
      <c r="S54" s="150">
        <v>6500</v>
      </c>
      <c r="T54" s="132">
        <f t="shared" si="3"/>
        <v>1310</v>
      </c>
    </row>
    <row r="55" spans="1:20" x14ac:dyDescent="0.25">
      <c r="A55" s="18"/>
      <c r="J55" s="53"/>
      <c r="O55" s="142" t="s">
        <v>293</v>
      </c>
      <c r="P55" s="18"/>
      <c r="Q55" s="132">
        <f>H12</f>
        <v>7250</v>
      </c>
      <c r="R55" s="41"/>
      <c r="S55" s="150">
        <v>7250</v>
      </c>
      <c r="T55" s="132">
        <f t="shared" si="3"/>
        <v>0</v>
      </c>
    </row>
    <row r="56" spans="1:20" x14ac:dyDescent="0.25">
      <c r="A56" s="18"/>
      <c r="K56" s="53"/>
      <c r="O56" s="18" t="s">
        <v>295</v>
      </c>
      <c r="P56" s="18"/>
      <c r="Q56" s="132"/>
      <c r="R56" s="41"/>
      <c r="S56" s="150"/>
      <c r="T56" s="132">
        <f t="shared" si="3"/>
        <v>0</v>
      </c>
    </row>
    <row r="57" spans="1:20" x14ac:dyDescent="0.25">
      <c r="A57" s="18"/>
      <c r="O57" s="18" t="s">
        <v>296</v>
      </c>
      <c r="P57" s="18"/>
      <c r="Q57" s="132">
        <f>H27</f>
        <v>7329</v>
      </c>
      <c r="R57" s="41"/>
      <c r="S57" s="138">
        <v>7000</v>
      </c>
      <c r="T57" s="132">
        <f t="shared" si="3"/>
        <v>329</v>
      </c>
    </row>
    <row r="58" spans="1:20" x14ac:dyDescent="0.25">
      <c r="A58" s="18"/>
      <c r="O58" s="142" t="s">
        <v>297</v>
      </c>
      <c r="P58" s="18"/>
      <c r="Q58" s="132">
        <f>H14</f>
        <v>6404</v>
      </c>
      <c r="R58" s="41"/>
      <c r="S58" s="137">
        <v>6700</v>
      </c>
      <c r="T58" s="132">
        <f t="shared" si="3"/>
        <v>-296</v>
      </c>
    </row>
    <row r="59" spans="1:20" x14ac:dyDescent="0.25">
      <c r="A59" s="134"/>
      <c r="O59" s="142" t="s">
        <v>276</v>
      </c>
      <c r="P59" s="18"/>
      <c r="Q59" s="132">
        <f>H24</f>
        <v>19836</v>
      </c>
      <c r="R59" s="41"/>
      <c r="S59" s="137">
        <f>5000+5000</f>
        <v>10000</v>
      </c>
      <c r="T59" s="132">
        <f t="shared" si="3"/>
        <v>9836</v>
      </c>
    </row>
    <row r="60" spans="1:20" x14ac:dyDescent="0.25">
      <c r="L60">
        <f>2652+600</f>
        <v>3252</v>
      </c>
      <c r="O60" s="142" t="s">
        <v>282</v>
      </c>
      <c r="P60" s="18"/>
      <c r="Q60" s="132">
        <f>H38</f>
        <v>12080</v>
      </c>
      <c r="R60" s="41"/>
      <c r="S60" s="137">
        <v>4500</v>
      </c>
      <c r="T60" s="132">
        <f>Q60-S60</f>
        <v>7580</v>
      </c>
    </row>
    <row r="61" spans="1:20" x14ac:dyDescent="0.25">
      <c r="A61" s="85" t="s">
        <v>12</v>
      </c>
      <c r="B61" s="85"/>
      <c r="C61" s="85"/>
      <c r="D61" s="86"/>
      <c r="E61" s="82"/>
      <c r="F61" s="85" t="s">
        <v>8</v>
      </c>
      <c r="G61" s="85"/>
      <c r="H61" s="85"/>
      <c r="I61" s="79"/>
      <c r="J61" s="79"/>
      <c r="K61" s="79"/>
      <c r="L61" s="154">
        <f>L60-P73</f>
        <v>221</v>
      </c>
      <c r="O61" s="18" t="s">
        <v>23</v>
      </c>
      <c r="P61" s="41"/>
      <c r="Q61" s="132">
        <f>SUM(Q45:Q60)</f>
        <v>112401</v>
      </c>
      <c r="R61" s="41"/>
      <c r="S61" s="137">
        <f>SUM(S45:S60)</f>
        <v>81446</v>
      </c>
      <c r="T61" s="132">
        <f>Q61-S61</f>
        <v>30955</v>
      </c>
    </row>
    <row r="62" spans="1:20" x14ac:dyDescent="0.25">
      <c r="A62" s="87" t="s">
        <v>13</v>
      </c>
      <c r="B62" s="87" t="s">
        <v>14</v>
      </c>
      <c r="C62" s="87" t="s">
        <v>15</v>
      </c>
      <c r="D62" s="87" t="s">
        <v>16</v>
      </c>
      <c r="E62" s="87"/>
      <c r="F62" s="87" t="s">
        <v>13</v>
      </c>
      <c r="G62" s="87"/>
      <c r="H62" s="87" t="s">
        <v>265</v>
      </c>
      <c r="I62" s="87" t="s">
        <v>15</v>
      </c>
      <c r="J62" s="87" t="s">
        <v>16</v>
      </c>
      <c r="K62" s="87"/>
      <c r="L62" s="73"/>
      <c r="O62" s="133"/>
      <c r="P62" s="133"/>
      <c r="Q62" s="47"/>
      <c r="R62" s="18"/>
      <c r="S62" s="47"/>
      <c r="T62" s="18"/>
    </row>
    <row r="63" spans="1:20" x14ac:dyDescent="0.25">
      <c r="A63" s="60" t="s">
        <v>115</v>
      </c>
      <c r="B63" s="88">
        <f>E40</f>
        <v>197000</v>
      </c>
      <c r="C63" s="60"/>
      <c r="D63" s="60"/>
      <c r="E63" s="60"/>
      <c r="F63" s="60" t="s">
        <v>115</v>
      </c>
      <c r="G63" s="60"/>
      <c r="H63" s="89">
        <f>I40</f>
        <v>189325</v>
      </c>
      <c r="I63" s="60"/>
      <c r="J63" s="60"/>
      <c r="K63" s="60"/>
      <c r="L63" s="74"/>
      <c r="N63" t="s">
        <v>22</v>
      </c>
    </row>
    <row r="64" spans="1:20" x14ac:dyDescent="0.25">
      <c r="A64" s="60" t="s">
        <v>18</v>
      </c>
      <c r="B64" s="88">
        <f>NOVEMBER20!D72</f>
        <v>7</v>
      </c>
      <c r="C64" s="60"/>
      <c r="D64" s="60"/>
      <c r="E64" s="60"/>
      <c r="F64" s="60" t="s">
        <v>18</v>
      </c>
      <c r="G64" s="60"/>
      <c r="H64" s="88">
        <f>'DECEMBER 20'!J77</f>
        <v>-77214</v>
      </c>
      <c r="I64" s="60"/>
      <c r="J64" s="60"/>
      <c r="K64" s="60"/>
      <c r="L64" s="74"/>
    </row>
    <row r="65" spans="1:18" x14ac:dyDescent="0.25">
      <c r="A65" s="60" t="s">
        <v>19</v>
      </c>
      <c r="B65" s="88">
        <f>C40</f>
        <v>0</v>
      </c>
      <c r="C65" s="60"/>
      <c r="D65" s="60"/>
      <c r="E65" s="60"/>
      <c r="F65" s="60"/>
      <c r="G65" s="60"/>
      <c r="H65" s="60"/>
      <c r="I65" s="60"/>
      <c r="J65" s="60"/>
      <c r="K65" s="60"/>
      <c r="L65" s="74"/>
      <c r="O65" t="s">
        <v>311</v>
      </c>
    </row>
    <row r="66" spans="1:18" x14ac:dyDescent="0.25">
      <c r="A66" s="60" t="s">
        <v>63</v>
      </c>
      <c r="B66" s="88">
        <f>F40</f>
        <v>14763</v>
      </c>
      <c r="C66" s="60"/>
      <c r="D66" s="60"/>
      <c r="E66" s="60"/>
      <c r="F66" s="60"/>
      <c r="G66" s="60"/>
      <c r="H66" s="60"/>
      <c r="I66" s="60"/>
      <c r="J66" s="60"/>
      <c r="K66" s="60"/>
      <c r="L66" s="74"/>
    </row>
    <row r="67" spans="1:18" x14ac:dyDescent="0.25">
      <c r="A67" s="60" t="s">
        <v>62</v>
      </c>
      <c r="B67" s="88">
        <f>K40</f>
        <v>0</v>
      </c>
      <c r="C67" s="60"/>
      <c r="D67" s="60"/>
      <c r="E67" s="60"/>
      <c r="F67" s="60"/>
      <c r="G67" s="60"/>
      <c r="H67" s="60"/>
      <c r="I67" s="60"/>
      <c r="J67" s="60"/>
      <c r="K67" s="60"/>
      <c r="L67" s="74"/>
      <c r="N67" t="s">
        <v>196</v>
      </c>
      <c r="O67" t="s">
        <v>193</v>
      </c>
      <c r="P67" s="53">
        <f>H37</f>
        <v>7380</v>
      </c>
      <c r="R67" s="53"/>
    </row>
    <row r="68" spans="1:18" x14ac:dyDescent="0.25">
      <c r="A68" s="60" t="s">
        <v>96</v>
      </c>
      <c r="B68" s="88">
        <f>G40</f>
        <v>6000</v>
      </c>
      <c r="C68" s="60"/>
      <c r="D68" s="60"/>
      <c r="E68" s="60"/>
      <c r="F68" s="60" t="s">
        <v>126</v>
      </c>
      <c r="G68" s="60"/>
      <c r="H68" s="60"/>
      <c r="I68" s="60"/>
      <c r="J68" s="60"/>
      <c r="K68" s="60"/>
      <c r="L68" s="74"/>
      <c r="N68" t="s">
        <v>262</v>
      </c>
      <c r="O68" t="s">
        <v>194</v>
      </c>
      <c r="P68" s="53">
        <f>H12</f>
        <v>7250</v>
      </c>
    </row>
    <row r="69" spans="1:18" x14ac:dyDescent="0.25">
      <c r="A69" s="60" t="s">
        <v>167</v>
      </c>
      <c r="B69" s="88"/>
      <c r="C69" s="60"/>
      <c r="D69" s="60"/>
      <c r="E69" s="60"/>
      <c r="F69" s="60" t="s">
        <v>167</v>
      </c>
      <c r="G69" s="88"/>
      <c r="J69" s="60"/>
      <c r="K69" s="60"/>
      <c r="L69" s="74"/>
      <c r="N69" t="s">
        <v>300</v>
      </c>
      <c r="O69" t="s">
        <v>305</v>
      </c>
      <c r="P69">
        <v>7000</v>
      </c>
    </row>
    <row r="70" spans="1:18" x14ac:dyDescent="0.25">
      <c r="A70" s="60" t="s">
        <v>126</v>
      </c>
      <c r="B70" s="89">
        <f>L40</f>
        <v>1000</v>
      </c>
      <c r="C70" s="88"/>
      <c r="D70" s="60"/>
      <c r="E70" s="60"/>
      <c r="F70" s="60"/>
      <c r="G70" s="60"/>
      <c r="H70" s="60"/>
      <c r="I70" s="88"/>
      <c r="J70" s="88"/>
      <c r="K70" s="88"/>
      <c r="L70" s="75"/>
      <c r="N70" t="s">
        <v>197</v>
      </c>
      <c r="O70" t="s">
        <v>192</v>
      </c>
      <c r="P70" s="53">
        <v>10498</v>
      </c>
    </row>
    <row r="71" spans="1:18" x14ac:dyDescent="0.25">
      <c r="A71" s="87" t="s">
        <v>21</v>
      </c>
      <c r="B71" s="60" t="s">
        <v>22</v>
      </c>
      <c r="C71" s="60"/>
      <c r="D71" s="60"/>
      <c r="E71" s="60"/>
      <c r="F71" s="87" t="s">
        <v>21</v>
      </c>
      <c r="G71" s="87"/>
      <c r="H71" s="87"/>
      <c r="I71" s="60"/>
      <c r="J71" s="60"/>
      <c r="K71" s="60"/>
      <c r="L71" s="74"/>
      <c r="N71" t="s">
        <v>307</v>
      </c>
      <c r="O71" t="s">
        <v>183</v>
      </c>
      <c r="P71" s="53">
        <v>7098</v>
      </c>
    </row>
    <row r="72" spans="1:18" x14ac:dyDescent="0.25">
      <c r="A72" s="91" t="s">
        <v>111</v>
      </c>
      <c r="B72" s="90">
        <v>0.05</v>
      </c>
      <c r="C72" s="89">
        <f>B72*E40</f>
        <v>9850</v>
      </c>
      <c r="D72" s="60"/>
      <c r="E72" s="60"/>
      <c r="F72" s="91" t="s">
        <v>111</v>
      </c>
      <c r="G72" s="91"/>
      <c r="H72" s="90">
        <v>0.05</v>
      </c>
      <c r="I72" s="89">
        <f>H72*E40</f>
        <v>9850</v>
      </c>
      <c r="J72" s="60"/>
      <c r="K72" s="60"/>
      <c r="L72" s="74"/>
      <c r="N72" t="s">
        <v>187</v>
      </c>
      <c r="O72" t="s">
        <v>312</v>
      </c>
      <c r="P72" s="53">
        <v>570</v>
      </c>
    </row>
    <row r="73" spans="1:18" x14ac:dyDescent="0.25">
      <c r="A73" s="135"/>
      <c r="B73" s="93"/>
      <c r="D73" s="89"/>
      <c r="E73" s="89"/>
      <c r="F73" s="135"/>
      <c r="G73" s="93"/>
      <c r="K73" s="89"/>
      <c r="L73" s="76"/>
      <c r="N73" t="s">
        <v>318</v>
      </c>
      <c r="O73" t="s">
        <v>319</v>
      </c>
      <c r="P73" s="53">
        <v>3031</v>
      </c>
    </row>
    <row r="74" spans="1:18" x14ac:dyDescent="0.25">
      <c r="A74" s="135" t="s">
        <v>301</v>
      </c>
      <c r="B74" s="90"/>
      <c r="C74" s="89">
        <v>170700</v>
      </c>
      <c r="D74" s="60"/>
      <c r="E74" s="60"/>
      <c r="F74" s="135" t="s">
        <v>301</v>
      </c>
      <c r="G74" s="90"/>
      <c r="H74" s="89"/>
      <c r="I74" s="89">
        <v>170700</v>
      </c>
      <c r="J74" s="60"/>
      <c r="K74" s="60"/>
      <c r="L74" s="74"/>
    </row>
    <row r="75" spans="1:18" x14ac:dyDescent="0.25">
      <c r="A75" s="60"/>
      <c r="B75" s="60"/>
      <c r="C75" s="94"/>
      <c r="D75" s="60"/>
      <c r="E75" s="60"/>
      <c r="F75" s="94"/>
      <c r="G75" s="94"/>
      <c r="H75" s="60"/>
      <c r="I75" s="94"/>
      <c r="J75" s="60"/>
      <c r="K75" s="60"/>
      <c r="L75" s="74"/>
      <c r="P75" s="53">
        <f>SUM(P67:P73)</f>
        <v>42827</v>
      </c>
    </row>
    <row r="76" spans="1:18" x14ac:dyDescent="0.25">
      <c r="A76" s="60"/>
      <c r="B76" s="60"/>
      <c r="C76" s="94"/>
      <c r="D76" s="60"/>
      <c r="E76" s="60"/>
      <c r="F76" s="60"/>
      <c r="G76" s="60"/>
      <c r="H76" s="94"/>
      <c r="I76" s="94"/>
      <c r="J76" s="60"/>
      <c r="K76" s="60"/>
      <c r="L76" s="74"/>
      <c r="R76" s="53">
        <f>P75-P85</f>
        <v>4640</v>
      </c>
    </row>
    <row r="77" spans="1:18" x14ac:dyDescent="0.25">
      <c r="A77" s="92"/>
      <c r="B77" s="60"/>
      <c r="C77" s="89"/>
      <c r="D77" s="60"/>
      <c r="E77" s="60"/>
      <c r="F77" s="60"/>
      <c r="G77" s="89"/>
      <c r="H77" s="91"/>
      <c r="I77" s="89"/>
      <c r="J77" s="89"/>
      <c r="K77" s="89"/>
      <c r="L77" s="76"/>
    </row>
    <row r="78" spans="1:18" x14ac:dyDescent="0.25">
      <c r="A78" s="87" t="s">
        <v>23</v>
      </c>
      <c r="B78" s="96">
        <f>B63+B64+B65+B66+B67+B68+B70+B69</f>
        <v>218770</v>
      </c>
      <c r="C78" s="96">
        <f>SUM(C72:C77)</f>
        <v>180550</v>
      </c>
      <c r="D78" s="96">
        <f>B78-C78</f>
        <v>38220</v>
      </c>
      <c r="E78" s="96"/>
      <c r="F78" s="87"/>
      <c r="G78" s="87"/>
      <c r="H78" s="96">
        <f>H63+H64+H66+H68+H69</f>
        <v>112111</v>
      </c>
      <c r="I78" s="96">
        <f>SUM(I72:I77)</f>
        <v>180550</v>
      </c>
      <c r="J78" s="96">
        <f>H78-I78</f>
        <v>-68439</v>
      </c>
      <c r="K78" s="96"/>
      <c r="L78" s="77"/>
      <c r="R78" s="53"/>
    </row>
    <row r="79" spans="1:18" x14ac:dyDescent="0.25">
      <c r="A79" s="79"/>
      <c r="B79" s="79"/>
      <c r="C79" s="79"/>
      <c r="D79" s="79"/>
      <c r="E79" s="79"/>
      <c r="F79" s="79"/>
      <c r="G79" s="79"/>
      <c r="H79" s="79"/>
      <c r="I79" s="119">
        <f>I78-I72</f>
        <v>170700</v>
      </c>
      <c r="J79" s="79"/>
      <c r="K79" s="79"/>
      <c r="L79" s="71"/>
    </row>
    <row r="80" spans="1:18" x14ac:dyDescent="0.25">
      <c r="A80" s="97" t="s">
        <v>24</v>
      </c>
      <c r="B80" s="98"/>
      <c r="C80" s="98" t="s">
        <v>25</v>
      </c>
      <c r="D80" s="99"/>
      <c r="E80" s="99"/>
      <c r="F80" s="97"/>
      <c r="G80" s="97"/>
      <c r="H80" s="97" t="s">
        <v>26</v>
      </c>
      <c r="I80" s="79"/>
      <c r="J80" s="79"/>
      <c r="K80" s="79"/>
      <c r="L80" s="71"/>
      <c r="O80" t="s">
        <v>308</v>
      </c>
      <c r="P80" s="53"/>
      <c r="Q80" s="53"/>
    </row>
    <row r="81" spans="1:16" x14ac:dyDescent="0.25">
      <c r="A81" s="79" t="s">
        <v>104</v>
      </c>
      <c r="B81" s="79"/>
      <c r="C81" s="79" t="s">
        <v>105</v>
      </c>
      <c r="D81" s="79"/>
      <c r="E81" s="79"/>
      <c r="F81" s="79"/>
      <c r="G81" s="79"/>
      <c r="H81" s="79" t="s">
        <v>27</v>
      </c>
      <c r="I81" s="79"/>
      <c r="J81" s="79"/>
      <c r="K81" s="119"/>
      <c r="L81" s="71"/>
      <c r="M81" s="5"/>
      <c r="N81" t="s">
        <v>309</v>
      </c>
      <c r="P81" s="53">
        <v>17785</v>
      </c>
    </row>
    <row r="82" spans="1:16" x14ac:dyDescent="0.25">
      <c r="N82" t="s">
        <v>320</v>
      </c>
      <c r="P82">
        <v>6700</v>
      </c>
    </row>
    <row r="83" spans="1:16" x14ac:dyDescent="0.25">
      <c r="N83" t="s">
        <v>310</v>
      </c>
      <c r="P83">
        <v>6647</v>
      </c>
    </row>
    <row r="84" spans="1:16" x14ac:dyDescent="0.25">
      <c r="N84" s="5" t="s">
        <v>313</v>
      </c>
      <c r="P84">
        <v>7055</v>
      </c>
    </row>
    <row r="85" spans="1:16" x14ac:dyDescent="0.25">
      <c r="N85" t="s">
        <v>23</v>
      </c>
      <c r="P85" s="53">
        <f>SUM(P81:P84)</f>
        <v>38187</v>
      </c>
    </row>
    <row r="87" spans="1:16" x14ac:dyDescent="0.25">
      <c r="F87">
        <f>7250+7380</f>
        <v>14630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1"/>
  <sheetViews>
    <sheetView topLeftCell="A23" workbookViewId="0">
      <selection activeCell="O41" sqref="O41"/>
    </sheetView>
  </sheetViews>
  <sheetFormatPr defaultRowHeight="15" x14ac:dyDescent="0.25"/>
  <cols>
    <col min="1" max="1" width="15.5703125" customWidth="1"/>
    <col min="2" max="2" width="9" customWidth="1"/>
    <col min="3" max="3" width="9.85546875" customWidth="1"/>
    <col min="4" max="4" width="8.42578125" customWidth="1"/>
    <col min="5" max="6" width="8" customWidth="1"/>
    <col min="7" max="7" width="7.28515625" customWidth="1"/>
    <col min="8" max="8" width="9.140625" customWidth="1"/>
    <col min="9" max="9" width="9.5703125" customWidth="1"/>
    <col min="10" max="10" width="8.5703125" customWidth="1"/>
    <col min="13" max="13" width="9.42578125" customWidth="1"/>
    <col min="15" max="15" width="14.140625" customWidth="1"/>
    <col min="17" max="17" width="11.42578125" customWidth="1"/>
  </cols>
  <sheetData>
    <row r="1" spans="1:14" x14ac:dyDescent="0.25">
      <c r="C1" s="71"/>
      <c r="D1" s="71"/>
      <c r="E1" s="71"/>
      <c r="F1" s="71"/>
      <c r="G1" s="71"/>
      <c r="I1" s="71"/>
      <c r="J1" s="71"/>
      <c r="K1" s="71"/>
      <c r="L1" s="71"/>
    </row>
    <row r="2" spans="1:14" ht="15.75" x14ac:dyDescent="0.25">
      <c r="C2" s="100"/>
      <c r="D2" s="100"/>
      <c r="E2" s="100" t="s">
        <v>27</v>
      </c>
      <c r="F2" s="79"/>
      <c r="G2" s="100"/>
      <c r="H2" s="101"/>
      <c r="I2" s="79"/>
      <c r="J2" s="79"/>
      <c r="K2" s="79"/>
      <c r="L2" s="79"/>
    </row>
    <row r="3" spans="1:14" ht="15.75" x14ac:dyDescent="0.25">
      <c r="A3" s="79"/>
      <c r="B3" s="100"/>
      <c r="C3" s="100"/>
      <c r="D3" s="100"/>
      <c r="E3" s="100" t="s">
        <v>0</v>
      </c>
      <c r="F3" s="100"/>
      <c r="G3" s="71"/>
      <c r="H3" s="102"/>
      <c r="I3" s="79"/>
      <c r="J3" s="79"/>
      <c r="K3" s="79"/>
      <c r="L3" s="79"/>
    </row>
    <row r="4" spans="1:14" ht="18.75" x14ac:dyDescent="0.3">
      <c r="A4" s="103"/>
      <c r="B4" s="79"/>
      <c r="D4" s="100" t="s">
        <v>306</v>
      </c>
      <c r="E4" s="100"/>
      <c r="G4" s="100"/>
      <c r="H4" s="104"/>
      <c r="I4" s="105"/>
      <c r="J4" s="105"/>
      <c r="K4" s="105"/>
      <c r="L4" s="105"/>
    </row>
    <row r="5" spans="1:14" x14ac:dyDescent="0.25">
      <c r="A5" s="106" t="s">
        <v>2</v>
      </c>
      <c r="B5" s="106" t="s">
        <v>3</v>
      </c>
      <c r="C5" s="106" t="s">
        <v>4</v>
      </c>
      <c r="D5" s="107" t="s">
        <v>5</v>
      </c>
      <c r="E5" s="106" t="s">
        <v>6</v>
      </c>
      <c r="F5" s="123" t="s">
        <v>63</v>
      </c>
      <c r="G5" s="106" t="s">
        <v>96</v>
      </c>
      <c r="H5" s="108" t="s">
        <v>7</v>
      </c>
      <c r="I5" s="106" t="s">
        <v>8</v>
      </c>
      <c r="J5" s="106" t="s">
        <v>9</v>
      </c>
      <c r="K5" s="106" t="s">
        <v>91</v>
      </c>
      <c r="L5" s="106" t="s">
        <v>123</v>
      </c>
    </row>
    <row r="6" spans="1:14" x14ac:dyDescent="0.25">
      <c r="A6" s="144" t="s">
        <v>61</v>
      </c>
      <c r="B6" s="149" t="s">
        <v>52</v>
      </c>
      <c r="C6" s="63"/>
      <c r="D6" s="122">
        <f>'JANUARY 21'!J6:J40</f>
        <v>19744</v>
      </c>
      <c r="E6" s="66"/>
      <c r="F6" s="124"/>
      <c r="G6" s="66"/>
      <c r="H6" s="66">
        <f>D6+E6+F6+G6</f>
        <v>19744</v>
      </c>
      <c r="I6" s="66"/>
      <c r="J6" s="66">
        <f>H6-I6</f>
        <v>19744</v>
      </c>
      <c r="K6" s="66"/>
      <c r="L6" s="66"/>
      <c r="M6" t="s">
        <v>110</v>
      </c>
    </row>
    <row r="7" spans="1:14" x14ac:dyDescent="0.25">
      <c r="A7" s="59" t="s">
        <v>64</v>
      </c>
      <c r="B7" s="68" t="s">
        <v>51</v>
      </c>
      <c r="C7" s="63"/>
      <c r="D7" s="64">
        <f>'JANUARY 21'!J7:J41</f>
        <v>2165</v>
      </c>
      <c r="E7" s="65">
        <v>6000</v>
      </c>
      <c r="F7" s="113">
        <v>765</v>
      </c>
      <c r="G7" s="65">
        <v>200</v>
      </c>
      <c r="H7" s="66">
        <f t="shared" ref="H7:H39" si="0">D7+E7+F7+G7</f>
        <v>9130</v>
      </c>
      <c r="I7" s="66">
        <f>7000</f>
        <v>7000</v>
      </c>
      <c r="J7" s="66">
        <f>H7-I7</f>
        <v>2130</v>
      </c>
      <c r="K7" s="66"/>
      <c r="L7" s="66"/>
    </row>
    <row r="8" spans="1:14" x14ac:dyDescent="0.25">
      <c r="A8" s="59" t="s">
        <v>65</v>
      </c>
      <c r="B8" s="68" t="s">
        <v>54</v>
      </c>
      <c r="C8" s="63"/>
      <c r="D8" s="64">
        <f>'JANUARY 21'!J8:J42</f>
        <v>0</v>
      </c>
      <c r="E8" s="65"/>
      <c r="F8" s="113"/>
      <c r="G8" s="65"/>
      <c r="H8" s="66">
        <f t="shared" si="0"/>
        <v>0</v>
      </c>
      <c r="I8" s="66"/>
      <c r="J8" s="66">
        <f>H8-I8</f>
        <v>0</v>
      </c>
      <c r="K8" s="66"/>
      <c r="L8" s="66"/>
    </row>
    <row r="9" spans="1:14" x14ac:dyDescent="0.25">
      <c r="A9" s="120" t="s">
        <v>128</v>
      </c>
      <c r="B9" s="149" t="s">
        <v>50</v>
      </c>
      <c r="C9" s="146"/>
      <c r="D9" s="122">
        <f>'JANUARY 21'!J29</f>
        <v>10334</v>
      </c>
      <c r="E9" s="64"/>
      <c r="F9" s="115"/>
      <c r="G9" s="65"/>
      <c r="H9" s="66">
        <f t="shared" si="0"/>
        <v>10334</v>
      </c>
      <c r="I9" s="66"/>
      <c r="J9" s="66">
        <f>H9-I9</f>
        <v>10334</v>
      </c>
      <c r="K9" s="66"/>
      <c r="L9" s="66"/>
    </row>
    <row r="10" spans="1:14" x14ac:dyDescent="0.25">
      <c r="A10" s="59" t="s">
        <v>151</v>
      </c>
      <c r="B10" s="68" t="s">
        <v>49</v>
      </c>
      <c r="C10" s="146"/>
      <c r="D10" s="64">
        <f>'JANUARY 21'!J10:J44</f>
        <v>1310</v>
      </c>
      <c r="E10" s="65">
        <v>6000</v>
      </c>
      <c r="F10" s="113">
        <v>510</v>
      </c>
      <c r="G10" s="65">
        <v>200</v>
      </c>
      <c r="H10" s="66">
        <f t="shared" si="0"/>
        <v>8020</v>
      </c>
      <c r="I10" s="66"/>
      <c r="J10" s="66">
        <f>H10-I10</f>
        <v>8020</v>
      </c>
      <c r="K10" s="66"/>
      <c r="L10" s="66"/>
    </row>
    <row r="11" spans="1:14" x14ac:dyDescent="0.25">
      <c r="A11" s="109" t="s">
        <v>263</v>
      </c>
      <c r="B11" s="68" t="s">
        <v>53</v>
      </c>
      <c r="C11" s="63"/>
      <c r="D11" s="64">
        <f>'JANUARY 21'!J11:J45</f>
        <v>1499</v>
      </c>
      <c r="E11" s="65">
        <v>6000</v>
      </c>
      <c r="F11" s="113">
        <v>646</v>
      </c>
      <c r="G11" s="65">
        <v>200</v>
      </c>
      <c r="H11" s="66">
        <f t="shared" si="0"/>
        <v>8345</v>
      </c>
      <c r="I11" s="66">
        <f>6850</f>
        <v>6850</v>
      </c>
      <c r="J11" s="66">
        <f t="shared" ref="J11:J36" si="1">H11-I11</f>
        <v>1495</v>
      </c>
      <c r="K11" s="66"/>
      <c r="L11" s="66"/>
    </row>
    <row r="12" spans="1:14" x14ac:dyDescent="0.25">
      <c r="A12" s="61" t="s">
        <v>262</v>
      </c>
      <c r="B12" s="68" t="s">
        <v>48</v>
      </c>
      <c r="C12" s="63"/>
      <c r="D12" s="64">
        <f>'JANUARY 21'!J12:J46</f>
        <v>0</v>
      </c>
      <c r="E12" s="65">
        <v>6000</v>
      </c>
      <c r="F12" s="113">
        <v>204</v>
      </c>
      <c r="G12" s="65">
        <v>200</v>
      </c>
      <c r="H12" s="66">
        <f t="shared" si="0"/>
        <v>6404</v>
      </c>
      <c r="I12" s="66"/>
      <c r="J12" s="66">
        <f t="shared" si="1"/>
        <v>6404</v>
      </c>
      <c r="K12" s="66"/>
      <c r="L12" s="66"/>
    </row>
    <row r="13" spans="1:14" x14ac:dyDescent="0.25">
      <c r="A13" s="67" t="s">
        <v>181</v>
      </c>
      <c r="B13" s="68" t="s">
        <v>47</v>
      </c>
      <c r="C13" s="63"/>
      <c r="D13" s="64">
        <v>152</v>
      </c>
      <c r="E13" s="65">
        <v>6000</v>
      </c>
      <c r="F13" s="113">
        <v>476</v>
      </c>
      <c r="G13" s="65">
        <v>200</v>
      </c>
      <c r="H13" s="66">
        <f t="shared" si="0"/>
        <v>6828</v>
      </c>
      <c r="I13" s="66">
        <f>6828</f>
        <v>6828</v>
      </c>
      <c r="J13" s="66">
        <f t="shared" si="1"/>
        <v>0</v>
      </c>
      <c r="K13" s="66"/>
      <c r="L13" s="66"/>
      <c r="N13" s="53"/>
    </row>
    <row r="14" spans="1:14" x14ac:dyDescent="0.25">
      <c r="A14" s="61" t="s">
        <v>302</v>
      </c>
      <c r="B14" s="68" t="s">
        <v>46</v>
      </c>
      <c r="C14" s="63"/>
      <c r="D14" s="64">
        <f>'JANUARY 21'!J14:J48</f>
        <v>-296</v>
      </c>
      <c r="E14" s="65">
        <v>6000</v>
      </c>
      <c r="F14" s="113">
        <v>357</v>
      </c>
      <c r="G14" s="65">
        <v>200</v>
      </c>
      <c r="H14" s="66">
        <f t="shared" si="0"/>
        <v>6261</v>
      </c>
      <c r="I14" s="66">
        <v>6261</v>
      </c>
      <c r="J14" s="66">
        <f>H14-I14</f>
        <v>0</v>
      </c>
      <c r="K14" s="66"/>
      <c r="L14" s="66"/>
    </row>
    <row r="15" spans="1:14" x14ac:dyDescent="0.25">
      <c r="A15" s="59" t="s">
        <v>315</v>
      </c>
      <c r="B15" s="68" t="s">
        <v>45</v>
      </c>
      <c r="C15" s="63"/>
      <c r="D15" s="64">
        <f>'JANUARY 21'!J15:J49</f>
        <v>1676</v>
      </c>
      <c r="E15" s="65">
        <v>6000</v>
      </c>
      <c r="F15" s="113">
        <v>561</v>
      </c>
      <c r="G15" s="65">
        <v>200</v>
      </c>
      <c r="H15" s="66">
        <f t="shared" si="0"/>
        <v>8437</v>
      </c>
      <c r="I15" s="66">
        <f>6776</f>
        <v>6776</v>
      </c>
      <c r="J15" s="66">
        <f>H15-I15</f>
        <v>1661</v>
      </c>
      <c r="K15" s="66"/>
      <c r="L15" s="66"/>
    </row>
    <row r="16" spans="1:14" x14ac:dyDescent="0.25">
      <c r="A16" s="60" t="s">
        <v>225</v>
      </c>
      <c r="B16" s="68" t="s">
        <v>44</v>
      </c>
      <c r="C16" s="63"/>
      <c r="D16" s="64">
        <f>'JANUARY 21'!J16:J50</f>
        <v>0</v>
      </c>
      <c r="E16" s="65">
        <v>6000</v>
      </c>
      <c r="F16" s="113">
        <v>153</v>
      </c>
      <c r="G16" s="65">
        <v>200</v>
      </c>
      <c r="H16" s="66">
        <f t="shared" si="0"/>
        <v>6353</v>
      </c>
      <c r="I16" s="66">
        <f>6353</f>
        <v>6353</v>
      </c>
      <c r="J16" s="66">
        <f>H16-I16</f>
        <v>0</v>
      </c>
      <c r="K16" s="66"/>
      <c r="L16" s="66"/>
    </row>
    <row r="17" spans="1:13" x14ac:dyDescent="0.25">
      <c r="A17" s="143" t="s">
        <v>316</v>
      </c>
      <c r="B17" s="149" t="s">
        <v>43</v>
      </c>
      <c r="C17" s="146"/>
      <c r="D17" s="122">
        <f>'JANUARY 21'!J17:J51</f>
        <v>9031</v>
      </c>
      <c r="E17" s="65"/>
      <c r="F17" s="113"/>
      <c r="G17" s="65"/>
      <c r="H17" s="66">
        <f t="shared" si="0"/>
        <v>9031</v>
      </c>
      <c r="I17" s="66">
        <f>6000+3031</f>
        <v>9031</v>
      </c>
      <c r="J17" s="66">
        <f t="shared" si="1"/>
        <v>0</v>
      </c>
      <c r="K17" s="66"/>
      <c r="L17" s="66"/>
      <c r="M17" s="152" t="s">
        <v>67</v>
      </c>
    </row>
    <row r="18" spans="1:13" x14ac:dyDescent="0.25">
      <c r="A18" s="61" t="s">
        <v>73</v>
      </c>
      <c r="B18" s="68" t="s">
        <v>42</v>
      </c>
      <c r="C18" s="63"/>
      <c r="D18" s="64">
        <f>'JANUARY 21'!J18:J52</f>
        <v>3</v>
      </c>
      <c r="E18" s="65">
        <v>6000</v>
      </c>
      <c r="F18" s="113">
        <v>272</v>
      </c>
      <c r="G18" s="65">
        <v>200</v>
      </c>
      <c r="H18" s="66">
        <f t="shared" si="0"/>
        <v>6475</v>
      </c>
      <c r="I18" s="66">
        <v>6475</v>
      </c>
      <c r="J18" s="66">
        <f t="shared" si="1"/>
        <v>0</v>
      </c>
      <c r="K18" s="66"/>
      <c r="L18" s="66"/>
    </row>
    <row r="19" spans="1:13" x14ac:dyDescent="0.25">
      <c r="A19" s="60" t="s">
        <v>180</v>
      </c>
      <c r="B19" s="68" t="s">
        <v>41</v>
      </c>
      <c r="C19" s="63"/>
      <c r="D19" s="64">
        <f>'JANUARY 21'!J19:J53</f>
        <v>0</v>
      </c>
      <c r="E19" s="65">
        <v>6000</v>
      </c>
      <c r="F19" s="113">
        <v>221</v>
      </c>
      <c r="G19" s="65">
        <v>200</v>
      </c>
      <c r="H19" s="66">
        <f t="shared" si="0"/>
        <v>6421</v>
      </c>
      <c r="I19" s="66">
        <f>5000+1421</f>
        <v>6421</v>
      </c>
      <c r="J19" s="66">
        <f t="shared" si="1"/>
        <v>0</v>
      </c>
      <c r="K19" s="66"/>
      <c r="L19" s="66"/>
    </row>
    <row r="20" spans="1:13" x14ac:dyDescent="0.25">
      <c r="A20" s="59" t="s">
        <v>75</v>
      </c>
      <c r="B20" s="68" t="s">
        <v>40</v>
      </c>
      <c r="C20" s="63"/>
      <c r="D20" s="64">
        <f>'JANUARY 21'!J20:J54</f>
        <v>200</v>
      </c>
      <c r="E20" s="65">
        <v>6000</v>
      </c>
      <c r="F20" s="113">
        <v>391</v>
      </c>
      <c r="G20" s="65">
        <v>200</v>
      </c>
      <c r="H20" s="66">
        <f t="shared" si="0"/>
        <v>6791</v>
      </c>
      <c r="I20" s="66">
        <f>6591</f>
        <v>6591</v>
      </c>
      <c r="J20" s="66">
        <f t="shared" si="1"/>
        <v>200</v>
      </c>
      <c r="K20" s="66"/>
      <c r="L20" s="66"/>
    </row>
    <row r="21" spans="1:13" x14ac:dyDescent="0.25">
      <c r="A21" s="61" t="s">
        <v>76</v>
      </c>
      <c r="B21" s="111" t="s">
        <v>39</v>
      </c>
      <c r="C21" s="63"/>
      <c r="D21" s="64">
        <f>'JANUARY 21'!J21:J55</f>
        <v>5738</v>
      </c>
      <c r="E21" s="65">
        <v>6000</v>
      </c>
      <c r="F21" s="113">
        <v>102</v>
      </c>
      <c r="G21" s="65">
        <v>200</v>
      </c>
      <c r="H21" s="66">
        <f>D21+E21+F21+G21</f>
        <v>12040</v>
      </c>
      <c r="I21" s="66">
        <f>6000+4000</f>
        <v>10000</v>
      </c>
      <c r="J21" s="66">
        <f t="shared" si="1"/>
        <v>2040</v>
      </c>
      <c r="K21" s="66"/>
      <c r="L21" s="66"/>
      <c r="M21" s="53"/>
    </row>
    <row r="22" spans="1:13" x14ac:dyDescent="0.25">
      <c r="A22" s="61" t="s">
        <v>150</v>
      </c>
      <c r="B22" s="68" t="s">
        <v>38</v>
      </c>
      <c r="C22" s="63"/>
      <c r="D22" s="64">
        <f>'JANUARY 21'!J22:J56</f>
        <v>0</v>
      </c>
      <c r="E22" s="65">
        <v>6000</v>
      </c>
      <c r="F22" s="113">
        <v>510</v>
      </c>
      <c r="G22" s="65">
        <v>200</v>
      </c>
      <c r="H22" s="66">
        <f t="shared" si="0"/>
        <v>6710</v>
      </c>
      <c r="I22" s="66">
        <v>6710</v>
      </c>
      <c r="J22" s="66">
        <f t="shared" si="1"/>
        <v>0</v>
      </c>
      <c r="K22" s="66"/>
      <c r="L22" s="66"/>
    </row>
    <row r="23" spans="1:13" x14ac:dyDescent="0.25">
      <c r="A23" s="59" t="s">
        <v>78</v>
      </c>
      <c r="B23" s="68" t="s">
        <v>37</v>
      </c>
      <c r="C23" s="63"/>
      <c r="D23" s="64">
        <f>'JANUARY 21'!J23:J57</f>
        <v>770</v>
      </c>
      <c r="E23" s="65">
        <v>6000</v>
      </c>
      <c r="F23" s="113"/>
      <c r="G23" s="65">
        <v>200</v>
      </c>
      <c r="H23" s="66">
        <f t="shared" si="0"/>
        <v>6970</v>
      </c>
      <c r="I23" s="66">
        <f>6970</f>
        <v>6970</v>
      </c>
      <c r="J23" s="66">
        <f t="shared" si="1"/>
        <v>0</v>
      </c>
      <c r="K23" s="66"/>
      <c r="L23" s="66"/>
      <c r="M23" s="152"/>
    </row>
    <row r="24" spans="1:13" x14ac:dyDescent="0.25">
      <c r="A24" s="1" t="s">
        <v>261</v>
      </c>
      <c r="B24" s="28" t="s">
        <v>28</v>
      </c>
      <c r="C24" s="63"/>
      <c r="D24" s="64">
        <f>'JANUARY 21'!J24:J58</f>
        <v>9836</v>
      </c>
      <c r="E24" s="65">
        <v>6500</v>
      </c>
      <c r="F24" s="113">
        <v>527</v>
      </c>
      <c r="G24" s="65">
        <v>200</v>
      </c>
      <c r="H24" s="66">
        <f>D24+E24+F24+G24</f>
        <v>17063</v>
      </c>
      <c r="I24" s="66"/>
      <c r="J24" s="66">
        <f>H24-I24</f>
        <v>17063</v>
      </c>
      <c r="K24" s="66"/>
      <c r="L24" s="66"/>
      <c r="M24" s="152"/>
    </row>
    <row r="25" spans="1:13" x14ac:dyDescent="0.25">
      <c r="A25" s="61" t="s">
        <v>80</v>
      </c>
      <c r="B25" s="62" t="s">
        <v>29</v>
      </c>
      <c r="C25" s="63"/>
      <c r="D25" s="64">
        <f>'JANUARY 21'!J25:J59</f>
        <v>92</v>
      </c>
      <c r="E25" s="65">
        <v>6500</v>
      </c>
      <c r="F25" s="113">
        <v>1326</v>
      </c>
      <c r="G25" s="65">
        <v>200</v>
      </c>
      <c r="H25" s="66">
        <f t="shared" si="0"/>
        <v>8118</v>
      </c>
      <c r="I25" s="66">
        <v>8026</v>
      </c>
      <c r="J25" s="66">
        <f t="shared" si="1"/>
        <v>92</v>
      </c>
      <c r="K25" s="66"/>
      <c r="L25" s="66"/>
    </row>
    <row r="26" spans="1:13" x14ac:dyDescent="0.25">
      <c r="A26" s="61" t="s">
        <v>317</v>
      </c>
      <c r="B26" s="62" t="s">
        <v>30</v>
      </c>
      <c r="C26" s="63"/>
      <c r="D26" s="64">
        <f>'JANUARY 21'!J26:J60</f>
        <v>0</v>
      </c>
      <c r="E26" s="65">
        <v>6500</v>
      </c>
      <c r="F26" s="113">
        <v>697</v>
      </c>
      <c r="G26" s="65">
        <v>200</v>
      </c>
      <c r="H26" s="66">
        <f t="shared" si="0"/>
        <v>7397</v>
      </c>
      <c r="I26" s="66">
        <f>6500</f>
        <v>6500</v>
      </c>
      <c r="J26" s="66">
        <f t="shared" si="1"/>
        <v>897</v>
      </c>
      <c r="K26" s="66"/>
      <c r="L26" s="66"/>
      <c r="M26" s="152"/>
    </row>
    <row r="27" spans="1:13" x14ac:dyDescent="0.25">
      <c r="A27" s="61" t="s">
        <v>300</v>
      </c>
      <c r="B27" s="62" t="s">
        <v>55</v>
      </c>
      <c r="C27" s="63"/>
      <c r="D27" s="64">
        <f>'JANUARY 21'!J27:J61</f>
        <v>329</v>
      </c>
      <c r="E27" s="65">
        <v>6500</v>
      </c>
      <c r="F27" s="113">
        <v>650</v>
      </c>
      <c r="G27" s="65">
        <v>200</v>
      </c>
      <c r="H27" s="66">
        <f t="shared" si="0"/>
        <v>7679</v>
      </c>
      <c r="I27" s="66">
        <v>7500</v>
      </c>
      <c r="J27" s="66">
        <f>H27-I27</f>
        <v>179</v>
      </c>
      <c r="K27" s="66"/>
      <c r="L27" s="66"/>
      <c r="M27" s="152"/>
    </row>
    <row r="28" spans="1:13" x14ac:dyDescent="0.25">
      <c r="A28" s="61" t="s">
        <v>83</v>
      </c>
      <c r="B28" s="62" t="s">
        <v>56</v>
      </c>
      <c r="C28" s="63"/>
      <c r="D28" s="64">
        <f>'JANUARY 21'!J28:J62</f>
        <v>13307</v>
      </c>
      <c r="E28" s="65">
        <v>8000</v>
      </c>
      <c r="F28" s="113">
        <v>646</v>
      </c>
      <c r="G28" s="65">
        <v>200</v>
      </c>
      <c r="H28" s="66">
        <f t="shared" si="0"/>
        <v>22153</v>
      </c>
      <c r="I28" s="66">
        <v>16000</v>
      </c>
      <c r="J28" s="66">
        <f t="shared" si="1"/>
        <v>6153</v>
      </c>
      <c r="K28" s="66"/>
      <c r="L28" s="66"/>
    </row>
    <row r="29" spans="1:13" x14ac:dyDescent="0.25">
      <c r="A29" s="144" t="s">
        <v>67</v>
      </c>
      <c r="B29" s="121" t="s">
        <v>57</v>
      </c>
      <c r="C29" s="63"/>
      <c r="D29" s="64"/>
      <c r="E29" s="65"/>
      <c r="F29" s="113"/>
      <c r="G29" s="65"/>
      <c r="H29" s="66">
        <f>D29+E29+F29+G29</f>
        <v>0</v>
      </c>
      <c r="I29" s="66"/>
      <c r="J29" s="66">
        <f t="shared" si="1"/>
        <v>0</v>
      </c>
      <c r="K29" s="66"/>
      <c r="L29" s="66"/>
    </row>
    <row r="30" spans="1:13" x14ac:dyDescent="0.25">
      <c r="A30" s="1" t="s">
        <v>92</v>
      </c>
      <c r="B30" s="28" t="s">
        <v>58</v>
      </c>
      <c r="C30" s="63"/>
      <c r="D30" s="64">
        <f>'JANUARY 21'!J30:J64</f>
        <v>8148</v>
      </c>
      <c r="E30" s="65">
        <f>6500+6500</f>
        <v>13000</v>
      </c>
      <c r="F30" s="113">
        <f>748+119</f>
        <v>867</v>
      </c>
      <c r="G30" s="65">
        <f>200+200</f>
        <v>400</v>
      </c>
      <c r="H30" s="66">
        <f>D30+E30+F30+G30</f>
        <v>22415</v>
      </c>
      <c r="I30" s="66">
        <v>15000</v>
      </c>
      <c r="J30" s="66">
        <f t="shared" si="1"/>
        <v>7415</v>
      </c>
      <c r="K30" s="66"/>
      <c r="L30" s="66"/>
    </row>
    <row r="31" spans="1:13" x14ac:dyDescent="0.25">
      <c r="A31" s="61" t="s">
        <v>176</v>
      </c>
      <c r="B31" s="62" t="s">
        <v>59</v>
      </c>
      <c r="C31" s="63"/>
      <c r="D31" s="64">
        <f>'JANUARY 21'!J31:J65</f>
        <v>11542</v>
      </c>
      <c r="E31" s="65">
        <v>6500</v>
      </c>
      <c r="F31" s="113">
        <f>748</f>
        <v>748</v>
      </c>
      <c r="G31" s="65">
        <v>200</v>
      </c>
      <c r="H31" s="66">
        <f t="shared" si="0"/>
        <v>18990</v>
      </c>
      <c r="I31" s="66">
        <f>10000</f>
        <v>10000</v>
      </c>
      <c r="J31" s="66">
        <f t="shared" si="1"/>
        <v>8990</v>
      </c>
      <c r="K31" s="66"/>
      <c r="L31" s="66"/>
    </row>
    <row r="32" spans="1:13" x14ac:dyDescent="0.25">
      <c r="A32" s="61" t="s">
        <v>170</v>
      </c>
      <c r="B32" s="62" t="s">
        <v>60</v>
      </c>
      <c r="C32" s="63"/>
      <c r="D32" s="64">
        <f>'JANUARY 21'!J32:J66</f>
        <v>1142</v>
      </c>
      <c r="E32" s="65">
        <v>6500</v>
      </c>
      <c r="F32" s="113">
        <v>578</v>
      </c>
      <c r="G32" s="65">
        <v>200</v>
      </c>
      <c r="H32" s="66">
        <f t="shared" si="0"/>
        <v>8420</v>
      </c>
      <c r="I32" s="66">
        <f>7820</f>
        <v>7820</v>
      </c>
      <c r="J32" s="66">
        <f t="shared" si="1"/>
        <v>600</v>
      </c>
      <c r="K32" s="66"/>
      <c r="L32" s="66"/>
      <c r="M32" s="53"/>
    </row>
    <row r="33" spans="1:18" x14ac:dyDescent="0.25">
      <c r="A33" s="61" t="s">
        <v>103</v>
      </c>
      <c r="B33" s="62" t="s">
        <v>31</v>
      </c>
      <c r="C33" s="63"/>
      <c r="D33" s="64">
        <f>'JANUARY 21'!J33:J67</f>
        <v>0</v>
      </c>
      <c r="E33" s="65">
        <v>8000</v>
      </c>
      <c r="F33" s="113">
        <f>500+340</f>
        <v>840</v>
      </c>
      <c r="G33" s="65">
        <v>200</v>
      </c>
      <c r="H33" s="66">
        <f>D33+E33+F33+G33</f>
        <v>9040</v>
      </c>
      <c r="I33" s="66"/>
      <c r="J33" s="66">
        <f>H33-I33</f>
        <v>9040</v>
      </c>
      <c r="K33" s="66"/>
      <c r="L33" s="66"/>
      <c r="M33" s="153"/>
    </row>
    <row r="34" spans="1:18" x14ac:dyDescent="0.25">
      <c r="A34" s="61" t="s">
        <v>322</v>
      </c>
      <c r="B34" s="62" t="s">
        <v>32</v>
      </c>
      <c r="C34" s="63"/>
      <c r="D34" s="122"/>
      <c r="E34" s="113">
        <v>6500</v>
      </c>
      <c r="F34" s="113">
        <v>714</v>
      </c>
      <c r="G34" s="65">
        <v>200</v>
      </c>
      <c r="H34" s="66">
        <f t="shared" si="0"/>
        <v>7414</v>
      </c>
      <c r="I34" s="66">
        <v>7023</v>
      </c>
      <c r="J34" s="66">
        <f t="shared" si="1"/>
        <v>391</v>
      </c>
      <c r="K34" s="66"/>
      <c r="L34" s="66"/>
      <c r="M34" s="53"/>
    </row>
    <row r="35" spans="1:18" x14ac:dyDescent="0.25">
      <c r="A35" s="60" t="s">
        <v>245</v>
      </c>
      <c r="B35" s="62" t="s">
        <v>33</v>
      </c>
      <c r="C35" s="63"/>
      <c r="D35" s="64">
        <f>'JANUARY 21'!J35:J69</f>
        <v>2071</v>
      </c>
      <c r="E35" s="113">
        <v>6500</v>
      </c>
      <c r="F35" s="113">
        <v>408</v>
      </c>
      <c r="G35" s="65">
        <v>200</v>
      </c>
      <c r="H35" s="66">
        <f t="shared" si="0"/>
        <v>9179</v>
      </c>
      <c r="I35" s="66">
        <v>7000</v>
      </c>
      <c r="J35" s="66">
        <f t="shared" si="1"/>
        <v>2179</v>
      </c>
      <c r="K35" s="66"/>
      <c r="L35" s="66"/>
      <c r="M35" s="53">
        <f>I35-E35-G35-200</f>
        <v>100</v>
      </c>
    </row>
    <row r="36" spans="1:18" x14ac:dyDescent="0.25">
      <c r="A36" s="61" t="s">
        <v>89</v>
      </c>
      <c r="B36" s="62" t="s">
        <v>34</v>
      </c>
      <c r="C36" s="63"/>
      <c r="D36" s="64">
        <f>'JANUARY 21'!J36:J70</f>
        <v>0</v>
      </c>
      <c r="E36" s="113">
        <v>6500</v>
      </c>
      <c r="F36" s="113">
        <v>0</v>
      </c>
      <c r="G36" s="65">
        <v>200</v>
      </c>
      <c r="H36" s="66">
        <f t="shared" si="0"/>
        <v>6700</v>
      </c>
      <c r="I36" s="66">
        <f>6700</f>
        <v>6700</v>
      </c>
      <c r="J36" s="66">
        <f t="shared" si="1"/>
        <v>0</v>
      </c>
      <c r="K36" s="66"/>
      <c r="L36" s="66"/>
    </row>
    <row r="37" spans="1:18" x14ac:dyDescent="0.25">
      <c r="A37" s="144" t="s">
        <v>67</v>
      </c>
      <c r="B37" s="62" t="s">
        <v>35</v>
      </c>
      <c r="C37" s="63"/>
      <c r="D37" s="64">
        <f>'JANUARY 21'!J37:J71</f>
        <v>0</v>
      </c>
      <c r="E37" s="113"/>
      <c r="F37" s="113"/>
      <c r="G37" s="65"/>
      <c r="H37" s="66">
        <f>D37+E37+F37+G37</f>
        <v>0</v>
      </c>
      <c r="I37" s="66"/>
      <c r="J37" s="66">
        <f>H37-I37</f>
        <v>0</v>
      </c>
      <c r="K37" s="66"/>
      <c r="L37" s="66"/>
      <c r="M37" t="s">
        <v>110</v>
      </c>
    </row>
    <row r="38" spans="1:18" x14ac:dyDescent="0.25">
      <c r="A38" s="61" t="s">
        <v>138</v>
      </c>
      <c r="B38" s="62" t="s">
        <v>36</v>
      </c>
      <c r="C38" s="63"/>
      <c r="D38" s="64">
        <f>'JANUARY 21'!J38:J72</f>
        <v>7580</v>
      </c>
      <c r="E38" s="115">
        <v>8000</v>
      </c>
      <c r="F38" s="115">
        <v>500</v>
      </c>
      <c r="G38" s="65">
        <v>200</v>
      </c>
      <c r="H38" s="66">
        <f t="shared" si="0"/>
        <v>16280</v>
      </c>
      <c r="I38" s="66">
        <f>4400+4300</f>
        <v>8700</v>
      </c>
      <c r="J38" s="66">
        <f>H38-I38</f>
        <v>7580</v>
      </c>
      <c r="K38" s="66"/>
      <c r="L38" s="66"/>
    </row>
    <row r="39" spans="1:18" x14ac:dyDescent="0.25">
      <c r="A39" s="61"/>
      <c r="B39" s="114"/>
      <c r="C39" s="63"/>
      <c r="D39" s="64">
        <f>'JANUARY 21'!J39:J73</f>
        <v>0</v>
      </c>
      <c r="E39" s="115"/>
      <c r="F39" s="115"/>
      <c r="G39" s="65"/>
      <c r="H39" s="66">
        <f t="shared" si="0"/>
        <v>0</v>
      </c>
      <c r="I39" s="66">
        <f>SUM(D39:H39)</f>
        <v>0</v>
      </c>
      <c r="J39" s="66">
        <f>H39-I39</f>
        <v>0</v>
      </c>
      <c r="K39" s="66"/>
      <c r="L39" s="66"/>
    </row>
    <row r="40" spans="1:18" x14ac:dyDescent="0.25">
      <c r="A40" s="116" t="s">
        <v>10</v>
      </c>
      <c r="B40" s="60"/>
      <c r="C40" s="63">
        <f t="shared" ref="C40:L40" si="2">SUM(C6:C39)</f>
        <v>0</v>
      </c>
      <c r="D40" s="64">
        <f>SUM(D6:D39)</f>
        <v>106373</v>
      </c>
      <c r="E40" s="117">
        <f>SUM(E6:E39)</f>
        <v>179500</v>
      </c>
      <c r="F40" s="118">
        <f>SUM(F6:F39)</f>
        <v>13669</v>
      </c>
      <c r="G40" s="130">
        <f t="shared" si="2"/>
        <v>5600</v>
      </c>
      <c r="H40" s="66">
        <f>SUM(H6:H39)</f>
        <v>305142</v>
      </c>
      <c r="I40" s="131">
        <f>SUM(I6:I39)</f>
        <v>192535</v>
      </c>
      <c r="J40" s="131">
        <f>SUM(J6:J39)</f>
        <v>112607</v>
      </c>
      <c r="K40" s="131">
        <f t="shared" si="2"/>
        <v>0</v>
      </c>
      <c r="L40" s="131">
        <f t="shared" si="2"/>
        <v>0</v>
      </c>
      <c r="O40">
        <f>17500+15000</f>
        <v>32500</v>
      </c>
    </row>
    <row r="41" spans="1:18" x14ac:dyDescent="0.25">
      <c r="A41" s="18"/>
      <c r="B41" s="18"/>
      <c r="C41" s="64"/>
      <c r="D41" s="41"/>
      <c r="E41" s="18"/>
      <c r="F41" s="120"/>
      <c r="G41" s="18"/>
      <c r="H41" s="18"/>
      <c r="I41" s="18"/>
      <c r="J41" s="18"/>
      <c r="K41" s="18"/>
      <c r="L41" s="18"/>
      <c r="N41">
        <f>4350+150</f>
        <v>4500</v>
      </c>
    </row>
    <row r="42" spans="1:18" x14ac:dyDescent="0.25">
      <c r="A42" s="79"/>
    </row>
    <row r="43" spans="1:18" x14ac:dyDescent="0.25">
      <c r="A43" s="18"/>
    </row>
    <row r="44" spans="1:18" x14ac:dyDescent="0.25">
      <c r="A44" s="18"/>
    </row>
    <row r="45" spans="1:18" x14ac:dyDescent="0.25">
      <c r="A45" s="18"/>
    </row>
    <row r="46" spans="1:18" x14ac:dyDescent="0.25">
      <c r="A46" s="18"/>
    </row>
    <row r="47" spans="1:18" x14ac:dyDescent="0.25">
      <c r="A47" s="18"/>
    </row>
    <row r="48" spans="1:18" x14ac:dyDescent="0.25">
      <c r="A48" s="18"/>
      <c r="P48" s="125"/>
      <c r="Q48" s="120" t="s">
        <v>324</v>
      </c>
      <c r="R48" s="125"/>
    </row>
    <row r="49" spans="1:24" x14ac:dyDescent="0.25">
      <c r="A49" s="18"/>
      <c r="P49" s="125"/>
      <c r="Q49" s="125"/>
      <c r="R49" s="120" t="s">
        <v>325</v>
      </c>
      <c r="U49" s="152" t="s">
        <v>326</v>
      </c>
      <c r="V49" s="152"/>
      <c r="W49" s="152"/>
    </row>
    <row r="50" spans="1:24" x14ac:dyDescent="0.25">
      <c r="A50" s="18"/>
      <c r="P50" s="125"/>
      <c r="Q50" s="125"/>
      <c r="R50" s="125"/>
      <c r="U50" s="125"/>
      <c r="V50" s="125" t="s">
        <v>308</v>
      </c>
      <c r="W50" s="155"/>
      <c r="X50" s="53"/>
    </row>
    <row r="51" spans="1:24" x14ac:dyDescent="0.25">
      <c r="A51" s="18"/>
      <c r="P51" s="125" t="s">
        <v>196</v>
      </c>
      <c r="Q51" s="125" t="s">
        <v>193</v>
      </c>
      <c r="R51" s="155">
        <v>7380</v>
      </c>
      <c r="U51" s="125" t="s">
        <v>309</v>
      </c>
      <c r="V51" s="125"/>
      <c r="W51" s="155">
        <v>17785</v>
      </c>
    </row>
    <row r="52" spans="1:24" x14ac:dyDescent="0.25">
      <c r="A52" s="18"/>
      <c r="P52" s="125" t="s">
        <v>262</v>
      </c>
      <c r="Q52" s="125" t="s">
        <v>194</v>
      </c>
      <c r="R52" s="155">
        <v>7250</v>
      </c>
      <c r="U52" s="125" t="s">
        <v>320</v>
      </c>
      <c r="V52" s="125"/>
      <c r="W52" s="125">
        <v>6700</v>
      </c>
    </row>
    <row r="53" spans="1:24" x14ac:dyDescent="0.25">
      <c r="A53" s="18"/>
      <c r="P53" s="125" t="s">
        <v>300</v>
      </c>
      <c r="Q53" s="125" t="s">
        <v>305</v>
      </c>
      <c r="R53" s="125">
        <v>7000</v>
      </c>
      <c r="U53" s="125" t="s">
        <v>310</v>
      </c>
      <c r="V53" s="125"/>
      <c r="W53" s="125">
        <v>6647</v>
      </c>
    </row>
    <row r="54" spans="1:24" x14ac:dyDescent="0.25">
      <c r="A54" s="18"/>
      <c r="J54" s="53"/>
      <c r="P54" s="125" t="s">
        <v>197</v>
      </c>
      <c r="Q54" s="125" t="s">
        <v>192</v>
      </c>
      <c r="R54" s="155">
        <v>10498</v>
      </c>
      <c r="U54" s="156" t="s">
        <v>313</v>
      </c>
      <c r="V54" s="125"/>
      <c r="W54" s="125">
        <v>7055</v>
      </c>
    </row>
    <row r="55" spans="1:24" x14ac:dyDescent="0.25">
      <c r="A55" s="18"/>
      <c r="J55" s="53"/>
      <c r="P55" s="125" t="s">
        <v>307</v>
      </c>
      <c r="Q55" s="125" t="s">
        <v>183</v>
      </c>
      <c r="R55" s="155">
        <v>7098</v>
      </c>
      <c r="U55" s="125" t="s">
        <v>23</v>
      </c>
      <c r="V55" s="125"/>
      <c r="W55" s="155">
        <f>SUM(W51:W54)</f>
        <v>38187</v>
      </c>
    </row>
    <row r="56" spans="1:24" x14ac:dyDescent="0.25">
      <c r="A56" s="18"/>
      <c r="K56" s="53"/>
      <c r="P56" s="125" t="s">
        <v>187</v>
      </c>
      <c r="Q56" s="125" t="s">
        <v>312</v>
      </c>
      <c r="R56" s="155">
        <v>570</v>
      </c>
      <c r="U56" s="125"/>
      <c r="V56" s="125"/>
      <c r="W56" s="125"/>
    </row>
    <row r="57" spans="1:24" x14ac:dyDescent="0.25">
      <c r="A57" s="18"/>
      <c r="P57" s="125" t="s">
        <v>318</v>
      </c>
      <c r="Q57" s="125" t="s">
        <v>319</v>
      </c>
      <c r="R57" s="155">
        <v>3031</v>
      </c>
      <c r="U57" s="125"/>
      <c r="V57" s="125"/>
      <c r="W57" s="125"/>
    </row>
    <row r="58" spans="1:24" x14ac:dyDescent="0.25">
      <c r="A58" s="18"/>
      <c r="P58" s="125"/>
      <c r="Q58" s="125"/>
      <c r="R58" s="125"/>
    </row>
    <row r="59" spans="1:24" x14ac:dyDescent="0.25">
      <c r="A59" s="134"/>
      <c r="P59" s="125" t="s">
        <v>23</v>
      </c>
      <c r="Q59" s="125"/>
      <c r="R59" s="155">
        <f>SUM(R51:R58)</f>
        <v>42827</v>
      </c>
    </row>
    <row r="60" spans="1:24" x14ac:dyDescent="0.25">
      <c r="P60" s="125"/>
      <c r="Q60" s="125"/>
      <c r="R60" s="125"/>
    </row>
    <row r="61" spans="1:24" x14ac:dyDescent="0.25">
      <c r="A61" s="85" t="s">
        <v>12</v>
      </c>
      <c r="B61" s="85"/>
      <c r="C61" s="85"/>
      <c r="D61" s="86"/>
      <c r="E61" s="82"/>
      <c r="F61" s="85" t="s">
        <v>8</v>
      </c>
      <c r="G61" s="85"/>
      <c r="H61" s="85"/>
      <c r="I61" s="79"/>
      <c r="J61" s="79"/>
      <c r="K61" s="79"/>
      <c r="L61" s="71"/>
    </row>
    <row r="62" spans="1:24" x14ac:dyDescent="0.25">
      <c r="A62" s="87" t="s">
        <v>13</v>
      </c>
      <c r="B62" s="87" t="s">
        <v>14</v>
      </c>
      <c r="C62" s="87" t="s">
        <v>15</v>
      </c>
      <c r="D62" s="87" t="s">
        <v>16</v>
      </c>
      <c r="E62" s="87"/>
      <c r="F62" s="87" t="s">
        <v>13</v>
      </c>
      <c r="G62" s="87"/>
      <c r="H62" s="87" t="s">
        <v>265</v>
      </c>
      <c r="I62" s="87" t="s">
        <v>15</v>
      </c>
      <c r="J62" s="87" t="s">
        <v>16</v>
      </c>
      <c r="K62" s="87"/>
      <c r="L62" s="73"/>
    </row>
    <row r="63" spans="1:24" x14ac:dyDescent="0.25">
      <c r="A63" s="60" t="s">
        <v>119</v>
      </c>
      <c r="B63" s="88">
        <f>E40</f>
        <v>179500</v>
      </c>
      <c r="C63" s="60"/>
      <c r="D63" s="60"/>
      <c r="E63" s="60"/>
      <c r="F63" s="60" t="s">
        <v>119</v>
      </c>
      <c r="G63" s="60"/>
      <c r="H63" s="89">
        <f>I40</f>
        <v>192535</v>
      </c>
      <c r="I63" s="60"/>
      <c r="J63" s="60"/>
      <c r="K63" s="60"/>
      <c r="L63" s="74"/>
    </row>
    <row r="64" spans="1:24" x14ac:dyDescent="0.25">
      <c r="A64" s="60" t="s">
        <v>18</v>
      </c>
      <c r="B64" s="88">
        <f>'JANUARY 21'!D78</f>
        <v>38220</v>
      </c>
      <c r="C64" s="60"/>
      <c r="D64" s="60"/>
      <c r="E64" s="60"/>
      <c r="F64" s="60" t="s">
        <v>18</v>
      </c>
      <c r="G64" s="60"/>
      <c r="H64" s="88">
        <f>'JANUARY 21'!J78</f>
        <v>-68439</v>
      </c>
      <c r="I64" s="60"/>
      <c r="J64" s="60"/>
      <c r="K64" s="60"/>
      <c r="L64" s="74"/>
    </row>
    <row r="65" spans="1:18" x14ac:dyDescent="0.25">
      <c r="A65" s="60" t="s">
        <v>19</v>
      </c>
      <c r="B65" s="88">
        <f>C40</f>
        <v>0</v>
      </c>
      <c r="C65" s="60"/>
      <c r="D65" s="60"/>
      <c r="E65" s="60"/>
      <c r="F65" s="60"/>
      <c r="G65" s="60"/>
      <c r="H65" s="60"/>
      <c r="I65" s="60"/>
      <c r="J65" s="60"/>
      <c r="K65" s="60"/>
      <c r="L65" s="74"/>
      <c r="O65">
        <f>SUM(Q59:Q62)</f>
        <v>0</v>
      </c>
    </row>
    <row r="66" spans="1:18" x14ac:dyDescent="0.25">
      <c r="A66" s="60" t="s">
        <v>63</v>
      </c>
      <c r="B66" s="88">
        <f>F40</f>
        <v>13669</v>
      </c>
      <c r="C66" s="60"/>
      <c r="D66" s="60"/>
      <c r="E66" s="60"/>
      <c r="F66" s="60"/>
      <c r="G66" s="60"/>
      <c r="H66" s="60"/>
      <c r="I66" s="60"/>
      <c r="J66" s="60"/>
      <c r="K66" s="60"/>
      <c r="L66" s="74"/>
      <c r="O66" s="157" t="s">
        <v>327</v>
      </c>
      <c r="P66" s="157"/>
      <c r="R66" t="s">
        <v>147</v>
      </c>
    </row>
    <row r="67" spans="1:18" x14ac:dyDescent="0.25">
      <c r="A67" s="60" t="s">
        <v>62</v>
      </c>
      <c r="B67" s="88">
        <f>K40</f>
        <v>0</v>
      </c>
      <c r="C67" s="60"/>
      <c r="D67" s="60"/>
      <c r="E67" s="60"/>
      <c r="F67" s="60"/>
      <c r="G67" s="60"/>
      <c r="H67" s="60"/>
      <c r="I67" s="60"/>
      <c r="J67" s="60"/>
      <c r="K67" s="60"/>
      <c r="L67" s="74"/>
      <c r="O67" s="18" t="s">
        <v>292</v>
      </c>
      <c r="P67" s="47">
        <f>H10</f>
        <v>8020</v>
      </c>
      <c r="Q67" s="132"/>
      <c r="R67" s="41">
        <v>8020</v>
      </c>
    </row>
    <row r="68" spans="1:18" x14ac:dyDescent="0.25">
      <c r="A68" s="60" t="s">
        <v>96</v>
      </c>
      <c r="B68" s="88">
        <f>G40</f>
        <v>5600</v>
      </c>
      <c r="C68" s="60"/>
      <c r="D68" s="60"/>
      <c r="E68" s="60"/>
      <c r="F68" s="60" t="s">
        <v>126</v>
      </c>
      <c r="G68" s="60"/>
      <c r="H68" s="60"/>
      <c r="I68" s="60"/>
      <c r="J68" s="60"/>
      <c r="K68" s="60"/>
      <c r="L68" s="74"/>
      <c r="O68" s="18" t="s">
        <v>293</v>
      </c>
      <c r="P68" s="47">
        <f>H12</f>
        <v>6404</v>
      </c>
      <c r="Q68" s="47"/>
      <c r="R68" s="157">
        <v>6404</v>
      </c>
    </row>
    <row r="69" spans="1:18" x14ac:dyDescent="0.25">
      <c r="A69" s="60" t="s">
        <v>167</v>
      </c>
      <c r="B69" s="88"/>
      <c r="C69" s="60"/>
      <c r="D69" s="60"/>
      <c r="E69" s="60"/>
      <c r="F69" s="60" t="s">
        <v>167</v>
      </c>
      <c r="G69" s="88"/>
      <c r="J69" s="60"/>
      <c r="K69" s="60"/>
      <c r="L69" s="74"/>
      <c r="M69" s="53"/>
      <c r="O69" s="125" t="s">
        <v>328</v>
      </c>
      <c r="P69" s="47">
        <f>H33</f>
        <v>9040</v>
      </c>
      <c r="Q69" s="132"/>
      <c r="R69" s="41">
        <v>9040</v>
      </c>
    </row>
    <row r="70" spans="1:18" x14ac:dyDescent="0.25">
      <c r="A70" s="60" t="s">
        <v>126</v>
      </c>
      <c r="B70" s="89">
        <f>L40</f>
        <v>0</v>
      </c>
      <c r="C70" s="88"/>
      <c r="D70" s="60"/>
      <c r="E70" s="60"/>
      <c r="F70" s="60"/>
      <c r="G70" s="60"/>
      <c r="H70" s="60"/>
      <c r="I70" s="88"/>
      <c r="J70" s="88"/>
      <c r="K70" s="88"/>
      <c r="L70" s="75"/>
      <c r="O70" s="18" t="s">
        <v>276</v>
      </c>
      <c r="P70" s="53">
        <f>H24</f>
        <v>17063</v>
      </c>
      <c r="Q70" s="132"/>
      <c r="R70" s="41">
        <v>17063</v>
      </c>
    </row>
    <row r="71" spans="1:18" x14ac:dyDescent="0.25">
      <c r="A71" s="87" t="s">
        <v>21</v>
      </c>
      <c r="B71" s="60" t="s">
        <v>22</v>
      </c>
      <c r="C71" s="60"/>
      <c r="D71" s="60"/>
      <c r="E71" s="60"/>
      <c r="F71" s="87" t="s">
        <v>21</v>
      </c>
      <c r="G71" s="87"/>
      <c r="H71" s="87"/>
      <c r="I71" s="60"/>
      <c r="J71" s="60"/>
      <c r="K71" s="60"/>
      <c r="L71" s="74"/>
      <c r="O71" s="18" t="s">
        <v>329</v>
      </c>
      <c r="P71" s="125"/>
      <c r="Q71" s="132"/>
    </row>
    <row r="72" spans="1:18" x14ac:dyDescent="0.25">
      <c r="A72" s="91" t="s">
        <v>111</v>
      </c>
      <c r="B72" s="90">
        <v>0.05</v>
      </c>
      <c r="C72" s="89">
        <f>B72*E40</f>
        <v>8975</v>
      </c>
      <c r="D72" s="60"/>
      <c r="E72" s="60"/>
      <c r="F72" s="91" t="s">
        <v>111</v>
      </c>
      <c r="G72" s="91"/>
      <c r="H72" s="90">
        <v>0.05</v>
      </c>
      <c r="I72" s="89">
        <f>H72*E40</f>
        <v>8975</v>
      </c>
      <c r="J72" s="60"/>
      <c r="K72" s="60"/>
      <c r="L72" s="74"/>
      <c r="O72" s="125" t="s">
        <v>23</v>
      </c>
      <c r="P72" s="155">
        <f>SUM(P67:P71)</f>
        <v>40527</v>
      </c>
      <c r="Q72" s="132"/>
      <c r="R72" s="41">
        <f>SUM(R67:R71)</f>
        <v>40527</v>
      </c>
    </row>
    <row r="73" spans="1:18" x14ac:dyDescent="0.25">
      <c r="A73" s="135" t="s">
        <v>314</v>
      </c>
      <c r="B73" s="93"/>
      <c r="C73">
        <v>38207</v>
      </c>
      <c r="D73" s="89"/>
      <c r="E73" s="89"/>
      <c r="F73" s="135" t="s">
        <v>314</v>
      </c>
      <c r="G73" s="93"/>
      <c r="I73">
        <v>38207</v>
      </c>
      <c r="K73" s="89"/>
      <c r="L73" s="76"/>
      <c r="O73" s="18"/>
      <c r="P73" s="18"/>
      <c r="Q73" s="132"/>
      <c r="R73" s="41"/>
    </row>
    <row r="74" spans="1:18" x14ac:dyDescent="0.25">
      <c r="A74" s="135" t="s">
        <v>323</v>
      </c>
      <c r="B74" s="90"/>
      <c r="C74" s="89">
        <v>189800</v>
      </c>
      <c r="D74" s="60"/>
      <c r="E74" s="60"/>
      <c r="F74" s="135" t="s">
        <v>323</v>
      </c>
      <c r="G74" s="90"/>
      <c r="H74" s="89"/>
      <c r="I74" s="89">
        <v>189800</v>
      </c>
      <c r="J74" s="60"/>
      <c r="K74" s="60"/>
      <c r="L74" s="74"/>
      <c r="O74" s="142"/>
      <c r="P74" s="18"/>
      <c r="Q74" s="132"/>
      <c r="R74" s="41"/>
    </row>
    <row r="75" spans="1:18" x14ac:dyDescent="0.25">
      <c r="A75" s="60"/>
      <c r="B75" s="60"/>
      <c r="C75" s="94"/>
      <c r="D75" s="60"/>
      <c r="E75" s="60"/>
      <c r="F75" s="94"/>
      <c r="G75" s="94"/>
      <c r="H75" s="60"/>
      <c r="I75" s="94"/>
      <c r="J75" s="60"/>
      <c r="K75" s="60"/>
      <c r="L75" s="74"/>
    </row>
    <row r="76" spans="1:18" x14ac:dyDescent="0.25">
      <c r="A76" s="60"/>
      <c r="B76" s="60"/>
      <c r="C76" s="94"/>
      <c r="D76" s="60"/>
      <c r="E76" s="60"/>
      <c r="F76" s="94"/>
      <c r="G76" s="94"/>
      <c r="H76" s="60"/>
      <c r="I76" s="94"/>
      <c r="J76" s="60"/>
      <c r="K76" s="60"/>
      <c r="L76" s="74"/>
    </row>
    <row r="77" spans="1:18" x14ac:dyDescent="0.25">
      <c r="A77" s="92"/>
      <c r="B77" s="60"/>
      <c r="C77" s="89"/>
      <c r="D77" s="60"/>
      <c r="E77" s="60"/>
      <c r="F77" s="60"/>
      <c r="G77" s="89"/>
      <c r="H77" s="91"/>
      <c r="I77" s="89"/>
      <c r="J77" s="89"/>
      <c r="K77" s="89"/>
      <c r="L77" s="76"/>
    </row>
    <row r="78" spans="1:18" x14ac:dyDescent="0.25">
      <c r="A78" s="87" t="s">
        <v>23</v>
      </c>
      <c r="B78" s="96">
        <f>B63+B64+B65+B66+B67+B68+B70+B69</f>
        <v>236989</v>
      </c>
      <c r="C78" s="96">
        <f>SUM(C72:C77)</f>
        <v>236982</v>
      </c>
      <c r="D78" s="96">
        <f>B78-C78</f>
        <v>7</v>
      </c>
      <c r="E78" s="96"/>
      <c r="F78" s="87"/>
      <c r="G78" s="87"/>
      <c r="H78" s="96">
        <f>H63+H64+H66+H68+H69</f>
        <v>124096</v>
      </c>
      <c r="I78" s="96">
        <f>SUM(I72:I77)</f>
        <v>236982</v>
      </c>
      <c r="J78" s="96">
        <f>H78-I78</f>
        <v>-112886</v>
      </c>
      <c r="K78" s="96"/>
      <c r="L78" s="77"/>
    </row>
    <row r="79" spans="1:18" x14ac:dyDescent="0.25">
      <c r="A79" s="79"/>
      <c r="B79" s="79"/>
      <c r="C79" s="79"/>
      <c r="D79" s="79"/>
      <c r="E79" s="79"/>
      <c r="F79" s="79"/>
      <c r="G79" s="79"/>
      <c r="H79" s="79"/>
      <c r="I79" s="119">
        <f>I78-I72</f>
        <v>228007</v>
      </c>
      <c r="J79" s="79"/>
      <c r="K79" s="79"/>
      <c r="L79" s="71"/>
    </row>
    <row r="80" spans="1:18" x14ac:dyDescent="0.25">
      <c r="A80" s="97" t="s">
        <v>24</v>
      </c>
      <c r="B80" s="98"/>
      <c r="C80" s="98" t="s">
        <v>25</v>
      </c>
      <c r="D80" s="99"/>
      <c r="E80" s="99"/>
      <c r="F80" s="97"/>
      <c r="G80" s="97"/>
      <c r="H80" s="97" t="s">
        <v>26</v>
      </c>
      <c r="I80" s="79"/>
      <c r="J80" s="79"/>
      <c r="K80" s="79"/>
      <c r="L80" s="71"/>
    </row>
    <row r="81" spans="1:13" x14ac:dyDescent="0.25">
      <c r="A81" s="79" t="s">
        <v>104</v>
      </c>
      <c r="B81" s="79"/>
      <c r="C81" s="79" t="s">
        <v>105</v>
      </c>
      <c r="D81" s="79"/>
      <c r="E81" s="79"/>
      <c r="F81" s="79"/>
      <c r="G81" s="79"/>
      <c r="H81" s="79" t="s">
        <v>27</v>
      </c>
      <c r="I81" s="79"/>
      <c r="J81" s="79"/>
      <c r="K81" s="119"/>
      <c r="L81" s="71"/>
      <c r="M81" s="5"/>
    </row>
  </sheetData>
  <pageMargins left="0" right="0" top="0" bottom="0" header="0.3" footer="0"/>
  <pageSetup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3"/>
  <sheetViews>
    <sheetView topLeftCell="A7" workbookViewId="0">
      <selection activeCell="C36" sqref="C36"/>
    </sheetView>
  </sheetViews>
  <sheetFormatPr defaultRowHeight="15" x14ac:dyDescent="0.25"/>
  <cols>
    <col min="1" max="1" width="18.140625" customWidth="1"/>
    <col min="2" max="3" width="10.5703125" bestFit="1" customWidth="1"/>
    <col min="4" max="4" width="9.42578125" bestFit="1" customWidth="1"/>
    <col min="5" max="5" width="9.85546875" bestFit="1" customWidth="1"/>
    <col min="6" max="6" width="11" customWidth="1"/>
    <col min="7" max="7" width="9.28515625" bestFit="1" customWidth="1"/>
    <col min="8" max="8" width="12.28515625" bestFit="1" customWidth="1"/>
    <col min="9" max="9" width="10.5703125" bestFit="1" customWidth="1"/>
    <col min="10" max="10" width="11.28515625" customWidth="1"/>
    <col min="11" max="12" width="9.28515625" bestFit="1" customWidth="1"/>
    <col min="15" max="15" width="11.5703125" customWidth="1"/>
  </cols>
  <sheetData>
    <row r="1" spans="1:15" ht="15.75" x14ac:dyDescent="0.25">
      <c r="A1" s="158"/>
      <c r="B1" s="158"/>
      <c r="C1" s="159"/>
      <c r="D1" s="159"/>
      <c r="E1" s="159"/>
      <c r="F1" s="159"/>
      <c r="G1" s="159"/>
      <c r="H1" s="158"/>
      <c r="I1" s="159"/>
      <c r="J1" s="159"/>
      <c r="K1" s="159"/>
      <c r="L1" s="159"/>
      <c r="M1" s="158"/>
      <c r="N1" s="158"/>
      <c r="O1" s="158"/>
    </row>
    <row r="2" spans="1:15" ht="15.75" x14ac:dyDescent="0.25">
      <c r="A2" s="158"/>
      <c r="B2" s="158"/>
      <c r="C2" s="100"/>
      <c r="D2" s="100"/>
      <c r="E2" s="100" t="s">
        <v>27</v>
      </c>
      <c r="F2" s="160"/>
      <c r="G2" s="100"/>
      <c r="H2" s="101"/>
      <c r="I2" s="160"/>
      <c r="J2" s="160"/>
      <c r="K2" s="160"/>
      <c r="L2" s="160"/>
      <c r="M2" s="158"/>
      <c r="N2" s="158"/>
      <c r="O2" s="158"/>
    </row>
    <row r="3" spans="1:15" ht="15.75" x14ac:dyDescent="0.25">
      <c r="A3" s="160"/>
      <c r="B3" s="100"/>
      <c r="C3" s="100"/>
      <c r="D3" s="100"/>
      <c r="E3" s="100" t="s">
        <v>0</v>
      </c>
      <c r="F3" s="100"/>
      <c r="G3" s="159"/>
      <c r="H3" s="102"/>
      <c r="I3" s="160"/>
      <c r="J3" s="160"/>
      <c r="K3" s="160"/>
      <c r="L3" s="160"/>
      <c r="M3" s="158"/>
      <c r="N3" s="158"/>
      <c r="O3" s="158"/>
    </row>
    <row r="4" spans="1:15" ht="15.75" x14ac:dyDescent="0.25">
      <c r="A4" s="100"/>
      <c r="B4" s="160"/>
      <c r="C4" s="158"/>
      <c r="D4" s="100" t="s">
        <v>334</v>
      </c>
      <c r="E4" s="100"/>
      <c r="F4" s="158"/>
      <c r="G4" s="100"/>
      <c r="H4" s="104"/>
      <c r="I4" s="104"/>
      <c r="J4" s="104"/>
      <c r="K4" s="104"/>
      <c r="L4" s="104"/>
      <c r="M4" s="158"/>
      <c r="N4" s="158"/>
      <c r="O4" s="158"/>
    </row>
    <row r="5" spans="1:15" ht="15.75" x14ac:dyDescent="0.25">
      <c r="A5" s="161" t="s">
        <v>2</v>
      </c>
      <c r="B5" s="161" t="s">
        <v>3</v>
      </c>
      <c r="C5" s="161" t="s">
        <v>4</v>
      </c>
      <c r="D5" s="162" t="s">
        <v>5</v>
      </c>
      <c r="E5" s="161" t="s">
        <v>6</v>
      </c>
      <c r="F5" s="163" t="s">
        <v>63</v>
      </c>
      <c r="G5" s="161" t="s">
        <v>96</v>
      </c>
      <c r="H5" s="164" t="s">
        <v>7</v>
      </c>
      <c r="I5" s="161" t="s">
        <v>8</v>
      </c>
      <c r="J5" s="161" t="s">
        <v>9</v>
      </c>
      <c r="K5" s="161" t="s">
        <v>91</v>
      </c>
      <c r="L5" s="161" t="s">
        <v>123</v>
      </c>
      <c r="M5" s="158"/>
      <c r="N5" s="158"/>
      <c r="O5" s="158"/>
    </row>
    <row r="6" spans="1:15" ht="15.75" x14ac:dyDescent="0.25">
      <c r="A6" s="165" t="s">
        <v>332</v>
      </c>
      <c r="B6" s="166" t="s">
        <v>52</v>
      </c>
      <c r="C6" s="167"/>
      <c r="D6" s="168"/>
      <c r="E6" s="169">
        <v>6500</v>
      </c>
      <c r="F6" s="170">
        <v>153</v>
      </c>
      <c r="G6" s="169">
        <v>200</v>
      </c>
      <c r="H6" s="169">
        <f>D6+E6+F6+G6</f>
        <v>6853</v>
      </c>
      <c r="I6" s="169">
        <f>6000</f>
        <v>6000</v>
      </c>
      <c r="J6" s="169">
        <f>H6-I6</f>
        <v>853</v>
      </c>
      <c r="K6" s="169"/>
      <c r="L6" s="169"/>
      <c r="M6" s="158"/>
      <c r="N6" s="158"/>
      <c r="O6" s="158"/>
    </row>
    <row r="7" spans="1:15" ht="15.75" x14ac:dyDescent="0.25">
      <c r="A7" s="171" t="s">
        <v>64</v>
      </c>
      <c r="B7" s="166" t="s">
        <v>51</v>
      </c>
      <c r="C7" s="167"/>
      <c r="D7" s="168">
        <f>FEBRUARY21!J7:J42</f>
        <v>2130</v>
      </c>
      <c r="E7" s="172">
        <v>6000</v>
      </c>
      <c r="F7" s="173">
        <v>221</v>
      </c>
      <c r="G7" s="172">
        <v>200</v>
      </c>
      <c r="H7" s="169">
        <f t="shared" ref="H7:H39" si="0">D7+E7+F7+G7</f>
        <v>8551</v>
      </c>
      <c r="I7" s="169">
        <f>6500</f>
        <v>6500</v>
      </c>
      <c r="J7" s="169">
        <f>H7-I7</f>
        <v>2051</v>
      </c>
      <c r="K7" s="169"/>
      <c r="L7" s="169"/>
      <c r="M7" s="158">
        <f>6000+153+200</f>
        <v>6353</v>
      </c>
      <c r="N7" s="181">
        <f>M7-I6</f>
        <v>353</v>
      </c>
      <c r="O7" s="158"/>
    </row>
    <row r="8" spans="1:15" ht="15.75" x14ac:dyDescent="0.25">
      <c r="A8" s="171" t="s">
        <v>65</v>
      </c>
      <c r="B8" s="166" t="s">
        <v>54</v>
      </c>
      <c r="C8" s="167"/>
      <c r="D8" s="168">
        <f>FEBRUARY21!J8:J43</f>
        <v>0</v>
      </c>
      <c r="E8" s="172"/>
      <c r="F8" s="173"/>
      <c r="G8" s="172"/>
      <c r="H8" s="169">
        <f t="shared" si="0"/>
        <v>0</v>
      </c>
      <c r="I8" s="169"/>
      <c r="J8" s="169">
        <f>H8-I8</f>
        <v>0</v>
      </c>
      <c r="K8" s="169"/>
      <c r="L8" s="169"/>
      <c r="M8" s="181"/>
      <c r="N8" s="158"/>
      <c r="O8" s="158"/>
    </row>
    <row r="9" spans="1:15" ht="15.75" x14ac:dyDescent="0.25">
      <c r="A9" s="174" t="s">
        <v>128</v>
      </c>
      <c r="B9" s="175" t="s">
        <v>50</v>
      </c>
      <c r="C9" s="176"/>
      <c r="D9" s="168">
        <f>FEBRUARY21!J9:J44</f>
        <v>10334</v>
      </c>
      <c r="E9" s="177"/>
      <c r="F9" s="178"/>
      <c r="G9" s="172"/>
      <c r="H9" s="169">
        <f t="shared" si="0"/>
        <v>10334</v>
      </c>
      <c r="I9" s="169"/>
      <c r="J9" s="169">
        <f>H9-I9</f>
        <v>10334</v>
      </c>
      <c r="K9" s="169"/>
      <c r="L9" s="169"/>
      <c r="M9" s="158"/>
      <c r="N9" s="158"/>
      <c r="O9" s="158"/>
    </row>
    <row r="10" spans="1:15" ht="15.75" x14ac:dyDescent="0.25">
      <c r="A10" s="171" t="s">
        <v>151</v>
      </c>
      <c r="B10" s="166" t="s">
        <v>49</v>
      </c>
      <c r="C10" s="176"/>
      <c r="D10" s="168">
        <f>FEBRUARY21!J10:J45</f>
        <v>8020</v>
      </c>
      <c r="E10" s="172">
        <v>6000</v>
      </c>
      <c r="F10" s="173">
        <v>442</v>
      </c>
      <c r="G10" s="172">
        <v>200</v>
      </c>
      <c r="H10" s="169">
        <f t="shared" si="0"/>
        <v>14662</v>
      </c>
      <c r="I10" s="169">
        <f>8020+6642</f>
        <v>14662</v>
      </c>
      <c r="J10" s="169">
        <f>H10-I10</f>
        <v>0</v>
      </c>
      <c r="K10" s="169"/>
      <c r="L10" s="169"/>
      <c r="M10" s="158"/>
      <c r="N10" s="158"/>
      <c r="O10" s="158"/>
    </row>
    <row r="11" spans="1:15" ht="15.75" x14ac:dyDescent="0.25">
      <c r="A11" s="179" t="s">
        <v>263</v>
      </c>
      <c r="B11" s="166" t="s">
        <v>53</v>
      </c>
      <c r="C11" s="167"/>
      <c r="D11" s="168">
        <f>FEBRUARY21!J11:J46</f>
        <v>1495</v>
      </c>
      <c r="E11" s="172">
        <v>6000</v>
      </c>
      <c r="F11" s="173">
        <v>867</v>
      </c>
      <c r="G11" s="172">
        <v>200</v>
      </c>
      <c r="H11" s="169">
        <f t="shared" si="0"/>
        <v>8562</v>
      </c>
      <c r="I11" s="169">
        <f>7000</f>
        <v>7000</v>
      </c>
      <c r="J11" s="169">
        <f t="shared" ref="J11:J36" si="1">H11-I11</f>
        <v>1562</v>
      </c>
      <c r="K11" s="169"/>
      <c r="L11" s="169"/>
      <c r="M11" s="158"/>
      <c r="N11" s="158"/>
      <c r="O11" s="158"/>
    </row>
    <row r="12" spans="1:15" ht="15.75" x14ac:dyDescent="0.25">
      <c r="A12" s="165" t="s">
        <v>262</v>
      </c>
      <c r="B12" s="166" t="s">
        <v>48</v>
      </c>
      <c r="C12" s="167"/>
      <c r="D12" s="168">
        <f>FEBRUARY21!J12:J47</f>
        <v>6404</v>
      </c>
      <c r="E12" s="172">
        <v>6000</v>
      </c>
      <c r="F12" s="173">
        <v>170</v>
      </c>
      <c r="G12" s="172">
        <v>200</v>
      </c>
      <c r="H12" s="169">
        <f t="shared" si="0"/>
        <v>12774</v>
      </c>
      <c r="I12" s="169">
        <v>6404</v>
      </c>
      <c r="J12" s="169">
        <f t="shared" si="1"/>
        <v>6370</v>
      </c>
      <c r="K12" s="169"/>
      <c r="L12" s="169"/>
      <c r="M12" s="158"/>
      <c r="N12" s="158"/>
      <c r="O12" s="158"/>
    </row>
    <row r="13" spans="1:15" ht="15.75" x14ac:dyDescent="0.25">
      <c r="A13" s="180" t="s">
        <v>331</v>
      </c>
      <c r="B13" s="166" t="s">
        <v>47</v>
      </c>
      <c r="C13" s="167"/>
      <c r="D13" s="168">
        <v>179</v>
      </c>
      <c r="E13" s="172">
        <v>6500</v>
      </c>
      <c r="F13" s="173">
        <v>1343</v>
      </c>
      <c r="G13" s="172">
        <v>200</v>
      </c>
      <c r="H13" s="169">
        <f t="shared" si="0"/>
        <v>8222</v>
      </c>
      <c r="I13" s="169">
        <f>7000</f>
        <v>7000</v>
      </c>
      <c r="J13" s="169">
        <f t="shared" si="1"/>
        <v>1222</v>
      </c>
      <c r="K13" s="169"/>
      <c r="L13" s="169"/>
      <c r="M13" s="158"/>
      <c r="N13" s="181">
        <f>F6+G6</f>
        <v>353</v>
      </c>
      <c r="O13" s="158"/>
    </row>
    <row r="14" spans="1:15" ht="15.75" x14ac:dyDescent="0.25">
      <c r="A14" s="165" t="s">
        <v>302</v>
      </c>
      <c r="B14" s="166" t="s">
        <v>46</v>
      </c>
      <c r="C14" s="167"/>
      <c r="D14" s="168">
        <f>FEBRUARY21!J14:J49</f>
        <v>0</v>
      </c>
      <c r="E14" s="172"/>
      <c r="F14" s="173"/>
      <c r="G14" s="172"/>
      <c r="H14" s="169">
        <f t="shared" si="0"/>
        <v>0</v>
      </c>
      <c r="I14" s="169"/>
      <c r="J14" s="169">
        <f>H14-I14</f>
        <v>0</v>
      </c>
      <c r="K14" s="169"/>
      <c r="L14" s="169"/>
      <c r="M14" s="158"/>
      <c r="N14" s="158"/>
      <c r="O14" s="158"/>
    </row>
    <row r="15" spans="1:15" ht="15.75" x14ac:dyDescent="0.25">
      <c r="A15" s="171" t="s">
        <v>315</v>
      </c>
      <c r="B15" s="166" t="s">
        <v>45</v>
      </c>
      <c r="C15" s="167"/>
      <c r="D15" s="168">
        <f>FEBRUARY21!J15:J50</f>
        <v>1661</v>
      </c>
      <c r="E15" s="172">
        <v>6000</v>
      </c>
      <c r="F15" s="173">
        <v>223</v>
      </c>
      <c r="G15" s="172">
        <v>200</v>
      </c>
      <c r="H15" s="169">
        <f t="shared" si="0"/>
        <v>8084</v>
      </c>
      <c r="I15" s="169">
        <f>6443</f>
        <v>6443</v>
      </c>
      <c r="J15" s="169">
        <f>H15-I15</f>
        <v>1641</v>
      </c>
      <c r="K15" s="169"/>
      <c r="L15" s="169"/>
      <c r="M15" s="158"/>
      <c r="N15" s="158"/>
      <c r="O15" s="158"/>
    </row>
    <row r="16" spans="1:15" ht="15.75" x14ac:dyDescent="0.25">
      <c r="A16" s="165" t="s">
        <v>225</v>
      </c>
      <c r="B16" s="166" t="s">
        <v>44</v>
      </c>
      <c r="C16" s="167"/>
      <c r="D16" s="168">
        <f>FEBRUARY21!J16:J51</f>
        <v>0</v>
      </c>
      <c r="E16" s="172">
        <v>6000</v>
      </c>
      <c r="F16" s="173">
        <v>136</v>
      </c>
      <c r="G16" s="172">
        <v>200</v>
      </c>
      <c r="H16" s="169">
        <f t="shared" si="0"/>
        <v>6336</v>
      </c>
      <c r="I16" s="169">
        <f>6336</f>
        <v>6336</v>
      </c>
      <c r="J16" s="169">
        <f>H16-I16</f>
        <v>0</v>
      </c>
      <c r="K16" s="169"/>
      <c r="L16" s="169"/>
      <c r="M16" s="158"/>
      <c r="N16" s="158"/>
      <c r="O16" s="158"/>
    </row>
    <row r="17" spans="1:15" ht="15.75" x14ac:dyDescent="0.25">
      <c r="A17" s="171" t="s">
        <v>338</v>
      </c>
      <c r="B17" s="166" t="s">
        <v>43</v>
      </c>
      <c r="C17" s="176"/>
      <c r="D17" s="168">
        <f>FEBRUARY21!J17:J52</f>
        <v>0</v>
      </c>
      <c r="E17" s="172">
        <v>6500</v>
      </c>
      <c r="F17" s="173"/>
      <c r="G17" s="172">
        <v>200</v>
      </c>
      <c r="H17" s="169">
        <f t="shared" si="0"/>
        <v>6700</v>
      </c>
      <c r="I17" s="169"/>
      <c r="J17" s="169">
        <f t="shared" si="1"/>
        <v>6700</v>
      </c>
      <c r="K17" s="169"/>
      <c r="L17" s="169"/>
      <c r="M17" s="182"/>
      <c r="N17" s="158"/>
      <c r="O17" s="158"/>
    </row>
    <row r="18" spans="1:15" ht="15.75" x14ac:dyDescent="0.25">
      <c r="A18" s="165" t="s">
        <v>73</v>
      </c>
      <c r="B18" s="166" t="s">
        <v>42</v>
      </c>
      <c r="C18" s="167"/>
      <c r="D18" s="168">
        <f>FEBRUARY21!J18:J53</f>
        <v>0</v>
      </c>
      <c r="E18" s="172">
        <v>6000</v>
      </c>
      <c r="F18" s="173">
        <v>238</v>
      </c>
      <c r="G18" s="172">
        <v>200</v>
      </c>
      <c r="H18" s="169">
        <f t="shared" si="0"/>
        <v>6438</v>
      </c>
      <c r="I18" s="169">
        <v>6438</v>
      </c>
      <c r="J18" s="169">
        <f t="shared" si="1"/>
        <v>0</v>
      </c>
      <c r="K18" s="169"/>
      <c r="L18" s="169"/>
      <c r="M18" s="158"/>
      <c r="N18" s="158"/>
      <c r="O18" s="158"/>
    </row>
    <row r="19" spans="1:15" ht="15.75" x14ac:dyDescent="0.25">
      <c r="A19" s="165" t="s">
        <v>180</v>
      </c>
      <c r="B19" s="166" t="s">
        <v>41</v>
      </c>
      <c r="C19" s="167"/>
      <c r="D19" s="168">
        <f>FEBRUARY21!J19:J54</f>
        <v>0</v>
      </c>
      <c r="E19" s="172">
        <v>6000</v>
      </c>
      <c r="F19" s="173">
        <v>85</v>
      </c>
      <c r="G19" s="172">
        <v>200</v>
      </c>
      <c r="H19" s="169">
        <f t="shared" si="0"/>
        <v>6285</v>
      </c>
      <c r="I19" s="169">
        <v>6285</v>
      </c>
      <c r="J19" s="169">
        <f t="shared" si="1"/>
        <v>0</v>
      </c>
      <c r="K19" s="169"/>
      <c r="L19" s="169"/>
      <c r="M19" s="158"/>
      <c r="N19" s="158"/>
      <c r="O19" s="158"/>
    </row>
    <row r="20" spans="1:15" ht="15.75" x14ac:dyDescent="0.25">
      <c r="A20" s="171" t="s">
        <v>75</v>
      </c>
      <c r="B20" s="166" t="s">
        <v>40</v>
      </c>
      <c r="C20" s="167"/>
      <c r="D20" s="168">
        <f>FEBRUARY21!J20:J55</f>
        <v>200</v>
      </c>
      <c r="E20" s="172">
        <v>6000</v>
      </c>
      <c r="F20" s="173">
        <v>34</v>
      </c>
      <c r="G20" s="172">
        <v>200</v>
      </c>
      <c r="H20" s="169">
        <f t="shared" si="0"/>
        <v>6434</v>
      </c>
      <c r="I20" s="169">
        <f>6234</f>
        <v>6234</v>
      </c>
      <c r="J20" s="169">
        <f t="shared" si="1"/>
        <v>200</v>
      </c>
      <c r="K20" s="169"/>
      <c r="L20" s="169"/>
      <c r="M20" s="158"/>
      <c r="N20" s="158"/>
      <c r="O20" s="158"/>
    </row>
    <row r="21" spans="1:15" ht="15.75" x14ac:dyDescent="0.25">
      <c r="A21" s="165" t="s">
        <v>76</v>
      </c>
      <c r="B21" s="183" t="s">
        <v>39</v>
      </c>
      <c r="C21" s="167"/>
      <c r="D21" s="168">
        <f>FEBRUARY21!J21:J56</f>
        <v>2040</v>
      </c>
      <c r="E21" s="172">
        <v>6000</v>
      </c>
      <c r="F21" s="173">
        <v>17</v>
      </c>
      <c r="G21" s="172">
        <v>200</v>
      </c>
      <c r="H21" s="169">
        <f>D21+E21+F21+G21</f>
        <v>8257</v>
      </c>
      <c r="I21" s="169">
        <v>8257</v>
      </c>
      <c r="J21" s="169">
        <f t="shared" si="1"/>
        <v>0</v>
      </c>
      <c r="K21" s="169"/>
      <c r="L21" s="169"/>
      <c r="M21" s="181"/>
      <c r="N21" s="158"/>
      <c r="O21" s="158"/>
    </row>
    <row r="22" spans="1:15" ht="15.75" x14ac:dyDescent="0.25">
      <c r="A22" s="165" t="s">
        <v>150</v>
      </c>
      <c r="B22" s="166" t="s">
        <v>38</v>
      </c>
      <c r="C22" s="167"/>
      <c r="D22" s="168">
        <f>FEBRUARY21!J22:J57</f>
        <v>0</v>
      </c>
      <c r="E22" s="172">
        <v>6000</v>
      </c>
      <c r="F22" s="173">
        <v>340</v>
      </c>
      <c r="G22" s="172">
        <v>200</v>
      </c>
      <c r="H22" s="169">
        <f t="shared" si="0"/>
        <v>6540</v>
      </c>
      <c r="I22" s="169">
        <v>6540</v>
      </c>
      <c r="J22" s="169">
        <f t="shared" si="1"/>
        <v>0</v>
      </c>
      <c r="K22" s="169"/>
      <c r="L22" s="169"/>
      <c r="M22" s="158"/>
      <c r="N22" s="158"/>
      <c r="O22" s="158"/>
    </row>
    <row r="23" spans="1:15" ht="15.75" x14ac:dyDescent="0.25">
      <c r="A23" s="171" t="s">
        <v>78</v>
      </c>
      <c r="B23" s="166" t="s">
        <v>37</v>
      </c>
      <c r="C23" s="167"/>
      <c r="D23" s="168">
        <f>FEBRUARY21!J23:J58</f>
        <v>0</v>
      </c>
      <c r="E23" s="172">
        <v>6000</v>
      </c>
      <c r="F23" s="173">
        <v>170</v>
      </c>
      <c r="G23" s="172">
        <v>200</v>
      </c>
      <c r="H23" s="169">
        <f t="shared" si="0"/>
        <v>6370</v>
      </c>
      <c r="I23" s="169">
        <v>6370</v>
      </c>
      <c r="J23" s="169">
        <f t="shared" si="1"/>
        <v>0</v>
      </c>
      <c r="K23" s="169"/>
      <c r="L23" s="169"/>
      <c r="M23" s="182"/>
      <c r="N23" s="158"/>
      <c r="O23" s="158"/>
    </row>
    <row r="24" spans="1:15" ht="15.75" x14ac:dyDescent="0.25">
      <c r="A24" s="184" t="s">
        <v>261</v>
      </c>
      <c r="B24" s="185" t="s">
        <v>28</v>
      </c>
      <c r="C24" s="167"/>
      <c r="D24" s="168">
        <f>FEBRUARY21!J24:J59</f>
        <v>17063</v>
      </c>
      <c r="E24" s="172"/>
      <c r="F24" s="173"/>
      <c r="G24" s="172"/>
      <c r="H24" s="169">
        <f>D24+E24+F24+G24</f>
        <v>17063</v>
      </c>
      <c r="I24" s="169">
        <v>17063</v>
      </c>
      <c r="J24" s="169">
        <f>H24-I24</f>
        <v>0</v>
      </c>
      <c r="K24" s="169"/>
      <c r="L24" s="169"/>
      <c r="M24" s="182"/>
      <c r="N24" s="158"/>
      <c r="O24" s="158"/>
    </row>
    <row r="25" spans="1:15" ht="15.75" x14ac:dyDescent="0.25">
      <c r="A25" s="165" t="s">
        <v>80</v>
      </c>
      <c r="B25" s="186" t="s">
        <v>29</v>
      </c>
      <c r="C25" s="167"/>
      <c r="D25" s="168">
        <f>FEBRUARY21!J25:J60</f>
        <v>92</v>
      </c>
      <c r="E25" s="172">
        <v>6500</v>
      </c>
      <c r="F25" s="173">
        <v>918</v>
      </c>
      <c r="G25" s="172">
        <v>200</v>
      </c>
      <c r="H25" s="169">
        <f t="shared" si="0"/>
        <v>7710</v>
      </c>
      <c r="I25" s="169">
        <f>7618</f>
        <v>7618</v>
      </c>
      <c r="J25" s="169">
        <f t="shared" si="1"/>
        <v>92</v>
      </c>
      <c r="K25" s="169"/>
      <c r="L25" s="169"/>
      <c r="M25" s="158"/>
      <c r="N25" s="158"/>
      <c r="O25" s="158"/>
    </row>
    <row r="26" spans="1:15" ht="15.75" x14ac:dyDescent="0.25">
      <c r="A26" s="165" t="s">
        <v>317</v>
      </c>
      <c r="B26" s="186" t="s">
        <v>30</v>
      </c>
      <c r="C26" s="167"/>
      <c r="D26" s="168">
        <f>FEBRUARY21!J26:J61</f>
        <v>897</v>
      </c>
      <c r="E26" s="172">
        <v>6500</v>
      </c>
      <c r="F26" s="173">
        <v>629</v>
      </c>
      <c r="G26" s="172">
        <v>200</v>
      </c>
      <c r="H26" s="169">
        <f t="shared" si="0"/>
        <v>8226</v>
      </c>
      <c r="I26" s="169">
        <f>6500</f>
        <v>6500</v>
      </c>
      <c r="J26" s="169">
        <f t="shared" si="1"/>
        <v>1726</v>
      </c>
      <c r="K26" s="169"/>
      <c r="L26" s="169"/>
      <c r="M26" s="182"/>
      <c r="N26" s="158"/>
      <c r="O26" s="158"/>
    </row>
    <row r="27" spans="1:15" ht="15.75" x14ac:dyDescent="0.25">
      <c r="A27" s="174" t="s">
        <v>67</v>
      </c>
      <c r="B27" s="186" t="s">
        <v>55</v>
      </c>
      <c r="C27" s="167"/>
      <c r="D27" s="168"/>
      <c r="E27" s="172"/>
      <c r="F27" s="173"/>
      <c r="G27" s="172"/>
      <c r="H27" s="169">
        <f t="shared" si="0"/>
        <v>0</v>
      </c>
      <c r="I27" s="169"/>
      <c r="J27" s="169">
        <f>H27-I27</f>
        <v>0</v>
      </c>
      <c r="K27" s="169"/>
      <c r="L27" s="169"/>
      <c r="M27" s="182"/>
      <c r="N27" s="158"/>
      <c r="O27" s="158"/>
    </row>
    <row r="28" spans="1:15" ht="15.75" x14ac:dyDescent="0.25">
      <c r="A28" s="165" t="s">
        <v>83</v>
      </c>
      <c r="B28" s="186" t="s">
        <v>56</v>
      </c>
      <c r="C28" s="167"/>
      <c r="D28" s="168">
        <f>FEBRUARY21!J28:J63</f>
        <v>6153</v>
      </c>
      <c r="E28" s="172">
        <v>8000</v>
      </c>
      <c r="F28" s="173">
        <v>119</v>
      </c>
      <c r="G28" s="172">
        <v>200</v>
      </c>
      <c r="H28" s="169">
        <f t="shared" si="0"/>
        <v>14472</v>
      </c>
      <c r="I28" s="169">
        <f>9000</f>
        <v>9000</v>
      </c>
      <c r="J28" s="169">
        <f t="shared" si="1"/>
        <v>5472</v>
      </c>
      <c r="K28" s="169"/>
      <c r="L28" s="169"/>
      <c r="M28" s="158"/>
      <c r="N28" s="158"/>
      <c r="O28" s="158"/>
    </row>
    <row r="29" spans="1:15" ht="15.75" x14ac:dyDescent="0.25">
      <c r="A29" s="165" t="s">
        <v>181</v>
      </c>
      <c r="B29" s="186" t="s">
        <v>57</v>
      </c>
      <c r="C29" s="167"/>
      <c r="D29" s="168">
        <f>FEBRUARY21!J29:J64</f>
        <v>0</v>
      </c>
      <c r="E29" s="172">
        <v>6500</v>
      </c>
      <c r="F29" s="173">
        <v>357</v>
      </c>
      <c r="G29" s="172">
        <v>200</v>
      </c>
      <c r="H29" s="169">
        <f>D29+E29+F29+G29</f>
        <v>7057</v>
      </c>
      <c r="I29" s="169">
        <v>6700</v>
      </c>
      <c r="J29" s="169">
        <f t="shared" si="1"/>
        <v>357</v>
      </c>
      <c r="K29" s="169"/>
      <c r="L29" s="169"/>
      <c r="M29" s="158" t="s">
        <v>335</v>
      </c>
      <c r="N29" s="158"/>
      <c r="O29" s="158"/>
    </row>
    <row r="30" spans="1:15" ht="15.75" x14ac:dyDescent="0.25">
      <c r="A30" s="184" t="s">
        <v>92</v>
      </c>
      <c r="B30" s="185" t="s">
        <v>58</v>
      </c>
      <c r="C30" s="167"/>
      <c r="D30" s="168">
        <f>FEBRUARY21!J30:J65</f>
        <v>7415</v>
      </c>
      <c r="E30" s="172">
        <v>6500</v>
      </c>
      <c r="F30" s="173">
        <v>731</v>
      </c>
      <c r="G30" s="172">
        <v>200</v>
      </c>
      <c r="H30" s="169">
        <f>D30+E30+F30+G30</f>
        <v>14846</v>
      </c>
      <c r="I30" s="169">
        <f>10000+3000</f>
        <v>13000</v>
      </c>
      <c r="J30" s="169">
        <f t="shared" si="1"/>
        <v>1846</v>
      </c>
      <c r="K30" s="169"/>
      <c r="L30" s="169"/>
      <c r="M30" s="158"/>
      <c r="N30" s="158"/>
      <c r="O30" s="158"/>
    </row>
    <row r="31" spans="1:15" ht="15.75" x14ac:dyDescent="0.25">
      <c r="A31" s="165" t="s">
        <v>176</v>
      </c>
      <c r="B31" s="186" t="s">
        <v>59</v>
      </c>
      <c r="C31" s="167"/>
      <c r="D31" s="168">
        <f>FEBRUARY21!J31:J66</f>
        <v>8990</v>
      </c>
      <c r="E31" s="172">
        <v>6500</v>
      </c>
      <c r="F31" s="173">
        <v>238</v>
      </c>
      <c r="G31" s="172">
        <v>200</v>
      </c>
      <c r="H31" s="169">
        <f t="shared" si="0"/>
        <v>15928</v>
      </c>
      <c r="I31" s="169">
        <v>8938</v>
      </c>
      <c r="J31" s="169">
        <f t="shared" si="1"/>
        <v>6990</v>
      </c>
      <c r="K31" s="169"/>
      <c r="L31" s="169"/>
      <c r="M31" s="158"/>
      <c r="N31" s="158"/>
      <c r="O31" s="158"/>
    </row>
    <row r="32" spans="1:15" ht="15.75" x14ac:dyDescent="0.25">
      <c r="A32" s="165" t="s">
        <v>170</v>
      </c>
      <c r="B32" s="186" t="s">
        <v>60</v>
      </c>
      <c r="C32" s="167"/>
      <c r="D32" s="168">
        <f>FEBRUARY21!J32:J67</f>
        <v>600</v>
      </c>
      <c r="E32" s="172">
        <v>6500</v>
      </c>
      <c r="F32" s="173">
        <v>459</v>
      </c>
      <c r="G32" s="172">
        <v>200</v>
      </c>
      <c r="H32" s="169">
        <f t="shared" si="0"/>
        <v>7759</v>
      </c>
      <c r="I32" s="169">
        <f>7160+599</f>
        <v>7759</v>
      </c>
      <c r="J32" s="169">
        <f t="shared" si="1"/>
        <v>0</v>
      </c>
      <c r="K32" s="169"/>
      <c r="L32" s="169"/>
      <c r="M32" s="181"/>
      <c r="N32" s="158"/>
      <c r="O32" s="158"/>
    </row>
    <row r="33" spans="1:16" ht="15.75" x14ac:dyDescent="0.25">
      <c r="A33" s="165" t="s">
        <v>103</v>
      </c>
      <c r="B33" s="186" t="s">
        <v>31</v>
      </c>
      <c r="C33" s="167"/>
      <c r="D33" s="168">
        <f>FEBRUARY21!J33:J68</f>
        <v>9040</v>
      </c>
      <c r="E33" s="172">
        <v>8000</v>
      </c>
      <c r="F33" s="173">
        <v>986</v>
      </c>
      <c r="G33" s="172">
        <v>200</v>
      </c>
      <c r="H33" s="169">
        <f>D33+E33+F33+G33</f>
        <v>18226</v>
      </c>
      <c r="I33" s="169">
        <f>9040+9040</f>
        <v>18080</v>
      </c>
      <c r="J33" s="169">
        <f>H33-I33</f>
        <v>146</v>
      </c>
      <c r="K33" s="169"/>
      <c r="L33" s="169"/>
      <c r="M33" s="187"/>
      <c r="N33" s="158"/>
      <c r="O33" s="158"/>
    </row>
    <row r="34" spans="1:16" ht="15.75" x14ac:dyDescent="0.25">
      <c r="A34" s="165" t="s">
        <v>322</v>
      </c>
      <c r="B34" s="186" t="s">
        <v>32</v>
      </c>
      <c r="C34" s="167"/>
      <c r="D34" s="168">
        <f>FEBRUARY21!J34:J69</f>
        <v>391</v>
      </c>
      <c r="E34" s="173">
        <v>6500</v>
      </c>
      <c r="F34" s="173">
        <v>289</v>
      </c>
      <c r="G34" s="172">
        <v>200</v>
      </c>
      <c r="H34" s="169">
        <f t="shared" si="0"/>
        <v>7380</v>
      </c>
      <c r="I34" s="169">
        <f>289+6500</f>
        <v>6789</v>
      </c>
      <c r="J34" s="169">
        <f t="shared" si="1"/>
        <v>591</v>
      </c>
      <c r="K34" s="169"/>
      <c r="L34" s="169"/>
      <c r="M34" s="181"/>
      <c r="N34" s="158"/>
      <c r="O34" s="158"/>
    </row>
    <row r="35" spans="1:16" ht="15.75" x14ac:dyDescent="0.25">
      <c r="A35" s="165" t="s">
        <v>245</v>
      </c>
      <c r="B35" s="186" t="s">
        <v>33</v>
      </c>
      <c r="C35" s="167"/>
      <c r="D35" s="168">
        <f>FEBRUARY21!J35:J70</f>
        <v>2179</v>
      </c>
      <c r="E35" s="173">
        <v>6500</v>
      </c>
      <c r="F35" s="173">
        <v>212</v>
      </c>
      <c r="G35" s="172">
        <v>200</v>
      </c>
      <c r="H35" s="169">
        <f t="shared" si="0"/>
        <v>9091</v>
      </c>
      <c r="I35" s="169">
        <f>6000+1500</f>
        <v>7500</v>
      </c>
      <c r="J35" s="169">
        <f t="shared" si="1"/>
        <v>1591</v>
      </c>
      <c r="K35" s="169"/>
      <c r="L35" s="169"/>
      <c r="M35" s="158"/>
      <c r="N35" s="158"/>
      <c r="O35" s="158"/>
    </row>
    <row r="36" spans="1:16" ht="15.75" x14ac:dyDescent="0.25">
      <c r="A36" s="165" t="s">
        <v>89</v>
      </c>
      <c r="B36" s="186" t="s">
        <v>34</v>
      </c>
      <c r="C36" s="167"/>
      <c r="D36" s="168">
        <f>FEBRUARY21!J36:J71</f>
        <v>0</v>
      </c>
      <c r="E36" s="173">
        <v>6500</v>
      </c>
      <c r="F36" s="173">
        <v>85</v>
      </c>
      <c r="G36" s="172">
        <v>200</v>
      </c>
      <c r="H36" s="169">
        <f t="shared" si="0"/>
        <v>6785</v>
      </c>
      <c r="I36" s="169">
        <v>6785</v>
      </c>
      <c r="J36" s="169">
        <f t="shared" si="1"/>
        <v>0</v>
      </c>
      <c r="K36" s="169"/>
      <c r="L36" s="169"/>
      <c r="M36" s="158"/>
      <c r="N36" s="158"/>
      <c r="O36" s="158"/>
    </row>
    <row r="37" spans="1:16" ht="15.75" x14ac:dyDescent="0.25">
      <c r="A37" s="165" t="s">
        <v>330</v>
      </c>
      <c r="B37" s="186" t="s">
        <v>35</v>
      </c>
      <c r="C37" s="167"/>
      <c r="D37" s="168">
        <f>FEBRUARY21!J37:J72</f>
        <v>0</v>
      </c>
      <c r="E37" s="173">
        <v>6500</v>
      </c>
      <c r="F37" s="173">
        <v>340</v>
      </c>
      <c r="G37" s="172">
        <v>200</v>
      </c>
      <c r="H37" s="169">
        <f>D37+E37+F37+G37</f>
        <v>7040</v>
      </c>
      <c r="I37" s="169">
        <v>7040</v>
      </c>
      <c r="J37" s="169">
        <f>H37-I37</f>
        <v>0</v>
      </c>
      <c r="K37" s="169"/>
      <c r="L37" s="169"/>
      <c r="M37" s="158"/>
      <c r="N37" s="158"/>
      <c r="O37" s="158"/>
    </row>
    <row r="38" spans="1:16" ht="15.75" x14ac:dyDescent="0.25">
      <c r="A38" s="165" t="s">
        <v>138</v>
      </c>
      <c r="B38" s="186" t="s">
        <v>36</v>
      </c>
      <c r="C38" s="167"/>
      <c r="D38" s="168">
        <f>FEBRUARY21!J38:J73</f>
        <v>7580</v>
      </c>
      <c r="E38" s="178">
        <v>8000</v>
      </c>
      <c r="F38" s="178">
        <v>500</v>
      </c>
      <c r="G38" s="172">
        <v>200</v>
      </c>
      <c r="H38" s="169">
        <f>D38+E38+F38+G38</f>
        <v>16280</v>
      </c>
      <c r="I38" s="169">
        <f>9000+6280</f>
        <v>15280</v>
      </c>
      <c r="J38" s="169">
        <f>H38-I38</f>
        <v>1000</v>
      </c>
      <c r="K38" s="169"/>
      <c r="L38" s="169"/>
      <c r="M38" s="158"/>
      <c r="N38" s="158"/>
      <c r="O38" s="158"/>
    </row>
    <row r="39" spans="1:16" ht="15.75" x14ac:dyDescent="0.25">
      <c r="A39" s="165"/>
      <c r="B39" s="186"/>
      <c r="C39" s="167"/>
      <c r="D39" s="177">
        <f>'JANUARY 21'!J39:J73</f>
        <v>0</v>
      </c>
      <c r="E39" s="178"/>
      <c r="F39" s="178"/>
      <c r="G39" s="172"/>
      <c r="H39" s="169">
        <f t="shared" si="0"/>
        <v>0</v>
      </c>
      <c r="I39" s="169">
        <f>SUM(D39:H39)</f>
        <v>0</v>
      </c>
      <c r="J39" s="169">
        <f>H39-I39</f>
        <v>0</v>
      </c>
      <c r="K39" s="169"/>
      <c r="L39" s="169"/>
      <c r="M39" s="158"/>
      <c r="N39" s="158"/>
      <c r="O39" s="158"/>
    </row>
    <row r="40" spans="1:16" ht="15.75" x14ac:dyDescent="0.25">
      <c r="A40" s="188" t="s">
        <v>10</v>
      </c>
      <c r="B40" s="165"/>
      <c r="C40" s="167">
        <f t="shared" ref="C40:L40" si="2">SUM(C6:C39)</f>
        <v>0</v>
      </c>
      <c r="D40" s="177">
        <f>SUM(D6:D39)</f>
        <v>92863</v>
      </c>
      <c r="E40" s="189">
        <f>SUM(E6:E39)</f>
        <v>180500</v>
      </c>
      <c r="F40" s="190">
        <f>SUM(F6:F39)</f>
        <v>10302</v>
      </c>
      <c r="G40" s="191">
        <f t="shared" si="2"/>
        <v>5600</v>
      </c>
      <c r="H40" s="169">
        <f>SUM(H6:H39)</f>
        <v>289265</v>
      </c>
      <c r="I40" s="192">
        <f>SUM(I6:I39)</f>
        <v>238521</v>
      </c>
      <c r="J40" s="192">
        <f>SUM(J6:J39)</f>
        <v>50744</v>
      </c>
      <c r="K40" s="192">
        <f t="shared" si="2"/>
        <v>0</v>
      </c>
      <c r="L40" s="192">
        <f t="shared" si="2"/>
        <v>0</v>
      </c>
      <c r="M40" s="158"/>
      <c r="N40" s="158"/>
      <c r="O40" s="158"/>
    </row>
    <row r="41" spans="1:16" ht="15.75" x14ac:dyDescent="0.25">
      <c r="A41" s="184"/>
      <c r="B41" s="184"/>
      <c r="C41" s="177"/>
      <c r="D41" s="193"/>
      <c r="E41" s="184"/>
      <c r="F41" s="158"/>
      <c r="G41" s="184"/>
      <c r="H41" s="184"/>
      <c r="I41" s="184"/>
      <c r="J41" s="184"/>
      <c r="K41" s="184"/>
      <c r="L41" s="184"/>
      <c r="M41" s="158"/>
      <c r="N41" s="158"/>
      <c r="O41" s="158"/>
    </row>
    <row r="42" spans="1:16" ht="15.75" x14ac:dyDescent="0.25">
      <c r="A42" s="160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>
        <f>425/2</f>
        <v>212.5</v>
      </c>
    </row>
    <row r="43" spans="1:16" ht="15.75" x14ac:dyDescent="0.25">
      <c r="A43" s="184"/>
      <c r="B43" s="158"/>
      <c r="C43" s="158"/>
      <c r="D43" s="158"/>
      <c r="E43" s="158"/>
      <c r="F43" s="158"/>
      <c r="G43" s="158"/>
      <c r="H43" s="158"/>
      <c r="I43" s="158"/>
      <c r="J43" s="158"/>
      <c r="K43" s="158"/>
      <c r="L43" s="158"/>
      <c r="M43" s="158"/>
      <c r="N43" s="158"/>
      <c r="O43" s="158"/>
    </row>
    <row r="44" spans="1:16" x14ac:dyDescent="0.25">
      <c r="A44" s="18"/>
    </row>
    <row r="45" spans="1:16" x14ac:dyDescent="0.25">
      <c r="A45" s="18"/>
    </row>
    <row r="46" spans="1:16" x14ac:dyDescent="0.25">
      <c r="A46" s="18"/>
    </row>
    <row r="47" spans="1:16" x14ac:dyDescent="0.25">
      <c r="A47" s="18"/>
    </row>
    <row r="48" spans="1:16" x14ac:dyDescent="0.25">
      <c r="A48" s="18"/>
    </row>
    <row r="49" spans="1:12" x14ac:dyDescent="0.25">
      <c r="A49" s="18"/>
    </row>
    <row r="50" spans="1:12" x14ac:dyDescent="0.25">
      <c r="A50" s="18"/>
    </row>
    <row r="51" spans="1:12" x14ac:dyDescent="0.25">
      <c r="A51" s="18"/>
    </row>
    <row r="52" spans="1:12" x14ac:dyDescent="0.25">
      <c r="A52" s="18"/>
    </row>
    <row r="53" spans="1:12" x14ac:dyDescent="0.25">
      <c r="A53" s="18"/>
    </row>
    <row r="54" spans="1:12" x14ac:dyDescent="0.25">
      <c r="A54" s="18"/>
      <c r="J54" s="53"/>
    </row>
    <row r="55" spans="1:12" x14ac:dyDescent="0.25">
      <c r="A55" s="18"/>
      <c r="J55" s="53"/>
    </row>
    <row r="56" spans="1:12" x14ac:dyDescent="0.25">
      <c r="A56" s="18"/>
      <c r="K56" s="53"/>
    </row>
    <row r="57" spans="1:12" x14ac:dyDescent="0.25">
      <c r="A57" s="18"/>
    </row>
    <row r="58" spans="1:12" x14ac:dyDescent="0.25">
      <c r="A58" s="18"/>
    </row>
    <row r="59" spans="1:12" x14ac:dyDescent="0.25">
      <c r="A59" s="134"/>
    </row>
    <row r="60" spans="1:12" ht="18.75" x14ac:dyDescent="0.3">
      <c r="A60" s="194"/>
      <c r="B60" s="194"/>
      <c r="C60" s="194"/>
      <c r="D60" s="194"/>
      <c r="E60" s="194"/>
      <c r="F60" s="194"/>
      <c r="G60" s="194"/>
      <c r="H60" s="194"/>
      <c r="I60" s="194"/>
      <c r="J60" s="194"/>
    </row>
    <row r="61" spans="1:12" ht="18.75" x14ac:dyDescent="0.3">
      <c r="A61" s="195" t="s">
        <v>12</v>
      </c>
      <c r="B61" s="195"/>
      <c r="C61" s="195"/>
      <c r="D61" s="196"/>
      <c r="E61" s="197"/>
      <c r="F61" s="195" t="s">
        <v>8</v>
      </c>
      <c r="G61" s="195"/>
      <c r="H61" s="195"/>
      <c r="I61" s="198"/>
      <c r="J61" s="198"/>
      <c r="K61" s="79"/>
      <c r="L61" s="71"/>
    </row>
    <row r="62" spans="1:12" ht="18.75" x14ac:dyDescent="0.3">
      <c r="A62" s="199" t="s">
        <v>13</v>
      </c>
      <c r="B62" s="199" t="s">
        <v>14</v>
      </c>
      <c r="C62" s="199" t="s">
        <v>15</v>
      </c>
      <c r="D62" s="199" t="s">
        <v>16</v>
      </c>
      <c r="E62" s="199"/>
      <c r="F62" s="199" t="s">
        <v>13</v>
      </c>
      <c r="G62" s="199"/>
      <c r="H62" s="199" t="s">
        <v>265</v>
      </c>
      <c r="I62" s="199" t="s">
        <v>15</v>
      </c>
      <c r="J62" s="199" t="s">
        <v>16</v>
      </c>
      <c r="K62" s="87"/>
      <c r="L62" s="73"/>
    </row>
    <row r="63" spans="1:12" ht="18.75" x14ac:dyDescent="0.3">
      <c r="A63" s="200" t="s">
        <v>169</v>
      </c>
      <c r="B63" s="201">
        <f>E40</f>
        <v>180500</v>
      </c>
      <c r="C63" s="200"/>
      <c r="D63" s="200"/>
      <c r="E63" s="200"/>
      <c r="F63" s="200" t="s">
        <v>169</v>
      </c>
      <c r="G63" s="200"/>
      <c r="H63" s="202">
        <f>I40</f>
        <v>238521</v>
      </c>
      <c r="I63" s="200"/>
      <c r="J63" s="200"/>
      <c r="K63" s="60"/>
      <c r="L63" s="74"/>
    </row>
    <row r="64" spans="1:12" ht="18.75" x14ac:dyDescent="0.3">
      <c r="A64" s="200" t="s">
        <v>18</v>
      </c>
      <c r="B64" s="201">
        <f>FEBRUARY21!D78</f>
        <v>7</v>
      </c>
      <c r="C64" s="200"/>
      <c r="D64" s="200"/>
      <c r="E64" s="200"/>
      <c r="F64" s="200" t="s">
        <v>18</v>
      </c>
      <c r="G64" s="200"/>
      <c r="H64" s="201">
        <f>FEBRUARY21!J78</f>
        <v>-112886</v>
      </c>
      <c r="I64" s="200"/>
      <c r="J64" s="200"/>
      <c r="K64" s="60"/>
      <c r="L64" s="74"/>
    </row>
    <row r="65" spans="1:20" ht="18.75" x14ac:dyDescent="0.3">
      <c r="A65" s="200" t="s">
        <v>19</v>
      </c>
      <c r="B65" s="201">
        <f>C40</f>
        <v>0</v>
      </c>
      <c r="C65" s="200"/>
      <c r="D65" s="200"/>
      <c r="E65" s="200"/>
      <c r="F65" s="200"/>
      <c r="G65" s="200"/>
      <c r="H65" s="200"/>
      <c r="I65" s="200"/>
      <c r="J65" s="200"/>
      <c r="K65" s="60"/>
      <c r="L65" s="74"/>
      <c r="O65">
        <f>SUM(Q59:Q62)</f>
        <v>0</v>
      </c>
    </row>
    <row r="66" spans="1:20" ht="18.75" x14ac:dyDescent="0.3">
      <c r="A66" s="200" t="s">
        <v>63</v>
      </c>
      <c r="B66" s="201">
        <f>F40</f>
        <v>10302</v>
      </c>
      <c r="C66" s="200"/>
      <c r="D66" s="200"/>
      <c r="E66" s="200"/>
      <c r="F66" s="200"/>
      <c r="G66" s="200"/>
      <c r="H66" s="200"/>
      <c r="I66" s="200"/>
      <c r="J66" s="200"/>
      <c r="K66" s="60"/>
      <c r="L66" s="74"/>
      <c r="O66">
        <f>SUM(Q60:Q63)</f>
        <v>0</v>
      </c>
    </row>
    <row r="67" spans="1:20" ht="18.75" x14ac:dyDescent="0.3">
      <c r="A67" s="200" t="s">
        <v>62</v>
      </c>
      <c r="B67" s="201">
        <f>K40</f>
        <v>0</v>
      </c>
      <c r="C67" s="200"/>
      <c r="D67" s="200"/>
      <c r="E67" s="200"/>
      <c r="F67" s="200"/>
      <c r="G67" s="200"/>
      <c r="H67" s="200"/>
      <c r="I67" s="200"/>
      <c r="J67" s="200"/>
      <c r="K67" s="60"/>
      <c r="L67" s="74"/>
      <c r="O67" s="157" t="s">
        <v>327</v>
      </c>
      <c r="P67" s="157"/>
      <c r="R67" t="s">
        <v>147</v>
      </c>
    </row>
    <row r="68" spans="1:20" ht="18.75" x14ac:dyDescent="0.3">
      <c r="A68" s="200" t="s">
        <v>96</v>
      </c>
      <c r="B68" s="201">
        <f>G40</f>
        <v>5600</v>
      </c>
      <c r="C68" s="200"/>
      <c r="D68" s="200"/>
      <c r="E68" s="200"/>
      <c r="F68" s="200" t="s">
        <v>126</v>
      </c>
      <c r="G68" s="200"/>
      <c r="H68" s="200"/>
      <c r="I68" s="200"/>
      <c r="J68" s="200"/>
      <c r="K68" s="60"/>
      <c r="L68" s="74"/>
      <c r="O68" s="18" t="s">
        <v>292</v>
      </c>
      <c r="P68" s="47">
        <f>6642</f>
        <v>6642</v>
      </c>
      <c r="Q68" s="132"/>
      <c r="R68" s="41"/>
    </row>
    <row r="69" spans="1:20" ht="18.75" x14ac:dyDescent="0.3">
      <c r="A69" s="200" t="s">
        <v>167</v>
      </c>
      <c r="B69" s="201"/>
      <c r="C69" s="200"/>
      <c r="D69" s="200"/>
      <c r="E69" s="200"/>
      <c r="F69" s="200" t="s">
        <v>167</v>
      </c>
      <c r="G69" s="201"/>
      <c r="H69" s="194"/>
      <c r="I69" s="194"/>
      <c r="J69" s="200"/>
      <c r="K69" s="60"/>
      <c r="L69" s="74"/>
      <c r="M69" s="53"/>
      <c r="O69" s="18" t="s">
        <v>293</v>
      </c>
      <c r="P69" s="47">
        <f>6370</f>
        <v>6370</v>
      </c>
      <c r="Q69" s="47"/>
      <c r="R69" s="157"/>
    </row>
    <row r="70" spans="1:20" ht="18.75" x14ac:dyDescent="0.3">
      <c r="A70" s="200" t="s">
        <v>126</v>
      </c>
      <c r="B70" s="202">
        <f>L40</f>
        <v>0</v>
      </c>
      <c r="C70" s="201"/>
      <c r="D70" s="200"/>
      <c r="E70" s="200"/>
      <c r="F70" s="200"/>
      <c r="G70" s="200"/>
      <c r="H70" s="200"/>
      <c r="I70" s="201"/>
      <c r="J70" s="201"/>
      <c r="K70" s="88"/>
      <c r="L70" s="75"/>
      <c r="O70" s="125" t="s">
        <v>196</v>
      </c>
      <c r="P70" s="47">
        <f>9186</f>
        <v>9186</v>
      </c>
      <c r="Q70" s="132"/>
      <c r="R70" s="41">
        <v>9040</v>
      </c>
      <c r="S70" s="53">
        <f>P70-R70</f>
        <v>146</v>
      </c>
    </row>
    <row r="71" spans="1:20" ht="18.75" x14ac:dyDescent="0.3">
      <c r="A71" s="199" t="s">
        <v>21</v>
      </c>
      <c r="B71" s="200" t="s">
        <v>22</v>
      </c>
      <c r="C71" s="200"/>
      <c r="D71" s="200"/>
      <c r="E71" s="200"/>
      <c r="F71" s="199" t="s">
        <v>21</v>
      </c>
      <c r="G71" s="199"/>
      <c r="H71" s="199"/>
      <c r="I71" s="200"/>
      <c r="J71" s="200"/>
      <c r="K71" s="60"/>
      <c r="L71" s="74"/>
      <c r="O71" s="18" t="s">
        <v>341</v>
      </c>
      <c r="P71" s="53">
        <v>6700</v>
      </c>
      <c r="Q71" s="132"/>
      <c r="R71" s="41"/>
    </row>
    <row r="72" spans="1:20" ht="18.75" x14ac:dyDescent="0.3">
      <c r="A72" s="203" t="s">
        <v>111</v>
      </c>
      <c r="B72" s="204">
        <v>0.05</v>
      </c>
      <c r="C72" s="202">
        <f>B72*E40</f>
        <v>9025</v>
      </c>
      <c r="D72" s="200"/>
      <c r="E72" s="200"/>
      <c r="F72" s="203" t="s">
        <v>111</v>
      </c>
      <c r="G72" s="203"/>
      <c r="H72" s="204">
        <v>0.05</v>
      </c>
      <c r="I72" s="202">
        <f>H72*E40</f>
        <v>9025</v>
      </c>
      <c r="J72" s="200"/>
      <c r="K72" s="60"/>
      <c r="L72" s="74"/>
      <c r="O72" s="18" t="s">
        <v>344</v>
      </c>
      <c r="P72" s="125">
        <v>357</v>
      </c>
      <c r="Q72" s="132"/>
    </row>
    <row r="73" spans="1:20" ht="18.75" x14ac:dyDescent="0.3">
      <c r="A73" s="205" t="s">
        <v>333</v>
      </c>
      <c r="B73" s="206"/>
      <c r="C73" s="194">
        <v>179000</v>
      </c>
      <c r="D73" s="202"/>
      <c r="E73" s="202"/>
      <c r="F73" s="205" t="s">
        <v>333</v>
      </c>
      <c r="G73" s="206"/>
      <c r="H73" s="194"/>
      <c r="I73" s="194">
        <v>179000</v>
      </c>
      <c r="J73" s="194"/>
      <c r="K73" s="89"/>
      <c r="L73" s="76"/>
      <c r="O73" s="18" t="s">
        <v>337</v>
      </c>
      <c r="P73" s="18">
        <v>1000</v>
      </c>
      <c r="Q73" s="132"/>
      <c r="R73" s="41"/>
      <c r="S73" s="53"/>
    </row>
    <row r="74" spans="1:20" ht="18.75" x14ac:dyDescent="0.3">
      <c r="A74" s="205" t="s">
        <v>336</v>
      </c>
      <c r="B74" s="204"/>
      <c r="C74" s="202">
        <f>6642+1742</f>
        <v>8384</v>
      </c>
      <c r="D74" s="200"/>
      <c r="E74" s="200"/>
      <c r="F74" s="205" t="s">
        <v>336</v>
      </c>
      <c r="G74" s="204"/>
      <c r="H74" s="202"/>
      <c r="I74" s="202">
        <f>C74</f>
        <v>8384</v>
      </c>
      <c r="J74" s="200"/>
      <c r="K74" s="60"/>
      <c r="L74" s="74"/>
      <c r="O74" s="18" t="s">
        <v>23</v>
      </c>
      <c r="P74" s="47">
        <f>SUM(P68:P73)</f>
        <v>30255</v>
      </c>
      <c r="Q74" s="132"/>
      <c r="R74" s="41">
        <f>SUM(R70:R73)</f>
        <v>9040</v>
      </c>
    </row>
    <row r="75" spans="1:20" ht="18.75" x14ac:dyDescent="0.3">
      <c r="A75" s="200"/>
      <c r="B75" s="200"/>
      <c r="C75" s="207"/>
      <c r="D75" s="200"/>
      <c r="E75" s="200"/>
      <c r="F75" s="207"/>
      <c r="G75" s="207"/>
      <c r="H75" s="200"/>
      <c r="I75" s="207"/>
      <c r="J75" s="200"/>
      <c r="K75" s="60"/>
      <c r="L75" s="74"/>
      <c r="O75" s="142"/>
      <c r="P75" s="18"/>
      <c r="Q75" s="132">
        <f>P74-R74</f>
        <v>21215</v>
      </c>
      <c r="R75" s="41"/>
    </row>
    <row r="76" spans="1:20" ht="18.75" x14ac:dyDescent="0.3">
      <c r="A76" s="194"/>
      <c r="B76" s="194"/>
      <c r="C76" s="194"/>
      <c r="D76" s="194"/>
      <c r="E76" s="194"/>
      <c r="F76" s="194"/>
      <c r="G76" s="194"/>
      <c r="H76" s="194"/>
      <c r="I76" s="194"/>
      <c r="J76" s="194"/>
      <c r="K76" s="60"/>
      <c r="L76" s="74"/>
      <c r="S76" s="152" t="s">
        <v>311</v>
      </c>
    </row>
    <row r="77" spans="1:20" ht="18.75" x14ac:dyDescent="0.3">
      <c r="A77" s="208"/>
      <c r="B77" s="200"/>
      <c r="C77" s="202"/>
      <c r="D77" s="200"/>
      <c r="E77" s="200"/>
      <c r="F77" s="200"/>
      <c r="G77" s="202"/>
      <c r="H77" s="203"/>
      <c r="I77" s="202"/>
      <c r="J77" s="202"/>
      <c r="K77" s="89"/>
      <c r="L77" s="76"/>
      <c r="O77" s="152" t="s">
        <v>342</v>
      </c>
      <c r="S77">
        <v>357</v>
      </c>
      <c r="T77" t="s">
        <v>345</v>
      </c>
    </row>
    <row r="78" spans="1:20" ht="18.75" x14ac:dyDescent="0.3">
      <c r="A78" s="199" t="s">
        <v>23</v>
      </c>
      <c r="B78" s="209">
        <f>B63+B64+B65+B66+B67+B68+B70+B69</f>
        <v>196409</v>
      </c>
      <c r="C78" s="209">
        <f>SUM(C72:C77)</f>
        <v>196409</v>
      </c>
      <c r="D78" s="209">
        <f>B78-C78</f>
        <v>0</v>
      </c>
      <c r="E78" s="209"/>
      <c r="F78" s="199"/>
      <c r="G78" s="199"/>
      <c r="H78" s="209">
        <f>H63+H64+H66+H68+H69</f>
        <v>125635</v>
      </c>
      <c r="I78" s="209">
        <f>SUM(I72:I77)</f>
        <v>196409</v>
      </c>
      <c r="J78" s="209">
        <f>H78-I78</f>
        <v>-70774</v>
      </c>
      <c r="K78" s="96"/>
      <c r="L78" s="77"/>
      <c r="O78" t="s">
        <v>337</v>
      </c>
      <c r="Q78">
        <f>8700</f>
        <v>8700</v>
      </c>
      <c r="S78" s="53">
        <f>P68</f>
        <v>6642</v>
      </c>
      <c r="T78" t="s">
        <v>292</v>
      </c>
    </row>
    <row r="79" spans="1:20" ht="18.75" x14ac:dyDescent="0.3">
      <c r="A79" s="198"/>
      <c r="B79" s="198"/>
      <c r="C79" s="198"/>
      <c r="D79" s="198"/>
      <c r="E79" s="198"/>
      <c r="F79" s="198"/>
      <c r="G79" s="198"/>
      <c r="H79" s="198"/>
      <c r="I79" s="210">
        <f>I78-I72</f>
        <v>187384</v>
      </c>
      <c r="J79" s="198"/>
      <c r="K79" s="79"/>
      <c r="L79" s="71"/>
      <c r="O79" t="s">
        <v>20</v>
      </c>
      <c r="Q79">
        <f>H72*8000</f>
        <v>400</v>
      </c>
      <c r="S79" s="53">
        <f>P69</f>
        <v>6370</v>
      </c>
      <c r="T79" t="s">
        <v>343</v>
      </c>
    </row>
    <row r="80" spans="1:20" ht="18.75" x14ac:dyDescent="0.3">
      <c r="A80" s="211" t="s">
        <v>24</v>
      </c>
      <c r="B80" s="212"/>
      <c r="C80" s="212" t="s">
        <v>25</v>
      </c>
      <c r="D80" s="213"/>
      <c r="E80" s="213"/>
      <c r="F80" s="211"/>
      <c r="G80" s="211"/>
      <c r="H80" s="211" t="s">
        <v>26</v>
      </c>
      <c r="I80" s="198"/>
      <c r="J80" s="198"/>
      <c r="K80" s="79"/>
      <c r="L80" s="71"/>
      <c r="R80" s="53"/>
      <c r="S80" s="94">
        <f>P71</f>
        <v>6700</v>
      </c>
      <c r="T80" t="s">
        <v>341</v>
      </c>
    </row>
    <row r="81" spans="1:23" ht="18.75" x14ac:dyDescent="0.3">
      <c r="A81" s="198" t="s">
        <v>104</v>
      </c>
      <c r="B81" s="198"/>
      <c r="C81" s="198" t="s">
        <v>105</v>
      </c>
      <c r="D81" s="198"/>
      <c r="E81" s="198"/>
      <c r="F81" s="198"/>
      <c r="G81" s="198"/>
      <c r="H81" s="198" t="s">
        <v>27</v>
      </c>
      <c r="I81" s="198"/>
      <c r="J81" s="198"/>
      <c r="K81" s="119"/>
      <c r="L81" s="71"/>
      <c r="M81" s="5"/>
      <c r="S81" s="94">
        <f>S70</f>
        <v>146</v>
      </c>
      <c r="T81" t="s">
        <v>328</v>
      </c>
    </row>
    <row r="82" spans="1:23" ht="18.75" x14ac:dyDescent="0.3">
      <c r="A82" s="194"/>
      <c r="B82" s="194"/>
      <c r="C82" s="194"/>
      <c r="D82" s="194"/>
      <c r="E82" s="194"/>
      <c r="F82" s="194"/>
      <c r="G82" s="194"/>
      <c r="H82" s="194"/>
      <c r="I82" s="194"/>
      <c r="J82" s="194"/>
      <c r="O82" s="39" t="s">
        <v>23</v>
      </c>
      <c r="Q82" s="215">
        <f>Q78-Q79</f>
        <v>8300</v>
      </c>
      <c r="S82" s="214">
        <f>Q75</f>
        <v>21215</v>
      </c>
      <c r="T82" s="39" t="s">
        <v>23</v>
      </c>
    </row>
    <row r="83" spans="1:23" x14ac:dyDescent="0.25">
      <c r="M83" s="53"/>
      <c r="R83" s="216">
        <f>S82-Q82</f>
        <v>12915</v>
      </c>
      <c r="S83" s="71"/>
      <c r="T83" s="217" t="s">
        <v>339</v>
      </c>
      <c r="U83" s="217"/>
      <c r="V83" s="217"/>
      <c r="W83" s="71"/>
    </row>
  </sheetData>
  <pageMargins left="0.7" right="0.7" top="0.75" bottom="0.75" header="0.3" footer="0.3"/>
  <pageSetup paperSize="286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4"/>
  <sheetViews>
    <sheetView workbookViewId="0">
      <selection activeCell="F36" sqref="F36"/>
    </sheetView>
  </sheetViews>
  <sheetFormatPr defaultRowHeight="15" x14ac:dyDescent="0.25"/>
  <cols>
    <col min="1" max="1" width="24.5703125" customWidth="1"/>
    <col min="2" max="2" width="10.7109375" customWidth="1"/>
    <col min="3" max="4" width="12.140625" customWidth="1"/>
    <col min="5" max="5" width="10.28515625" customWidth="1"/>
    <col min="6" max="6" width="9.85546875" bestFit="1" customWidth="1"/>
    <col min="8" max="8" width="12.140625" customWidth="1"/>
    <col min="9" max="9" width="11.140625" customWidth="1"/>
    <col min="10" max="10" width="12.85546875" customWidth="1"/>
    <col min="14" max="14" width="9.140625" customWidth="1"/>
    <col min="15" max="15" width="10.7109375" customWidth="1"/>
  </cols>
  <sheetData>
    <row r="1" spans="1:15" ht="15.75" x14ac:dyDescent="0.25">
      <c r="A1" s="158"/>
      <c r="B1" s="158"/>
      <c r="C1" s="159"/>
      <c r="D1" s="159"/>
      <c r="E1" s="159"/>
      <c r="F1" s="159"/>
      <c r="G1" s="159"/>
      <c r="H1" s="158"/>
      <c r="I1" s="159"/>
      <c r="J1" s="159"/>
      <c r="K1" s="159"/>
      <c r="L1" s="159"/>
      <c r="M1" s="158"/>
    </row>
    <row r="2" spans="1:15" ht="15.75" x14ac:dyDescent="0.25">
      <c r="A2" s="158"/>
      <c r="B2" s="158"/>
      <c r="C2" s="100"/>
      <c r="D2" s="100"/>
      <c r="E2" s="100" t="s">
        <v>27</v>
      </c>
      <c r="F2" s="160"/>
      <c r="G2" s="100"/>
      <c r="H2" s="101"/>
      <c r="I2" s="160"/>
      <c r="J2" s="160"/>
      <c r="K2" s="160"/>
      <c r="L2" s="160"/>
      <c r="M2" s="158"/>
    </row>
    <row r="3" spans="1:15" ht="15.75" x14ac:dyDescent="0.25">
      <c r="A3" s="160"/>
      <c r="B3" s="100"/>
      <c r="C3" s="100"/>
      <c r="D3" s="100"/>
      <c r="E3" s="100" t="s">
        <v>0</v>
      </c>
      <c r="F3" s="100"/>
      <c r="G3" s="159"/>
      <c r="H3" s="102"/>
      <c r="I3" s="160"/>
      <c r="J3" s="160"/>
      <c r="K3" s="160"/>
      <c r="L3" s="160"/>
      <c r="M3" s="158"/>
    </row>
    <row r="4" spans="1:15" ht="15.75" x14ac:dyDescent="0.25">
      <c r="A4" s="100"/>
      <c r="B4" s="160"/>
      <c r="C4" s="158"/>
      <c r="D4" s="100" t="s">
        <v>340</v>
      </c>
      <c r="E4" s="100"/>
      <c r="F4" s="158"/>
      <c r="G4" s="100"/>
      <c r="H4" s="104"/>
      <c r="I4" s="104"/>
      <c r="J4" s="104"/>
      <c r="K4" s="104"/>
      <c r="L4" s="104"/>
      <c r="M4" s="158"/>
    </row>
    <row r="5" spans="1:15" ht="15.75" x14ac:dyDescent="0.25">
      <c r="A5" s="161" t="s">
        <v>2</v>
      </c>
      <c r="B5" s="161" t="s">
        <v>3</v>
      </c>
      <c r="C5" s="161" t="s">
        <v>4</v>
      </c>
      <c r="D5" s="162" t="s">
        <v>5</v>
      </c>
      <c r="E5" s="161" t="s">
        <v>6</v>
      </c>
      <c r="F5" s="163" t="s">
        <v>63</v>
      </c>
      <c r="G5" s="161" t="s">
        <v>96</v>
      </c>
      <c r="H5" s="164" t="s">
        <v>7</v>
      </c>
      <c r="I5" s="161" t="s">
        <v>8</v>
      </c>
      <c r="J5" s="161" t="s">
        <v>9</v>
      </c>
      <c r="K5" s="161" t="s">
        <v>91</v>
      </c>
      <c r="L5" s="161" t="s">
        <v>123</v>
      </c>
      <c r="M5" s="158"/>
    </row>
    <row r="6" spans="1:15" ht="15.75" x14ac:dyDescent="0.25">
      <c r="A6" s="165" t="s">
        <v>332</v>
      </c>
      <c r="B6" s="166" t="s">
        <v>52</v>
      </c>
      <c r="C6" s="167"/>
      <c r="D6" s="168">
        <f>'MARCH 21'!J6:J40</f>
        <v>853</v>
      </c>
      <c r="E6" s="169">
        <v>6500</v>
      </c>
      <c r="F6" s="170">
        <v>561</v>
      </c>
      <c r="G6" s="169">
        <v>200</v>
      </c>
      <c r="H6" s="169">
        <f>D6+E6+F6+G6</f>
        <v>8114</v>
      </c>
      <c r="I6" s="169">
        <f>7000</f>
        <v>7000</v>
      </c>
      <c r="J6" s="169">
        <f>H6-I6</f>
        <v>1114</v>
      </c>
      <c r="K6" s="169"/>
      <c r="L6" s="169"/>
      <c r="M6" s="158"/>
    </row>
    <row r="7" spans="1:15" ht="15.75" x14ac:dyDescent="0.25">
      <c r="A7" s="171" t="s">
        <v>64</v>
      </c>
      <c r="B7" s="166" t="s">
        <v>51</v>
      </c>
      <c r="C7" s="167"/>
      <c r="D7" s="168">
        <f>'MARCH 21'!J7:J41</f>
        <v>2051</v>
      </c>
      <c r="E7" s="172">
        <v>6000</v>
      </c>
      <c r="F7" s="173">
        <v>476</v>
      </c>
      <c r="G7" s="172">
        <v>200</v>
      </c>
      <c r="H7" s="169">
        <f t="shared" ref="H7:H39" si="0">D7+E7+F7+G7</f>
        <v>8727</v>
      </c>
      <c r="I7" s="169">
        <v>6000</v>
      </c>
      <c r="J7" s="169">
        <f>H7-I7</f>
        <v>2727</v>
      </c>
      <c r="K7" s="169"/>
      <c r="L7" s="169"/>
      <c r="M7" s="181"/>
    </row>
    <row r="8" spans="1:15" ht="15.75" x14ac:dyDescent="0.25">
      <c r="A8" s="171" t="s">
        <v>65</v>
      </c>
      <c r="B8" s="166" t="s">
        <v>54</v>
      </c>
      <c r="C8" s="167"/>
      <c r="D8" s="168">
        <f>'MARCH 21'!J8:J42</f>
        <v>0</v>
      </c>
      <c r="E8" s="172"/>
      <c r="F8" s="173"/>
      <c r="G8" s="172"/>
      <c r="H8" s="169">
        <f t="shared" si="0"/>
        <v>0</v>
      </c>
      <c r="I8" s="169"/>
      <c r="J8" s="169">
        <f>H8-I8</f>
        <v>0</v>
      </c>
      <c r="K8" s="169"/>
      <c r="L8" s="169"/>
      <c r="M8" s="158"/>
      <c r="N8" s="53">
        <f>6000+F6+G6+'MARCH 21'!N7</f>
        <v>7114</v>
      </c>
      <c r="O8" s="53">
        <f>N8-I6</f>
        <v>114</v>
      </c>
    </row>
    <row r="9" spans="1:15" ht="15.75" x14ac:dyDescent="0.25">
      <c r="A9" s="174" t="s">
        <v>128</v>
      </c>
      <c r="B9" s="175" t="s">
        <v>50</v>
      </c>
      <c r="C9" s="176"/>
      <c r="D9" s="168">
        <f>'MARCH 21'!J9:J43</f>
        <v>10334</v>
      </c>
      <c r="E9" s="177"/>
      <c r="F9" s="178"/>
      <c r="G9" s="172"/>
      <c r="H9" s="169">
        <f t="shared" si="0"/>
        <v>10334</v>
      </c>
      <c r="I9" s="169"/>
      <c r="J9" s="169">
        <f>H9-I9</f>
        <v>10334</v>
      </c>
      <c r="K9" s="169"/>
      <c r="L9" s="169"/>
      <c r="M9" s="158"/>
    </row>
    <row r="10" spans="1:15" ht="15.75" x14ac:dyDescent="0.25">
      <c r="A10" s="171" t="s">
        <v>151</v>
      </c>
      <c r="B10" s="166" t="s">
        <v>49</v>
      </c>
      <c r="C10" s="176"/>
      <c r="D10" s="168">
        <f>'MARCH 21'!J10:J44</f>
        <v>0</v>
      </c>
      <c r="E10" s="172">
        <v>6000</v>
      </c>
      <c r="F10" s="173">
        <v>1717</v>
      </c>
      <c r="G10" s="172">
        <v>200</v>
      </c>
      <c r="H10" s="169">
        <f t="shared" si="0"/>
        <v>7917</v>
      </c>
      <c r="I10" s="169">
        <v>7917</v>
      </c>
      <c r="J10" s="169">
        <f>H10-I10</f>
        <v>0</v>
      </c>
      <c r="K10" s="169"/>
      <c r="L10" s="169"/>
      <c r="M10" s="158"/>
    </row>
    <row r="11" spans="1:15" ht="15.75" x14ac:dyDescent="0.25">
      <c r="A11" s="179" t="s">
        <v>263</v>
      </c>
      <c r="B11" s="166" t="s">
        <v>53</v>
      </c>
      <c r="C11" s="167"/>
      <c r="D11" s="168">
        <f>'MARCH 21'!J11:J45</f>
        <v>1562</v>
      </c>
      <c r="E11" s="172">
        <v>6000</v>
      </c>
      <c r="F11" s="173">
        <v>612</v>
      </c>
      <c r="G11" s="172">
        <v>200</v>
      </c>
      <c r="H11" s="169">
        <f t="shared" si="0"/>
        <v>8374</v>
      </c>
      <c r="I11" s="169">
        <f>6842</f>
        <v>6842</v>
      </c>
      <c r="J11" s="169">
        <f t="shared" ref="J11:J36" si="1">H11-I11</f>
        <v>1532</v>
      </c>
      <c r="K11" s="169"/>
      <c r="L11" s="169"/>
      <c r="M11" s="158"/>
    </row>
    <row r="12" spans="1:15" ht="15.75" x14ac:dyDescent="0.25">
      <c r="A12" s="165" t="s">
        <v>262</v>
      </c>
      <c r="B12" s="166" t="s">
        <v>48</v>
      </c>
      <c r="C12" s="167"/>
      <c r="D12" s="168">
        <f>'MARCH 21'!J12:J46</f>
        <v>6370</v>
      </c>
      <c r="E12" s="172">
        <v>6000</v>
      </c>
      <c r="F12" s="173">
        <v>510</v>
      </c>
      <c r="G12" s="172">
        <v>200</v>
      </c>
      <c r="H12" s="169">
        <f t="shared" si="0"/>
        <v>13080</v>
      </c>
      <c r="I12" s="169">
        <f>6370+6710</f>
        <v>13080</v>
      </c>
      <c r="J12" s="169">
        <f t="shared" si="1"/>
        <v>0</v>
      </c>
      <c r="K12" s="169"/>
      <c r="L12" s="169"/>
      <c r="M12" s="158"/>
    </row>
    <row r="13" spans="1:15" ht="15.75" x14ac:dyDescent="0.25">
      <c r="A13" s="180" t="s">
        <v>331</v>
      </c>
      <c r="B13" s="166" t="s">
        <v>47</v>
      </c>
      <c r="C13" s="167"/>
      <c r="D13" s="168">
        <f>'MARCH 21'!J13:J47</f>
        <v>1222</v>
      </c>
      <c r="E13" s="172">
        <v>6500</v>
      </c>
      <c r="F13" s="173">
        <v>527</v>
      </c>
      <c r="G13" s="172">
        <v>200</v>
      </c>
      <c r="H13" s="169">
        <f t="shared" si="0"/>
        <v>8449</v>
      </c>
      <c r="I13" s="169">
        <f>6000</f>
        <v>6000</v>
      </c>
      <c r="J13" s="169">
        <f>H13-I13</f>
        <v>2449</v>
      </c>
      <c r="K13" s="169"/>
      <c r="L13" s="169"/>
      <c r="M13" s="158"/>
    </row>
    <row r="14" spans="1:15" ht="15.75" x14ac:dyDescent="0.25">
      <c r="A14" s="219" t="s">
        <v>347</v>
      </c>
      <c r="B14" s="166" t="s">
        <v>46</v>
      </c>
      <c r="C14" s="167"/>
      <c r="D14" s="168">
        <f>'MARCH 21'!J14:J48</f>
        <v>0</v>
      </c>
      <c r="E14" s="172"/>
      <c r="F14" s="173"/>
      <c r="G14" s="172"/>
      <c r="H14" s="169">
        <f t="shared" si="0"/>
        <v>0</v>
      </c>
      <c r="I14" s="169"/>
      <c r="J14" s="169">
        <f>H14-I14</f>
        <v>0</v>
      </c>
      <c r="K14" s="169"/>
      <c r="L14" s="169"/>
      <c r="M14" s="158">
        <v>6500</v>
      </c>
    </row>
    <row r="15" spans="1:15" ht="15.75" x14ac:dyDescent="0.25">
      <c r="A15" s="171" t="s">
        <v>315</v>
      </c>
      <c r="B15" s="166" t="s">
        <v>45</v>
      </c>
      <c r="C15" s="167"/>
      <c r="D15" s="168">
        <f>'MARCH 21'!J15:J49</f>
        <v>1641</v>
      </c>
      <c r="E15" s="172">
        <v>6000</v>
      </c>
      <c r="F15" s="173">
        <v>493</v>
      </c>
      <c r="G15" s="172">
        <v>200</v>
      </c>
      <c r="H15" s="169">
        <f t="shared" si="0"/>
        <v>8334</v>
      </c>
      <c r="I15" s="169">
        <v>6693</v>
      </c>
      <c r="J15" s="169">
        <f>H15-I15</f>
        <v>1641</v>
      </c>
      <c r="K15" s="169"/>
      <c r="L15" s="169"/>
      <c r="M15" s="158"/>
    </row>
    <row r="16" spans="1:15" ht="15.75" x14ac:dyDescent="0.25">
      <c r="A16" s="165" t="s">
        <v>225</v>
      </c>
      <c r="B16" s="166" t="s">
        <v>44</v>
      </c>
      <c r="C16" s="167"/>
      <c r="D16" s="168">
        <f>'MARCH 21'!J16:J50</f>
        <v>0</v>
      </c>
      <c r="E16" s="172">
        <v>6000</v>
      </c>
      <c r="F16" s="173">
        <v>306</v>
      </c>
      <c r="G16" s="172">
        <v>200</v>
      </c>
      <c r="H16" s="169">
        <f t="shared" si="0"/>
        <v>6506</v>
      </c>
      <c r="I16" s="169">
        <f>6506</f>
        <v>6506</v>
      </c>
      <c r="J16" s="169">
        <f>H16-I16</f>
        <v>0</v>
      </c>
      <c r="K16" s="169"/>
      <c r="L16" s="169"/>
      <c r="M16" s="181">
        <f>J13-1000</f>
        <v>1449</v>
      </c>
    </row>
    <row r="17" spans="1:13" ht="15.75" x14ac:dyDescent="0.25">
      <c r="A17" s="218" t="s">
        <v>338</v>
      </c>
      <c r="B17" s="166" t="s">
        <v>43</v>
      </c>
      <c r="C17" s="176"/>
      <c r="D17" s="168">
        <f>'MARCH 21'!J17:J51</f>
        <v>6700</v>
      </c>
      <c r="E17" s="172"/>
      <c r="F17" s="173"/>
      <c r="G17" s="172"/>
      <c r="H17" s="169">
        <f t="shared" si="0"/>
        <v>6700</v>
      </c>
      <c r="I17" s="169">
        <v>6700</v>
      </c>
      <c r="J17" s="169">
        <f t="shared" si="1"/>
        <v>0</v>
      </c>
      <c r="K17" s="169"/>
      <c r="L17" s="169"/>
      <c r="M17" s="182"/>
    </row>
    <row r="18" spans="1:13" ht="15.75" x14ac:dyDescent="0.25">
      <c r="A18" s="165" t="s">
        <v>73</v>
      </c>
      <c r="B18" s="166" t="s">
        <v>42</v>
      </c>
      <c r="C18" s="167"/>
      <c r="D18" s="168">
        <f>'MARCH 21'!J18:J52</f>
        <v>0</v>
      </c>
      <c r="E18" s="172">
        <v>6000</v>
      </c>
      <c r="F18" s="173">
        <v>255</v>
      </c>
      <c r="G18" s="172">
        <v>200</v>
      </c>
      <c r="H18" s="169">
        <f t="shared" si="0"/>
        <v>6455</v>
      </c>
      <c r="I18" s="169">
        <f>6470</f>
        <v>6470</v>
      </c>
      <c r="J18" s="169">
        <f t="shared" si="1"/>
        <v>-15</v>
      </c>
      <c r="K18" s="169"/>
      <c r="L18" s="169"/>
      <c r="M18" s="158"/>
    </row>
    <row r="19" spans="1:13" ht="15.75" x14ac:dyDescent="0.25">
      <c r="A19" s="165" t="s">
        <v>180</v>
      </c>
      <c r="B19" s="166" t="s">
        <v>41</v>
      </c>
      <c r="C19" s="167"/>
      <c r="D19" s="168">
        <f>'MARCH 21'!J19:J53</f>
        <v>0</v>
      </c>
      <c r="E19" s="172">
        <v>6000</v>
      </c>
      <c r="F19" s="173">
        <v>204</v>
      </c>
      <c r="G19" s="172">
        <v>200</v>
      </c>
      <c r="H19" s="169">
        <f t="shared" si="0"/>
        <v>6404</v>
      </c>
      <c r="I19" s="169">
        <f>6404</f>
        <v>6404</v>
      </c>
      <c r="J19" s="169">
        <f t="shared" si="1"/>
        <v>0</v>
      </c>
      <c r="K19" s="169"/>
      <c r="L19" s="169"/>
      <c r="M19" s="158"/>
    </row>
    <row r="20" spans="1:13" ht="15.75" x14ac:dyDescent="0.25">
      <c r="A20" s="171" t="s">
        <v>75</v>
      </c>
      <c r="B20" s="166" t="s">
        <v>40</v>
      </c>
      <c r="C20" s="167"/>
      <c r="D20" s="168">
        <f>'MARCH 21'!J20:J54</f>
        <v>200</v>
      </c>
      <c r="E20" s="172">
        <v>6000</v>
      </c>
      <c r="F20" s="173">
        <v>102</v>
      </c>
      <c r="G20" s="172">
        <v>200</v>
      </c>
      <c r="H20" s="169">
        <f t="shared" si="0"/>
        <v>6502</v>
      </c>
      <c r="I20" s="169">
        <f>6302</f>
        <v>6302</v>
      </c>
      <c r="J20" s="169">
        <f t="shared" si="1"/>
        <v>200</v>
      </c>
      <c r="K20" s="169"/>
      <c r="L20" s="169"/>
      <c r="M20" s="158"/>
    </row>
    <row r="21" spans="1:13" ht="15.75" x14ac:dyDescent="0.25">
      <c r="A21" s="165" t="s">
        <v>76</v>
      </c>
      <c r="B21" s="183" t="s">
        <v>39</v>
      </c>
      <c r="C21" s="167"/>
      <c r="D21" s="168">
        <f>'MARCH 21'!J21:J55</f>
        <v>0</v>
      </c>
      <c r="E21" s="172">
        <v>6000</v>
      </c>
      <c r="F21" s="173">
        <v>119</v>
      </c>
      <c r="G21" s="172">
        <v>200</v>
      </c>
      <c r="H21" s="169">
        <f>D21+E21+F21+G21</f>
        <v>6319</v>
      </c>
      <c r="I21" s="169">
        <f>6319</f>
        <v>6319</v>
      </c>
      <c r="J21" s="169">
        <f t="shared" si="1"/>
        <v>0</v>
      </c>
      <c r="K21" s="169"/>
      <c r="L21" s="169"/>
      <c r="M21" s="181"/>
    </row>
    <row r="22" spans="1:13" ht="15.75" x14ac:dyDescent="0.25">
      <c r="A22" s="165" t="s">
        <v>150</v>
      </c>
      <c r="B22" s="166" t="s">
        <v>38</v>
      </c>
      <c r="C22" s="167"/>
      <c r="D22" s="168">
        <f>'MARCH 21'!J22:J56</f>
        <v>0</v>
      </c>
      <c r="E22" s="172">
        <v>6000</v>
      </c>
      <c r="F22" s="173">
        <v>119</v>
      </c>
      <c r="G22" s="172">
        <v>200</v>
      </c>
      <c r="H22" s="169">
        <f t="shared" si="0"/>
        <v>6319</v>
      </c>
      <c r="I22" s="169">
        <v>6319</v>
      </c>
      <c r="J22" s="169">
        <f t="shared" si="1"/>
        <v>0</v>
      </c>
      <c r="K22" s="169"/>
      <c r="L22" s="169"/>
      <c r="M22" s="158"/>
    </row>
    <row r="23" spans="1:13" ht="15.75" x14ac:dyDescent="0.25">
      <c r="A23" s="171" t="s">
        <v>78</v>
      </c>
      <c r="B23" s="166" t="s">
        <v>37</v>
      </c>
      <c r="C23" s="167"/>
      <c r="D23" s="168">
        <f>'MARCH 21'!J23:J57</f>
        <v>0</v>
      </c>
      <c r="E23" s="172">
        <v>6000</v>
      </c>
      <c r="F23" s="173">
        <v>0</v>
      </c>
      <c r="G23" s="172">
        <v>200</v>
      </c>
      <c r="H23" s="169">
        <f t="shared" si="0"/>
        <v>6200</v>
      </c>
      <c r="I23" s="169">
        <v>6200</v>
      </c>
      <c r="J23" s="169">
        <f t="shared" si="1"/>
        <v>0</v>
      </c>
      <c r="K23" s="169"/>
      <c r="L23" s="169"/>
      <c r="M23" s="182"/>
    </row>
    <row r="24" spans="1:13" ht="15.75" x14ac:dyDescent="0.25">
      <c r="A24" s="174" t="s">
        <v>67</v>
      </c>
      <c r="B24" s="185" t="s">
        <v>28</v>
      </c>
      <c r="C24" s="167"/>
      <c r="D24" s="168">
        <f>'MARCH 21'!J24:J58</f>
        <v>0</v>
      </c>
      <c r="E24" s="172"/>
      <c r="F24" s="173"/>
      <c r="G24" s="172"/>
      <c r="H24" s="169">
        <f>D24+E24+F24+G24</f>
        <v>0</v>
      </c>
      <c r="I24" s="169"/>
      <c r="J24" s="169">
        <f>H24-I24</f>
        <v>0</v>
      </c>
      <c r="K24" s="169"/>
      <c r="L24" s="169"/>
      <c r="M24" s="182"/>
    </row>
    <row r="25" spans="1:13" ht="15.75" x14ac:dyDescent="0.25">
      <c r="A25" s="165" t="s">
        <v>80</v>
      </c>
      <c r="B25" s="186" t="s">
        <v>29</v>
      </c>
      <c r="C25" s="167"/>
      <c r="D25" s="168">
        <f>'MARCH 21'!J25:J59</f>
        <v>92</v>
      </c>
      <c r="E25" s="172">
        <v>6500</v>
      </c>
      <c r="F25" s="173">
        <v>1377</v>
      </c>
      <c r="G25" s="172">
        <v>200</v>
      </c>
      <c r="H25" s="169">
        <f t="shared" si="0"/>
        <v>8169</v>
      </c>
      <c r="I25" s="169">
        <f>8077</f>
        <v>8077</v>
      </c>
      <c r="J25" s="169">
        <f t="shared" si="1"/>
        <v>92</v>
      </c>
      <c r="K25" s="169"/>
      <c r="L25" s="169"/>
      <c r="M25" s="158"/>
    </row>
    <row r="26" spans="1:13" ht="15.75" x14ac:dyDescent="0.25">
      <c r="A26" s="165" t="s">
        <v>317</v>
      </c>
      <c r="B26" s="186" t="s">
        <v>30</v>
      </c>
      <c r="C26" s="167"/>
      <c r="D26" s="168">
        <f>'MARCH 21'!J26:J60</f>
        <v>1726</v>
      </c>
      <c r="E26" s="172">
        <v>6500</v>
      </c>
      <c r="F26" s="173">
        <v>1037</v>
      </c>
      <c r="G26" s="172">
        <v>200</v>
      </c>
      <c r="H26" s="169">
        <f t="shared" si="0"/>
        <v>9463</v>
      </c>
      <c r="I26" s="169">
        <f>5000</f>
        <v>5000</v>
      </c>
      <c r="J26" s="169">
        <f t="shared" si="1"/>
        <v>4463</v>
      </c>
      <c r="K26" s="169"/>
      <c r="L26" s="169"/>
      <c r="M26" s="182"/>
    </row>
    <row r="27" spans="1:13" ht="15.75" x14ac:dyDescent="0.25">
      <c r="A27" s="174" t="s">
        <v>67</v>
      </c>
      <c r="B27" s="186" t="s">
        <v>55</v>
      </c>
      <c r="C27" s="167"/>
      <c r="D27" s="168">
        <f>'MARCH 21'!J27:J61</f>
        <v>0</v>
      </c>
      <c r="E27" s="172"/>
      <c r="F27" s="173"/>
      <c r="G27" s="172"/>
      <c r="H27" s="169">
        <f t="shared" si="0"/>
        <v>0</v>
      </c>
      <c r="I27" s="169"/>
      <c r="J27" s="169">
        <f>H27-I27</f>
        <v>0</v>
      </c>
      <c r="K27" s="169"/>
      <c r="L27" s="169"/>
      <c r="M27" s="182"/>
    </row>
    <row r="28" spans="1:13" ht="15.75" x14ac:dyDescent="0.25">
      <c r="A28" s="165" t="s">
        <v>83</v>
      </c>
      <c r="B28" s="186" t="s">
        <v>56</v>
      </c>
      <c r="C28" s="167"/>
      <c r="D28" s="168">
        <f>'MARCH 21'!J28:J62</f>
        <v>5472</v>
      </c>
      <c r="E28" s="172">
        <v>8000</v>
      </c>
      <c r="F28" s="173">
        <v>425</v>
      </c>
      <c r="G28" s="172">
        <v>200</v>
      </c>
      <c r="H28" s="169">
        <f t="shared" si="0"/>
        <v>14097</v>
      </c>
      <c r="I28" s="169">
        <f>9000</f>
        <v>9000</v>
      </c>
      <c r="J28" s="169">
        <f t="shared" si="1"/>
        <v>5097</v>
      </c>
      <c r="K28" s="169"/>
      <c r="L28" s="169"/>
      <c r="M28" s="158">
        <v>425</v>
      </c>
    </row>
    <row r="29" spans="1:13" ht="15.75" x14ac:dyDescent="0.25">
      <c r="A29" s="165" t="s">
        <v>181</v>
      </c>
      <c r="B29" s="186" t="s">
        <v>57</v>
      </c>
      <c r="C29" s="167"/>
      <c r="D29" s="168">
        <f>'MARCH 21'!J29:J63</f>
        <v>357</v>
      </c>
      <c r="E29" s="172">
        <v>6500</v>
      </c>
      <c r="F29" s="173">
        <v>425</v>
      </c>
      <c r="G29" s="172">
        <v>200</v>
      </c>
      <c r="H29" s="169">
        <f>D29+E29+F29+G29</f>
        <v>7482</v>
      </c>
      <c r="I29" s="169">
        <f>7100+357</f>
        <v>7457</v>
      </c>
      <c r="J29" s="169">
        <f t="shared" si="1"/>
        <v>25</v>
      </c>
      <c r="K29" s="169"/>
      <c r="L29" s="169"/>
      <c r="M29" s="158"/>
    </row>
    <row r="30" spans="1:13" ht="15.75" x14ac:dyDescent="0.25">
      <c r="A30" s="184" t="s">
        <v>92</v>
      </c>
      <c r="B30" s="185" t="s">
        <v>58</v>
      </c>
      <c r="C30" s="167"/>
      <c r="D30" s="168">
        <f>'MARCH 21'!J30:J64</f>
        <v>1846</v>
      </c>
      <c r="E30" s="172">
        <v>6500</v>
      </c>
      <c r="F30" s="173">
        <v>782</v>
      </c>
      <c r="G30" s="172">
        <v>200</v>
      </c>
      <c r="H30" s="169">
        <f>D30+E30+F30+G30</f>
        <v>9328</v>
      </c>
      <c r="I30" s="169">
        <f>5000</f>
        <v>5000</v>
      </c>
      <c r="J30" s="169">
        <f t="shared" si="1"/>
        <v>4328</v>
      </c>
      <c r="K30" s="169"/>
      <c r="L30" s="169"/>
      <c r="M30" s="158"/>
    </row>
    <row r="31" spans="1:13" ht="15.75" x14ac:dyDescent="0.25">
      <c r="A31" s="165" t="s">
        <v>176</v>
      </c>
      <c r="B31" s="186" t="s">
        <v>59</v>
      </c>
      <c r="C31" s="167"/>
      <c r="D31" s="168">
        <f>'MARCH 21'!J31:J65</f>
        <v>6990</v>
      </c>
      <c r="E31" s="172">
        <v>6500</v>
      </c>
      <c r="F31" s="173">
        <v>408</v>
      </c>
      <c r="G31" s="172">
        <v>200</v>
      </c>
      <c r="H31" s="169">
        <f t="shared" si="0"/>
        <v>14098</v>
      </c>
      <c r="I31" s="169">
        <f>4600+2000</f>
        <v>6600</v>
      </c>
      <c r="J31" s="169">
        <f t="shared" si="1"/>
        <v>7498</v>
      </c>
      <c r="K31" s="169"/>
      <c r="L31" s="169"/>
      <c r="M31" s="158"/>
    </row>
    <row r="32" spans="1:13" ht="15.75" x14ac:dyDescent="0.25">
      <c r="A32" s="165" t="s">
        <v>170</v>
      </c>
      <c r="B32" s="186" t="s">
        <v>60</v>
      </c>
      <c r="C32" s="167"/>
      <c r="D32" s="168">
        <f>'MARCH 21'!J32:J66</f>
        <v>0</v>
      </c>
      <c r="E32" s="172">
        <v>6500</v>
      </c>
      <c r="F32" s="173">
        <v>578</v>
      </c>
      <c r="G32" s="172">
        <v>200</v>
      </c>
      <c r="H32" s="169">
        <f t="shared" si="0"/>
        <v>7278</v>
      </c>
      <c r="I32" s="169">
        <v>7278</v>
      </c>
      <c r="J32" s="169">
        <f t="shared" si="1"/>
        <v>0</v>
      </c>
      <c r="K32" s="169"/>
      <c r="L32" s="169"/>
      <c r="M32" s="181"/>
    </row>
    <row r="33" spans="1:13" ht="15.75" x14ac:dyDescent="0.25">
      <c r="A33" s="165" t="s">
        <v>103</v>
      </c>
      <c r="B33" s="186" t="s">
        <v>31</v>
      </c>
      <c r="C33" s="167"/>
      <c r="D33" s="168">
        <f>'MARCH 21'!J33:J67</f>
        <v>146</v>
      </c>
      <c r="E33" s="172">
        <v>8000</v>
      </c>
      <c r="F33" s="173">
        <v>1275</v>
      </c>
      <c r="G33" s="172">
        <v>200</v>
      </c>
      <c r="H33" s="169">
        <f>D33+E33+F33+G33</f>
        <v>9621</v>
      </c>
      <c r="I33" s="169">
        <f>146+5373+4102</f>
        <v>9621</v>
      </c>
      <c r="J33" s="169">
        <f>H33-I33</f>
        <v>0</v>
      </c>
      <c r="K33" s="169"/>
      <c r="L33" s="169"/>
      <c r="M33" s="187"/>
    </row>
    <row r="34" spans="1:13" ht="15.75" x14ac:dyDescent="0.25">
      <c r="A34" s="165" t="s">
        <v>322</v>
      </c>
      <c r="B34" s="186" t="s">
        <v>32</v>
      </c>
      <c r="C34" s="167"/>
      <c r="D34" s="168">
        <f>'MARCH 21'!J34:J68</f>
        <v>591</v>
      </c>
      <c r="E34" s="173">
        <v>6500</v>
      </c>
      <c r="F34" s="173">
        <v>527</v>
      </c>
      <c r="G34" s="172">
        <v>200</v>
      </c>
      <c r="H34" s="169">
        <f t="shared" si="0"/>
        <v>7818</v>
      </c>
      <c r="I34" s="169">
        <f>4000+3000</f>
        <v>7000</v>
      </c>
      <c r="J34" s="169">
        <f t="shared" si="1"/>
        <v>818</v>
      </c>
      <c r="K34" s="169"/>
      <c r="L34" s="169"/>
      <c r="M34" s="181"/>
    </row>
    <row r="35" spans="1:13" ht="15.75" x14ac:dyDescent="0.25">
      <c r="A35" s="165" t="s">
        <v>245</v>
      </c>
      <c r="B35" s="186" t="s">
        <v>33</v>
      </c>
      <c r="C35" s="167"/>
      <c r="D35" s="168">
        <f>'MARCH 21'!J35:J69</f>
        <v>1591</v>
      </c>
      <c r="E35" s="173">
        <v>6500</v>
      </c>
      <c r="F35" s="173"/>
      <c r="G35" s="172">
        <v>200</v>
      </c>
      <c r="H35" s="169">
        <f>D35+E35+F35+G35+289</f>
        <v>8580</v>
      </c>
      <c r="I35" s="169">
        <f>6500</f>
        <v>6500</v>
      </c>
      <c r="J35" s="169">
        <f t="shared" si="1"/>
        <v>2080</v>
      </c>
      <c r="K35" s="169"/>
      <c r="L35" s="169"/>
      <c r="M35" s="158">
        <v>289</v>
      </c>
    </row>
    <row r="36" spans="1:13" ht="15.75" x14ac:dyDescent="0.25">
      <c r="A36" s="165" t="s">
        <v>89</v>
      </c>
      <c r="B36" s="186" t="s">
        <v>34</v>
      </c>
      <c r="C36" s="167"/>
      <c r="D36" s="168">
        <f>'MARCH 21'!J36:J70</f>
        <v>0</v>
      </c>
      <c r="E36" s="173">
        <v>6500</v>
      </c>
      <c r="F36" s="173">
        <v>34</v>
      </c>
      <c r="G36" s="172">
        <v>200</v>
      </c>
      <c r="H36" s="169">
        <f t="shared" si="0"/>
        <v>6734</v>
      </c>
      <c r="I36" s="169">
        <v>6734</v>
      </c>
      <c r="J36" s="169">
        <f t="shared" si="1"/>
        <v>0</v>
      </c>
      <c r="K36" s="169"/>
      <c r="L36" s="169"/>
      <c r="M36" s="158"/>
    </row>
    <row r="37" spans="1:13" ht="15.75" x14ac:dyDescent="0.25">
      <c r="A37" s="165" t="s">
        <v>330</v>
      </c>
      <c r="B37" s="186" t="s">
        <v>35</v>
      </c>
      <c r="C37" s="167"/>
      <c r="D37" s="168">
        <f>'MARCH 21'!J37:J71</f>
        <v>0</v>
      </c>
      <c r="E37" s="173">
        <v>6500</v>
      </c>
      <c r="F37" s="173">
        <v>510</v>
      </c>
      <c r="G37" s="172">
        <v>200</v>
      </c>
      <c r="H37" s="169">
        <f>D37+E37+F37+G37</f>
        <v>7210</v>
      </c>
      <c r="I37" s="169">
        <v>7210</v>
      </c>
      <c r="J37" s="169">
        <f>H37-I37</f>
        <v>0</v>
      </c>
      <c r="K37" s="169"/>
      <c r="L37" s="169"/>
      <c r="M37" s="158"/>
    </row>
    <row r="38" spans="1:13" ht="15.75" x14ac:dyDescent="0.25">
      <c r="A38" s="165" t="s">
        <v>138</v>
      </c>
      <c r="B38" s="186" t="s">
        <v>36</v>
      </c>
      <c r="C38" s="167"/>
      <c r="D38" s="168">
        <f>'MARCH 21'!J38:J72</f>
        <v>1000</v>
      </c>
      <c r="E38" s="178">
        <v>8000</v>
      </c>
      <c r="F38" s="178">
        <v>500</v>
      </c>
      <c r="G38" s="172">
        <v>200</v>
      </c>
      <c r="H38" s="169">
        <f>D38+E38+F38+G38</f>
        <v>9700</v>
      </c>
      <c r="I38" s="169">
        <f>4000+1000</f>
        <v>5000</v>
      </c>
      <c r="J38" s="169">
        <f>H38-I38</f>
        <v>4700</v>
      </c>
      <c r="K38" s="169"/>
      <c r="L38" s="169"/>
      <c r="M38" s="158"/>
    </row>
    <row r="39" spans="1:13" ht="15.75" x14ac:dyDescent="0.25">
      <c r="A39" s="165"/>
      <c r="B39" s="186"/>
      <c r="C39" s="167"/>
      <c r="D39" s="168">
        <f>'MARCH 21'!J39:J73</f>
        <v>0</v>
      </c>
      <c r="E39" s="178"/>
      <c r="F39" s="178"/>
      <c r="G39" s="172"/>
      <c r="H39" s="169">
        <f t="shared" si="0"/>
        <v>0</v>
      </c>
      <c r="I39" s="169">
        <f>SUM(D39:H39)</f>
        <v>0</v>
      </c>
      <c r="J39" s="169">
        <f>H39-I39</f>
        <v>0</v>
      </c>
      <c r="K39" s="169"/>
      <c r="L39" s="169"/>
      <c r="M39" s="158"/>
    </row>
    <row r="40" spans="1:13" ht="15.75" x14ac:dyDescent="0.25">
      <c r="A40" s="188" t="s">
        <v>10</v>
      </c>
      <c r="B40" s="165"/>
      <c r="C40" s="167">
        <f t="shared" ref="C40:L40" si="2">SUM(C6:C39)</f>
        <v>0</v>
      </c>
      <c r="D40" s="177">
        <f>SUM(D6:D39)</f>
        <v>50744</v>
      </c>
      <c r="E40" s="189">
        <f>SUM(E6:E39)</f>
        <v>174000</v>
      </c>
      <c r="F40" s="190">
        <f>SUM(F6:F39)</f>
        <v>13879</v>
      </c>
      <c r="G40" s="191">
        <f t="shared" si="2"/>
        <v>5400</v>
      </c>
      <c r="H40" s="169">
        <f>SUM(H6:H39)</f>
        <v>244312</v>
      </c>
      <c r="I40" s="192">
        <f>SUM(I6:I39)</f>
        <v>195229</v>
      </c>
      <c r="J40" s="192">
        <f>SUM(J6:J39)</f>
        <v>49083</v>
      </c>
      <c r="K40" s="192">
        <f t="shared" si="2"/>
        <v>0</v>
      </c>
      <c r="L40" s="192">
        <f t="shared" si="2"/>
        <v>0</v>
      </c>
      <c r="M40" s="158"/>
    </row>
    <row r="41" spans="1:13" ht="15.75" x14ac:dyDescent="0.25">
      <c r="A41" s="184"/>
      <c r="B41" s="184"/>
      <c r="C41" s="177"/>
      <c r="D41" s="193"/>
      <c r="E41" s="184"/>
      <c r="F41" s="158"/>
      <c r="G41" s="184"/>
      <c r="H41" s="184"/>
      <c r="I41" s="184"/>
      <c r="J41" s="184"/>
      <c r="K41" s="184"/>
      <c r="L41" s="184"/>
      <c r="M41" s="158"/>
    </row>
    <row r="42" spans="1:13" ht="15.75" x14ac:dyDescent="0.25">
      <c r="A42" s="160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</row>
    <row r="43" spans="1:13" ht="15.75" x14ac:dyDescent="0.25">
      <c r="A43" s="184"/>
      <c r="B43" s="158"/>
      <c r="C43" s="158"/>
      <c r="D43" s="158"/>
      <c r="E43" s="158"/>
      <c r="F43" s="158"/>
      <c r="G43" s="158"/>
      <c r="H43" s="158"/>
      <c r="I43" s="158"/>
      <c r="J43" s="158"/>
      <c r="K43" s="158"/>
      <c r="L43" s="158"/>
      <c r="M43" s="158"/>
    </row>
    <row r="44" spans="1:13" x14ac:dyDescent="0.25">
      <c r="A44" s="18"/>
    </row>
    <row r="45" spans="1:13" x14ac:dyDescent="0.25">
      <c r="A45" s="18"/>
    </row>
    <row r="46" spans="1:13" x14ac:dyDescent="0.25">
      <c r="A46" s="18"/>
    </row>
    <row r="47" spans="1:13" x14ac:dyDescent="0.25">
      <c r="A47" s="18"/>
    </row>
    <row r="48" spans="1:13" x14ac:dyDescent="0.25">
      <c r="A48" s="18"/>
    </row>
    <row r="49" spans="1:12" x14ac:dyDescent="0.25">
      <c r="A49" s="18"/>
    </row>
    <row r="50" spans="1:12" x14ac:dyDescent="0.25">
      <c r="A50" s="18"/>
    </row>
    <row r="51" spans="1:12" x14ac:dyDescent="0.25">
      <c r="A51" s="18"/>
    </row>
    <row r="52" spans="1:12" x14ac:dyDescent="0.25">
      <c r="A52" s="18"/>
    </row>
    <row r="53" spans="1:12" x14ac:dyDescent="0.25">
      <c r="A53" s="18"/>
    </row>
    <row r="54" spans="1:12" x14ac:dyDescent="0.25">
      <c r="A54" s="18"/>
      <c r="J54" s="53"/>
    </row>
    <row r="55" spans="1:12" x14ac:dyDescent="0.25">
      <c r="A55" s="18"/>
      <c r="J55" s="53"/>
    </row>
    <row r="56" spans="1:12" x14ac:dyDescent="0.25">
      <c r="A56" s="18"/>
      <c r="K56" s="53"/>
    </row>
    <row r="57" spans="1:12" x14ac:dyDescent="0.25">
      <c r="A57" s="18"/>
    </row>
    <row r="58" spans="1:12" x14ac:dyDescent="0.25">
      <c r="A58" s="18"/>
    </row>
    <row r="59" spans="1:12" x14ac:dyDescent="0.25">
      <c r="A59" s="134"/>
    </row>
    <row r="60" spans="1:12" ht="18.75" x14ac:dyDescent="0.3">
      <c r="A60" s="194"/>
      <c r="B60" s="194"/>
      <c r="C60" s="194"/>
      <c r="D60" s="194"/>
      <c r="E60" s="194"/>
      <c r="F60" s="194"/>
      <c r="G60" s="194"/>
      <c r="H60" s="194"/>
      <c r="I60" s="194"/>
      <c r="J60" s="194"/>
    </row>
    <row r="61" spans="1:12" ht="18.75" x14ac:dyDescent="0.3">
      <c r="A61" s="195" t="s">
        <v>12</v>
      </c>
      <c r="B61" s="195"/>
      <c r="C61" s="195"/>
      <c r="D61" s="196"/>
      <c r="E61" s="197"/>
      <c r="F61" s="195" t="s">
        <v>8</v>
      </c>
      <c r="G61" s="195"/>
      <c r="H61" s="195"/>
      <c r="I61" s="198"/>
      <c r="J61" s="198"/>
      <c r="K61" s="79"/>
      <c r="L61" s="71"/>
    </row>
    <row r="62" spans="1:12" ht="18.75" x14ac:dyDescent="0.3">
      <c r="A62" s="199" t="s">
        <v>13</v>
      </c>
      <c r="B62" s="199" t="s">
        <v>14</v>
      </c>
      <c r="C62" s="199" t="s">
        <v>15</v>
      </c>
      <c r="D62" s="199" t="s">
        <v>16</v>
      </c>
      <c r="E62" s="199"/>
      <c r="F62" s="199" t="s">
        <v>13</v>
      </c>
      <c r="G62" s="199"/>
      <c r="H62" s="199" t="s">
        <v>265</v>
      </c>
      <c r="I62" s="199" t="s">
        <v>15</v>
      </c>
      <c r="J62" s="199" t="s">
        <v>16</v>
      </c>
      <c r="K62" s="87"/>
      <c r="L62" s="73"/>
    </row>
    <row r="63" spans="1:12" ht="18.75" x14ac:dyDescent="0.3">
      <c r="A63" s="200" t="s">
        <v>174</v>
      </c>
      <c r="B63" s="201">
        <f>E40</f>
        <v>174000</v>
      </c>
      <c r="C63" s="200"/>
      <c r="D63" s="200"/>
      <c r="E63" s="200"/>
      <c r="F63" s="200" t="s">
        <v>174</v>
      </c>
      <c r="G63" s="200"/>
      <c r="H63" s="202">
        <f>I40</f>
        <v>195229</v>
      </c>
      <c r="I63" s="200"/>
      <c r="J63" s="200"/>
      <c r="K63" s="60"/>
      <c r="L63" s="74"/>
    </row>
    <row r="64" spans="1:12" ht="18.75" x14ac:dyDescent="0.3">
      <c r="A64" s="200" t="s">
        <v>18</v>
      </c>
      <c r="B64" s="201">
        <f>'MARCH 21'!D78</f>
        <v>0</v>
      </c>
      <c r="C64" s="200"/>
      <c r="D64" s="200"/>
      <c r="E64" s="200"/>
      <c r="F64" s="200" t="s">
        <v>18</v>
      </c>
      <c r="G64" s="200"/>
      <c r="H64" s="201">
        <f>'MARCH 21'!J78</f>
        <v>-70774</v>
      </c>
      <c r="I64" s="200"/>
      <c r="J64" s="200"/>
      <c r="K64" s="60"/>
      <c r="L64" s="74"/>
    </row>
    <row r="65" spans="1:19" ht="18.75" x14ac:dyDescent="0.3">
      <c r="A65" s="200" t="s">
        <v>19</v>
      </c>
      <c r="B65" s="201">
        <f>C40</f>
        <v>0</v>
      </c>
      <c r="C65" s="200"/>
      <c r="D65" s="200"/>
      <c r="E65" s="200"/>
      <c r="F65" s="200"/>
      <c r="G65" s="200"/>
      <c r="H65" s="200"/>
      <c r="I65" s="200"/>
      <c r="J65" s="200"/>
      <c r="K65" s="60"/>
      <c r="L65" s="74"/>
      <c r="O65" s="157" t="s">
        <v>327</v>
      </c>
      <c r="P65" s="157"/>
      <c r="R65" t="s">
        <v>9</v>
      </c>
    </row>
    <row r="66" spans="1:19" ht="18.75" x14ac:dyDescent="0.3">
      <c r="A66" s="200" t="s">
        <v>63</v>
      </c>
      <c r="B66" s="201">
        <f>F40</f>
        <v>13879</v>
      </c>
      <c r="C66" s="200"/>
      <c r="D66" s="200"/>
      <c r="E66" s="200"/>
      <c r="F66" s="200"/>
      <c r="G66" s="200"/>
      <c r="H66" s="200"/>
      <c r="I66" s="200"/>
      <c r="J66" s="200"/>
      <c r="K66" s="60"/>
      <c r="L66" s="74"/>
      <c r="O66" s="18" t="s">
        <v>292</v>
      </c>
      <c r="P66" s="47">
        <f>H10</f>
        <v>7917</v>
      </c>
      <c r="Q66" s="132">
        <v>7917</v>
      </c>
      <c r="R66" s="132">
        <f>P66-Q66</f>
        <v>0</v>
      </c>
    </row>
    <row r="67" spans="1:19" ht="18.75" x14ac:dyDescent="0.3">
      <c r="A67" s="200" t="s">
        <v>62</v>
      </c>
      <c r="B67" s="201">
        <f>K40</f>
        <v>0</v>
      </c>
      <c r="C67" s="200"/>
      <c r="D67" s="200"/>
      <c r="E67" s="200"/>
      <c r="F67" s="200"/>
      <c r="G67" s="200"/>
      <c r="H67" s="200"/>
      <c r="I67" s="200"/>
      <c r="J67" s="200"/>
      <c r="K67" s="60"/>
      <c r="L67" s="74"/>
      <c r="O67" s="18" t="s">
        <v>293</v>
      </c>
      <c r="P67" s="47">
        <f>E12+F12+G12</f>
        <v>6710</v>
      </c>
      <c r="Q67" s="47">
        <v>6710</v>
      </c>
      <c r="R67" s="222">
        <f>P67-Q67</f>
        <v>0</v>
      </c>
    </row>
    <row r="68" spans="1:19" ht="18.75" x14ac:dyDescent="0.3">
      <c r="A68" s="200" t="s">
        <v>96</v>
      </c>
      <c r="B68" s="201">
        <f>G40</f>
        <v>5400</v>
      </c>
      <c r="C68" s="200"/>
      <c r="D68" s="200"/>
      <c r="E68" s="200"/>
      <c r="F68" s="200" t="s">
        <v>126</v>
      </c>
      <c r="G68" s="200"/>
      <c r="H68" s="200"/>
      <c r="I68" s="200"/>
      <c r="J68" s="200"/>
      <c r="K68" s="60"/>
      <c r="L68" s="74"/>
      <c r="O68" s="125" t="s">
        <v>196</v>
      </c>
      <c r="P68" s="47">
        <f>E33+F33+G33</f>
        <v>9475</v>
      </c>
      <c r="Q68" s="132">
        <v>5373</v>
      </c>
      <c r="R68" s="132">
        <f>P68-Q68</f>
        <v>4102</v>
      </c>
      <c r="S68" s="53"/>
    </row>
    <row r="69" spans="1:19" ht="18.75" x14ac:dyDescent="0.3">
      <c r="A69" s="200" t="s">
        <v>167</v>
      </c>
      <c r="B69" s="201"/>
      <c r="C69" s="200"/>
      <c r="D69" s="200"/>
      <c r="E69" s="200"/>
      <c r="F69" s="200" t="s">
        <v>167</v>
      </c>
      <c r="G69" s="201"/>
      <c r="H69" s="194"/>
      <c r="I69" s="194"/>
      <c r="J69" s="200"/>
      <c r="K69" s="60"/>
      <c r="L69" s="74"/>
      <c r="M69" s="53"/>
      <c r="O69" s="18" t="s">
        <v>353</v>
      </c>
      <c r="P69" s="53"/>
      <c r="Q69" s="132"/>
      <c r="R69" s="132">
        <f t="shared" ref="R69:R72" si="3">P69-Q69</f>
        <v>0</v>
      </c>
    </row>
    <row r="70" spans="1:19" ht="18.75" x14ac:dyDescent="0.3">
      <c r="A70" s="200" t="s">
        <v>126</v>
      </c>
      <c r="B70" s="202">
        <f>L40</f>
        <v>0</v>
      </c>
      <c r="C70" s="201"/>
      <c r="D70" s="200"/>
      <c r="E70" s="200"/>
      <c r="F70" s="200"/>
      <c r="G70" s="200"/>
      <c r="H70" s="200"/>
      <c r="I70" s="201"/>
      <c r="J70" s="201"/>
      <c r="K70" s="88"/>
      <c r="L70" s="75"/>
      <c r="O70" s="18" t="s">
        <v>354</v>
      </c>
      <c r="P70" s="125"/>
      <c r="Q70" s="132"/>
      <c r="R70" s="132">
        <f t="shared" si="3"/>
        <v>0</v>
      </c>
    </row>
    <row r="71" spans="1:19" ht="18.75" x14ac:dyDescent="0.3">
      <c r="A71" s="200"/>
      <c r="B71" s="202"/>
      <c r="C71" s="201"/>
      <c r="D71" s="200"/>
      <c r="E71" s="200"/>
      <c r="F71" s="200"/>
      <c r="G71" s="200"/>
      <c r="H71" s="200"/>
      <c r="I71" s="201"/>
      <c r="J71" s="201"/>
      <c r="K71" s="88"/>
      <c r="L71" s="75"/>
      <c r="O71" s="18" t="s">
        <v>355</v>
      </c>
      <c r="P71" s="18"/>
      <c r="Q71" s="132"/>
      <c r="R71" s="132"/>
    </row>
    <row r="72" spans="1:19" ht="18.75" x14ac:dyDescent="0.3">
      <c r="A72" s="199" t="s">
        <v>21</v>
      </c>
      <c r="B72" s="200" t="s">
        <v>22</v>
      </c>
      <c r="C72" s="200"/>
      <c r="D72" s="200"/>
      <c r="E72" s="200"/>
      <c r="F72" s="199" t="s">
        <v>21</v>
      </c>
      <c r="G72" s="199"/>
      <c r="H72" s="199"/>
      <c r="I72" s="200"/>
      <c r="J72" s="200"/>
      <c r="K72" s="60"/>
      <c r="L72" s="74"/>
      <c r="O72" s="18" t="s">
        <v>356</v>
      </c>
      <c r="P72" s="18"/>
      <c r="Q72" s="132"/>
      <c r="R72" s="132">
        <f t="shared" si="3"/>
        <v>0</v>
      </c>
      <c r="S72" s="53"/>
    </row>
    <row r="73" spans="1:19" ht="18.75" x14ac:dyDescent="0.3">
      <c r="A73" s="203" t="s">
        <v>111</v>
      </c>
      <c r="B73" s="204">
        <v>0.05</v>
      </c>
      <c r="C73" s="202">
        <f>B73*E40</f>
        <v>8700</v>
      </c>
      <c r="D73" s="200"/>
      <c r="E73" s="200"/>
      <c r="F73" s="203" t="s">
        <v>111</v>
      </c>
      <c r="G73" s="203"/>
      <c r="H73" s="204">
        <v>0.05</v>
      </c>
      <c r="I73" s="202">
        <f>H73*E40</f>
        <v>8700</v>
      </c>
      <c r="J73" s="200"/>
      <c r="K73" s="60"/>
      <c r="L73" s="74"/>
      <c r="O73" s="18" t="s">
        <v>23</v>
      </c>
      <c r="P73" s="47">
        <f>SUM(P66:P72)</f>
        <v>24102</v>
      </c>
      <c r="Q73" s="132">
        <f>SUM(Q66:Q72)</f>
        <v>20000</v>
      </c>
      <c r="R73" s="132">
        <f>P73-Q73</f>
        <v>4102</v>
      </c>
    </row>
    <row r="74" spans="1:19" ht="18.75" x14ac:dyDescent="0.3">
      <c r="A74" s="205" t="s">
        <v>346</v>
      </c>
      <c r="B74" s="206"/>
      <c r="C74" s="194">
        <v>184570</v>
      </c>
      <c r="D74" s="202"/>
      <c r="E74" s="202"/>
      <c r="F74" s="205" t="s">
        <v>346</v>
      </c>
      <c r="G74" s="206"/>
      <c r="H74" s="194"/>
      <c r="I74" s="194">
        <v>184570</v>
      </c>
      <c r="J74" s="194"/>
      <c r="K74" s="89"/>
      <c r="L74" s="76"/>
      <c r="O74" s="142"/>
      <c r="P74" s="18"/>
      <c r="Q74" s="132"/>
      <c r="R74" s="41"/>
    </row>
    <row r="75" spans="1:19" ht="18.75" x14ac:dyDescent="0.3">
      <c r="A75" s="205"/>
      <c r="B75" s="204"/>
      <c r="C75" s="202"/>
      <c r="D75" s="200"/>
      <c r="E75" s="200"/>
      <c r="F75" s="205"/>
      <c r="G75" s="204"/>
      <c r="H75" s="202"/>
      <c r="I75" s="202"/>
      <c r="J75" s="200"/>
      <c r="K75" s="60"/>
      <c r="L75" s="74"/>
      <c r="S75" s="152"/>
    </row>
    <row r="76" spans="1:19" ht="18.75" x14ac:dyDescent="0.3">
      <c r="A76" s="200"/>
      <c r="B76" s="200"/>
      <c r="C76" s="207"/>
      <c r="D76" s="200"/>
      <c r="E76" s="200"/>
      <c r="F76" s="207"/>
      <c r="G76" s="207"/>
      <c r="H76" s="200"/>
      <c r="I76" s="207"/>
      <c r="J76" s="200"/>
      <c r="K76" s="60"/>
      <c r="L76" s="74"/>
      <c r="N76" s="152" t="s">
        <v>351</v>
      </c>
      <c r="O76" s="152" t="s">
        <v>308</v>
      </c>
      <c r="P76" s="53"/>
    </row>
    <row r="77" spans="1:19" ht="18.75" x14ac:dyDescent="0.3">
      <c r="A77" s="194"/>
      <c r="B77" s="194"/>
      <c r="C77" s="194"/>
      <c r="D77" s="194"/>
      <c r="E77" s="194"/>
      <c r="F77" s="194"/>
      <c r="G77" s="194"/>
      <c r="H77" s="194"/>
      <c r="I77" s="194"/>
      <c r="J77" s="194"/>
      <c r="K77" s="60"/>
      <c r="L77" s="74"/>
      <c r="N77" t="s">
        <v>352</v>
      </c>
      <c r="O77">
        <f>6000+57+200</f>
        <v>6257</v>
      </c>
    </row>
    <row r="78" spans="1:19" ht="18.75" x14ac:dyDescent="0.3">
      <c r="A78" s="208"/>
      <c r="B78" s="200"/>
      <c r="C78" s="202"/>
      <c r="D78" s="200"/>
      <c r="E78" s="200"/>
      <c r="F78" s="200"/>
      <c r="G78" s="202"/>
      <c r="H78" s="203"/>
      <c r="I78" s="202"/>
      <c r="J78" s="202"/>
      <c r="K78" s="89"/>
      <c r="L78" s="76"/>
      <c r="N78" t="s">
        <v>20</v>
      </c>
      <c r="O78">
        <f>B73*6000</f>
        <v>300</v>
      </c>
    </row>
    <row r="79" spans="1:19" ht="18.75" x14ac:dyDescent="0.3">
      <c r="A79" s="199" t="s">
        <v>23</v>
      </c>
      <c r="B79" s="209">
        <f>B63+B64+B65+B66+B67+B68+B70+B69</f>
        <v>193279</v>
      </c>
      <c r="C79" s="209">
        <f>SUM(C73:C78)</f>
        <v>193270</v>
      </c>
      <c r="D79" s="209">
        <f>B79-C79</f>
        <v>9</v>
      </c>
      <c r="E79" s="209"/>
      <c r="F79" s="199"/>
      <c r="G79" s="199"/>
      <c r="H79" s="209">
        <f>H63+H64+H66+H68+H69</f>
        <v>124455</v>
      </c>
      <c r="I79" s="209">
        <f>SUM(I73:I78)</f>
        <v>193270</v>
      </c>
      <c r="J79" s="209">
        <f>H79-I79</f>
        <v>-68815</v>
      </c>
      <c r="K79" s="96"/>
      <c r="L79" s="77"/>
      <c r="O79">
        <f>O77-O78</f>
        <v>5957</v>
      </c>
      <c r="P79" s="53">
        <f>R73</f>
        <v>4102</v>
      </c>
      <c r="Q79" t="s">
        <v>9</v>
      </c>
      <c r="R79" s="53">
        <f>O79-P79</f>
        <v>1855</v>
      </c>
    </row>
    <row r="80" spans="1:19" ht="18.75" x14ac:dyDescent="0.3">
      <c r="A80" s="198"/>
      <c r="B80" s="198"/>
      <c r="C80" s="198"/>
      <c r="D80" s="198"/>
      <c r="E80" s="198"/>
      <c r="F80" s="198"/>
      <c r="G80" s="198"/>
      <c r="H80" s="198"/>
      <c r="I80" s="210">
        <f>I79-I73</f>
        <v>184570</v>
      </c>
      <c r="J80" s="198"/>
      <c r="K80" s="79"/>
      <c r="L80" s="71"/>
      <c r="R80" s="53">
        <f>R79-975</f>
        <v>880</v>
      </c>
    </row>
    <row r="81" spans="1:18" ht="18.75" x14ac:dyDescent="0.3">
      <c r="A81" s="211" t="s">
        <v>24</v>
      </c>
      <c r="B81" s="212"/>
      <c r="C81" s="212" t="s">
        <v>25</v>
      </c>
      <c r="D81" s="213"/>
      <c r="E81" s="213"/>
      <c r="F81" s="211"/>
      <c r="G81" s="211"/>
      <c r="H81" s="211" t="s">
        <v>26</v>
      </c>
      <c r="I81" s="198"/>
      <c r="J81" s="198"/>
      <c r="K81" s="79"/>
      <c r="L81" s="71"/>
    </row>
    <row r="82" spans="1:18" ht="18.75" x14ac:dyDescent="0.3">
      <c r="A82" s="198" t="s">
        <v>104</v>
      </c>
      <c r="B82" s="198"/>
      <c r="C82" s="198" t="s">
        <v>105</v>
      </c>
      <c r="D82" s="198"/>
      <c r="E82" s="198"/>
      <c r="F82" s="198"/>
      <c r="G82" s="198"/>
      <c r="H82" s="198" t="s">
        <v>27</v>
      </c>
      <c r="I82" s="198"/>
      <c r="J82" s="198"/>
      <c r="K82" s="119"/>
      <c r="L82" s="71"/>
      <c r="M82" s="5"/>
    </row>
    <row r="83" spans="1:18" ht="18.75" x14ac:dyDescent="0.3">
      <c r="A83" s="194"/>
      <c r="B83" s="194"/>
      <c r="C83" s="194"/>
      <c r="D83" s="194"/>
      <c r="E83" s="194"/>
      <c r="F83" s="194"/>
      <c r="G83" s="194"/>
      <c r="H83" s="194"/>
      <c r="I83" s="194"/>
      <c r="J83" s="194"/>
    </row>
    <row r="84" spans="1:18" x14ac:dyDescent="0.25">
      <c r="R84" s="53">
        <f>1000-R80</f>
        <v>120</v>
      </c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2"/>
  <sheetViews>
    <sheetView workbookViewId="0">
      <selection activeCell="F30" sqref="F30"/>
    </sheetView>
  </sheetViews>
  <sheetFormatPr defaultRowHeight="15" x14ac:dyDescent="0.25"/>
  <cols>
    <col min="1" max="1" width="21.42578125" customWidth="1"/>
    <col min="2" max="2" width="12.42578125" customWidth="1"/>
    <col min="3" max="3" width="11.140625" customWidth="1"/>
    <col min="4" max="4" width="11.5703125" bestFit="1" customWidth="1"/>
    <col min="5" max="5" width="9.85546875" customWidth="1"/>
    <col min="8" max="8" width="12.42578125" customWidth="1"/>
    <col min="9" max="9" width="14" customWidth="1"/>
    <col min="10" max="10" width="13" customWidth="1"/>
    <col min="15" max="15" width="18" customWidth="1"/>
  </cols>
  <sheetData>
    <row r="1" spans="1:13" ht="15.75" x14ac:dyDescent="0.25">
      <c r="A1" s="158"/>
      <c r="B1" s="158"/>
      <c r="C1" s="159"/>
      <c r="D1" s="159"/>
      <c r="E1" s="159"/>
      <c r="F1" s="159"/>
      <c r="G1" s="159"/>
      <c r="H1" s="158"/>
      <c r="I1" s="159"/>
      <c r="J1" s="159"/>
      <c r="K1" s="159"/>
      <c r="L1" s="159"/>
      <c r="M1" s="158"/>
    </row>
    <row r="2" spans="1:13" ht="15.75" x14ac:dyDescent="0.25">
      <c r="A2" s="158"/>
      <c r="B2" s="158"/>
      <c r="C2" s="100"/>
      <c r="D2" s="100"/>
      <c r="E2" s="100" t="s">
        <v>27</v>
      </c>
      <c r="F2" s="160"/>
      <c r="G2" s="100"/>
      <c r="H2" s="101"/>
      <c r="I2" s="160"/>
      <c r="J2" s="160"/>
      <c r="K2" s="160"/>
      <c r="L2" s="160"/>
      <c r="M2" s="158"/>
    </row>
    <row r="3" spans="1:13" ht="15.75" x14ac:dyDescent="0.25">
      <c r="A3" s="160"/>
      <c r="B3" s="100"/>
      <c r="C3" s="100"/>
      <c r="D3" s="100"/>
      <c r="E3" s="100" t="s">
        <v>0</v>
      </c>
      <c r="F3" s="100"/>
      <c r="G3" s="159"/>
      <c r="H3" s="102"/>
      <c r="I3" s="160"/>
      <c r="J3" s="160"/>
      <c r="K3" s="160"/>
      <c r="L3" s="160"/>
      <c r="M3" s="158"/>
    </row>
    <row r="4" spans="1:13" ht="15.75" x14ac:dyDescent="0.25">
      <c r="A4" s="100"/>
      <c r="B4" s="160"/>
      <c r="C4" s="158"/>
      <c r="D4" s="100" t="s">
        <v>348</v>
      </c>
      <c r="E4" s="100"/>
      <c r="F4" s="158"/>
      <c r="G4" s="100"/>
      <c r="H4" s="104"/>
      <c r="I4" s="104"/>
      <c r="J4" s="104"/>
      <c r="K4" s="104"/>
      <c r="L4" s="104"/>
      <c r="M4" s="158"/>
    </row>
    <row r="5" spans="1:13" ht="15.75" x14ac:dyDescent="0.25">
      <c r="A5" s="161" t="s">
        <v>2</v>
      </c>
      <c r="B5" s="161" t="s">
        <v>3</v>
      </c>
      <c r="C5" s="161" t="s">
        <v>4</v>
      </c>
      <c r="D5" s="162" t="s">
        <v>5</v>
      </c>
      <c r="E5" s="161" t="s">
        <v>6</v>
      </c>
      <c r="F5" s="163" t="s">
        <v>63</v>
      </c>
      <c r="G5" s="161" t="s">
        <v>96</v>
      </c>
      <c r="H5" s="164" t="s">
        <v>7</v>
      </c>
      <c r="I5" s="161" t="s">
        <v>8</v>
      </c>
      <c r="J5" s="161" t="s">
        <v>9</v>
      </c>
      <c r="K5" s="161" t="s">
        <v>91</v>
      </c>
      <c r="L5" s="161" t="s">
        <v>123</v>
      </c>
      <c r="M5" s="158"/>
    </row>
    <row r="6" spans="1:13" ht="15.75" x14ac:dyDescent="0.25">
      <c r="A6" s="174" t="s">
        <v>67</v>
      </c>
      <c r="B6" s="166" t="s">
        <v>52</v>
      </c>
      <c r="C6" s="167"/>
      <c r="D6" s="220"/>
      <c r="E6" s="169"/>
      <c r="F6" s="170"/>
      <c r="G6" s="169"/>
      <c r="H6" s="169">
        <f t="shared" ref="H6:H27" si="0">D6+E6+F6+G6</f>
        <v>0</v>
      </c>
      <c r="I6" s="169"/>
      <c r="J6" s="169">
        <f>H6-I6</f>
        <v>0</v>
      </c>
      <c r="K6" s="169"/>
      <c r="L6" s="169"/>
      <c r="M6" s="158"/>
    </row>
    <row r="7" spans="1:13" ht="15.75" x14ac:dyDescent="0.25">
      <c r="A7" s="171" t="s">
        <v>64</v>
      </c>
      <c r="B7" s="166" t="s">
        <v>51</v>
      </c>
      <c r="C7" s="167"/>
      <c r="D7" s="220">
        <f>'APRIL 21'!J7:J41</f>
        <v>2727</v>
      </c>
      <c r="E7" s="172">
        <v>6000</v>
      </c>
      <c r="F7" s="173">
        <v>153</v>
      </c>
      <c r="G7" s="172">
        <v>200</v>
      </c>
      <c r="H7" s="169">
        <f t="shared" si="0"/>
        <v>9080</v>
      </c>
      <c r="I7" s="169">
        <f>6000</f>
        <v>6000</v>
      </c>
      <c r="J7" s="169">
        <f>H7-I7</f>
        <v>3080</v>
      </c>
      <c r="K7" s="169"/>
      <c r="L7" s="169"/>
      <c r="M7" s="158"/>
    </row>
    <row r="8" spans="1:13" ht="15.75" x14ac:dyDescent="0.25">
      <c r="A8" s="171" t="s">
        <v>65</v>
      </c>
      <c r="B8" s="166" t="s">
        <v>54</v>
      </c>
      <c r="C8" s="167"/>
      <c r="D8" s="220">
        <f>'APRIL 21'!J8:J42</f>
        <v>0</v>
      </c>
      <c r="E8" s="172"/>
      <c r="F8" s="173"/>
      <c r="G8" s="172"/>
      <c r="H8" s="169">
        <f t="shared" si="0"/>
        <v>0</v>
      </c>
      <c r="I8" s="169"/>
      <c r="J8" s="169">
        <f>H8-I8</f>
        <v>0</v>
      </c>
      <c r="K8" s="169"/>
      <c r="L8" s="169"/>
      <c r="M8" s="158"/>
    </row>
    <row r="9" spans="1:13" ht="15.75" x14ac:dyDescent="0.25">
      <c r="A9" s="174" t="s">
        <v>67</v>
      </c>
      <c r="B9" s="175" t="s">
        <v>50</v>
      </c>
      <c r="C9" s="176"/>
      <c r="D9" s="220"/>
      <c r="E9" s="177"/>
      <c r="F9" s="178"/>
      <c r="G9" s="172"/>
      <c r="H9" s="169">
        <f t="shared" si="0"/>
        <v>0</v>
      </c>
      <c r="I9" s="169"/>
      <c r="J9" s="169">
        <f>H9-I9</f>
        <v>0</v>
      </c>
      <c r="K9" s="169"/>
      <c r="L9" s="169"/>
      <c r="M9" s="158"/>
    </row>
    <row r="10" spans="1:13" ht="15.75" x14ac:dyDescent="0.25">
      <c r="A10" s="171" t="s">
        <v>151</v>
      </c>
      <c r="B10" s="166" t="s">
        <v>49</v>
      </c>
      <c r="C10" s="176"/>
      <c r="D10" s="220">
        <f>'APRIL 21'!J10:J44</f>
        <v>0</v>
      </c>
      <c r="E10" s="172">
        <v>6000</v>
      </c>
      <c r="F10" s="173">
        <v>1003</v>
      </c>
      <c r="G10" s="172">
        <v>200</v>
      </c>
      <c r="H10" s="169">
        <f t="shared" si="0"/>
        <v>7203</v>
      </c>
      <c r="I10" s="169">
        <f>6858</f>
        <v>6858</v>
      </c>
      <c r="J10" s="169">
        <f>H10-I10</f>
        <v>345</v>
      </c>
      <c r="K10" s="169"/>
      <c r="L10" s="169"/>
      <c r="M10" s="158" t="s">
        <v>97</v>
      </c>
    </row>
    <row r="11" spans="1:13" ht="15.75" x14ac:dyDescent="0.25">
      <c r="A11" s="179" t="s">
        <v>263</v>
      </c>
      <c r="B11" s="166" t="s">
        <v>53</v>
      </c>
      <c r="C11" s="167"/>
      <c r="D11" s="220">
        <f>'APRIL 21'!J11:J45</f>
        <v>1532</v>
      </c>
      <c r="E11" s="172">
        <v>6000</v>
      </c>
      <c r="F11" s="173">
        <v>680</v>
      </c>
      <c r="G11" s="172">
        <v>200</v>
      </c>
      <c r="H11" s="169">
        <f t="shared" si="0"/>
        <v>8412</v>
      </c>
      <c r="I11" s="169">
        <f>6880</f>
        <v>6880</v>
      </c>
      <c r="J11" s="169">
        <f t="shared" ref="J11:J36" si="1">H11-I11</f>
        <v>1532</v>
      </c>
      <c r="K11" s="169"/>
      <c r="L11" s="169"/>
      <c r="M11" s="158"/>
    </row>
    <row r="12" spans="1:13" ht="15.75" x14ac:dyDescent="0.25">
      <c r="A12" s="165" t="s">
        <v>262</v>
      </c>
      <c r="B12" s="166" t="s">
        <v>48</v>
      </c>
      <c r="C12" s="167"/>
      <c r="D12" s="220">
        <f>'APRIL 21'!J12:J46</f>
        <v>0</v>
      </c>
      <c r="E12" s="172">
        <v>6000</v>
      </c>
      <c r="F12" s="173">
        <v>374</v>
      </c>
      <c r="G12" s="172">
        <v>200</v>
      </c>
      <c r="H12" s="169">
        <f t="shared" si="0"/>
        <v>6574</v>
      </c>
      <c r="I12" s="169">
        <f>6500</f>
        <v>6500</v>
      </c>
      <c r="J12" s="169">
        <f t="shared" si="1"/>
        <v>74</v>
      </c>
      <c r="K12" s="169"/>
      <c r="L12" s="169"/>
      <c r="M12" s="158"/>
    </row>
    <row r="13" spans="1:13" ht="15.75" x14ac:dyDescent="0.25">
      <c r="A13" s="180" t="s">
        <v>331</v>
      </c>
      <c r="B13" s="166" t="s">
        <v>47</v>
      </c>
      <c r="C13" s="167"/>
      <c r="D13" s="220">
        <f>'APRIL 21'!J13:J47</f>
        <v>2449</v>
      </c>
      <c r="E13" s="172">
        <v>6000</v>
      </c>
      <c r="F13" s="173">
        <v>544</v>
      </c>
      <c r="G13" s="172">
        <v>200</v>
      </c>
      <c r="H13" s="169">
        <f t="shared" si="0"/>
        <v>9193</v>
      </c>
      <c r="I13" s="169">
        <f>8000</f>
        <v>8000</v>
      </c>
      <c r="J13" s="169">
        <f t="shared" si="1"/>
        <v>1193</v>
      </c>
      <c r="K13" s="169"/>
      <c r="L13" s="169"/>
      <c r="M13" s="158"/>
    </row>
    <row r="14" spans="1:13" ht="15.75" x14ac:dyDescent="0.25">
      <c r="A14" s="165" t="s">
        <v>347</v>
      </c>
      <c r="B14" s="166" t="s">
        <v>46</v>
      </c>
      <c r="C14" s="167"/>
      <c r="D14" s="220">
        <f>'APRIL 21'!J14:J48</f>
        <v>0</v>
      </c>
      <c r="E14" s="172">
        <v>6000</v>
      </c>
      <c r="F14" s="173">
        <v>374</v>
      </c>
      <c r="G14" s="172">
        <v>200</v>
      </c>
      <c r="H14" s="169">
        <f t="shared" si="0"/>
        <v>6574</v>
      </c>
      <c r="I14" s="169">
        <f>6574</f>
        <v>6574</v>
      </c>
      <c r="J14" s="169">
        <f>H14-I14</f>
        <v>0</v>
      </c>
      <c r="K14" s="169"/>
      <c r="L14" s="169"/>
      <c r="M14" s="158"/>
    </row>
    <row r="15" spans="1:13" ht="15.75" x14ac:dyDescent="0.25">
      <c r="A15" s="171" t="s">
        <v>315</v>
      </c>
      <c r="B15" s="166" t="s">
        <v>45</v>
      </c>
      <c r="C15" s="167"/>
      <c r="D15" s="220">
        <f>'APRIL 21'!J15:J49</f>
        <v>1641</v>
      </c>
      <c r="E15" s="172">
        <v>6000</v>
      </c>
      <c r="F15" s="173">
        <v>425</v>
      </c>
      <c r="G15" s="172">
        <v>200</v>
      </c>
      <c r="H15" s="169">
        <f t="shared" si="0"/>
        <v>8266</v>
      </c>
      <c r="I15" s="169">
        <f>425+6200</f>
        <v>6625</v>
      </c>
      <c r="J15" s="169">
        <f>H15-I15</f>
        <v>1641</v>
      </c>
      <c r="K15" s="169"/>
      <c r="L15" s="169"/>
      <c r="M15" s="158"/>
    </row>
    <row r="16" spans="1:13" ht="15.75" x14ac:dyDescent="0.25">
      <c r="A16" s="165" t="s">
        <v>225</v>
      </c>
      <c r="B16" s="166" t="s">
        <v>44</v>
      </c>
      <c r="C16" s="167"/>
      <c r="D16" s="220">
        <f>'APRIL 21'!J16:J50</f>
        <v>0</v>
      </c>
      <c r="E16" s="172">
        <v>6000</v>
      </c>
      <c r="F16" s="173">
        <v>119</v>
      </c>
      <c r="G16" s="172">
        <v>200</v>
      </c>
      <c r="H16" s="169">
        <f t="shared" si="0"/>
        <v>6319</v>
      </c>
      <c r="I16" s="169">
        <v>6319</v>
      </c>
      <c r="J16" s="169">
        <f>H16-I16</f>
        <v>0</v>
      </c>
      <c r="K16" s="169"/>
      <c r="L16" s="169"/>
      <c r="M16" s="158"/>
    </row>
    <row r="17" spans="1:14" ht="15.75" x14ac:dyDescent="0.25">
      <c r="A17" s="171" t="s">
        <v>349</v>
      </c>
      <c r="B17" s="166" t="s">
        <v>43</v>
      </c>
      <c r="C17" s="176"/>
      <c r="D17" s="220">
        <f>'APRIL 21'!J17:J51</f>
        <v>0</v>
      </c>
      <c r="E17" s="172">
        <v>6000</v>
      </c>
      <c r="F17" s="173">
        <v>442</v>
      </c>
      <c r="G17" s="172">
        <v>200</v>
      </c>
      <c r="H17" s="169">
        <f t="shared" si="0"/>
        <v>6642</v>
      </c>
      <c r="I17" s="169">
        <v>6642</v>
      </c>
      <c r="J17" s="169">
        <f t="shared" si="1"/>
        <v>0</v>
      </c>
      <c r="K17" s="169"/>
      <c r="L17" s="169"/>
      <c r="M17" s="182" t="s">
        <v>350</v>
      </c>
    </row>
    <row r="18" spans="1:14" ht="15.75" x14ac:dyDescent="0.25">
      <c r="A18" s="165" t="s">
        <v>73</v>
      </c>
      <c r="B18" s="166" t="s">
        <v>42</v>
      </c>
      <c r="C18" s="167"/>
      <c r="D18" s="220">
        <f>'APRIL 21'!J18:J52</f>
        <v>-15</v>
      </c>
      <c r="E18" s="172">
        <v>6000</v>
      </c>
      <c r="F18" s="173">
        <v>187</v>
      </c>
      <c r="G18" s="172">
        <v>200</v>
      </c>
      <c r="H18" s="169">
        <f t="shared" si="0"/>
        <v>6372</v>
      </c>
      <c r="I18" s="169">
        <v>6372</v>
      </c>
      <c r="J18" s="169">
        <f t="shared" si="1"/>
        <v>0</v>
      </c>
      <c r="K18" s="169"/>
      <c r="L18" s="169"/>
      <c r="M18" s="158"/>
    </row>
    <row r="19" spans="1:14" ht="15.75" x14ac:dyDescent="0.25">
      <c r="A19" s="165" t="s">
        <v>180</v>
      </c>
      <c r="B19" s="166" t="s">
        <v>41</v>
      </c>
      <c r="C19" s="167"/>
      <c r="D19" s="220">
        <f>'APRIL 21'!J19:J53</f>
        <v>0</v>
      </c>
      <c r="E19" s="172">
        <v>6000</v>
      </c>
      <c r="F19" s="173">
        <v>170</v>
      </c>
      <c r="G19" s="172">
        <v>200</v>
      </c>
      <c r="H19" s="169">
        <f t="shared" si="0"/>
        <v>6370</v>
      </c>
      <c r="I19" s="169">
        <f>3000+2000</f>
        <v>5000</v>
      </c>
      <c r="J19" s="169">
        <f t="shared" si="1"/>
        <v>1370</v>
      </c>
      <c r="K19" s="169"/>
      <c r="L19" s="169"/>
      <c r="M19" s="158"/>
    </row>
    <row r="20" spans="1:14" ht="15.75" x14ac:dyDescent="0.25">
      <c r="A20" s="171" t="s">
        <v>75</v>
      </c>
      <c r="B20" s="166" t="s">
        <v>40</v>
      </c>
      <c r="C20" s="167"/>
      <c r="D20" s="220">
        <f>'APRIL 21'!J20:J54</f>
        <v>200</v>
      </c>
      <c r="E20" s="172">
        <v>6000</v>
      </c>
      <c r="F20" s="173">
        <v>153</v>
      </c>
      <c r="G20" s="172">
        <v>200</v>
      </c>
      <c r="H20" s="169">
        <f t="shared" si="0"/>
        <v>6553</v>
      </c>
      <c r="I20" s="169">
        <f>6305</f>
        <v>6305</v>
      </c>
      <c r="J20" s="169">
        <f t="shared" si="1"/>
        <v>248</v>
      </c>
      <c r="K20" s="169"/>
      <c r="L20" s="169"/>
      <c r="M20" s="158"/>
    </row>
    <row r="21" spans="1:14" ht="15.75" x14ac:dyDescent="0.25">
      <c r="A21" s="165" t="s">
        <v>76</v>
      </c>
      <c r="B21" s="183" t="s">
        <v>39</v>
      </c>
      <c r="C21" s="167"/>
      <c r="D21" s="220">
        <f>'APRIL 21'!J21:J55</f>
        <v>0</v>
      </c>
      <c r="E21" s="172">
        <v>6000</v>
      </c>
      <c r="F21" s="173">
        <v>153</v>
      </c>
      <c r="G21" s="172">
        <v>200</v>
      </c>
      <c r="H21" s="169">
        <f t="shared" si="0"/>
        <v>6353</v>
      </c>
      <c r="I21" s="169">
        <f>6300</f>
        <v>6300</v>
      </c>
      <c r="J21" s="169">
        <f t="shared" si="1"/>
        <v>53</v>
      </c>
      <c r="K21" s="169"/>
      <c r="L21" s="169"/>
      <c r="M21" s="181"/>
    </row>
    <row r="22" spans="1:14" ht="15.75" x14ac:dyDescent="0.25">
      <c r="A22" s="165" t="s">
        <v>150</v>
      </c>
      <c r="B22" s="166" t="s">
        <v>38</v>
      </c>
      <c r="C22" s="167"/>
      <c r="D22" s="220">
        <f>'APRIL 21'!J22:J56</f>
        <v>0</v>
      </c>
      <c r="E22" s="172">
        <v>6000</v>
      </c>
      <c r="F22" s="173">
        <v>340</v>
      </c>
      <c r="G22" s="172">
        <v>200</v>
      </c>
      <c r="H22" s="169">
        <f t="shared" si="0"/>
        <v>6540</v>
      </c>
      <c r="I22" s="169">
        <f>6540</f>
        <v>6540</v>
      </c>
      <c r="J22" s="169">
        <f t="shared" si="1"/>
        <v>0</v>
      </c>
      <c r="K22" s="169"/>
      <c r="L22" s="169"/>
      <c r="M22" s="158"/>
    </row>
    <row r="23" spans="1:14" ht="15.75" x14ac:dyDescent="0.25">
      <c r="A23" s="171" t="s">
        <v>78</v>
      </c>
      <c r="B23" s="166" t="s">
        <v>37</v>
      </c>
      <c r="C23" s="167"/>
      <c r="D23" s="220">
        <f>'APRIL 21'!J23:J57</f>
        <v>0</v>
      </c>
      <c r="E23" s="172">
        <v>6000</v>
      </c>
      <c r="F23" s="173">
        <v>0</v>
      </c>
      <c r="G23" s="172">
        <v>200</v>
      </c>
      <c r="H23" s="169">
        <f t="shared" si="0"/>
        <v>6200</v>
      </c>
      <c r="I23" s="169">
        <f>6200</f>
        <v>6200</v>
      </c>
      <c r="J23" s="169">
        <f t="shared" si="1"/>
        <v>0</v>
      </c>
      <c r="K23" s="169"/>
      <c r="L23" s="169"/>
      <c r="M23" s="182"/>
    </row>
    <row r="24" spans="1:14" ht="15.75" x14ac:dyDescent="0.25">
      <c r="A24" s="174" t="s">
        <v>67</v>
      </c>
      <c r="B24" s="185" t="s">
        <v>28</v>
      </c>
      <c r="C24" s="167"/>
      <c r="D24" s="220">
        <f>'APRIL 21'!J24:J58</f>
        <v>0</v>
      </c>
      <c r="E24" s="172"/>
      <c r="F24" s="173"/>
      <c r="G24" s="172"/>
      <c r="H24" s="169">
        <f t="shared" si="0"/>
        <v>0</v>
      </c>
      <c r="I24" s="169"/>
      <c r="J24" s="169">
        <f>H24-I24</f>
        <v>0</v>
      </c>
      <c r="K24" s="169"/>
      <c r="L24" s="169"/>
      <c r="M24" s="182"/>
    </row>
    <row r="25" spans="1:14" ht="15.75" x14ac:dyDescent="0.25">
      <c r="A25" s="174" t="s">
        <v>67</v>
      </c>
      <c r="B25" s="186" t="s">
        <v>29</v>
      </c>
      <c r="C25" s="167"/>
      <c r="D25" s="220"/>
      <c r="E25" s="172"/>
      <c r="F25" s="173"/>
      <c r="G25" s="172"/>
      <c r="H25" s="169">
        <f t="shared" si="0"/>
        <v>0</v>
      </c>
      <c r="I25" s="169"/>
      <c r="J25" s="169">
        <f t="shared" si="1"/>
        <v>0</v>
      </c>
      <c r="K25" s="169"/>
      <c r="L25" s="169"/>
      <c r="M25" s="158"/>
    </row>
    <row r="26" spans="1:14" ht="15.75" x14ac:dyDescent="0.25">
      <c r="A26" s="165" t="s">
        <v>317</v>
      </c>
      <c r="B26" s="186" t="s">
        <v>30</v>
      </c>
      <c r="C26" s="167"/>
      <c r="D26" s="220">
        <f>'APRIL 21'!J26:J60</f>
        <v>4463</v>
      </c>
      <c r="E26" s="172">
        <v>6500</v>
      </c>
      <c r="F26" s="173">
        <v>799</v>
      </c>
      <c r="G26" s="172">
        <v>200</v>
      </c>
      <c r="H26" s="169">
        <f t="shared" si="0"/>
        <v>11962</v>
      </c>
      <c r="I26" s="169">
        <f>5000</f>
        <v>5000</v>
      </c>
      <c r="J26" s="169">
        <f t="shared" si="1"/>
        <v>6962</v>
      </c>
      <c r="K26" s="169"/>
      <c r="L26" s="169"/>
      <c r="M26" s="187">
        <f>E27+F27+G27+'APRIL 21'!O8</f>
        <v>7426</v>
      </c>
      <c r="N26" s="53">
        <f>M26-I27</f>
        <v>4426</v>
      </c>
    </row>
    <row r="27" spans="1:14" ht="15.75" x14ac:dyDescent="0.25">
      <c r="A27" s="165" t="s">
        <v>332</v>
      </c>
      <c r="B27" s="186" t="s">
        <v>55</v>
      </c>
      <c r="C27" s="167"/>
      <c r="D27" s="220">
        <f>'APRIL 21'!J6</f>
        <v>1114</v>
      </c>
      <c r="E27" s="172">
        <v>6500</v>
      </c>
      <c r="F27" s="173">
        <v>612</v>
      </c>
      <c r="G27" s="172">
        <v>200</v>
      </c>
      <c r="H27" s="169">
        <f t="shared" si="0"/>
        <v>8426</v>
      </c>
      <c r="I27" s="169">
        <f>3000</f>
        <v>3000</v>
      </c>
      <c r="J27" s="169">
        <f>H27-I27</f>
        <v>5426</v>
      </c>
      <c r="K27" s="169"/>
      <c r="L27" s="169"/>
      <c r="M27" s="182"/>
    </row>
    <row r="28" spans="1:14" ht="15.75" x14ac:dyDescent="0.25">
      <c r="A28" s="165" t="s">
        <v>83</v>
      </c>
      <c r="B28" s="186" t="s">
        <v>56</v>
      </c>
      <c r="C28" s="167"/>
      <c r="D28" s="220">
        <f>'APRIL 21'!J28:J62</f>
        <v>5097</v>
      </c>
      <c r="E28" s="172">
        <v>8000</v>
      </c>
      <c r="F28" s="173">
        <v>340</v>
      </c>
      <c r="G28" s="172">
        <v>200</v>
      </c>
      <c r="H28" s="169">
        <f t="shared" ref="H28:H39" si="2">D28+E28+F28+G28</f>
        <v>13637</v>
      </c>
      <c r="I28" s="169"/>
      <c r="J28" s="169">
        <f t="shared" si="1"/>
        <v>13637</v>
      </c>
      <c r="K28" s="169"/>
      <c r="L28" s="169"/>
      <c r="M28" s="158"/>
    </row>
    <row r="29" spans="1:14" ht="15.75" x14ac:dyDescent="0.25">
      <c r="A29" s="165" t="s">
        <v>181</v>
      </c>
      <c r="B29" s="186" t="s">
        <v>57</v>
      </c>
      <c r="C29" s="167"/>
      <c r="D29" s="220">
        <f>'APRIL 21'!J29:J63</f>
        <v>25</v>
      </c>
      <c r="E29" s="172">
        <v>6500</v>
      </c>
      <c r="F29" s="173">
        <v>374</v>
      </c>
      <c r="G29" s="172">
        <v>200</v>
      </c>
      <c r="H29" s="169">
        <f>D29+E29+F29+G29</f>
        <v>7099</v>
      </c>
      <c r="I29" s="169">
        <f>7099</f>
        <v>7099</v>
      </c>
      <c r="J29" s="169">
        <f t="shared" si="1"/>
        <v>0</v>
      </c>
      <c r="K29" s="169"/>
      <c r="L29" s="169"/>
      <c r="M29" s="158"/>
    </row>
    <row r="30" spans="1:14" ht="15.75" x14ac:dyDescent="0.25">
      <c r="A30" s="184" t="s">
        <v>92</v>
      </c>
      <c r="B30" s="185" t="s">
        <v>58</v>
      </c>
      <c r="C30" s="167"/>
      <c r="D30" s="220">
        <f>'APRIL 21'!J30:J64</f>
        <v>4328</v>
      </c>
      <c r="E30" s="172">
        <v>6500</v>
      </c>
      <c r="F30" s="173">
        <v>782</v>
      </c>
      <c r="G30" s="172">
        <v>200</v>
      </c>
      <c r="H30" s="169">
        <f>D30+E30+F30+G30</f>
        <v>11810</v>
      </c>
      <c r="I30" s="169">
        <f>2000</f>
        <v>2000</v>
      </c>
      <c r="J30" s="169">
        <f t="shared" si="1"/>
        <v>9810</v>
      </c>
      <c r="K30" s="169"/>
      <c r="L30" s="169"/>
      <c r="M30" s="158"/>
    </row>
    <row r="31" spans="1:14" ht="15.75" x14ac:dyDescent="0.25">
      <c r="A31" s="165" t="s">
        <v>176</v>
      </c>
      <c r="B31" s="186" t="s">
        <v>59</v>
      </c>
      <c r="C31" s="167"/>
      <c r="D31" s="220">
        <f>'APRIL 21'!J31:J65</f>
        <v>7498</v>
      </c>
      <c r="E31" s="172">
        <v>6500</v>
      </c>
      <c r="F31" s="173">
        <v>544</v>
      </c>
      <c r="G31" s="172">
        <v>200</v>
      </c>
      <c r="H31" s="169">
        <f t="shared" si="2"/>
        <v>14742</v>
      </c>
      <c r="I31" s="169">
        <f>10000</f>
        <v>10000</v>
      </c>
      <c r="J31" s="169">
        <f t="shared" si="1"/>
        <v>4742</v>
      </c>
      <c r="K31" s="169"/>
      <c r="L31" s="169"/>
      <c r="M31" s="158"/>
    </row>
    <row r="32" spans="1:14" ht="15.75" x14ac:dyDescent="0.25">
      <c r="A32" s="165" t="s">
        <v>170</v>
      </c>
      <c r="B32" s="186" t="s">
        <v>60</v>
      </c>
      <c r="C32" s="167"/>
      <c r="D32" s="220">
        <f>'APRIL 21'!J32:J66</f>
        <v>0</v>
      </c>
      <c r="E32" s="172">
        <v>6500</v>
      </c>
      <c r="F32" s="173">
        <v>510</v>
      </c>
      <c r="G32" s="172">
        <v>200</v>
      </c>
      <c r="H32" s="169">
        <f t="shared" si="2"/>
        <v>7210</v>
      </c>
      <c r="I32" s="169">
        <f>7210</f>
        <v>7210</v>
      </c>
      <c r="J32" s="169">
        <f t="shared" si="1"/>
        <v>0</v>
      </c>
      <c r="K32" s="169"/>
      <c r="L32" s="169"/>
      <c r="M32" s="181"/>
    </row>
    <row r="33" spans="1:14" ht="15.75" x14ac:dyDescent="0.25">
      <c r="A33" s="165" t="s">
        <v>80</v>
      </c>
      <c r="B33" s="186" t="s">
        <v>31</v>
      </c>
      <c r="C33" s="167"/>
      <c r="D33" s="220">
        <v>92</v>
      </c>
      <c r="E33" s="172">
        <v>9000</v>
      </c>
      <c r="F33" s="173">
        <v>1105</v>
      </c>
      <c r="G33" s="172">
        <v>200</v>
      </c>
      <c r="H33" s="169">
        <f>D33+E33+F33+G33</f>
        <v>10397</v>
      </c>
      <c r="I33" s="169">
        <f>87+10310</f>
        <v>10397</v>
      </c>
      <c r="J33" s="169">
        <f>H33-I33</f>
        <v>0</v>
      </c>
      <c r="K33" s="169"/>
      <c r="L33" s="169"/>
      <c r="M33" s="187"/>
    </row>
    <row r="34" spans="1:14" ht="15.75" x14ac:dyDescent="0.25">
      <c r="A34" s="165" t="s">
        <v>322</v>
      </c>
      <c r="B34" s="186" t="s">
        <v>32</v>
      </c>
      <c r="C34" s="167"/>
      <c r="D34" s="220">
        <f>'APRIL 21'!J34:J68</f>
        <v>818</v>
      </c>
      <c r="E34" s="173">
        <v>6500</v>
      </c>
      <c r="F34" s="173">
        <v>544</v>
      </c>
      <c r="G34" s="172">
        <v>200</v>
      </c>
      <c r="H34" s="169">
        <f>D34+E34+F34+G34</f>
        <v>8062</v>
      </c>
      <c r="I34" s="169">
        <f>2000+4000</f>
        <v>6000</v>
      </c>
      <c r="J34" s="169">
        <f t="shared" si="1"/>
        <v>2062</v>
      </c>
      <c r="K34" s="169"/>
      <c r="L34" s="169"/>
      <c r="M34" s="181"/>
    </row>
    <row r="35" spans="1:14" ht="15.75" x14ac:dyDescent="0.25">
      <c r="A35" s="165" t="s">
        <v>245</v>
      </c>
      <c r="B35" s="186" t="s">
        <v>33</v>
      </c>
      <c r="C35" s="167"/>
      <c r="D35" s="220">
        <f>'APRIL 21'!J35:J69</f>
        <v>2080</v>
      </c>
      <c r="E35" s="173">
        <v>6500</v>
      </c>
      <c r="F35" s="173">
        <v>712</v>
      </c>
      <c r="G35" s="172">
        <v>200</v>
      </c>
      <c r="H35" s="169">
        <f t="shared" si="2"/>
        <v>9492</v>
      </c>
      <c r="I35" s="169">
        <f>5400+2000</f>
        <v>7400</v>
      </c>
      <c r="J35" s="169">
        <f t="shared" si="1"/>
        <v>2092</v>
      </c>
      <c r="K35" s="169"/>
      <c r="L35" s="169"/>
      <c r="M35" s="158"/>
    </row>
    <row r="36" spans="1:14" ht="15.75" x14ac:dyDescent="0.25">
      <c r="A36" s="165" t="s">
        <v>89</v>
      </c>
      <c r="B36" s="186" t="s">
        <v>34</v>
      </c>
      <c r="C36" s="167"/>
      <c r="D36" s="220">
        <f>'APRIL 21'!J36:J70</f>
        <v>0</v>
      </c>
      <c r="E36" s="173">
        <v>6500</v>
      </c>
      <c r="F36" s="173">
        <v>221</v>
      </c>
      <c r="G36" s="172">
        <v>200</v>
      </c>
      <c r="H36" s="169">
        <f t="shared" si="2"/>
        <v>6921</v>
      </c>
      <c r="I36" s="169">
        <f>6911</f>
        <v>6911</v>
      </c>
      <c r="J36" s="169">
        <f t="shared" si="1"/>
        <v>10</v>
      </c>
      <c r="K36" s="169"/>
      <c r="L36" s="169"/>
      <c r="M36" s="158"/>
    </row>
    <row r="37" spans="1:14" ht="15.75" x14ac:dyDescent="0.25">
      <c r="A37" s="165" t="s">
        <v>330</v>
      </c>
      <c r="B37" s="186" t="s">
        <v>35</v>
      </c>
      <c r="C37" s="167"/>
      <c r="D37" s="220">
        <f>'APRIL 21'!J37:J72</f>
        <v>0</v>
      </c>
      <c r="E37" s="173">
        <v>6500</v>
      </c>
      <c r="F37" s="173">
        <v>340</v>
      </c>
      <c r="G37" s="172">
        <v>200</v>
      </c>
      <c r="H37" s="169">
        <f>D37+E37+F37+G37</f>
        <v>7040</v>
      </c>
      <c r="I37" s="169">
        <v>7040</v>
      </c>
      <c r="J37" s="169">
        <f>H37-I37</f>
        <v>0</v>
      </c>
      <c r="K37" s="169"/>
      <c r="L37" s="169"/>
      <c r="M37" s="158"/>
      <c r="N37" s="53">
        <f>I35-E35-G35-400</f>
        <v>300</v>
      </c>
    </row>
    <row r="38" spans="1:14" ht="15.75" x14ac:dyDescent="0.25">
      <c r="A38" s="165" t="s">
        <v>138</v>
      </c>
      <c r="B38" s="186" t="s">
        <v>36</v>
      </c>
      <c r="C38" s="167"/>
      <c r="D38" s="220">
        <f>'APRIL 21'!J38:J73</f>
        <v>4700</v>
      </c>
      <c r="E38" s="178">
        <v>8000</v>
      </c>
      <c r="F38" s="178">
        <v>500</v>
      </c>
      <c r="G38" s="172">
        <v>200</v>
      </c>
      <c r="H38" s="169">
        <f>D38+E38+F38+G38</f>
        <v>13400</v>
      </c>
      <c r="I38" s="169">
        <f>7000+3000</f>
        <v>10000</v>
      </c>
      <c r="J38" s="169">
        <f>H38-I38</f>
        <v>3400</v>
      </c>
      <c r="K38" s="169"/>
      <c r="L38" s="169"/>
      <c r="M38" s="158"/>
    </row>
    <row r="39" spans="1:14" ht="15.75" x14ac:dyDescent="0.25">
      <c r="A39" s="165"/>
      <c r="B39" s="186"/>
      <c r="C39" s="167"/>
      <c r="D39" s="220">
        <f>'APRIL 21'!J39:J74</f>
        <v>0</v>
      </c>
      <c r="E39" s="178"/>
      <c r="F39" s="178"/>
      <c r="G39" s="172"/>
      <c r="H39" s="169">
        <f t="shared" si="2"/>
        <v>0</v>
      </c>
      <c r="I39" s="169">
        <f>SUM(D39:H39)</f>
        <v>0</v>
      </c>
      <c r="J39" s="169">
        <f>H39-I39</f>
        <v>0</v>
      </c>
      <c r="K39" s="169"/>
      <c r="L39" s="169"/>
      <c r="M39" s="158"/>
    </row>
    <row r="40" spans="1:14" ht="15.75" x14ac:dyDescent="0.25">
      <c r="A40" s="188" t="s">
        <v>10</v>
      </c>
      <c r="B40" s="165"/>
      <c r="C40" s="167">
        <f t="shared" ref="C40:L40" si="3">SUM(C6:C39)</f>
        <v>0</v>
      </c>
      <c r="D40" s="221">
        <f>SUM(D6:D39)</f>
        <v>38749</v>
      </c>
      <c r="E40" s="189">
        <f>SUM(E6:E39)</f>
        <v>180000</v>
      </c>
      <c r="F40" s="190">
        <f>SUM(F6:F39)</f>
        <v>12500</v>
      </c>
      <c r="G40" s="191">
        <f t="shared" si="3"/>
        <v>5600</v>
      </c>
      <c r="H40" s="169">
        <f>SUM(H6:H39)</f>
        <v>236849</v>
      </c>
      <c r="I40" s="192">
        <f>SUM(I6:I39)</f>
        <v>179172</v>
      </c>
      <c r="J40" s="192">
        <f>SUM(J6:J39)</f>
        <v>57677</v>
      </c>
      <c r="K40" s="192">
        <f t="shared" si="3"/>
        <v>0</v>
      </c>
      <c r="L40" s="192">
        <f t="shared" si="3"/>
        <v>0</v>
      </c>
      <c r="M40" s="158"/>
    </row>
    <row r="41" spans="1:14" ht="15.75" x14ac:dyDescent="0.25">
      <c r="A41" s="184"/>
      <c r="B41" s="184"/>
      <c r="C41" s="177"/>
      <c r="D41" s="193"/>
      <c r="E41" s="184"/>
      <c r="F41" s="158"/>
      <c r="G41" s="184"/>
      <c r="H41" s="184"/>
      <c r="I41" s="184"/>
      <c r="J41" s="184"/>
      <c r="K41" s="184"/>
      <c r="L41" s="184"/>
      <c r="M41" s="158"/>
    </row>
    <row r="42" spans="1:14" ht="15.75" x14ac:dyDescent="0.25">
      <c r="A42" s="160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</row>
    <row r="43" spans="1:14" ht="15.75" x14ac:dyDescent="0.25">
      <c r="A43" s="184"/>
      <c r="B43" s="158"/>
      <c r="C43" s="158"/>
      <c r="D43" s="158"/>
      <c r="E43" s="158"/>
      <c r="F43" s="158"/>
      <c r="G43" s="158"/>
      <c r="H43" s="158"/>
      <c r="I43" s="158"/>
      <c r="J43" s="158"/>
      <c r="K43" s="158"/>
      <c r="L43" s="158"/>
      <c r="M43" s="158"/>
    </row>
    <row r="44" spans="1:14" x14ac:dyDescent="0.25">
      <c r="A44" s="18"/>
    </row>
    <row r="45" spans="1:14" x14ac:dyDescent="0.25">
      <c r="A45" s="18"/>
    </row>
    <row r="46" spans="1:14" x14ac:dyDescent="0.25">
      <c r="A46" s="18"/>
    </row>
    <row r="47" spans="1:14" x14ac:dyDescent="0.25">
      <c r="A47" s="18"/>
    </row>
    <row r="48" spans="1:14" x14ac:dyDescent="0.25">
      <c r="A48" s="18"/>
    </row>
    <row r="49" spans="1:12" x14ac:dyDescent="0.25">
      <c r="A49" s="18"/>
      <c r="H49">
        <f>712-500</f>
        <v>212</v>
      </c>
    </row>
    <row r="50" spans="1:12" x14ac:dyDescent="0.25">
      <c r="A50" s="18"/>
    </row>
    <row r="51" spans="1:12" x14ac:dyDescent="0.25">
      <c r="A51" s="18"/>
    </row>
    <row r="52" spans="1:12" x14ac:dyDescent="0.25">
      <c r="A52" s="18"/>
    </row>
    <row r="53" spans="1:12" x14ac:dyDescent="0.25">
      <c r="A53" s="18"/>
    </row>
    <row r="54" spans="1:12" x14ac:dyDescent="0.25">
      <c r="A54" s="18"/>
      <c r="J54" s="53"/>
    </row>
    <row r="55" spans="1:12" x14ac:dyDescent="0.25">
      <c r="A55" s="18"/>
      <c r="J55" s="53"/>
    </row>
    <row r="56" spans="1:12" x14ac:dyDescent="0.25">
      <c r="A56" s="18"/>
      <c r="K56" s="53"/>
    </row>
    <row r="57" spans="1:12" x14ac:dyDescent="0.25">
      <c r="A57" s="18"/>
    </row>
    <row r="58" spans="1:12" x14ac:dyDescent="0.25">
      <c r="A58" s="18"/>
    </row>
    <row r="59" spans="1:12" x14ac:dyDescent="0.25">
      <c r="A59" s="134"/>
    </row>
    <row r="60" spans="1:12" ht="18.75" x14ac:dyDescent="0.3">
      <c r="A60" s="194"/>
      <c r="B60" s="194"/>
      <c r="C60" s="194"/>
      <c r="D60" s="194"/>
      <c r="E60" s="194"/>
      <c r="F60" s="194"/>
      <c r="G60" s="194"/>
      <c r="H60" s="194"/>
      <c r="I60" s="194"/>
      <c r="J60" s="194"/>
    </row>
    <row r="61" spans="1:12" ht="18.75" x14ac:dyDescent="0.3">
      <c r="A61" s="195" t="s">
        <v>12</v>
      </c>
      <c r="B61" s="195"/>
      <c r="C61" s="195"/>
      <c r="D61" s="196"/>
      <c r="E61" s="197"/>
      <c r="F61" s="195" t="s">
        <v>8</v>
      </c>
      <c r="G61" s="195"/>
      <c r="H61" s="195"/>
      <c r="I61" s="198"/>
      <c r="J61" s="198"/>
      <c r="K61" s="79"/>
      <c r="L61" s="71"/>
    </row>
    <row r="62" spans="1:12" ht="18.75" x14ac:dyDescent="0.3">
      <c r="A62" s="199" t="s">
        <v>13</v>
      </c>
      <c r="B62" s="199" t="s">
        <v>14</v>
      </c>
      <c r="C62" s="199" t="s">
        <v>15</v>
      </c>
      <c r="D62" s="199" t="s">
        <v>16</v>
      </c>
      <c r="E62" s="199"/>
      <c r="F62" s="199" t="s">
        <v>13</v>
      </c>
      <c r="G62" s="199"/>
      <c r="H62" s="199" t="s">
        <v>265</v>
      </c>
      <c r="I62" s="199" t="s">
        <v>15</v>
      </c>
      <c r="J62" s="199" t="s">
        <v>16</v>
      </c>
      <c r="K62" s="87"/>
      <c r="L62" s="73"/>
    </row>
    <row r="63" spans="1:12" ht="18.75" x14ac:dyDescent="0.3">
      <c r="A63" s="200" t="s">
        <v>199</v>
      </c>
      <c r="B63" s="201">
        <f>E40</f>
        <v>180000</v>
      </c>
      <c r="C63" s="200"/>
      <c r="D63" s="200"/>
      <c r="E63" s="200"/>
      <c r="F63" s="200" t="s">
        <v>199</v>
      </c>
      <c r="G63" s="200"/>
      <c r="H63" s="202">
        <f>I40</f>
        <v>179172</v>
      </c>
      <c r="I63" s="200"/>
      <c r="J63" s="200"/>
      <c r="K63" s="60"/>
      <c r="L63" s="74"/>
    </row>
    <row r="64" spans="1:12" ht="18.75" x14ac:dyDescent="0.3">
      <c r="A64" s="200" t="s">
        <v>18</v>
      </c>
      <c r="B64" s="201"/>
      <c r="C64" s="200"/>
      <c r="D64" s="200"/>
      <c r="E64" s="200"/>
      <c r="F64" s="200" t="s">
        <v>18</v>
      </c>
      <c r="G64" s="200"/>
      <c r="H64" s="201">
        <f>'APRIL 21'!J79</f>
        <v>-68815</v>
      </c>
      <c r="I64" s="200"/>
      <c r="J64" s="200"/>
      <c r="K64" s="60"/>
      <c r="L64" s="74"/>
    </row>
    <row r="65" spans="1:19" ht="18.75" x14ac:dyDescent="0.3">
      <c r="A65" s="200" t="s">
        <v>19</v>
      </c>
      <c r="B65" s="201">
        <f>C40</f>
        <v>0</v>
      </c>
      <c r="C65" s="200"/>
      <c r="D65" s="200"/>
      <c r="E65" s="200"/>
      <c r="F65" s="200"/>
      <c r="G65" s="200"/>
      <c r="H65" s="200"/>
      <c r="I65" s="200"/>
      <c r="J65" s="200"/>
      <c r="K65" s="60"/>
      <c r="L65" s="74"/>
      <c r="O65" s="157" t="s">
        <v>360</v>
      </c>
      <c r="P65" s="157"/>
      <c r="R65" t="s">
        <v>9</v>
      </c>
    </row>
    <row r="66" spans="1:19" ht="18.75" x14ac:dyDescent="0.3">
      <c r="A66" s="200" t="s">
        <v>63</v>
      </c>
      <c r="B66" s="201">
        <f>F40</f>
        <v>12500</v>
      </c>
      <c r="C66" s="200"/>
      <c r="D66" s="200"/>
      <c r="E66" s="200"/>
      <c r="F66" s="200"/>
      <c r="G66" s="200"/>
      <c r="H66" s="200"/>
      <c r="I66" s="200"/>
      <c r="J66" s="200"/>
      <c r="K66" s="60"/>
      <c r="L66" s="74"/>
      <c r="O66" s="18" t="s">
        <v>292</v>
      </c>
      <c r="P66" s="47">
        <f>7203</f>
        <v>7203</v>
      </c>
      <c r="Q66" s="132">
        <f>6500+358+345</f>
        <v>7203</v>
      </c>
      <c r="R66" s="132">
        <f>P66-Q66</f>
        <v>0</v>
      </c>
    </row>
    <row r="67" spans="1:19" ht="18.75" x14ac:dyDescent="0.3">
      <c r="A67" s="200" t="s">
        <v>62</v>
      </c>
      <c r="B67" s="201">
        <f>K40</f>
        <v>0</v>
      </c>
      <c r="C67" s="200"/>
      <c r="D67" s="200"/>
      <c r="E67" s="200"/>
      <c r="F67" s="200"/>
      <c r="G67" s="200"/>
      <c r="H67" s="200"/>
      <c r="I67" s="200"/>
      <c r="J67" s="200"/>
      <c r="K67" s="60"/>
      <c r="L67" s="74"/>
      <c r="O67" s="18" t="s">
        <v>293</v>
      </c>
      <c r="P67" s="47">
        <f>H12</f>
        <v>6574</v>
      </c>
      <c r="Q67" s="47">
        <f>6500+74</f>
        <v>6574</v>
      </c>
      <c r="R67" s="222">
        <f>P67-Q67</f>
        <v>0</v>
      </c>
    </row>
    <row r="68" spans="1:19" ht="18.75" x14ac:dyDescent="0.3">
      <c r="A68" s="200" t="s">
        <v>96</v>
      </c>
      <c r="B68" s="201">
        <f>G40</f>
        <v>5600</v>
      </c>
      <c r="C68" s="200"/>
      <c r="D68" s="200"/>
      <c r="E68" s="200"/>
      <c r="F68" s="200" t="s">
        <v>126</v>
      </c>
      <c r="G68" s="200"/>
      <c r="H68" s="200"/>
      <c r="I68" s="200"/>
      <c r="J68" s="200"/>
      <c r="K68" s="60"/>
      <c r="L68" s="74"/>
      <c r="O68" s="125" t="s">
        <v>359</v>
      </c>
      <c r="P68" s="47">
        <f>H17</f>
        <v>6642</v>
      </c>
      <c r="Q68" s="132">
        <v>6642</v>
      </c>
      <c r="R68" s="132">
        <f>P68-Q68</f>
        <v>0</v>
      </c>
    </row>
    <row r="69" spans="1:19" ht="18.75" x14ac:dyDescent="0.3">
      <c r="A69" s="200" t="s">
        <v>167</v>
      </c>
      <c r="B69" s="201"/>
      <c r="C69" s="200"/>
      <c r="D69" s="200"/>
      <c r="E69" s="200"/>
      <c r="F69" s="200" t="s">
        <v>167</v>
      </c>
      <c r="G69" s="201"/>
      <c r="H69" s="194"/>
      <c r="I69" s="194"/>
      <c r="J69" s="200"/>
      <c r="K69" s="60"/>
      <c r="L69" s="74"/>
      <c r="M69" s="53"/>
      <c r="O69" s="74" t="s">
        <v>353</v>
      </c>
      <c r="P69" s="53"/>
      <c r="Q69" s="132"/>
      <c r="R69" s="132">
        <f t="shared" ref="R69" si="4">P69-Q69</f>
        <v>0</v>
      </c>
      <c r="S69" s="53"/>
    </row>
    <row r="70" spans="1:19" ht="18.75" x14ac:dyDescent="0.3">
      <c r="A70" s="200" t="s">
        <v>126</v>
      </c>
      <c r="B70" s="202">
        <f>L40</f>
        <v>0</v>
      </c>
      <c r="C70" s="201"/>
      <c r="D70" s="200"/>
      <c r="E70" s="200"/>
      <c r="F70" s="200"/>
      <c r="G70" s="200"/>
      <c r="H70" s="200"/>
      <c r="I70" s="201"/>
      <c r="J70" s="201"/>
      <c r="K70" s="88"/>
      <c r="L70" s="75"/>
      <c r="O70" s="18" t="s">
        <v>354</v>
      </c>
      <c r="P70" s="125">
        <v>1000</v>
      </c>
      <c r="Q70" s="132"/>
      <c r="R70" s="132">
        <f>P70-Q70</f>
        <v>1000</v>
      </c>
      <c r="S70" s="53"/>
    </row>
    <row r="71" spans="1:19" ht="18.75" x14ac:dyDescent="0.3">
      <c r="A71" s="199" t="s">
        <v>21</v>
      </c>
      <c r="B71" s="200" t="s">
        <v>22</v>
      </c>
      <c r="C71" s="200"/>
      <c r="D71" s="200"/>
      <c r="E71" s="200"/>
      <c r="F71" s="199" t="s">
        <v>21</v>
      </c>
      <c r="G71" s="199"/>
      <c r="H71" s="199"/>
      <c r="I71" s="200"/>
      <c r="J71" s="200"/>
      <c r="K71" s="60"/>
      <c r="L71" s="74"/>
      <c r="O71" s="18" t="s">
        <v>355</v>
      </c>
      <c r="P71" s="18">
        <v>1000</v>
      </c>
      <c r="Q71" s="132"/>
      <c r="R71" s="132">
        <f>P71-Q71</f>
        <v>1000</v>
      </c>
    </row>
    <row r="72" spans="1:19" ht="18.75" x14ac:dyDescent="0.3">
      <c r="A72" s="203" t="s">
        <v>111</v>
      </c>
      <c r="B72" s="204">
        <v>0.05</v>
      </c>
      <c r="C72" s="202">
        <f>B72*E40</f>
        <v>9000</v>
      </c>
      <c r="D72" s="200"/>
      <c r="E72" s="200"/>
      <c r="F72" s="203" t="s">
        <v>111</v>
      </c>
      <c r="G72" s="203"/>
      <c r="H72" s="204">
        <v>0.05</v>
      </c>
      <c r="I72" s="202">
        <f>H72*E40</f>
        <v>9000</v>
      </c>
      <c r="J72" s="200"/>
      <c r="K72" s="60"/>
      <c r="L72" s="74"/>
      <c r="O72" s="18" t="s">
        <v>363</v>
      </c>
      <c r="P72" s="18"/>
      <c r="Q72" s="132"/>
      <c r="R72" s="132">
        <f>P72-Q72</f>
        <v>0</v>
      </c>
    </row>
    <row r="73" spans="1:19" ht="18.75" x14ac:dyDescent="0.3">
      <c r="A73" s="205" t="s">
        <v>357</v>
      </c>
      <c r="B73" s="206"/>
      <c r="C73" s="194">
        <v>189100</v>
      </c>
      <c r="D73" s="202"/>
      <c r="E73" s="202"/>
      <c r="F73" s="205" t="s">
        <v>357</v>
      </c>
      <c r="G73" s="206"/>
      <c r="H73" s="194"/>
      <c r="I73" s="194">
        <v>189100</v>
      </c>
      <c r="J73" s="194"/>
      <c r="K73" s="89"/>
      <c r="L73" s="76"/>
      <c r="O73" s="18" t="s">
        <v>23</v>
      </c>
      <c r="P73" s="47">
        <f>SUM(P66:P72)</f>
        <v>22419</v>
      </c>
      <c r="Q73" s="132">
        <f>SUM(Q66:Q72)</f>
        <v>20419</v>
      </c>
      <c r="R73" s="132">
        <f>P73-Q73</f>
        <v>2000</v>
      </c>
      <c r="S73" s="53"/>
    </row>
    <row r="74" spans="1:19" ht="18.75" x14ac:dyDescent="0.3">
      <c r="A74" s="205"/>
      <c r="B74" s="204"/>
      <c r="C74" s="202"/>
      <c r="D74" s="200"/>
      <c r="E74" s="200"/>
      <c r="F74" s="205"/>
      <c r="G74" s="204"/>
      <c r="H74" s="202"/>
      <c r="I74" s="202"/>
      <c r="J74" s="200"/>
      <c r="K74" s="60"/>
      <c r="L74" s="74"/>
      <c r="O74" s="142"/>
      <c r="P74" s="18"/>
      <c r="Q74" s="132"/>
      <c r="R74" s="41"/>
    </row>
    <row r="75" spans="1:19" ht="18.75" x14ac:dyDescent="0.3">
      <c r="A75" s="200"/>
      <c r="B75" s="200"/>
      <c r="C75" s="207"/>
      <c r="D75" s="200"/>
      <c r="E75" s="200"/>
      <c r="F75" s="207"/>
      <c r="G75" s="207"/>
      <c r="H75" s="200"/>
      <c r="I75" s="207"/>
      <c r="J75" s="200"/>
      <c r="K75" s="60"/>
      <c r="L75" s="74"/>
    </row>
    <row r="76" spans="1:19" ht="18.75" x14ac:dyDescent="0.3">
      <c r="A76" s="194"/>
      <c r="B76" s="194"/>
      <c r="C76" s="194"/>
      <c r="D76" s="194"/>
      <c r="E76" s="194"/>
      <c r="F76" s="194"/>
      <c r="G76" s="194"/>
      <c r="H76" s="194"/>
      <c r="I76" s="194"/>
      <c r="J76" s="194"/>
      <c r="K76" s="60"/>
      <c r="L76" s="74"/>
    </row>
    <row r="77" spans="1:19" ht="18.75" x14ac:dyDescent="0.3">
      <c r="A77" s="208"/>
      <c r="B77" s="200"/>
      <c r="C77" s="202"/>
      <c r="D77" s="200"/>
      <c r="E77" s="200"/>
      <c r="F77" s="200"/>
      <c r="G77" s="202"/>
      <c r="H77" s="203"/>
      <c r="I77" s="202"/>
      <c r="J77" s="202"/>
      <c r="K77" s="89"/>
      <c r="L77" s="76"/>
      <c r="Q77" s="53"/>
    </row>
    <row r="78" spans="1:19" ht="18.75" x14ac:dyDescent="0.3">
      <c r="A78" s="199" t="s">
        <v>23</v>
      </c>
      <c r="B78" s="209">
        <f>B63+B64+B65+B66+B67+B68+B70+B69</f>
        <v>198100</v>
      </c>
      <c r="C78" s="209">
        <f>SUM(C72:C77)</f>
        <v>198100</v>
      </c>
      <c r="D78" s="209">
        <f>B78-C78</f>
        <v>0</v>
      </c>
      <c r="E78" s="209"/>
      <c r="F78" s="199"/>
      <c r="G78" s="199"/>
      <c r="H78" s="209">
        <f>H63+H64+H66+H68+H69</f>
        <v>110357</v>
      </c>
      <c r="I78" s="209">
        <f>SUM(I72:I77)</f>
        <v>198100</v>
      </c>
      <c r="J78" s="209">
        <f>H78-I78</f>
        <v>-87743</v>
      </c>
      <c r="K78" s="96"/>
      <c r="L78" s="77"/>
    </row>
    <row r="79" spans="1:19" ht="18.75" x14ac:dyDescent="0.3">
      <c r="A79" s="198"/>
      <c r="B79" s="198"/>
      <c r="C79" s="198"/>
      <c r="D79" s="198"/>
      <c r="E79" s="198"/>
      <c r="F79" s="198"/>
      <c r="G79" s="198"/>
      <c r="H79" s="198"/>
      <c r="I79" s="210">
        <f>I78-I72</f>
        <v>189100</v>
      </c>
      <c r="J79" s="198"/>
      <c r="K79" s="79"/>
      <c r="L79" s="71"/>
    </row>
    <row r="80" spans="1:19" ht="18.75" x14ac:dyDescent="0.3">
      <c r="A80" s="211" t="s">
        <v>24</v>
      </c>
      <c r="B80" s="212"/>
      <c r="C80" s="212" t="s">
        <v>25</v>
      </c>
      <c r="D80" s="213"/>
      <c r="E80" s="213"/>
      <c r="F80" s="211"/>
      <c r="G80" s="211"/>
      <c r="H80" s="211" t="s">
        <v>26</v>
      </c>
      <c r="I80" s="198"/>
      <c r="J80" s="198"/>
      <c r="K80" s="79"/>
      <c r="L80" s="71"/>
    </row>
    <row r="81" spans="1:13" ht="18.75" x14ac:dyDescent="0.3">
      <c r="A81" s="198" t="s">
        <v>104</v>
      </c>
      <c r="B81" s="198"/>
      <c r="C81" s="198" t="s">
        <v>105</v>
      </c>
      <c r="D81" s="198"/>
      <c r="E81" s="198"/>
      <c r="F81" s="198"/>
      <c r="G81" s="198"/>
      <c r="H81" s="198" t="s">
        <v>27</v>
      </c>
      <c r="I81" s="198"/>
      <c r="J81" s="198"/>
      <c r="K81" s="119"/>
      <c r="L81" s="71"/>
      <c r="M81" s="5"/>
    </row>
    <row r="82" spans="1:13" ht="18.75" x14ac:dyDescent="0.3">
      <c r="A82" s="194"/>
      <c r="B82" s="194"/>
      <c r="C82" s="194"/>
      <c r="D82" s="194"/>
      <c r="E82" s="194"/>
      <c r="F82" s="194"/>
      <c r="G82" s="194"/>
      <c r="H82" s="194"/>
      <c r="I82" s="194"/>
      <c r="J82" s="194"/>
      <c r="K82" s="53"/>
    </row>
  </sheetData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"/>
  <sheetViews>
    <sheetView topLeftCell="A13" workbookViewId="0">
      <selection activeCell="F30" sqref="F30"/>
    </sheetView>
  </sheetViews>
  <sheetFormatPr defaultRowHeight="15" x14ac:dyDescent="0.25"/>
  <cols>
    <col min="1" max="1" width="20.28515625" customWidth="1"/>
    <col min="2" max="2" width="10.7109375" customWidth="1"/>
    <col min="3" max="3" width="14" customWidth="1"/>
    <col min="4" max="4" width="11" customWidth="1"/>
    <col min="5" max="5" width="11.140625" customWidth="1"/>
    <col min="8" max="8" width="12" customWidth="1"/>
    <col min="9" max="9" width="13" customWidth="1"/>
    <col min="10" max="10" width="14.42578125" customWidth="1"/>
  </cols>
  <sheetData>
    <row r="1" spans="1:13" ht="15.75" x14ac:dyDescent="0.25">
      <c r="A1" s="158"/>
      <c r="B1" s="158"/>
      <c r="C1" s="159"/>
      <c r="D1" s="159"/>
      <c r="E1" s="159"/>
      <c r="F1" s="159"/>
      <c r="G1" s="159"/>
      <c r="H1" s="158"/>
      <c r="I1" s="159"/>
      <c r="J1" s="159"/>
      <c r="K1" s="159"/>
      <c r="L1" s="159"/>
      <c r="M1" s="158"/>
    </row>
    <row r="2" spans="1:13" ht="15.75" x14ac:dyDescent="0.25">
      <c r="A2" s="158"/>
      <c r="B2" s="158"/>
      <c r="C2" s="100"/>
      <c r="D2" s="100"/>
      <c r="E2" s="100" t="s">
        <v>27</v>
      </c>
      <c r="F2" s="160"/>
      <c r="G2" s="100"/>
      <c r="H2" s="101"/>
      <c r="I2" s="160"/>
      <c r="J2" s="160"/>
      <c r="K2" s="160"/>
      <c r="L2" s="160"/>
      <c r="M2" s="158"/>
    </row>
    <row r="3" spans="1:13" ht="15.75" x14ac:dyDescent="0.25">
      <c r="A3" s="160"/>
      <c r="B3" s="100"/>
      <c r="C3" s="100"/>
      <c r="D3" s="100"/>
      <c r="E3" s="100" t="s">
        <v>0</v>
      </c>
      <c r="F3" s="100"/>
      <c r="G3" s="159"/>
      <c r="H3" s="102"/>
      <c r="I3" s="160"/>
      <c r="J3" s="160"/>
      <c r="K3" s="160"/>
      <c r="L3" s="160"/>
      <c r="M3" s="158"/>
    </row>
    <row r="4" spans="1:13" ht="15.75" x14ac:dyDescent="0.25">
      <c r="A4" s="100"/>
      <c r="B4" s="160"/>
      <c r="C4" s="158"/>
      <c r="D4" s="100" t="s">
        <v>358</v>
      </c>
      <c r="E4" s="100"/>
      <c r="F4" s="158"/>
      <c r="G4" s="100"/>
      <c r="H4" s="104"/>
      <c r="I4" s="104"/>
      <c r="J4" s="104"/>
      <c r="K4" s="104"/>
      <c r="L4" s="104"/>
      <c r="M4" s="158"/>
    </row>
    <row r="5" spans="1:13" ht="15.75" x14ac:dyDescent="0.25">
      <c r="A5" s="161" t="s">
        <v>2</v>
      </c>
      <c r="B5" s="161" t="s">
        <v>3</v>
      </c>
      <c r="C5" s="161" t="s">
        <v>4</v>
      </c>
      <c r="D5" s="162" t="s">
        <v>5</v>
      </c>
      <c r="E5" s="161" t="s">
        <v>6</v>
      </c>
      <c r="F5" s="163" t="s">
        <v>63</v>
      </c>
      <c r="G5" s="161" t="s">
        <v>96</v>
      </c>
      <c r="H5" s="164" t="s">
        <v>7</v>
      </c>
      <c r="I5" s="161" t="s">
        <v>8</v>
      </c>
      <c r="J5" s="161" t="s">
        <v>9</v>
      </c>
      <c r="K5" s="161" t="s">
        <v>91</v>
      </c>
      <c r="L5" s="161" t="s">
        <v>123</v>
      </c>
      <c r="M5" s="158"/>
    </row>
    <row r="6" spans="1:13" ht="15.75" x14ac:dyDescent="0.25">
      <c r="A6" s="174" t="s">
        <v>67</v>
      </c>
      <c r="B6" s="166" t="s">
        <v>52</v>
      </c>
      <c r="C6" s="167"/>
      <c r="D6" s="220">
        <f>'MAY 21'!J6:J40</f>
        <v>0</v>
      </c>
      <c r="E6" s="169"/>
      <c r="F6" s="170"/>
      <c r="G6" s="169"/>
      <c r="H6" s="169">
        <f t="shared" ref="H6:H39" si="0">D6+E6+F6+G6</f>
        <v>0</v>
      </c>
      <c r="I6" s="169"/>
      <c r="J6" s="169">
        <f>H6-I6</f>
        <v>0</v>
      </c>
      <c r="K6" s="169"/>
      <c r="L6" s="169"/>
      <c r="M6" s="158"/>
    </row>
    <row r="7" spans="1:13" ht="15.75" x14ac:dyDescent="0.25">
      <c r="A7" s="171" t="s">
        <v>64</v>
      </c>
      <c r="B7" s="166" t="s">
        <v>51</v>
      </c>
      <c r="C7" s="167"/>
      <c r="D7" s="220">
        <f>'MAY 21'!J7:J41</f>
        <v>3080</v>
      </c>
      <c r="E7" s="172">
        <v>2495</v>
      </c>
      <c r="F7" s="173"/>
      <c r="G7" s="172"/>
      <c r="H7" s="169">
        <f t="shared" si="0"/>
        <v>5575</v>
      </c>
      <c r="I7" s="169">
        <v>5575</v>
      </c>
      <c r="J7" s="169">
        <f>H7-I7</f>
        <v>0</v>
      </c>
      <c r="K7" s="169"/>
      <c r="L7" s="169"/>
      <c r="M7" s="158"/>
    </row>
    <row r="8" spans="1:13" ht="15.75" x14ac:dyDescent="0.25">
      <c r="A8" s="171" t="s">
        <v>65</v>
      </c>
      <c r="B8" s="166" t="s">
        <v>54</v>
      </c>
      <c r="C8" s="167"/>
      <c r="D8" s="220">
        <f>'MAY 21'!J8:J42</f>
        <v>0</v>
      </c>
      <c r="E8" s="172"/>
      <c r="F8" s="173"/>
      <c r="G8" s="172"/>
      <c r="H8" s="169">
        <f t="shared" si="0"/>
        <v>0</v>
      </c>
      <c r="I8" s="169"/>
      <c r="J8" s="169">
        <f>H8-I8</f>
        <v>0</v>
      </c>
      <c r="K8" s="169"/>
      <c r="L8" s="169"/>
      <c r="M8" s="158"/>
    </row>
    <row r="9" spans="1:13" ht="15.75" x14ac:dyDescent="0.25">
      <c r="A9" s="174" t="s">
        <v>67</v>
      </c>
      <c r="B9" s="175" t="s">
        <v>50</v>
      </c>
      <c r="C9" s="176"/>
      <c r="D9" s="220">
        <f>'MAY 21'!J9:J43</f>
        <v>0</v>
      </c>
      <c r="E9" s="177"/>
      <c r="F9" s="178"/>
      <c r="G9" s="172"/>
      <c r="H9" s="169">
        <f t="shared" si="0"/>
        <v>0</v>
      </c>
      <c r="I9" s="169"/>
      <c r="J9" s="169">
        <f>H9-I9</f>
        <v>0</v>
      </c>
      <c r="K9" s="169"/>
      <c r="L9" s="169"/>
      <c r="M9" s="158"/>
    </row>
    <row r="10" spans="1:13" ht="15.75" x14ac:dyDescent="0.25">
      <c r="A10" s="171" t="s">
        <v>151</v>
      </c>
      <c r="B10" s="166" t="s">
        <v>49</v>
      </c>
      <c r="C10" s="176"/>
      <c r="D10" s="220">
        <f>'MAY 21'!J10:J44</f>
        <v>345</v>
      </c>
      <c r="E10" s="172">
        <v>6000</v>
      </c>
      <c r="F10" s="173">
        <v>867</v>
      </c>
      <c r="G10" s="172">
        <v>200</v>
      </c>
      <c r="H10" s="169">
        <f t="shared" si="0"/>
        <v>7412</v>
      </c>
      <c r="I10" s="169">
        <v>7412</v>
      </c>
      <c r="J10" s="169">
        <f>H10-I10</f>
        <v>0</v>
      </c>
      <c r="K10" s="169"/>
      <c r="L10" s="169"/>
      <c r="M10" s="158"/>
    </row>
    <row r="11" spans="1:13" ht="15.75" x14ac:dyDescent="0.25">
      <c r="A11" s="179" t="s">
        <v>263</v>
      </c>
      <c r="B11" s="166" t="s">
        <v>53</v>
      </c>
      <c r="C11" s="167"/>
      <c r="D11" s="220">
        <f>'MAY 21'!J11:J45</f>
        <v>1532</v>
      </c>
      <c r="E11" s="172">
        <v>6000</v>
      </c>
      <c r="F11" s="173">
        <v>816</v>
      </c>
      <c r="G11" s="172">
        <v>200</v>
      </c>
      <c r="H11" s="169">
        <f t="shared" si="0"/>
        <v>8548</v>
      </c>
      <c r="I11" s="169">
        <f>7000</f>
        <v>7000</v>
      </c>
      <c r="J11" s="169">
        <f t="shared" ref="J11:J36" si="1">H11-I11</f>
        <v>1548</v>
      </c>
      <c r="K11" s="169"/>
      <c r="L11" s="169"/>
      <c r="M11" s="181"/>
    </row>
    <row r="12" spans="1:13" ht="15.75" x14ac:dyDescent="0.25">
      <c r="A12" s="165" t="s">
        <v>262</v>
      </c>
      <c r="B12" s="166" t="s">
        <v>48</v>
      </c>
      <c r="C12" s="167"/>
      <c r="D12" s="220">
        <f>'MAY 21'!J12:J46</f>
        <v>74</v>
      </c>
      <c r="E12" s="172">
        <v>6000</v>
      </c>
      <c r="F12" s="173">
        <v>289</v>
      </c>
      <c r="G12" s="172">
        <v>200</v>
      </c>
      <c r="H12" s="169">
        <f t="shared" si="0"/>
        <v>6563</v>
      </c>
      <c r="I12" s="169">
        <v>6563</v>
      </c>
      <c r="J12" s="169">
        <f t="shared" si="1"/>
        <v>0</v>
      </c>
      <c r="K12" s="169"/>
      <c r="L12" s="169"/>
      <c r="M12" s="158"/>
    </row>
    <row r="13" spans="1:13" ht="15.75" x14ac:dyDescent="0.25">
      <c r="A13" s="180" t="s">
        <v>331</v>
      </c>
      <c r="B13" s="166" t="s">
        <v>47</v>
      </c>
      <c r="C13" s="167"/>
      <c r="D13" s="220">
        <f>'MAY 21'!J13:J47</f>
        <v>1193</v>
      </c>
      <c r="E13" s="172">
        <v>6000</v>
      </c>
      <c r="F13" s="173">
        <v>425</v>
      </c>
      <c r="G13" s="172">
        <v>200</v>
      </c>
      <c r="H13" s="169">
        <f t="shared" si="0"/>
        <v>7818</v>
      </c>
      <c r="I13" s="169">
        <f>6000</f>
        <v>6000</v>
      </c>
      <c r="J13" s="169">
        <f t="shared" si="1"/>
        <v>1818</v>
      </c>
      <c r="K13" s="169"/>
      <c r="L13" s="169"/>
      <c r="M13" s="158" t="s">
        <v>365</v>
      </c>
    </row>
    <row r="14" spans="1:13" ht="15.75" x14ac:dyDescent="0.25">
      <c r="A14" s="165" t="s">
        <v>347</v>
      </c>
      <c r="B14" s="166" t="s">
        <v>46</v>
      </c>
      <c r="C14" s="167"/>
      <c r="D14" s="220">
        <f>'MAY 21'!J14:J48</f>
        <v>0</v>
      </c>
      <c r="E14" s="172">
        <v>6500</v>
      </c>
      <c r="F14" s="173">
        <v>340</v>
      </c>
      <c r="G14" s="172">
        <v>200</v>
      </c>
      <c r="H14" s="169">
        <f t="shared" si="0"/>
        <v>7040</v>
      </c>
      <c r="I14" s="169">
        <f>4000+2500</f>
        <v>6500</v>
      </c>
      <c r="J14" s="169">
        <f>H14-I14</f>
        <v>540</v>
      </c>
      <c r="K14" s="169"/>
      <c r="L14" s="169"/>
      <c r="M14" s="181"/>
    </row>
    <row r="15" spans="1:13" ht="15.75" x14ac:dyDescent="0.25">
      <c r="A15" s="171" t="s">
        <v>315</v>
      </c>
      <c r="B15" s="166" t="s">
        <v>45</v>
      </c>
      <c r="C15" s="167"/>
      <c r="D15" s="220">
        <f>'MAY 21'!J15:J49</f>
        <v>1641</v>
      </c>
      <c r="E15" s="172">
        <v>6000</v>
      </c>
      <c r="F15" s="173">
        <v>357</v>
      </c>
      <c r="G15" s="172">
        <v>200</v>
      </c>
      <c r="H15" s="169">
        <f t="shared" si="0"/>
        <v>8198</v>
      </c>
      <c r="I15" s="169">
        <f>6557</f>
        <v>6557</v>
      </c>
      <c r="J15" s="169">
        <f>H15-I15</f>
        <v>1641</v>
      </c>
      <c r="K15" s="169"/>
      <c r="L15" s="169"/>
      <c r="M15" s="158"/>
    </row>
    <row r="16" spans="1:13" ht="15.75" x14ac:dyDescent="0.25">
      <c r="A16" s="165" t="s">
        <v>225</v>
      </c>
      <c r="B16" s="166" t="s">
        <v>44</v>
      </c>
      <c r="C16" s="167"/>
      <c r="D16" s="220">
        <f>'MAY 21'!J16:J50</f>
        <v>0</v>
      </c>
      <c r="E16" s="172">
        <v>6000</v>
      </c>
      <c r="F16" s="173">
        <v>238</v>
      </c>
      <c r="G16" s="172">
        <v>200</v>
      </c>
      <c r="H16" s="169">
        <f t="shared" si="0"/>
        <v>6438</v>
      </c>
      <c r="I16" s="169">
        <v>6438</v>
      </c>
      <c r="J16" s="169">
        <f>H16-I16</f>
        <v>0</v>
      </c>
      <c r="K16" s="169"/>
      <c r="L16" s="169"/>
      <c r="M16" s="158"/>
    </row>
    <row r="17" spans="1:16" ht="15.75" x14ac:dyDescent="0.25">
      <c r="A17" s="171" t="s">
        <v>349</v>
      </c>
      <c r="B17" s="166" t="s">
        <v>43</v>
      </c>
      <c r="C17" s="176"/>
      <c r="D17" s="220">
        <f>'MAY 21'!J17:J51</f>
        <v>0</v>
      </c>
      <c r="E17" s="172">
        <v>6000</v>
      </c>
      <c r="F17" s="173"/>
      <c r="G17" s="172">
        <v>200</v>
      </c>
      <c r="H17" s="169">
        <f t="shared" si="0"/>
        <v>6200</v>
      </c>
      <c r="I17" s="169">
        <v>7000</v>
      </c>
      <c r="J17" s="169">
        <f t="shared" si="1"/>
        <v>-800</v>
      </c>
      <c r="K17" s="169"/>
      <c r="L17" s="169"/>
      <c r="M17" s="182" t="s">
        <v>350</v>
      </c>
      <c r="P17">
        <v>5202</v>
      </c>
    </row>
    <row r="18" spans="1:16" ht="15.75" x14ac:dyDescent="0.25">
      <c r="A18" s="165" t="s">
        <v>73</v>
      </c>
      <c r="B18" s="166" t="s">
        <v>42</v>
      </c>
      <c r="C18" s="167"/>
      <c r="D18" s="220">
        <f>'MAY 21'!J18:J52</f>
        <v>0</v>
      </c>
      <c r="E18" s="172">
        <v>6000</v>
      </c>
      <c r="F18" s="173">
        <v>187</v>
      </c>
      <c r="G18" s="172">
        <v>200</v>
      </c>
      <c r="H18" s="169">
        <f t="shared" si="0"/>
        <v>6387</v>
      </c>
      <c r="I18" s="169">
        <v>6387</v>
      </c>
      <c r="J18" s="169">
        <f t="shared" si="1"/>
        <v>0</v>
      </c>
      <c r="K18" s="169"/>
      <c r="L18" s="169"/>
      <c r="M18" s="158"/>
    </row>
    <row r="19" spans="1:16" ht="15.75" x14ac:dyDescent="0.25">
      <c r="A19" s="165" t="s">
        <v>180</v>
      </c>
      <c r="B19" s="166" t="s">
        <v>41</v>
      </c>
      <c r="C19" s="167"/>
      <c r="D19" s="220">
        <f>'MAY 21'!J19:J53</f>
        <v>1370</v>
      </c>
      <c r="E19" s="172">
        <v>6000</v>
      </c>
      <c r="F19" s="173">
        <v>136</v>
      </c>
      <c r="G19" s="172">
        <v>200</v>
      </c>
      <c r="H19" s="169">
        <f t="shared" si="0"/>
        <v>7706</v>
      </c>
      <c r="I19" s="169">
        <f>4500+2000+1206</f>
        <v>7706</v>
      </c>
      <c r="J19" s="169">
        <f t="shared" si="1"/>
        <v>0</v>
      </c>
      <c r="K19" s="169"/>
      <c r="L19" s="169"/>
      <c r="M19" s="158"/>
    </row>
    <row r="20" spans="1:16" ht="15.75" x14ac:dyDescent="0.25">
      <c r="A20" s="171" t="s">
        <v>75</v>
      </c>
      <c r="B20" s="166" t="s">
        <v>40</v>
      </c>
      <c r="C20" s="167"/>
      <c r="D20" s="220">
        <f>'MAY 21'!J20:J54</f>
        <v>248</v>
      </c>
      <c r="E20" s="172">
        <v>6000</v>
      </c>
      <c r="F20" s="173">
        <v>85</v>
      </c>
      <c r="G20" s="172">
        <v>200</v>
      </c>
      <c r="H20" s="169">
        <f t="shared" si="0"/>
        <v>6533</v>
      </c>
      <c r="I20" s="169">
        <f>6333</f>
        <v>6333</v>
      </c>
      <c r="J20" s="169">
        <f t="shared" si="1"/>
        <v>200</v>
      </c>
      <c r="K20" s="169"/>
      <c r="L20" s="169"/>
      <c r="M20" s="158"/>
    </row>
    <row r="21" spans="1:16" ht="15.75" x14ac:dyDescent="0.25">
      <c r="A21" s="165" t="s">
        <v>76</v>
      </c>
      <c r="B21" s="183" t="s">
        <v>39</v>
      </c>
      <c r="C21" s="167"/>
      <c r="D21" s="220">
        <f>'MAY 21'!J21:J55</f>
        <v>53</v>
      </c>
      <c r="E21" s="172">
        <v>6000</v>
      </c>
      <c r="F21" s="173">
        <v>629</v>
      </c>
      <c r="G21" s="172">
        <v>200</v>
      </c>
      <c r="H21" s="169">
        <f t="shared" si="0"/>
        <v>6882</v>
      </c>
      <c r="I21" s="169"/>
      <c r="J21" s="169">
        <f t="shared" si="1"/>
        <v>6882</v>
      </c>
      <c r="K21" s="169"/>
      <c r="L21" s="169"/>
      <c r="M21" s="181"/>
    </row>
    <row r="22" spans="1:16" ht="15.75" x14ac:dyDescent="0.25">
      <c r="A22" s="165" t="s">
        <v>150</v>
      </c>
      <c r="B22" s="166" t="s">
        <v>38</v>
      </c>
      <c r="C22" s="167"/>
      <c r="D22" s="220">
        <f>'MAY 21'!J22:J56</f>
        <v>0</v>
      </c>
      <c r="E22" s="172">
        <v>6000</v>
      </c>
      <c r="F22" s="173">
        <v>510</v>
      </c>
      <c r="G22" s="172">
        <v>200</v>
      </c>
      <c r="H22" s="169">
        <f t="shared" si="0"/>
        <v>6710</v>
      </c>
      <c r="I22" s="169">
        <v>6710</v>
      </c>
      <c r="J22" s="169">
        <f t="shared" si="1"/>
        <v>0</v>
      </c>
      <c r="K22" s="169"/>
      <c r="L22" s="169"/>
      <c r="M22" s="158"/>
    </row>
    <row r="23" spans="1:16" ht="15.75" x14ac:dyDescent="0.25">
      <c r="A23" s="171" t="s">
        <v>78</v>
      </c>
      <c r="B23" s="166" t="s">
        <v>37</v>
      </c>
      <c r="C23" s="167"/>
      <c r="D23" s="220">
        <f>'MAY 21'!J23:J57</f>
        <v>0</v>
      </c>
      <c r="E23" s="172">
        <v>6000</v>
      </c>
      <c r="F23" s="173">
        <v>340</v>
      </c>
      <c r="G23" s="172">
        <v>200</v>
      </c>
      <c r="H23" s="169">
        <f t="shared" si="0"/>
        <v>6540</v>
      </c>
      <c r="I23" s="169">
        <v>6540</v>
      </c>
      <c r="J23" s="169">
        <f t="shared" si="1"/>
        <v>0</v>
      </c>
      <c r="K23" s="169"/>
      <c r="L23" s="169"/>
      <c r="M23" s="182"/>
    </row>
    <row r="24" spans="1:16" ht="15.75" x14ac:dyDescent="0.25">
      <c r="A24" s="174" t="s">
        <v>67</v>
      </c>
      <c r="B24" s="185" t="s">
        <v>28</v>
      </c>
      <c r="C24" s="167"/>
      <c r="D24" s="220">
        <f>'MAY 21'!J24:J58</f>
        <v>0</v>
      </c>
      <c r="E24" s="172"/>
      <c r="F24" s="173"/>
      <c r="G24" s="172"/>
      <c r="H24" s="169">
        <f t="shared" si="0"/>
        <v>0</v>
      </c>
      <c r="I24" s="169"/>
      <c r="J24" s="169">
        <f>H24-I24</f>
        <v>0</v>
      </c>
      <c r="K24" s="169"/>
      <c r="L24" s="169"/>
      <c r="M24" s="182"/>
    </row>
    <row r="25" spans="1:16" ht="15.75" x14ac:dyDescent="0.25">
      <c r="A25" s="174" t="s">
        <v>67</v>
      </c>
      <c r="B25" s="186" t="s">
        <v>29</v>
      </c>
      <c r="C25" s="167"/>
      <c r="D25" s="220">
        <f>'MAY 21'!J25:J59</f>
        <v>0</v>
      </c>
      <c r="E25" s="172"/>
      <c r="F25" s="173"/>
      <c r="G25" s="172"/>
      <c r="H25" s="169">
        <f t="shared" si="0"/>
        <v>0</v>
      </c>
      <c r="I25" s="169"/>
      <c r="J25" s="169">
        <f t="shared" si="1"/>
        <v>0</v>
      </c>
      <c r="K25" s="169"/>
      <c r="L25" s="169"/>
      <c r="M25" s="158"/>
    </row>
    <row r="26" spans="1:16" ht="15.75" x14ac:dyDescent="0.25">
      <c r="A26" s="165" t="s">
        <v>317</v>
      </c>
      <c r="B26" s="186" t="s">
        <v>30</v>
      </c>
      <c r="C26" s="167"/>
      <c r="D26" s="220">
        <f>'MAY 21'!J26:J60</f>
        <v>6962</v>
      </c>
      <c r="E26" s="172">
        <v>6500</v>
      </c>
      <c r="F26" s="173">
        <v>748</v>
      </c>
      <c r="G26" s="172">
        <v>200</v>
      </c>
      <c r="H26" s="169">
        <f t="shared" si="0"/>
        <v>14410</v>
      </c>
      <c r="I26" s="169">
        <f>6000</f>
        <v>6000</v>
      </c>
      <c r="J26" s="169">
        <f t="shared" si="1"/>
        <v>8410</v>
      </c>
      <c r="K26" s="169"/>
      <c r="L26" s="169"/>
      <c r="M26" s="182"/>
    </row>
    <row r="27" spans="1:16" ht="15.75" x14ac:dyDescent="0.25">
      <c r="A27" s="165" t="s">
        <v>332</v>
      </c>
      <c r="B27" s="186" t="s">
        <v>55</v>
      </c>
      <c r="C27" s="167"/>
      <c r="D27" s="220">
        <f>'MAY 21'!J27:J61</f>
        <v>5426</v>
      </c>
      <c r="E27" s="172">
        <v>6500</v>
      </c>
      <c r="F27" s="173">
        <v>799</v>
      </c>
      <c r="G27" s="172">
        <v>200</v>
      </c>
      <c r="H27" s="169">
        <f t="shared" si="0"/>
        <v>12925</v>
      </c>
      <c r="I27" s="169">
        <f>10000</f>
        <v>10000</v>
      </c>
      <c r="J27" s="169">
        <f>H27-I27</f>
        <v>2925</v>
      </c>
      <c r="K27" s="169"/>
      <c r="L27" s="169"/>
      <c r="M27" s="182" t="s">
        <v>365</v>
      </c>
      <c r="N27" s="53">
        <f>E27+F27+G27+'MAY 21'!N26</f>
        <v>11925</v>
      </c>
      <c r="O27" s="53">
        <f>N27-I27</f>
        <v>1925</v>
      </c>
    </row>
    <row r="28" spans="1:16" ht="15.75" x14ac:dyDescent="0.25">
      <c r="A28" s="165" t="s">
        <v>83</v>
      </c>
      <c r="B28" s="186" t="s">
        <v>56</v>
      </c>
      <c r="C28" s="167"/>
      <c r="D28" s="220">
        <f>'MAY 21'!J28:J62</f>
        <v>13637</v>
      </c>
      <c r="E28" s="172">
        <v>8000</v>
      </c>
      <c r="F28" s="173">
        <v>153</v>
      </c>
      <c r="G28" s="172">
        <v>200</v>
      </c>
      <c r="H28" s="169">
        <f t="shared" si="0"/>
        <v>21990</v>
      </c>
      <c r="I28" s="169">
        <f>16000+5990</f>
        <v>21990</v>
      </c>
      <c r="J28" s="169">
        <f>H28-I28</f>
        <v>0</v>
      </c>
      <c r="K28" s="169"/>
      <c r="L28" s="169"/>
      <c r="M28" s="158"/>
    </row>
    <row r="29" spans="1:16" ht="15.75" x14ac:dyDescent="0.25">
      <c r="A29" s="165" t="s">
        <v>181</v>
      </c>
      <c r="B29" s="186" t="s">
        <v>57</v>
      </c>
      <c r="C29" s="167"/>
      <c r="D29" s="220">
        <f>'MAY 21'!J29:J63</f>
        <v>0</v>
      </c>
      <c r="E29" s="172">
        <v>6500</v>
      </c>
      <c r="F29" s="173">
        <v>408</v>
      </c>
      <c r="G29" s="172">
        <v>200</v>
      </c>
      <c r="H29" s="169">
        <f>D29+E29+F29+G29</f>
        <v>7108</v>
      </c>
      <c r="I29" s="169">
        <f>6940</f>
        <v>6940</v>
      </c>
      <c r="J29" s="169">
        <f t="shared" si="1"/>
        <v>168</v>
      </c>
      <c r="K29" s="169"/>
      <c r="L29" s="169"/>
      <c r="M29" s="158"/>
    </row>
    <row r="30" spans="1:16" ht="15.75" x14ac:dyDescent="0.25">
      <c r="A30" s="184" t="s">
        <v>92</v>
      </c>
      <c r="B30" s="185" t="s">
        <v>58</v>
      </c>
      <c r="C30" s="167"/>
      <c r="D30" s="220">
        <f>'MAY 21'!J30:J64</f>
        <v>9810</v>
      </c>
      <c r="E30" s="172">
        <v>6500</v>
      </c>
      <c r="F30" s="173">
        <v>1071</v>
      </c>
      <c r="G30" s="172">
        <v>200</v>
      </c>
      <c r="H30" s="169">
        <f>D30+E30+F30+G30</f>
        <v>17581</v>
      </c>
      <c r="I30" s="169">
        <f>5000+4500+5000</f>
        <v>14500</v>
      </c>
      <c r="J30" s="169">
        <f t="shared" si="1"/>
        <v>3081</v>
      </c>
      <c r="K30" s="169"/>
      <c r="L30" s="169"/>
      <c r="M30" s="158"/>
    </row>
    <row r="31" spans="1:16" ht="15.75" x14ac:dyDescent="0.25">
      <c r="A31" s="165" t="s">
        <v>176</v>
      </c>
      <c r="B31" s="186" t="s">
        <v>59</v>
      </c>
      <c r="C31" s="167"/>
      <c r="D31" s="220">
        <f>'MAY 21'!J31:J65</f>
        <v>4742</v>
      </c>
      <c r="E31" s="172">
        <v>6500</v>
      </c>
      <c r="F31" s="173">
        <v>289</v>
      </c>
      <c r="G31" s="172">
        <v>200</v>
      </c>
      <c r="H31" s="169">
        <f t="shared" si="0"/>
        <v>11731</v>
      </c>
      <c r="I31" s="169">
        <f>9000</f>
        <v>9000</v>
      </c>
      <c r="J31" s="169">
        <f t="shared" si="1"/>
        <v>2731</v>
      </c>
      <c r="K31" s="169"/>
      <c r="L31" s="169"/>
      <c r="M31" s="158"/>
    </row>
    <row r="32" spans="1:16" ht="15.75" x14ac:dyDescent="0.25">
      <c r="A32" s="165" t="s">
        <v>170</v>
      </c>
      <c r="B32" s="186" t="s">
        <v>60</v>
      </c>
      <c r="C32" s="167"/>
      <c r="D32" s="220">
        <f>'MAY 21'!J32:J66</f>
        <v>0</v>
      </c>
      <c r="E32" s="172">
        <v>6500</v>
      </c>
      <c r="F32" s="173">
        <v>493</v>
      </c>
      <c r="G32" s="172">
        <v>200</v>
      </c>
      <c r="H32" s="169">
        <f t="shared" si="0"/>
        <v>7193</v>
      </c>
      <c r="I32" s="169">
        <f>7193</f>
        <v>7193</v>
      </c>
      <c r="J32" s="169">
        <f t="shared" si="1"/>
        <v>0</v>
      </c>
      <c r="K32" s="169"/>
      <c r="L32" s="169"/>
      <c r="M32" s="181"/>
    </row>
    <row r="33" spans="1:13" ht="15.75" x14ac:dyDescent="0.25">
      <c r="A33" s="165" t="s">
        <v>80</v>
      </c>
      <c r="B33" s="186" t="s">
        <v>31</v>
      </c>
      <c r="C33" s="167"/>
      <c r="D33" s="220">
        <f>'MAY 21'!J33:J67</f>
        <v>0</v>
      </c>
      <c r="E33" s="172">
        <v>9000</v>
      </c>
      <c r="F33" s="173">
        <v>1666</v>
      </c>
      <c r="G33" s="172">
        <v>200</v>
      </c>
      <c r="H33" s="169">
        <f>D33+E33+F33+G33</f>
        <v>10866</v>
      </c>
      <c r="I33" s="169">
        <f>10866</f>
        <v>10866</v>
      </c>
      <c r="J33" s="169">
        <f>H33-I33</f>
        <v>0</v>
      </c>
      <c r="K33" s="169"/>
      <c r="L33" s="169"/>
      <c r="M33" s="187"/>
    </row>
    <row r="34" spans="1:13" ht="15.75" x14ac:dyDescent="0.25">
      <c r="A34" s="165" t="s">
        <v>322</v>
      </c>
      <c r="B34" s="186" t="s">
        <v>32</v>
      </c>
      <c r="C34" s="167"/>
      <c r="D34" s="220">
        <f>'MAY 21'!J34:J68</f>
        <v>2062</v>
      </c>
      <c r="E34" s="173">
        <v>6500</v>
      </c>
      <c r="F34" s="173">
        <v>544</v>
      </c>
      <c r="G34" s="172">
        <v>200</v>
      </c>
      <c r="H34" s="169">
        <f t="shared" si="0"/>
        <v>9306</v>
      </c>
      <c r="I34" s="169">
        <f>7044+1200</f>
        <v>8244</v>
      </c>
      <c r="J34" s="169">
        <f t="shared" si="1"/>
        <v>1062</v>
      </c>
      <c r="K34" s="169"/>
      <c r="L34" s="169"/>
      <c r="M34" s="181"/>
    </row>
    <row r="35" spans="1:13" ht="15.75" x14ac:dyDescent="0.25">
      <c r="A35" s="165" t="s">
        <v>245</v>
      </c>
      <c r="B35" s="186" t="s">
        <v>33</v>
      </c>
      <c r="C35" s="167"/>
      <c r="D35" s="220">
        <f>'MAY 21'!J35:J69</f>
        <v>2092</v>
      </c>
      <c r="E35" s="173">
        <v>6500</v>
      </c>
      <c r="F35" s="173">
        <v>500</v>
      </c>
      <c r="G35" s="172">
        <v>200</v>
      </c>
      <c r="H35" s="169">
        <f>D35+E35+F35+G35</f>
        <v>9292</v>
      </c>
      <c r="I35" s="169">
        <f>5500+500+500</f>
        <v>6500</v>
      </c>
      <c r="J35" s="169">
        <f>H35-I35</f>
        <v>2792</v>
      </c>
      <c r="K35" s="169"/>
      <c r="L35" s="169"/>
      <c r="M35" s="181"/>
    </row>
    <row r="36" spans="1:13" ht="15.75" x14ac:dyDescent="0.25">
      <c r="A36" s="165" t="s">
        <v>89</v>
      </c>
      <c r="B36" s="186" t="s">
        <v>34</v>
      </c>
      <c r="C36" s="167"/>
      <c r="D36" s="220">
        <f>'MAY 21'!J36:J70</f>
        <v>10</v>
      </c>
      <c r="E36" s="173">
        <v>6500</v>
      </c>
      <c r="F36" s="173">
        <v>765</v>
      </c>
      <c r="G36" s="172">
        <v>200</v>
      </c>
      <c r="H36" s="169">
        <f t="shared" si="0"/>
        <v>7475</v>
      </c>
      <c r="I36" s="169">
        <f>7475</f>
        <v>7475</v>
      </c>
      <c r="J36" s="169">
        <f t="shared" si="1"/>
        <v>0</v>
      </c>
      <c r="K36" s="169"/>
      <c r="L36" s="169"/>
      <c r="M36" s="158"/>
    </row>
    <row r="37" spans="1:13" ht="15.75" x14ac:dyDescent="0.25">
      <c r="A37" s="165" t="s">
        <v>330</v>
      </c>
      <c r="B37" s="186" t="s">
        <v>35</v>
      </c>
      <c r="C37" s="167"/>
      <c r="D37" s="220">
        <f>'MAY 21'!J37:J71</f>
        <v>0</v>
      </c>
      <c r="E37" s="173">
        <v>6500</v>
      </c>
      <c r="F37" s="173">
        <v>340</v>
      </c>
      <c r="G37" s="172">
        <v>200</v>
      </c>
      <c r="H37" s="169">
        <f>D37+E37+F37+G37</f>
        <v>7040</v>
      </c>
      <c r="I37" s="169">
        <f>7000</f>
        <v>7000</v>
      </c>
      <c r="J37" s="169">
        <f>H37-I37</f>
        <v>40</v>
      </c>
      <c r="K37" s="169"/>
      <c r="L37" s="169"/>
      <c r="M37" s="158"/>
    </row>
    <row r="38" spans="1:13" ht="15.75" x14ac:dyDescent="0.25">
      <c r="A38" s="165" t="s">
        <v>138</v>
      </c>
      <c r="B38" s="186" t="s">
        <v>36</v>
      </c>
      <c r="C38" s="167"/>
      <c r="D38" s="220">
        <f>'MAY 21'!J38:J72</f>
        <v>3400</v>
      </c>
      <c r="E38" s="178">
        <v>8000</v>
      </c>
      <c r="F38" s="178">
        <v>500</v>
      </c>
      <c r="G38" s="172">
        <v>200</v>
      </c>
      <c r="H38" s="169">
        <f>D38+E38+F38+G38</f>
        <v>12100</v>
      </c>
      <c r="I38" s="169">
        <f>8700+3400</f>
        <v>12100</v>
      </c>
      <c r="J38" s="169">
        <f>H38-I38</f>
        <v>0</v>
      </c>
      <c r="K38" s="169"/>
      <c r="L38" s="169"/>
      <c r="M38" s="158"/>
    </row>
    <row r="39" spans="1:13" ht="15.75" x14ac:dyDescent="0.25">
      <c r="A39" s="165"/>
      <c r="B39" s="186"/>
      <c r="C39" s="167"/>
      <c r="D39" s="220">
        <f>'MAY 21'!J39:J73</f>
        <v>0</v>
      </c>
      <c r="E39" s="178"/>
      <c r="F39" s="178"/>
      <c r="G39" s="172"/>
      <c r="H39" s="169">
        <f t="shared" si="0"/>
        <v>0</v>
      </c>
      <c r="I39" s="169">
        <f>SUM(D39:H39)</f>
        <v>0</v>
      </c>
      <c r="J39" s="169">
        <f>H39-I39</f>
        <v>0</v>
      </c>
      <c r="K39" s="169"/>
      <c r="L39" s="169"/>
      <c r="M39" s="158"/>
    </row>
    <row r="40" spans="1:13" ht="15.75" x14ac:dyDescent="0.25">
      <c r="A40" s="188" t="s">
        <v>10</v>
      </c>
      <c r="B40" s="165"/>
      <c r="C40" s="167">
        <f t="shared" ref="C40:L40" si="2">SUM(C6:C39)</f>
        <v>0</v>
      </c>
      <c r="D40" s="220">
        <f>SUM(D6:D39)</f>
        <v>57677</v>
      </c>
      <c r="E40" s="189">
        <f>SUM(E6:E39)</f>
        <v>176995</v>
      </c>
      <c r="F40" s="190">
        <f>SUM(F6:F39)</f>
        <v>13495</v>
      </c>
      <c r="G40" s="191">
        <f t="shared" si="2"/>
        <v>5400</v>
      </c>
      <c r="H40" s="169">
        <f>SUM(H6:H39)</f>
        <v>253567</v>
      </c>
      <c r="I40" s="192">
        <f>SUM(I6:I39)</f>
        <v>220529</v>
      </c>
      <c r="J40" s="192">
        <f>SUM(J6:J39)</f>
        <v>33038</v>
      </c>
      <c r="K40" s="192">
        <f t="shared" si="2"/>
        <v>0</v>
      </c>
      <c r="L40" s="192">
        <f t="shared" si="2"/>
        <v>0</v>
      </c>
      <c r="M40" s="158"/>
    </row>
    <row r="41" spans="1:13" ht="15.75" x14ac:dyDescent="0.25">
      <c r="A41" s="184"/>
      <c r="B41" s="184"/>
      <c r="C41" s="177"/>
      <c r="D41" s="193"/>
      <c r="E41" s="184"/>
      <c r="F41" s="158"/>
      <c r="G41" s="184"/>
      <c r="H41" s="184"/>
      <c r="I41" s="184"/>
      <c r="J41" s="184"/>
      <c r="K41" s="184"/>
      <c r="L41" s="184"/>
      <c r="M41" s="158"/>
    </row>
    <row r="42" spans="1:13" ht="15.75" x14ac:dyDescent="0.25">
      <c r="A42" s="160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</row>
    <row r="43" spans="1:13" ht="15.75" x14ac:dyDescent="0.25">
      <c r="A43" s="184"/>
      <c r="B43" s="158"/>
      <c r="C43" s="158"/>
      <c r="D43" s="158"/>
      <c r="E43" s="158"/>
      <c r="F43" s="158"/>
      <c r="G43" s="158"/>
      <c r="H43" s="158"/>
      <c r="I43" s="158"/>
      <c r="J43" s="158"/>
      <c r="K43" s="158"/>
      <c r="L43" s="158"/>
      <c r="M43" s="158"/>
    </row>
    <row r="44" spans="1:13" x14ac:dyDescent="0.25">
      <c r="A44" s="18"/>
    </row>
    <row r="45" spans="1:13" x14ac:dyDescent="0.25">
      <c r="A45" s="18"/>
      <c r="H45" s="53"/>
    </row>
    <row r="46" spans="1:13" x14ac:dyDescent="0.25">
      <c r="A46" s="18"/>
    </row>
    <row r="47" spans="1:13" x14ac:dyDescent="0.25">
      <c r="A47" s="18"/>
    </row>
    <row r="48" spans="1:13" x14ac:dyDescent="0.25">
      <c r="A48" s="18"/>
    </row>
    <row r="49" spans="1:12" x14ac:dyDescent="0.25">
      <c r="A49" s="18"/>
    </row>
    <row r="50" spans="1:12" x14ac:dyDescent="0.25">
      <c r="A50" s="18"/>
    </row>
    <row r="51" spans="1:12" x14ac:dyDescent="0.25">
      <c r="A51" s="18"/>
    </row>
    <row r="52" spans="1:12" x14ac:dyDescent="0.25">
      <c r="A52" s="18"/>
    </row>
    <row r="53" spans="1:12" x14ac:dyDescent="0.25">
      <c r="A53" s="18"/>
    </row>
    <row r="54" spans="1:12" x14ac:dyDescent="0.25">
      <c r="A54" s="18"/>
      <c r="J54" s="53"/>
    </row>
    <row r="55" spans="1:12" x14ac:dyDescent="0.25">
      <c r="A55" s="18"/>
      <c r="J55" s="53"/>
    </row>
    <row r="56" spans="1:12" x14ac:dyDescent="0.25">
      <c r="A56" s="18"/>
      <c r="K56" s="53"/>
    </row>
    <row r="57" spans="1:12" x14ac:dyDescent="0.25">
      <c r="A57" s="18"/>
    </row>
    <row r="58" spans="1:12" x14ac:dyDescent="0.25">
      <c r="A58" s="18"/>
    </row>
    <row r="59" spans="1:12" x14ac:dyDescent="0.25">
      <c r="A59" s="134"/>
    </row>
    <row r="60" spans="1:12" ht="18.75" x14ac:dyDescent="0.3">
      <c r="A60" s="194"/>
      <c r="B60" s="194"/>
      <c r="C60" s="194"/>
      <c r="D60" s="194"/>
      <c r="E60" s="194"/>
      <c r="F60" s="194"/>
      <c r="G60" s="194"/>
      <c r="H60" s="194"/>
      <c r="I60" s="194"/>
      <c r="J60" s="194"/>
    </row>
    <row r="61" spans="1:12" ht="18.75" x14ac:dyDescent="0.3">
      <c r="A61" s="195" t="s">
        <v>12</v>
      </c>
      <c r="B61" s="195"/>
      <c r="C61" s="195"/>
      <c r="D61" s="196"/>
      <c r="E61" s="197"/>
      <c r="F61" s="195" t="s">
        <v>8</v>
      </c>
      <c r="G61" s="195"/>
      <c r="H61" s="195"/>
      <c r="I61" s="198"/>
      <c r="J61" s="198"/>
      <c r="K61" s="79"/>
      <c r="L61" s="71"/>
    </row>
    <row r="62" spans="1:12" ht="18.75" x14ac:dyDescent="0.3">
      <c r="A62" s="199" t="s">
        <v>13</v>
      </c>
      <c r="B62" s="199" t="s">
        <v>14</v>
      </c>
      <c r="C62" s="199" t="s">
        <v>15</v>
      </c>
      <c r="D62" s="199" t="s">
        <v>16</v>
      </c>
      <c r="E62" s="199"/>
      <c r="F62" s="199" t="s">
        <v>13</v>
      </c>
      <c r="G62" s="199"/>
      <c r="H62" s="199" t="s">
        <v>265</v>
      </c>
      <c r="I62" s="199" t="s">
        <v>15</v>
      </c>
      <c r="J62" s="199" t="s">
        <v>16</v>
      </c>
      <c r="K62" s="87"/>
      <c r="L62" s="73"/>
    </row>
    <row r="63" spans="1:12" ht="18.75" x14ac:dyDescent="0.3">
      <c r="A63" s="200" t="s">
        <v>209</v>
      </c>
      <c r="B63" s="201">
        <f>E40</f>
        <v>176995</v>
      </c>
      <c r="C63" s="200"/>
      <c r="D63" s="200"/>
      <c r="E63" s="200"/>
      <c r="F63" s="200" t="s">
        <v>209</v>
      </c>
      <c r="G63" s="200"/>
      <c r="H63" s="202">
        <f>I40</f>
        <v>220529</v>
      </c>
      <c r="I63" s="200"/>
      <c r="J63" s="200"/>
      <c r="K63" s="60"/>
      <c r="L63" s="74"/>
    </row>
    <row r="64" spans="1:12" ht="18.75" x14ac:dyDescent="0.3">
      <c r="A64" s="200" t="s">
        <v>18</v>
      </c>
      <c r="B64" s="201">
        <f>'MAY 21'!D78</f>
        <v>0</v>
      </c>
      <c r="C64" s="200"/>
      <c r="D64" s="200"/>
      <c r="E64" s="200"/>
      <c r="F64" s="200" t="s">
        <v>18</v>
      </c>
      <c r="G64" s="200"/>
      <c r="H64" s="201">
        <f>'MAY 21'!J78</f>
        <v>-87743</v>
      </c>
      <c r="I64" s="200"/>
      <c r="J64" s="200"/>
      <c r="K64" s="60"/>
      <c r="L64" s="74"/>
    </row>
    <row r="65" spans="1:13" ht="18.75" x14ac:dyDescent="0.3">
      <c r="A65" s="200" t="s">
        <v>19</v>
      </c>
      <c r="B65" s="201">
        <f>C40</f>
        <v>0</v>
      </c>
      <c r="C65" s="200"/>
      <c r="D65" s="200"/>
      <c r="E65" s="200"/>
      <c r="F65" s="200"/>
      <c r="G65" s="200"/>
      <c r="H65" s="200"/>
      <c r="I65" s="200"/>
      <c r="J65" s="200"/>
      <c r="K65" s="60"/>
      <c r="L65" s="74"/>
    </row>
    <row r="66" spans="1:13" ht="18.75" x14ac:dyDescent="0.3">
      <c r="A66" s="200" t="s">
        <v>63</v>
      </c>
      <c r="B66" s="201">
        <f>F40</f>
        <v>13495</v>
      </c>
      <c r="C66" s="200"/>
      <c r="D66" s="200"/>
      <c r="E66" s="200"/>
      <c r="F66" s="200"/>
      <c r="G66" s="200"/>
      <c r="H66" s="200"/>
      <c r="I66" s="200"/>
      <c r="J66" s="200"/>
      <c r="K66" s="60"/>
      <c r="L66" s="74"/>
    </row>
    <row r="67" spans="1:13" ht="18.75" x14ac:dyDescent="0.3">
      <c r="A67" s="200" t="s">
        <v>62</v>
      </c>
      <c r="B67" s="201">
        <f>K40</f>
        <v>0</v>
      </c>
      <c r="C67" s="200"/>
      <c r="D67" s="200"/>
      <c r="E67" s="200"/>
      <c r="F67" s="200"/>
      <c r="G67" s="200"/>
      <c r="H67" s="200"/>
      <c r="I67" s="200"/>
      <c r="J67" s="200"/>
      <c r="K67" s="60"/>
      <c r="L67" s="74"/>
    </row>
    <row r="68" spans="1:13" ht="18.75" x14ac:dyDescent="0.3">
      <c r="A68" s="200" t="s">
        <v>96</v>
      </c>
      <c r="B68" s="201">
        <f>G40</f>
        <v>5400</v>
      </c>
      <c r="C68" s="200"/>
      <c r="D68" s="200"/>
      <c r="E68" s="200"/>
      <c r="F68" s="200" t="s">
        <v>126</v>
      </c>
      <c r="G68" s="200"/>
      <c r="H68" s="200"/>
      <c r="I68" s="200"/>
      <c r="J68" s="200"/>
      <c r="K68" s="60"/>
      <c r="L68" s="74"/>
    </row>
    <row r="69" spans="1:13" ht="18.75" x14ac:dyDescent="0.3">
      <c r="A69" s="200" t="s">
        <v>167</v>
      </c>
      <c r="B69" s="201"/>
      <c r="C69" s="200"/>
      <c r="D69" s="200"/>
      <c r="E69" s="200"/>
      <c r="F69" s="200" t="s">
        <v>167</v>
      </c>
      <c r="G69" s="201"/>
      <c r="H69" s="194"/>
      <c r="I69" s="194"/>
      <c r="J69" s="200"/>
      <c r="K69" s="60"/>
      <c r="L69" s="74"/>
      <c r="M69" s="53"/>
    </row>
    <row r="70" spans="1:13" ht="18.75" x14ac:dyDescent="0.3">
      <c r="A70" s="200" t="s">
        <v>126</v>
      </c>
      <c r="B70" s="202">
        <f>L40</f>
        <v>0</v>
      </c>
      <c r="C70" s="201"/>
      <c r="D70" s="200"/>
      <c r="E70" s="200"/>
      <c r="F70" s="200"/>
      <c r="G70" s="200"/>
      <c r="H70" s="200"/>
      <c r="I70" s="201"/>
      <c r="J70" s="201"/>
      <c r="K70" s="88"/>
      <c r="L70" s="75"/>
    </row>
    <row r="71" spans="1:13" ht="18.75" x14ac:dyDescent="0.3">
      <c r="A71" s="199" t="s">
        <v>21</v>
      </c>
      <c r="B71" s="200" t="s">
        <v>22</v>
      </c>
      <c r="C71" s="200"/>
      <c r="D71" s="200"/>
      <c r="E71" s="200"/>
      <c r="F71" s="199" t="s">
        <v>21</v>
      </c>
      <c r="G71" s="199"/>
      <c r="H71" s="199"/>
      <c r="I71" s="200"/>
      <c r="J71" s="200"/>
      <c r="K71" s="60"/>
      <c r="L71" s="74"/>
    </row>
    <row r="72" spans="1:13" ht="18.75" x14ac:dyDescent="0.3">
      <c r="A72" s="203" t="s">
        <v>111</v>
      </c>
      <c r="B72" s="204">
        <v>0.05</v>
      </c>
      <c r="C72" s="202">
        <f>B72*E40</f>
        <v>8849.75</v>
      </c>
      <c r="D72" s="200"/>
      <c r="E72" s="200"/>
      <c r="F72" s="203" t="s">
        <v>111</v>
      </c>
      <c r="G72" s="203"/>
      <c r="H72" s="204">
        <v>0.05</v>
      </c>
      <c r="I72" s="202">
        <f>H72*E40</f>
        <v>8849.75</v>
      </c>
      <c r="J72" s="200"/>
      <c r="K72" s="60"/>
      <c r="L72" s="74"/>
    </row>
    <row r="73" spans="1:13" ht="18.75" x14ac:dyDescent="0.3">
      <c r="A73" s="205"/>
      <c r="B73" s="206"/>
      <c r="C73" s="194"/>
      <c r="D73" s="202"/>
      <c r="E73" s="202"/>
      <c r="F73" s="205"/>
      <c r="G73" s="206"/>
      <c r="H73" s="194"/>
      <c r="I73" s="194"/>
      <c r="J73" s="194"/>
      <c r="K73" s="89"/>
      <c r="L73" s="76"/>
    </row>
    <row r="74" spans="1:13" ht="18.75" x14ac:dyDescent="0.3">
      <c r="A74" s="205" t="s">
        <v>361</v>
      </c>
      <c r="B74" s="204"/>
      <c r="C74" s="202">
        <v>187000</v>
      </c>
      <c r="D74" s="200"/>
      <c r="E74" s="200"/>
      <c r="F74" s="205" t="s">
        <v>361</v>
      </c>
      <c r="G74" s="204"/>
      <c r="H74" s="202"/>
      <c r="I74" s="202">
        <v>187000</v>
      </c>
      <c r="J74" s="200"/>
      <c r="K74" s="60"/>
      <c r="L74" s="74"/>
    </row>
    <row r="75" spans="1:13" ht="18.75" x14ac:dyDescent="0.3">
      <c r="A75" s="200"/>
      <c r="B75" s="200"/>
      <c r="C75" s="207"/>
      <c r="D75" s="200"/>
      <c r="E75" s="200"/>
      <c r="F75" s="207"/>
      <c r="G75" s="207"/>
      <c r="H75" s="200"/>
      <c r="I75" s="207"/>
      <c r="J75" s="200"/>
      <c r="K75" s="60"/>
      <c r="L75" s="74"/>
    </row>
    <row r="76" spans="1:13" ht="18.75" x14ac:dyDescent="0.3">
      <c r="A76" s="194"/>
      <c r="B76" s="194"/>
      <c r="C76" s="194"/>
      <c r="D76" s="194"/>
      <c r="E76" s="194"/>
      <c r="F76" s="194"/>
      <c r="G76" s="194"/>
      <c r="H76" s="194"/>
      <c r="I76" s="194"/>
      <c r="J76" s="194"/>
      <c r="K76" s="60"/>
      <c r="L76" s="74"/>
    </row>
    <row r="77" spans="1:13" ht="18.75" x14ac:dyDescent="0.3">
      <c r="A77" s="208"/>
      <c r="B77" s="200"/>
      <c r="C77" s="202"/>
      <c r="D77" s="200"/>
      <c r="E77" s="200"/>
      <c r="F77" s="200"/>
      <c r="G77" s="202"/>
      <c r="H77" s="203"/>
      <c r="I77" s="202"/>
      <c r="J77" s="202"/>
      <c r="K77" s="89"/>
      <c r="L77" s="76"/>
    </row>
    <row r="78" spans="1:13" ht="18.75" x14ac:dyDescent="0.3">
      <c r="A78" s="199" t="s">
        <v>23</v>
      </c>
      <c r="B78" s="209">
        <f>B63+B64+B65+B66+B67+B68+B70+B69</f>
        <v>195890</v>
      </c>
      <c r="C78" s="209">
        <f>SUM(C72:C77)</f>
        <v>195849.75</v>
      </c>
      <c r="D78" s="209">
        <f>B78-C78</f>
        <v>40.25</v>
      </c>
      <c r="E78" s="209"/>
      <c r="F78" s="199"/>
      <c r="G78" s="199"/>
      <c r="H78" s="209">
        <f>H63+H64+H66+H68+H69</f>
        <v>132786</v>
      </c>
      <c r="I78" s="209">
        <f>SUM(I72:I77)</f>
        <v>195849.75</v>
      </c>
      <c r="J78" s="209">
        <f>H78-I78</f>
        <v>-63063.75</v>
      </c>
      <c r="K78" s="96"/>
      <c r="L78" s="77"/>
    </row>
    <row r="79" spans="1:13" ht="18.75" x14ac:dyDescent="0.3">
      <c r="A79" s="198"/>
      <c r="B79" s="198"/>
      <c r="C79" s="198"/>
      <c r="D79" s="198"/>
      <c r="E79" s="198"/>
      <c r="F79" s="198"/>
      <c r="G79" s="198"/>
      <c r="H79" s="198"/>
      <c r="I79" s="210">
        <f>I78-I72</f>
        <v>187000</v>
      </c>
      <c r="J79" s="198"/>
      <c r="K79" s="79"/>
      <c r="L79" s="71"/>
    </row>
    <row r="80" spans="1:13" ht="18.75" x14ac:dyDescent="0.3">
      <c r="A80" s="211" t="s">
        <v>24</v>
      </c>
      <c r="B80" s="212"/>
      <c r="C80" s="212" t="s">
        <v>25</v>
      </c>
      <c r="D80" s="213"/>
      <c r="E80" s="213"/>
      <c r="F80" s="211"/>
      <c r="G80" s="211"/>
      <c r="H80" s="211" t="s">
        <v>26</v>
      </c>
      <c r="I80" s="198"/>
      <c r="J80" s="198"/>
      <c r="K80" s="79"/>
      <c r="L80" s="71"/>
    </row>
    <row r="81" spans="1:13" ht="18.75" x14ac:dyDescent="0.3">
      <c r="A81" s="198" t="s">
        <v>104</v>
      </c>
      <c r="B81" s="198"/>
      <c r="C81" s="198" t="s">
        <v>105</v>
      </c>
      <c r="D81" s="198"/>
      <c r="E81" s="198"/>
      <c r="F81" s="198"/>
      <c r="G81" s="198"/>
      <c r="H81" s="198" t="s">
        <v>27</v>
      </c>
      <c r="I81" s="198"/>
      <c r="J81" s="198"/>
      <c r="K81" s="119"/>
      <c r="L81" s="71"/>
      <c r="M81" s="5"/>
    </row>
    <row r="82" spans="1:13" ht="18.75" x14ac:dyDescent="0.3">
      <c r="A82" s="194"/>
      <c r="B82" s="194"/>
      <c r="C82" s="194"/>
      <c r="D82" s="194"/>
      <c r="E82" s="194"/>
      <c r="F82" s="194"/>
      <c r="G82" s="194"/>
      <c r="H82" s="194"/>
      <c r="I82" s="194"/>
      <c r="J82" s="194"/>
      <c r="K82" s="5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68"/>
  <sheetViews>
    <sheetView workbookViewId="0">
      <selection activeCell="N26" sqref="N26"/>
    </sheetView>
  </sheetViews>
  <sheetFormatPr defaultRowHeight="15" x14ac:dyDescent="0.25"/>
  <cols>
    <col min="1" max="1" width="0.28515625" customWidth="1"/>
    <col min="2" max="2" width="16" customWidth="1"/>
    <col min="3" max="3" width="7.7109375" customWidth="1"/>
    <col min="4" max="4" width="11.140625" customWidth="1"/>
    <col min="5" max="5" width="7.42578125" customWidth="1"/>
    <col min="6" max="6" width="9.28515625" customWidth="1"/>
    <col min="7" max="7" width="8.42578125" customWidth="1"/>
    <col min="8" max="8" width="5.85546875" customWidth="1"/>
    <col min="9" max="9" width="8" customWidth="1"/>
    <col min="10" max="10" width="9" bestFit="1" customWidth="1"/>
    <col min="11" max="11" width="11.28515625" customWidth="1"/>
    <col min="12" max="12" width="9.42578125" customWidth="1"/>
  </cols>
  <sheetData>
    <row r="1" spans="2:19" x14ac:dyDescent="0.25"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</row>
    <row r="2" spans="2:19" ht="15.75" x14ac:dyDescent="0.25">
      <c r="B2" s="79"/>
      <c r="C2" s="100" t="s">
        <v>27</v>
      </c>
      <c r="D2" s="79"/>
      <c r="E2" s="100"/>
      <c r="F2" s="100"/>
      <c r="G2" s="100"/>
      <c r="H2" s="100"/>
      <c r="I2" s="101"/>
      <c r="J2" s="79"/>
      <c r="K2" s="79"/>
      <c r="L2" s="79"/>
      <c r="M2" s="79"/>
      <c r="N2" s="79"/>
      <c r="O2" s="79"/>
      <c r="P2" s="79"/>
    </row>
    <row r="3" spans="2:19" ht="15.75" x14ac:dyDescent="0.25">
      <c r="B3" s="79"/>
      <c r="C3" s="100" t="s">
        <v>0</v>
      </c>
      <c r="D3" s="100"/>
      <c r="E3" s="100"/>
      <c r="F3" s="100"/>
      <c r="G3" s="100"/>
      <c r="H3" s="100"/>
      <c r="I3" s="102"/>
      <c r="J3" s="79"/>
      <c r="K3" s="79"/>
      <c r="L3" s="79"/>
      <c r="M3" s="79"/>
      <c r="N3" s="79"/>
      <c r="O3" s="79"/>
      <c r="P3" s="79"/>
    </row>
    <row r="4" spans="2:19" ht="18.75" x14ac:dyDescent="0.3">
      <c r="B4" s="103"/>
      <c r="C4" s="100" t="s">
        <v>108</v>
      </c>
      <c r="D4" s="100"/>
      <c r="E4" s="100"/>
      <c r="F4" s="100"/>
      <c r="G4" s="100"/>
      <c r="H4" s="100"/>
      <c r="I4" s="104"/>
      <c r="J4" s="105"/>
      <c r="K4" s="105"/>
      <c r="L4" s="105"/>
      <c r="M4" s="79"/>
      <c r="N4" s="79"/>
      <c r="O4" s="79"/>
      <c r="P4" s="79"/>
    </row>
    <row r="5" spans="2:19" x14ac:dyDescent="0.25">
      <c r="B5" s="106" t="s">
        <v>2</v>
      </c>
      <c r="C5" s="106" t="s">
        <v>3</v>
      </c>
      <c r="D5" s="106" t="s">
        <v>4</v>
      </c>
      <c r="E5" s="107" t="s">
        <v>5</v>
      </c>
      <c r="F5" s="106" t="s">
        <v>6</v>
      </c>
      <c r="G5" s="106" t="s">
        <v>109</v>
      </c>
      <c r="H5" s="106" t="s">
        <v>96</v>
      </c>
      <c r="I5" s="108" t="s">
        <v>7</v>
      </c>
      <c r="J5" s="106" t="s">
        <v>8</v>
      </c>
      <c r="K5" s="106" t="s">
        <v>9</v>
      </c>
      <c r="L5" s="106" t="s">
        <v>91</v>
      </c>
      <c r="M5" s="79"/>
      <c r="N5" s="79"/>
      <c r="O5" s="79"/>
      <c r="P5" s="79"/>
    </row>
    <row r="6" spans="2:19" x14ac:dyDescent="0.25">
      <c r="B6" s="61" t="s">
        <v>61</v>
      </c>
      <c r="C6" s="68" t="s">
        <v>52</v>
      </c>
      <c r="D6" s="63"/>
      <c r="E6" s="64">
        <f>'DECEMBER 19'!I6:I39</f>
        <v>0</v>
      </c>
      <c r="F6" s="66">
        <v>6000</v>
      </c>
      <c r="G6" s="66">
        <v>340</v>
      </c>
      <c r="H6" s="66">
        <v>200</v>
      </c>
      <c r="I6" s="66">
        <f>D6+E6+F6+G6+H6</f>
        <v>6540</v>
      </c>
      <c r="J6" s="66"/>
      <c r="K6" s="66">
        <f>I6-J6</f>
        <v>6540</v>
      </c>
      <c r="L6" s="66"/>
      <c r="M6" s="79"/>
      <c r="N6" s="79"/>
      <c r="O6" s="79"/>
      <c r="P6" s="79"/>
      <c r="Q6" s="4" t="s">
        <v>63</v>
      </c>
      <c r="R6" s="4" t="s">
        <v>94</v>
      </c>
      <c r="S6" s="4" t="s">
        <v>95</v>
      </c>
    </row>
    <row r="7" spans="2:19" x14ac:dyDescent="0.25">
      <c r="B7" s="59" t="s">
        <v>64</v>
      </c>
      <c r="C7" s="68" t="s">
        <v>51</v>
      </c>
      <c r="D7" s="63"/>
      <c r="E7" s="64">
        <f>'DECEMBER 19'!I7:I40</f>
        <v>7000</v>
      </c>
      <c r="F7" s="65">
        <v>6000</v>
      </c>
      <c r="G7" s="65">
        <v>340</v>
      </c>
      <c r="H7" s="65">
        <v>200</v>
      </c>
      <c r="I7" s="66">
        <f t="shared" ref="I7:I38" si="0">D7+E7+F7+G7+H7</f>
        <v>13540</v>
      </c>
      <c r="J7" s="66">
        <f>6180+6000</f>
        <v>12180</v>
      </c>
      <c r="K7" s="66">
        <f>I7-J7</f>
        <v>1360</v>
      </c>
      <c r="L7" s="66"/>
      <c r="M7" s="79"/>
      <c r="N7" s="79"/>
      <c r="O7" s="79">
        <v>200</v>
      </c>
      <c r="P7" s="79"/>
      <c r="Q7" s="6"/>
      <c r="R7" s="4">
        <v>340</v>
      </c>
      <c r="S7" s="4">
        <v>680</v>
      </c>
    </row>
    <row r="8" spans="2:19" x14ac:dyDescent="0.25">
      <c r="B8" s="59" t="s">
        <v>65</v>
      </c>
      <c r="C8" s="68" t="s">
        <v>54</v>
      </c>
      <c r="D8" s="63"/>
      <c r="E8" s="64">
        <f>'DECEMBER 19'!I8:I41</f>
        <v>0</v>
      </c>
      <c r="F8" s="65"/>
      <c r="G8" s="65"/>
      <c r="H8" s="65"/>
      <c r="I8" s="66">
        <f t="shared" si="0"/>
        <v>0</v>
      </c>
      <c r="J8" s="66"/>
      <c r="K8" s="66">
        <f>I8-J8</f>
        <v>0</v>
      </c>
      <c r="L8" s="66"/>
      <c r="M8" s="79"/>
      <c r="N8" s="79"/>
      <c r="O8" s="79">
        <v>200</v>
      </c>
      <c r="P8" s="79"/>
      <c r="Q8" s="6"/>
      <c r="R8" s="4">
        <v>340</v>
      </c>
      <c r="S8" s="4">
        <v>340</v>
      </c>
    </row>
    <row r="9" spans="2:19" x14ac:dyDescent="0.25">
      <c r="B9" s="60" t="s">
        <v>66</v>
      </c>
      <c r="C9" s="68" t="s">
        <v>50</v>
      </c>
      <c r="D9" s="63"/>
      <c r="E9" s="64">
        <f>'DECEMBER 19'!I9:I42</f>
        <v>0</v>
      </c>
      <c r="F9" s="64">
        <v>6000</v>
      </c>
      <c r="G9" s="64"/>
      <c r="H9" s="65">
        <v>200</v>
      </c>
      <c r="I9" s="66">
        <f t="shared" si="0"/>
        <v>6200</v>
      </c>
      <c r="J9" s="66">
        <v>6200</v>
      </c>
      <c r="K9" s="66">
        <f>I9-J9</f>
        <v>0</v>
      </c>
      <c r="L9" s="66"/>
      <c r="M9" s="79"/>
      <c r="N9" s="79"/>
      <c r="O9" s="79">
        <v>200</v>
      </c>
      <c r="P9" s="79"/>
      <c r="Q9" s="6"/>
      <c r="R9" s="4">
        <v>680</v>
      </c>
      <c r="S9" s="4">
        <v>680</v>
      </c>
    </row>
    <row r="10" spans="2:19" x14ac:dyDescent="0.25">
      <c r="B10" s="59" t="s">
        <v>67</v>
      </c>
      <c r="C10" s="68" t="s">
        <v>49</v>
      </c>
      <c r="D10" s="63"/>
      <c r="E10" s="64">
        <f>'DECEMBER 19'!I10:I43</f>
        <v>0</v>
      </c>
      <c r="F10" s="65"/>
      <c r="G10" s="65"/>
      <c r="H10" s="65"/>
      <c r="I10" s="66">
        <f t="shared" si="0"/>
        <v>0</v>
      </c>
      <c r="J10" s="66"/>
      <c r="K10" s="66">
        <f>I10-J10</f>
        <v>0</v>
      </c>
      <c r="L10" s="66"/>
      <c r="M10" s="79"/>
      <c r="N10" s="79"/>
      <c r="O10" s="79">
        <v>200</v>
      </c>
      <c r="P10" s="79"/>
      <c r="Q10" s="6"/>
      <c r="R10" s="4">
        <v>170</v>
      </c>
      <c r="S10" s="4">
        <v>340</v>
      </c>
    </row>
    <row r="11" spans="2:19" x14ac:dyDescent="0.25">
      <c r="B11" s="109" t="s">
        <v>117</v>
      </c>
      <c r="C11" s="68" t="s">
        <v>53</v>
      </c>
      <c r="D11" s="63"/>
      <c r="E11" s="64">
        <f>'DECEMBER 19'!I11:I44</f>
        <v>0</v>
      </c>
      <c r="F11" s="65">
        <v>6000</v>
      </c>
      <c r="G11" s="65">
        <v>680</v>
      </c>
      <c r="H11" s="65">
        <v>200</v>
      </c>
      <c r="I11" s="66">
        <f t="shared" si="0"/>
        <v>6880</v>
      </c>
      <c r="J11" s="66">
        <v>6880</v>
      </c>
      <c r="K11" s="66">
        <f t="shared" ref="K11:K39" si="1">I11-J11</f>
        <v>0</v>
      </c>
      <c r="L11" s="66"/>
      <c r="M11" s="79"/>
      <c r="N11" s="79"/>
      <c r="O11" s="79">
        <v>200</v>
      </c>
      <c r="P11" s="79"/>
      <c r="Q11" s="6"/>
      <c r="R11" s="4">
        <v>170</v>
      </c>
      <c r="S11" s="4">
        <v>170</v>
      </c>
    </row>
    <row r="12" spans="2:19" x14ac:dyDescent="0.25">
      <c r="B12" s="61" t="s">
        <v>68</v>
      </c>
      <c r="C12" s="68" t="s">
        <v>48</v>
      </c>
      <c r="D12" s="63"/>
      <c r="E12" s="64">
        <f>'DECEMBER 19'!I12:I45+340+200</f>
        <v>16149</v>
      </c>
      <c r="F12" s="65">
        <v>6000</v>
      </c>
      <c r="G12" s="65">
        <v>170</v>
      </c>
      <c r="H12" s="65">
        <v>200</v>
      </c>
      <c r="I12" s="66">
        <f t="shared" si="0"/>
        <v>22519</v>
      </c>
      <c r="J12" s="66"/>
      <c r="K12" s="66">
        <f t="shared" si="1"/>
        <v>22519</v>
      </c>
      <c r="L12" s="66"/>
      <c r="M12" s="79"/>
      <c r="N12" s="79"/>
      <c r="O12" s="79">
        <f>SUM(O7:O11)+200</f>
        <v>1200</v>
      </c>
      <c r="P12" s="79"/>
      <c r="Q12" s="6"/>
      <c r="R12" s="4">
        <v>510</v>
      </c>
      <c r="S12" s="4">
        <v>850</v>
      </c>
    </row>
    <row r="13" spans="2:19" x14ac:dyDescent="0.25">
      <c r="B13" s="67" t="s">
        <v>98</v>
      </c>
      <c r="C13" s="68" t="s">
        <v>47</v>
      </c>
      <c r="D13" s="63"/>
      <c r="E13" s="64">
        <f>'DECEMBER 19'!I13:I46</f>
        <v>0</v>
      </c>
      <c r="F13" s="65">
        <v>6000</v>
      </c>
      <c r="G13" s="65">
        <v>170</v>
      </c>
      <c r="H13" s="65">
        <v>200</v>
      </c>
      <c r="I13" s="66">
        <f t="shared" si="0"/>
        <v>6370</v>
      </c>
      <c r="J13" s="66">
        <v>6370</v>
      </c>
      <c r="K13" s="66">
        <f t="shared" si="1"/>
        <v>0</v>
      </c>
      <c r="L13" s="66"/>
      <c r="M13" s="79" t="s">
        <v>97</v>
      </c>
      <c r="N13" s="79"/>
      <c r="O13" s="79"/>
      <c r="P13" s="79"/>
      <c r="Q13" s="6"/>
      <c r="R13" s="4">
        <v>510</v>
      </c>
      <c r="S13" s="4">
        <v>340</v>
      </c>
    </row>
    <row r="14" spans="2:19" x14ac:dyDescent="0.25">
      <c r="B14" s="61" t="s">
        <v>70</v>
      </c>
      <c r="C14" s="68" t="s">
        <v>46</v>
      </c>
      <c r="D14" s="63"/>
      <c r="E14" s="64">
        <f>'DECEMBER 19'!I14:I47</f>
        <v>0</v>
      </c>
      <c r="F14" s="65"/>
      <c r="G14" s="65"/>
      <c r="H14" s="65"/>
      <c r="I14" s="66">
        <f t="shared" si="0"/>
        <v>0</v>
      </c>
      <c r="J14" s="66"/>
      <c r="K14" s="66">
        <f>I14-J14</f>
        <v>0</v>
      </c>
      <c r="L14" s="66"/>
      <c r="M14" s="79"/>
      <c r="N14" s="79"/>
      <c r="O14" s="79"/>
      <c r="P14" s="79"/>
      <c r="Q14" s="6"/>
      <c r="R14" s="4">
        <v>850</v>
      </c>
      <c r="S14" s="4">
        <v>680</v>
      </c>
    </row>
    <row r="15" spans="2:19" x14ac:dyDescent="0.25">
      <c r="B15" s="59" t="s">
        <v>110</v>
      </c>
      <c r="C15" s="68" t="s">
        <v>45</v>
      </c>
      <c r="D15" s="63"/>
      <c r="E15" s="64">
        <f>'DECEMBER 19'!I15:I48</f>
        <v>0</v>
      </c>
      <c r="F15" s="65">
        <v>6000</v>
      </c>
      <c r="G15" s="65">
        <v>510</v>
      </c>
      <c r="H15" s="65">
        <v>200</v>
      </c>
      <c r="I15" s="66">
        <f>D15+E15+F15+G15+H15</f>
        <v>6710</v>
      </c>
      <c r="J15" s="66">
        <v>6710</v>
      </c>
      <c r="K15" s="66">
        <f t="shared" si="1"/>
        <v>0</v>
      </c>
      <c r="L15" s="66"/>
      <c r="M15" s="79" t="s">
        <v>97</v>
      </c>
      <c r="N15" s="79"/>
      <c r="O15" s="79">
        <f>N14+O12</f>
        <v>1200</v>
      </c>
      <c r="P15" s="79"/>
      <c r="Q15" s="6" t="s">
        <v>97</v>
      </c>
      <c r="R15" s="4">
        <v>170</v>
      </c>
      <c r="S15" s="4">
        <v>340</v>
      </c>
    </row>
    <row r="16" spans="2:19" x14ac:dyDescent="0.25">
      <c r="B16" s="60" t="s">
        <v>71</v>
      </c>
      <c r="C16" s="68" t="s">
        <v>44</v>
      </c>
      <c r="D16" s="63"/>
      <c r="E16" s="64">
        <f>510</f>
        <v>510</v>
      </c>
      <c r="F16" s="65">
        <v>5000</v>
      </c>
      <c r="G16" s="65">
        <v>510</v>
      </c>
      <c r="H16" s="65">
        <v>200</v>
      </c>
      <c r="I16" s="66">
        <f t="shared" si="0"/>
        <v>6220</v>
      </c>
      <c r="J16" s="66">
        <f>4500+500+1020+200</f>
        <v>6220</v>
      </c>
      <c r="K16" s="66">
        <f t="shared" si="1"/>
        <v>0</v>
      </c>
      <c r="L16" s="66"/>
      <c r="M16" s="79" t="s">
        <v>146</v>
      </c>
      <c r="N16" s="79"/>
      <c r="O16" s="79">
        <f>O15+14940+500</f>
        <v>16640</v>
      </c>
      <c r="P16" s="79"/>
      <c r="Q16" s="6"/>
      <c r="R16" s="4">
        <v>170</v>
      </c>
      <c r="S16" s="4">
        <v>170</v>
      </c>
    </row>
    <row r="17" spans="2:19" x14ac:dyDescent="0.25">
      <c r="B17" s="59" t="s">
        <v>72</v>
      </c>
      <c r="C17" s="68" t="s">
        <v>43</v>
      </c>
      <c r="D17" s="63"/>
      <c r="E17" s="64">
        <f>'DECEMBER 19'!I17:I50</f>
        <v>0</v>
      </c>
      <c r="F17" s="65">
        <v>6000</v>
      </c>
      <c r="G17" s="65">
        <v>850</v>
      </c>
      <c r="H17" s="65">
        <v>200</v>
      </c>
      <c r="I17" s="66">
        <f t="shared" si="0"/>
        <v>7050</v>
      </c>
      <c r="J17" s="66">
        <v>7050</v>
      </c>
      <c r="K17" s="66">
        <f t="shared" si="1"/>
        <v>0</v>
      </c>
      <c r="L17" s="66"/>
      <c r="M17" s="110"/>
      <c r="N17" s="79"/>
      <c r="O17" s="79"/>
      <c r="P17" s="79"/>
      <c r="Q17" s="6"/>
      <c r="R17" s="4">
        <v>170</v>
      </c>
      <c r="S17" s="4">
        <v>170</v>
      </c>
    </row>
    <row r="18" spans="2:19" x14ac:dyDescent="0.25">
      <c r="B18" s="61" t="s">
        <v>73</v>
      </c>
      <c r="C18" s="68" t="s">
        <v>42</v>
      </c>
      <c r="D18" s="63"/>
      <c r="E18" s="64">
        <f>'DECEMBER 19'!I18:I51</f>
        <v>0</v>
      </c>
      <c r="F18" s="65">
        <v>6000</v>
      </c>
      <c r="G18" s="65">
        <v>170</v>
      </c>
      <c r="H18" s="65">
        <v>200</v>
      </c>
      <c r="I18" s="66">
        <f t="shared" si="0"/>
        <v>6370</v>
      </c>
      <c r="J18" s="66">
        <v>6370</v>
      </c>
      <c r="K18" s="66">
        <f t="shared" si="1"/>
        <v>0</v>
      </c>
      <c r="L18" s="66"/>
      <c r="M18" s="79"/>
      <c r="N18" s="79"/>
      <c r="O18" s="79"/>
      <c r="P18" s="79"/>
      <c r="Q18" s="6"/>
      <c r="R18" s="4">
        <v>340</v>
      </c>
      <c r="S18" s="4">
        <v>850</v>
      </c>
    </row>
    <row r="19" spans="2:19" x14ac:dyDescent="0.25">
      <c r="B19" s="60" t="s">
        <v>67</v>
      </c>
      <c r="C19" s="68" t="s">
        <v>41</v>
      </c>
      <c r="D19" s="63"/>
      <c r="E19" s="64"/>
      <c r="F19" s="65"/>
      <c r="G19" s="65"/>
      <c r="H19" s="65"/>
      <c r="I19" s="66">
        <f t="shared" si="0"/>
        <v>0</v>
      </c>
      <c r="J19" s="66"/>
      <c r="K19" s="66">
        <f t="shared" si="1"/>
        <v>0</v>
      </c>
      <c r="L19" s="66"/>
      <c r="M19" s="79"/>
      <c r="N19" s="79">
        <f>S19+R19</f>
        <v>5270</v>
      </c>
      <c r="O19" s="79"/>
      <c r="P19" s="79"/>
      <c r="Q19" s="6"/>
      <c r="R19" s="4">
        <f>SUM(R7:R18)</f>
        <v>4420</v>
      </c>
      <c r="S19" s="4">
        <v>850</v>
      </c>
    </row>
    <row r="20" spans="2:19" x14ac:dyDescent="0.25">
      <c r="B20" s="59" t="s">
        <v>75</v>
      </c>
      <c r="C20" s="68" t="s">
        <v>40</v>
      </c>
      <c r="D20" s="63"/>
      <c r="E20" s="64">
        <f>'DECEMBER 19'!I20:I53</f>
        <v>0</v>
      </c>
      <c r="F20" s="65">
        <v>6000</v>
      </c>
      <c r="G20" s="65">
        <v>170</v>
      </c>
      <c r="H20" s="65">
        <v>200</v>
      </c>
      <c r="I20" s="66">
        <f t="shared" si="0"/>
        <v>6370</v>
      </c>
      <c r="J20" s="66">
        <v>6370</v>
      </c>
      <c r="K20" s="66">
        <f t="shared" si="1"/>
        <v>0</v>
      </c>
      <c r="L20" s="66"/>
      <c r="M20" s="79" t="s">
        <v>97</v>
      </c>
      <c r="N20" s="79"/>
      <c r="O20" s="79"/>
      <c r="P20" s="79"/>
      <c r="S20">
        <f>SUM(S7:S19)</f>
        <v>6460</v>
      </c>
    </row>
    <row r="21" spans="2:19" x14ac:dyDescent="0.25">
      <c r="B21" s="61" t="s">
        <v>76</v>
      </c>
      <c r="C21" s="111" t="s">
        <v>39</v>
      </c>
      <c r="D21" s="63"/>
      <c r="E21" s="64">
        <f>'DECEMBER 19'!I21:I54</f>
        <v>85</v>
      </c>
      <c r="F21" s="65">
        <v>6000</v>
      </c>
      <c r="G21" s="65"/>
      <c r="H21" s="65">
        <v>200</v>
      </c>
      <c r="I21" s="66">
        <f t="shared" si="0"/>
        <v>6285</v>
      </c>
      <c r="J21" s="66">
        <v>6200</v>
      </c>
      <c r="K21" s="66">
        <f t="shared" si="1"/>
        <v>85</v>
      </c>
      <c r="L21" s="66"/>
      <c r="M21" s="79"/>
      <c r="N21" s="79"/>
      <c r="O21" s="79"/>
      <c r="P21" s="79"/>
    </row>
    <row r="22" spans="2:19" x14ac:dyDescent="0.25">
      <c r="B22" s="61" t="s">
        <v>77</v>
      </c>
      <c r="C22" s="68" t="s">
        <v>38</v>
      </c>
      <c r="D22" s="63"/>
      <c r="E22" s="64">
        <f>'DECEMBER 19'!I22:I55</f>
        <v>0</v>
      </c>
      <c r="F22" s="65">
        <v>6000</v>
      </c>
      <c r="G22" s="65">
        <v>170</v>
      </c>
      <c r="H22" s="65">
        <v>200</v>
      </c>
      <c r="I22" s="66">
        <f t="shared" si="0"/>
        <v>6370</v>
      </c>
      <c r="J22" s="66">
        <v>6370</v>
      </c>
      <c r="K22" s="66">
        <f t="shared" si="1"/>
        <v>0</v>
      </c>
      <c r="L22" s="66"/>
      <c r="M22" s="79" t="s">
        <v>122</v>
      </c>
      <c r="N22" s="79"/>
      <c r="O22" s="79"/>
      <c r="P22" s="79"/>
      <c r="S22">
        <f>R19+S20</f>
        <v>10880</v>
      </c>
    </row>
    <row r="23" spans="2:19" x14ac:dyDescent="0.25">
      <c r="B23" s="59" t="s">
        <v>78</v>
      </c>
      <c r="C23" s="68" t="s">
        <v>37</v>
      </c>
      <c r="D23" s="63"/>
      <c r="E23" s="64">
        <f>'DECEMBER 19'!I23:I56</f>
        <v>0</v>
      </c>
      <c r="F23" s="65">
        <v>6000</v>
      </c>
      <c r="G23" s="65">
        <v>340</v>
      </c>
      <c r="H23" s="65">
        <v>200</v>
      </c>
      <c r="I23" s="66">
        <f t="shared" si="0"/>
        <v>6540</v>
      </c>
      <c r="J23" s="66">
        <v>6540</v>
      </c>
      <c r="K23" s="66">
        <f t="shared" si="1"/>
        <v>0</v>
      </c>
      <c r="L23" s="66"/>
      <c r="M23" s="79" t="s">
        <v>97</v>
      </c>
      <c r="N23" s="79"/>
      <c r="O23" s="79"/>
      <c r="P23" s="79"/>
    </row>
    <row r="24" spans="2:19" x14ac:dyDescent="0.25">
      <c r="B24" s="61" t="s">
        <v>79</v>
      </c>
      <c r="C24" s="62" t="s">
        <v>28</v>
      </c>
      <c r="D24" s="63"/>
      <c r="E24" s="64">
        <f>'DECEMBER 19'!I24:I57</f>
        <v>9505</v>
      </c>
      <c r="F24" s="65">
        <v>6500</v>
      </c>
      <c r="G24" s="65"/>
      <c r="H24" s="65">
        <v>200</v>
      </c>
      <c r="I24" s="66">
        <f>D24+E24+F24+G24+H24</f>
        <v>16205</v>
      </c>
      <c r="J24" s="66">
        <v>9000</v>
      </c>
      <c r="K24" s="66">
        <f>I24-J24</f>
        <v>7205</v>
      </c>
      <c r="L24" s="66"/>
      <c r="M24" s="79"/>
      <c r="N24" s="79"/>
      <c r="O24" s="79"/>
      <c r="P24" s="79"/>
    </row>
    <row r="25" spans="2:19" x14ac:dyDescent="0.25">
      <c r="B25" s="61" t="s">
        <v>80</v>
      </c>
      <c r="C25" s="62" t="s">
        <v>29</v>
      </c>
      <c r="D25" s="63"/>
      <c r="E25" s="64"/>
      <c r="F25" s="65">
        <v>6500</v>
      </c>
      <c r="G25" s="65">
        <v>680</v>
      </c>
      <c r="H25" s="65">
        <v>200</v>
      </c>
      <c r="I25" s="66">
        <f t="shared" si="0"/>
        <v>7380</v>
      </c>
      <c r="J25" s="66">
        <v>7380</v>
      </c>
      <c r="K25" s="66">
        <f t="shared" si="1"/>
        <v>0</v>
      </c>
      <c r="L25" s="66"/>
      <c r="M25" s="79" t="s">
        <v>131</v>
      </c>
      <c r="N25" s="94"/>
      <c r="O25" s="79"/>
      <c r="P25" s="94"/>
      <c r="Q25" s="53"/>
    </row>
    <row r="26" spans="2:19" x14ac:dyDescent="0.25">
      <c r="B26" s="61" t="s">
        <v>81</v>
      </c>
      <c r="C26" s="62" t="s">
        <v>30</v>
      </c>
      <c r="D26" s="63"/>
      <c r="E26" s="64">
        <f>'DECEMBER 19'!I26:I59</f>
        <v>0</v>
      </c>
      <c r="F26" s="65">
        <v>6500</v>
      </c>
      <c r="G26" s="65">
        <v>340</v>
      </c>
      <c r="H26" s="65">
        <v>200</v>
      </c>
      <c r="I26" s="66">
        <f t="shared" si="0"/>
        <v>7040</v>
      </c>
      <c r="J26" s="66">
        <v>7040</v>
      </c>
      <c r="K26" s="66">
        <f t="shared" si="1"/>
        <v>0</v>
      </c>
      <c r="L26" s="66"/>
      <c r="M26" s="112"/>
      <c r="N26" s="79"/>
      <c r="O26" s="79"/>
      <c r="P26" s="79"/>
    </row>
    <row r="27" spans="2:19" x14ac:dyDescent="0.25">
      <c r="B27" s="61" t="s">
        <v>82</v>
      </c>
      <c r="C27" s="62" t="s">
        <v>55</v>
      </c>
      <c r="D27" s="63"/>
      <c r="E27" s="64">
        <f>'DECEMBER 19'!I27:I60</f>
        <v>0</v>
      </c>
      <c r="F27" s="65">
        <v>6500</v>
      </c>
      <c r="G27" s="65">
        <v>680</v>
      </c>
      <c r="H27" s="65">
        <v>200</v>
      </c>
      <c r="I27" s="66">
        <f t="shared" si="0"/>
        <v>7380</v>
      </c>
      <c r="J27" s="66">
        <v>7380</v>
      </c>
      <c r="K27" s="66">
        <f t="shared" si="1"/>
        <v>0</v>
      </c>
      <c r="L27" s="66"/>
      <c r="M27" s="112" t="s">
        <v>97</v>
      </c>
      <c r="N27" s="79"/>
      <c r="O27" s="79"/>
      <c r="P27" s="94"/>
      <c r="S27" s="53"/>
    </row>
    <row r="28" spans="2:19" x14ac:dyDescent="0.25">
      <c r="B28" s="61" t="s">
        <v>83</v>
      </c>
      <c r="C28" s="62" t="s">
        <v>56</v>
      </c>
      <c r="D28" s="63"/>
      <c r="E28" s="64">
        <f>'DECEMBER 19'!I28:I61</f>
        <v>14420</v>
      </c>
      <c r="F28" s="65">
        <v>8000</v>
      </c>
      <c r="G28" s="65">
        <v>340</v>
      </c>
      <c r="H28" s="65">
        <v>200</v>
      </c>
      <c r="I28" s="66">
        <f>D28+E28+F28+G28+H28</f>
        <v>22960</v>
      </c>
      <c r="J28" s="66">
        <v>10000</v>
      </c>
      <c r="K28" s="66">
        <f t="shared" si="1"/>
        <v>12960</v>
      </c>
      <c r="L28" s="66">
        <v>5000</v>
      </c>
      <c r="M28" s="79"/>
      <c r="N28" s="79"/>
      <c r="O28" s="79"/>
      <c r="P28" s="79"/>
      <c r="S28" s="53"/>
    </row>
    <row r="29" spans="2:19" x14ac:dyDescent="0.25">
      <c r="B29" s="61" t="s">
        <v>129</v>
      </c>
      <c r="C29" s="62" t="s">
        <v>57</v>
      </c>
      <c r="D29" s="63"/>
      <c r="E29" s="64">
        <f>'DECEMBER 19'!I29:I62</f>
        <v>0</v>
      </c>
      <c r="F29" s="65">
        <v>6500</v>
      </c>
      <c r="G29" s="65">
        <v>170</v>
      </c>
      <c r="H29" s="65">
        <v>200</v>
      </c>
      <c r="I29" s="66">
        <f t="shared" si="0"/>
        <v>6870</v>
      </c>
      <c r="J29" s="66">
        <v>6870</v>
      </c>
      <c r="K29" s="66">
        <f t="shared" si="1"/>
        <v>0</v>
      </c>
      <c r="L29" s="66"/>
      <c r="M29" s="79"/>
      <c r="N29" s="94"/>
      <c r="O29" s="79"/>
      <c r="P29" s="79"/>
      <c r="R29" s="53"/>
      <c r="S29" s="53"/>
    </row>
    <row r="30" spans="2:19" x14ac:dyDescent="0.25">
      <c r="B30" s="61" t="s">
        <v>92</v>
      </c>
      <c r="C30" s="62" t="s">
        <v>58</v>
      </c>
      <c r="D30" s="63"/>
      <c r="E30" s="64">
        <f>'DECEMBER 19'!I30:I63</f>
        <v>809</v>
      </c>
      <c r="F30" s="65">
        <v>6500</v>
      </c>
      <c r="G30" s="65">
        <v>850</v>
      </c>
      <c r="H30" s="65">
        <v>200</v>
      </c>
      <c r="I30" s="66">
        <f t="shared" si="0"/>
        <v>8359</v>
      </c>
      <c r="J30" s="66">
        <v>2000</v>
      </c>
      <c r="K30" s="66">
        <f t="shared" si="1"/>
        <v>6359</v>
      </c>
      <c r="L30" s="66"/>
      <c r="M30" s="79"/>
      <c r="N30" s="79"/>
      <c r="O30" s="79"/>
      <c r="P30" s="79"/>
      <c r="R30" s="53"/>
    </row>
    <row r="31" spans="2:19" x14ac:dyDescent="0.25">
      <c r="B31" s="61" t="s">
        <v>74</v>
      </c>
      <c r="C31" s="62" t="s">
        <v>59</v>
      </c>
      <c r="D31" s="63"/>
      <c r="E31" s="64">
        <v>2000</v>
      </c>
      <c r="F31" s="65">
        <v>6500</v>
      </c>
      <c r="G31" s="65">
        <v>340</v>
      </c>
      <c r="H31" s="65">
        <v>200</v>
      </c>
      <c r="I31" s="66">
        <f t="shared" si="0"/>
        <v>9040</v>
      </c>
      <c r="J31" s="66">
        <v>6700</v>
      </c>
      <c r="K31" s="66">
        <f t="shared" si="1"/>
        <v>2340</v>
      </c>
      <c r="L31" s="66"/>
      <c r="M31" s="79"/>
      <c r="N31" s="79"/>
      <c r="O31" s="79"/>
      <c r="P31" s="79"/>
    </row>
    <row r="32" spans="2:19" x14ac:dyDescent="0.25">
      <c r="B32" s="61" t="s">
        <v>85</v>
      </c>
      <c r="C32" s="62" t="s">
        <v>60</v>
      </c>
      <c r="D32" s="63"/>
      <c r="E32" s="64">
        <f>'DECEMBER 19'!I32:I65</f>
        <v>0</v>
      </c>
      <c r="F32" s="65">
        <v>6500</v>
      </c>
      <c r="G32" s="65">
        <v>680</v>
      </c>
      <c r="H32" s="65">
        <v>200</v>
      </c>
      <c r="I32" s="66">
        <f t="shared" si="0"/>
        <v>7380</v>
      </c>
      <c r="J32" s="66">
        <v>7380</v>
      </c>
      <c r="K32" s="66">
        <f t="shared" si="1"/>
        <v>0</v>
      </c>
      <c r="L32" s="66"/>
      <c r="M32" s="79"/>
      <c r="N32" s="79"/>
      <c r="O32" s="94"/>
      <c r="P32" s="79"/>
    </row>
    <row r="33" spans="2:16" x14ac:dyDescent="0.25">
      <c r="B33" s="61" t="s">
        <v>86</v>
      </c>
      <c r="C33" s="62" t="s">
        <v>31</v>
      </c>
      <c r="D33" s="63"/>
      <c r="E33" s="64">
        <f>'DECEMBER 19'!I33:I66</f>
        <v>0</v>
      </c>
      <c r="F33" s="65">
        <v>8000</v>
      </c>
      <c r="G33" s="65">
        <v>340</v>
      </c>
      <c r="H33" s="65">
        <v>200</v>
      </c>
      <c r="I33" s="66">
        <f t="shared" si="0"/>
        <v>8540</v>
      </c>
      <c r="J33" s="66">
        <v>8540</v>
      </c>
      <c r="K33" s="66">
        <f>I33-J33</f>
        <v>0</v>
      </c>
      <c r="L33" s="66"/>
      <c r="M33" s="79"/>
      <c r="N33" s="79"/>
      <c r="O33" s="79"/>
      <c r="P33" s="79"/>
    </row>
    <row r="34" spans="2:16" x14ac:dyDescent="0.25">
      <c r="B34" s="61" t="s">
        <v>67</v>
      </c>
      <c r="C34" s="62" t="s">
        <v>32</v>
      </c>
      <c r="D34" s="63"/>
      <c r="E34" s="64">
        <f>'DECEMBER 19'!I34:I67</f>
        <v>0</v>
      </c>
      <c r="F34" s="113"/>
      <c r="G34" s="113"/>
      <c r="H34" s="65"/>
      <c r="I34" s="66">
        <f t="shared" si="0"/>
        <v>0</v>
      </c>
      <c r="J34" s="66"/>
      <c r="K34" s="66">
        <f t="shared" si="1"/>
        <v>0</v>
      </c>
      <c r="L34" s="66"/>
      <c r="M34" s="79"/>
      <c r="N34" s="79"/>
      <c r="O34" s="94"/>
      <c r="P34" s="79"/>
    </row>
    <row r="35" spans="2:16" x14ac:dyDescent="0.25">
      <c r="B35" s="60" t="s">
        <v>99</v>
      </c>
      <c r="C35" s="62" t="s">
        <v>33</v>
      </c>
      <c r="D35" s="63"/>
      <c r="E35" s="64">
        <f>'DECEMBER 19'!I35:I68</f>
        <v>5920</v>
      </c>
      <c r="F35" s="113">
        <v>6500</v>
      </c>
      <c r="G35" s="113">
        <v>170</v>
      </c>
      <c r="H35" s="65">
        <v>200</v>
      </c>
      <c r="I35" s="66">
        <f t="shared" si="0"/>
        <v>12790</v>
      </c>
      <c r="J35" s="66">
        <v>4000</v>
      </c>
      <c r="K35" s="66">
        <f t="shared" si="1"/>
        <v>8790</v>
      </c>
      <c r="L35" s="66"/>
      <c r="M35" s="79"/>
      <c r="N35" s="79"/>
      <c r="O35" s="79"/>
      <c r="P35" s="79"/>
    </row>
    <row r="36" spans="2:16" x14ac:dyDescent="0.25">
      <c r="B36" s="61" t="s">
        <v>89</v>
      </c>
      <c r="C36" s="62" t="s">
        <v>34</v>
      </c>
      <c r="D36" s="63"/>
      <c r="E36" s="64">
        <f>'DECEMBER 19'!I36:I69</f>
        <v>0</v>
      </c>
      <c r="F36" s="113">
        <v>6500</v>
      </c>
      <c r="G36" s="113">
        <v>170</v>
      </c>
      <c r="H36" s="65">
        <v>200</v>
      </c>
      <c r="I36" s="66">
        <f t="shared" si="0"/>
        <v>6870</v>
      </c>
      <c r="J36" s="66">
        <v>6870</v>
      </c>
      <c r="K36" s="66">
        <f t="shared" si="1"/>
        <v>0</v>
      </c>
      <c r="L36" s="66"/>
      <c r="M36" s="79"/>
      <c r="N36" s="79"/>
      <c r="O36" s="79"/>
      <c r="P36" s="79"/>
    </row>
    <row r="37" spans="2:16" x14ac:dyDescent="0.25">
      <c r="B37" s="61" t="s">
        <v>103</v>
      </c>
      <c r="C37" s="62" t="s">
        <v>35</v>
      </c>
      <c r="D37" s="63"/>
      <c r="E37" s="64">
        <f>'DECEMBER 19'!I37:I70</f>
        <v>0</v>
      </c>
      <c r="F37" s="113">
        <v>6500</v>
      </c>
      <c r="G37" s="113">
        <v>850</v>
      </c>
      <c r="H37" s="65">
        <v>200</v>
      </c>
      <c r="I37" s="66">
        <f t="shared" si="0"/>
        <v>7550</v>
      </c>
      <c r="J37" s="66">
        <v>7550</v>
      </c>
      <c r="K37" s="66">
        <f>I37-J37</f>
        <v>0</v>
      </c>
      <c r="L37" s="66"/>
      <c r="M37" s="79" t="s">
        <v>97</v>
      </c>
      <c r="N37" s="79"/>
      <c r="O37" s="79"/>
      <c r="P37" s="79"/>
    </row>
    <row r="38" spans="2:16" x14ac:dyDescent="0.25">
      <c r="B38" s="61" t="s">
        <v>90</v>
      </c>
      <c r="C38" s="62" t="s">
        <v>36</v>
      </c>
      <c r="D38" s="63"/>
      <c r="E38" s="64">
        <f>'DECEMBER 19'!I38:I71</f>
        <v>0</v>
      </c>
      <c r="F38" s="113"/>
      <c r="G38" s="113"/>
      <c r="H38" s="65"/>
      <c r="I38" s="66">
        <f t="shared" si="0"/>
        <v>0</v>
      </c>
      <c r="J38" s="66"/>
      <c r="K38" s="66">
        <f t="shared" si="1"/>
        <v>0</v>
      </c>
      <c r="L38" s="66"/>
      <c r="M38" s="79"/>
      <c r="N38" s="79"/>
      <c r="O38" s="79"/>
      <c r="P38" s="79"/>
    </row>
    <row r="39" spans="2:16" x14ac:dyDescent="0.25">
      <c r="B39" s="61" t="s">
        <v>93</v>
      </c>
      <c r="C39" s="114"/>
      <c r="D39" s="63"/>
      <c r="E39" s="64">
        <f>'DECEMBER 19'!I39:I72</f>
        <v>8000</v>
      </c>
      <c r="F39" s="115">
        <v>8000</v>
      </c>
      <c r="G39" s="115">
        <v>850</v>
      </c>
      <c r="H39" s="65">
        <v>200</v>
      </c>
      <c r="I39" s="66">
        <f>D39+E39+F39+G39+H39</f>
        <v>17050</v>
      </c>
      <c r="J39" s="66">
        <f>4800+3500+900</f>
        <v>9200</v>
      </c>
      <c r="K39" s="66">
        <f t="shared" si="1"/>
        <v>7850</v>
      </c>
      <c r="L39" s="66"/>
      <c r="M39" s="79"/>
      <c r="N39" s="94"/>
      <c r="O39" s="79"/>
      <c r="P39" s="79"/>
    </row>
    <row r="40" spans="2:16" x14ac:dyDescent="0.25">
      <c r="B40" s="116" t="s">
        <v>10</v>
      </c>
      <c r="C40" s="60"/>
      <c r="D40" s="63">
        <f t="shared" ref="D40:L40" si="2">SUM(D6:D39)</f>
        <v>0</v>
      </c>
      <c r="E40" s="64">
        <f t="shared" si="2"/>
        <v>64398</v>
      </c>
      <c r="F40" s="117">
        <f>SUM(F6:F39)</f>
        <v>178500</v>
      </c>
      <c r="G40" s="118">
        <f>SUM(G6:G39)</f>
        <v>10880</v>
      </c>
      <c r="H40" s="117">
        <f>SUM(H6:H39)</f>
        <v>5600</v>
      </c>
      <c r="I40" s="66">
        <f t="shared" si="2"/>
        <v>259378</v>
      </c>
      <c r="J40" s="140">
        <f>SUM(J6:J39)</f>
        <v>183370</v>
      </c>
      <c r="K40" s="66">
        <f t="shared" si="2"/>
        <v>76008</v>
      </c>
      <c r="L40" s="66">
        <f t="shared" si="2"/>
        <v>5000</v>
      </c>
      <c r="M40" s="79"/>
      <c r="N40" s="79"/>
      <c r="O40" s="79"/>
      <c r="P40" s="79"/>
    </row>
    <row r="41" spans="2:16" x14ac:dyDescent="0.25">
      <c r="B41" s="79"/>
      <c r="C41" s="79"/>
      <c r="D41" s="79"/>
      <c r="E41" s="79">
        <v>32420</v>
      </c>
      <c r="F41" s="79"/>
      <c r="G41" s="79"/>
      <c r="H41" s="79"/>
      <c r="I41" s="94"/>
      <c r="J41" s="79"/>
      <c r="K41" s="79"/>
      <c r="L41" s="79"/>
      <c r="M41" s="79"/>
      <c r="N41" s="79"/>
      <c r="O41" s="79"/>
      <c r="P41" s="79"/>
    </row>
    <row r="42" spans="2:16" x14ac:dyDescent="0.25">
      <c r="B42" s="79"/>
      <c r="C42" s="79"/>
      <c r="D42" s="79"/>
      <c r="E42" s="79"/>
      <c r="F42" s="79"/>
      <c r="G42" s="79"/>
      <c r="H42" s="79"/>
      <c r="I42" s="94">
        <f>I6+F12+G12+H12+F24+H24+G28+H28+3000+F30+G30+H30+F35+G35+H35</f>
        <v>37570</v>
      </c>
      <c r="J42" s="79"/>
      <c r="K42" s="94"/>
      <c r="L42" s="79"/>
      <c r="M42" s="79"/>
      <c r="N42" s="79"/>
      <c r="O42" s="79"/>
      <c r="P42" s="79"/>
    </row>
    <row r="43" spans="2:16" x14ac:dyDescent="0.25">
      <c r="B43" s="79"/>
      <c r="C43" s="79"/>
      <c r="D43" s="79"/>
      <c r="E43" s="79"/>
      <c r="F43" s="94">
        <f>E41+F40+G40+H40+L40</f>
        <v>232400</v>
      </c>
      <c r="G43" s="79"/>
      <c r="H43" s="79"/>
      <c r="I43" s="94">
        <f>I42-J35-J30-J24-10391-J6</f>
        <v>12179</v>
      </c>
      <c r="J43" s="94"/>
      <c r="K43" s="94"/>
      <c r="L43" s="79"/>
      <c r="M43" s="79"/>
      <c r="N43" s="79"/>
      <c r="O43" s="79"/>
      <c r="P43" s="79"/>
    </row>
    <row r="44" spans="2:16" x14ac:dyDescent="0.25">
      <c r="B44" s="79"/>
      <c r="C44" s="79"/>
      <c r="D44" s="79"/>
      <c r="E44" s="79"/>
      <c r="F44" s="94">
        <f>F43-J40</f>
        <v>49030</v>
      </c>
      <c r="G44" s="79"/>
      <c r="H44" s="79"/>
      <c r="I44" s="79"/>
      <c r="J44" s="94">
        <f>F40+G40+H40+L40</f>
        <v>199980</v>
      </c>
      <c r="K44" s="79"/>
      <c r="L44" s="79"/>
      <c r="M44" s="79"/>
      <c r="N44" s="79"/>
      <c r="O44" s="79"/>
      <c r="P44" s="79"/>
    </row>
    <row r="45" spans="2:16" x14ac:dyDescent="0.25">
      <c r="B45" s="79"/>
      <c r="C45" s="79"/>
      <c r="D45" s="79"/>
      <c r="E45" s="79"/>
      <c r="F45" s="79"/>
      <c r="G45" s="79"/>
      <c r="H45" s="79"/>
      <c r="I45" s="79"/>
      <c r="J45" s="94">
        <f>J44-J40</f>
        <v>16610</v>
      </c>
      <c r="K45" s="79"/>
      <c r="L45" s="79"/>
      <c r="M45" s="79"/>
      <c r="N45" s="79"/>
      <c r="O45" s="79"/>
      <c r="P45" s="79"/>
    </row>
    <row r="46" spans="2:16" x14ac:dyDescent="0.25">
      <c r="B46" s="79"/>
      <c r="C46" s="79"/>
      <c r="D46" s="79"/>
      <c r="E46" s="79"/>
      <c r="F46" s="79"/>
      <c r="G46" s="79"/>
      <c r="H46" s="79"/>
      <c r="I46" s="79"/>
      <c r="J46" s="94"/>
      <c r="K46" s="94"/>
      <c r="L46" s="79"/>
      <c r="M46" s="79"/>
      <c r="N46" s="79"/>
      <c r="O46" s="79"/>
      <c r="P46" s="79"/>
    </row>
    <row r="47" spans="2:16" x14ac:dyDescent="0.25">
      <c r="B47" s="79"/>
      <c r="C47" s="79"/>
      <c r="D47" s="79"/>
      <c r="E47" s="79"/>
      <c r="F47" s="79"/>
      <c r="G47" s="79"/>
      <c r="H47" s="79"/>
      <c r="I47" s="79"/>
      <c r="J47" s="94"/>
      <c r="K47" s="94"/>
      <c r="L47" s="94"/>
      <c r="M47" s="79"/>
      <c r="N47" s="79"/>
      <c r="O47" s="79"/>
      <c r="P47" s="79"/>
    </row>
    <row r="48" spans="2:16" x14ac:dyDescent="0.25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 x14ac:dyDescent="0.25">
      <c r="B49" s="79"/>
      <c r="C49" s="79"/>
      <c r="D49" s="79"/>
      <c r="E49" s="79"/>
      <c r="F49" s="79"/>
      <c r="G49" s="79"/>
      <c r="H49" s="79"/>
      <c r="I49" s="94"/>
      <c r="J49" s="79"/>
      <c r="K49" s="94"/>
      <c r="L49" s="79"/>
      <c r="M49" s="119"/>
      <c r="N49" s="94"/>
      <c r="O49" s="79"/>
      <c r="P49" s="79"/>
    </row>
    <row r="50" spans="2:16" x14ac:dyDescent="0.25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94"/>
      <c r="O50" s="79"/>
      <c r="P50" s="79"/>
    </row>
    <row r="51" spans="2:16" x14ac:dyDescent="0.25">
      <c r="B51" s="79"/>
      <c r="C51" s="79"/>
      <c r="D51" s="79"/>
      <c r="E51" s="79"/>
      <c r="F51" s="79"/>
      <c r="G51" s="79"/>
      <c r="H51" s="79"/>
      <c r="I51" s="79"/>
      <c r="J51" s="79"/>
      <c r="K51" s="94"/>
      <c r="L51" s="79"/>
      <c r="M51" s="79"/>
      <c r="N51" s="79"/>
      <c r="O51" s="79"/>
      <c r="P51" s="79"/>
    </row>
    <row r="52" spans="2:16" x14ac:dyDescent="0.25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 x14ac:dyDescent="0.25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 x14ac:dyDescent="0.25">
      <c r="B54" s="79" t="s">
        <v>11</v>
      </c>
      <c r="C54" s="80"/>
      <c r="D54" s="81"/>
      <c r="E54" s="82"/>
      <c r="F54" s="83"/>
      <c r="G54" s="83"/>
      <c r="H54" s="83"/>
      <c r="I54" s="84"/>
      <c r="J54" s="83"/>
      <c r="K54" s="83"/>
      <c r="L54" s="83"/>
      <c r="M54" s="79"/>
      <c r="N54" s="79"/>
      <c r="O54" s="79"/>
      <c r="P54" s="79"/>
    </row>
    <row r="55" spans="2:16" x14ac:dyDescent="0.25">
      <c r="B55" s="85" t="s">
        <v>12</v>
      </c>
      <c r="C55" s="85"/>
      <c r="D55" s="85"/>
      <c r="E55" s="86"/>
      <c r="F55" s="85" t="s">
        <v>8</v>
      </c>
      <c r="G55" s="85"/>
      <c r="H55" s="85"/>
      <c r="I55" s="79"/>
      <c r="J55" s="79"/>
      <c r="K55" s="79"/>
      <c r="L55" s="79"/>
      <c r="M55" s="119"/>
      <c r="N55" s="79"/>
      <c r="O55" s="79"/>
      <c r="P55" s="79"/>
    </row>
    <row r="56" spans="2:16" x14ac:dyDescent="0.25">
      <c r="B56" s="87" t="s">
        <v>13</v>
      </c>
      <c r="C56" s="87" t="s">
        <v>14</v>
      </c>
      <c r="D56" s="87" t="s">
        <v>15</v>
      </c>
      <c r="E56" s="87" t="s">
        <v>16</v>
      </c>
      <c r="F56" s="87" t="s">
        <v>13</v>
      </c>
      <c r="G56" s="87"/>
      <c r="H56" s="87"/>
      <c r="I56" s="87" t="s">
        <v>14</v>
      </c>
      <c r="J56" s="87" t="s">
        <v>15</v>
      </c>
      <c r="K56" s="87" t="s">
        <v>16</v>
      </c>
      <c r="L56" s="87"/>
      <c r="M56" s="119"/>
      <c r="N56" s="79"/>
      <c r="O56" s="79"/>
      <c r="P56" s="79"/>
    </row>
    <row r="57" spans="2:16" x14ac:dyDescent="0.25">
      <c r="B57" s="60" t="s">
        <v>115</v>
      </c>
      <c r="C57" s="88">
        <f>F40</f>
        <v>178500</v>
      </c>
      <c r="D57" s="60"/>
      <c r="E57" s="60"/>
      <c r="F57" s="60" t="s">
        <v>115</v>
      </c>
      <c r="G57" s="60"/>
      <c r="H57" s="60"/>
      <c r="I57" s="88">
        <f>J40</f>
        <v>183370</v>
      </c>
      <c r="J57" s="60"/>
      <c r="K57" s="60"/>
      <c r="L57" s="60"/>
      <c r="M57" s="119"/>
      <c r="N57" s="79"/>
      <c r="O57" s="79"/>
      <c r="P57" s="79"/>
    </row>
    <row r="58" spans="2:16" x14ac:dyDescent="0.25">
      <c r="B58" s="60" t="s">
        <v>18</v>
      </c>
      <c r="C58" s="88">
        <f>'DECEMBER 19'!E76</f>
        <v>-4160</v>
      </c>
      <c r="D58" s="60"/>
      <c r="E58" s="60"/>
      <c r="F58" s="60" t="s">
        <v>18</v>
      </c>
      <c r="G58" s="60"/>
      <c r="H58" s="60"/>
      <c r="I58" s="88">
        <f>'DECEMBER 19'!K76</f>
        <v>-36580</v>
      </c>
      <c r="J58" s="60"/>
      <c r="K58" s="60"/>
      <c r="L58" s="60"/>
      <c r="M58" s="94"/>
      <c r="N58" s="79"/>
      <c r="O58" s="79"/>
      <c r="P58" s="79"/>
    </row>
    <row r="59" spans="2:16" x14ac:dyDescent="0.25">
      <c r="B59" s="60" t="s">
        <v>19</v>
      </c>
      <c r="C59" s="88"/>
      <c r="D59" s="60"/>
      <c r="E59" s="60"/>
      <c r="F59" s="60"/>
      <c r="G59" s="60"/>
      <c r="H59" s="60"/>
      <c r="I59" s="88"/>
      <c r="J59" s="60"/>
      <c r="K59" s="60"/>
      <c r="L59" s="60"/>
      <c r="M59" s="94"/>
      <c r="N59" s="79"/>
      <c r="O59" s="79"/>
      <c r="P59" s="79"/>
    </row>
    <row r="60" spans="2:16" x14ac:dyDescent="0.25">
      <c r="B60" s="60" t="s">
        <v>63</v>
      </c>
      <c r="C60" s="88">
        <f>G40</f>
        <v>10880</v>
      </c>
      <c r="D60" s="60"/>
      <c r="E60" s="60"/>
      <c r="F60" s="60"/>
      <c r="G60" s="60"/>
      <c r="H60" s="60"/>
      <c r="I60" s="88"/>
      <c r="J60" s="60"/>
      <c r="K60" s="60"/>
      <c r="L60" s="60"/>
      <c r="M60" s="79"/>
      <c r="N60" s="94"/>
      <c r="O60" s="79"/>
      <c r="P60" s="79"/>
    </row>
    <row r="61" spans="2:16" x14ac:dyDescent="0.25">
      <c r="B61" s="60" t="s">
        <v>62</v>
      </c>
      <c r="C61" s="88">
        <f>L40</f>
        <v>5000</v>
      </c>
      <c r="D61" s="60"/>
      <c r="E61" s="60"/>
      <c r="F61" s="60"/>
      <c r="G61" s="60"/>
      <c r="H61" s="60"/>
      <c r="I61" s="88"/>
      <c r="J61" s="60"/>
      <c r="K61" s="60"/>
      <c r="L61" s="60"/>
      <c r="M61" s="79"/>
      <c r="N61" s="94"/>
      <c r="O61" s="79"/>
      <c r="P61" s="79"/>
    </row>
    <row r="62" spans="2:16" x14ac:dyDescent="0.25">
      <c r="B62" s="60" t="s">
        <v>96</v>
      </c>
      <c r="C62" s="88">
        <f>H40</f>
        <v>5600</v>
      </c>
      <c r="D62" s="60"/>
      <c r="E62" s="60"/>
      <c r="F62" s="60"/>
      <c r="G62" s="60"/>
      <c r="H62" s="60"/>
      <c r="I62" s="88"/>
      <c r="J62" s="60"/>
      <c r="K62" s="60"/>
      <c r="L62" s="60"/>
      <c r="M62" s="79"/>
      <c r="N62" s="79"/>
      <c r="O62" s="94"/>
      <c r="P62" s="79"/>
    </row>
    <row r="63" spans="2:16" x14ac:dyDescent="0.25">
      <c r="B63" s="60"/>
      <c r="C63" s="90"/>
      <c r="D63" s="88"/>
      <c r="E63" s="60"/>
      <c r="F63" s="60"/>
      <c r="G63" s="60"/>
      <c r="H63" s="60"/>
      <c r="I63" s="90"/>
      <c r="J63" s="88"/>
      <c r="K63" s="88"/>
      <c r="L63" s="88"/>
      <c r="M63" s="79"/>
      <c r="N63" s="119"/>
      <c r="O63" s="79"/>
      <c r="P63" s="79"/>
    </row>
    <row r="64" spans="2:16" x14ac:dyDescent="0.25">
      <c r="B64" s="87" t="s">
        <v>21</v>
      </c>
      <c r="C64" s="60" t="s">
        <v>22</v>
      </c>
      <c r="D64" s="60"/>
      <c r="E64" s="60"/>
      <c r="F64" s="87" t="s">
        <v>21</v>
      </c>
      <c r="G64" s="87"/>
      <c r="H64" s="87"/>
      <c r="I64" s="92"/>
      <c r="J64" s="60"/>
      <c r="K64" s="60"/>
      <c r="L64" s="60"/>
      <c r="M64" s="79"/>
      <c r="N64" s="79"/>
      <c r="O64" s="79"/>
      <c r="P64" s="79"/>
    </row>
    <row r="65" spans="2:16" x14ac:dyDescent="0.25">
      <c r="B65" s="91" t="s">
        <v>111</v>
      </c>
      <c r="C65" s="90">
        <v>0.05</v>
      </c>
      <c r="D65" s="60">
        <f>C65*C57</f>
        <v>8925</v>
      </c>
      <c r="E65" s="60"/>
      <c r="F65" s="91" t="s">
        <v>111</v>
      </c>
      <c r="G65" s="91"/>
      <c r="H65" s="91"/>
      <c r="I65" s="90">
        <v>0.05</v>
      </c>
      <c r="J65" s="60">
        <f>I65*C57</f>
        <v>8925</v>
      </c>
      <c r="K65" s="60"/>
      <c r="L65" s="60"/>
      <c r="M65" s="79"/>
      <c r="N65" s="79"/>
      <c r="O65" s="79"/>
      <c r="P65" s="79"/>
    </row>
    <row r="66" spans="2:16" x14ac:dyDescent="0.25">
      <c r="B66" s="92" t="s">
        <v>112</v>
      </c>
      <c r="C66" s="90"/>
      <c r="D66" s="60">
        <v>1627</v>
      </c>
      <c r="E66" s="60"/>
      <c r="F66" s="92" t="s">
        <v>112</v>
      </c>
      <c r="G66" s="90"/>
      <c r="H66" s="60"/>
      <c r="I66" s="90"/>
      <c r="J66" s="60">
        <v>1627</v>
      </c>
      <c r="K66" s="60"/>
      <c r="L66" s="60"/>
      <c r="M66" s="79"/>
      <c r="N66" s="79"/>
      <c r="O66" s="79"/>
      <c r="P66" s="79"/>
    </row>
    <row r="67" spans="2:16" x14ac:dyDescent="0.25">
      <c r="B67" s="60" t="s">
        <v>116</v>
      </c>
      <c r="C67" s="60"/>
      <c r="D67" s="94">
        <f>J20+J13</f>
        <v>12740</v>
      </c>
      <c r="E67" s="60"/>
      <c r="F67" s="60" t="s">
        <v>116</v>
      </c>
      <c r="G67" s="60"/>
      <c r="H67" s="94"/>
      <c r="I67" s="60"/>
      <c r="J67" s="94">
        <f>J20+J13</f>
        <v>12740</v>
      </c>
      <c r="K67" s="60"/>
      <c r="L67" s="60"/>
      <c r="M67" s="79"/>
      <c r="N67" s="79"/>
      <c r="O67" s="79"/>
      <c r="P67" s="79"/>
    </row>
    <row r="68" spans="2:16" x14ac:dyDescent="0.25">
      <c r="B68" s="92" t="s">
        <v>113</v>
      </c>
      <c r="C68" s="91"/>
      <c r="D68" s="89">
        <f>71461</f>
        <v>71461</v>
      </c>
      <c r="E68" s="60"/>
      <c r="F68" s="92" t="s">
        <v>113</v>
      </c>
      <c r="G68" s="91"/>
      <c r="H68" s="89"/>
      <c r="I68" s="91"/>
      <c r="J68" s="89">
        <f>2856+68605</f>
        <v>71461</v>
      </c>
      <c r="K68" s="89"/>
      <c r="L68" s="89"/>
      <c r="M68" s="79"/>
      <c r="N68" s="119"/>
      <c r="O68" s="79"/>
      <c r="P68" s="79"/>
    </row>
    <row r="69" spans="2:16" x14ac:dyDescent="0.25">
      <c r="B69" s="92" t="s">
        <v>114</v>
      </c>
      <c r="C69" s="60"/>
      <c r="D69" s="60">
        <v>98800</v>
      </c>
      <c r="E69" s="60"/>
      <c r="F69" s="92" t="s">
        <v>114</v>
      </c>
      <c r="G69" s="60"/>
      <c r="H69" s="60"/>
      <c r="I69" s="60"/>
      <c r="J69" s="60">
        <f>D69</f>
        <v>98800</v>
      </c>
      <c r="K69" s="60"/>
      <c r="L69" s="60"/>
      <c r="M69" s="79"/>
      <c r="N69" s="79"/>
      <c r="O69" s="79"/>
      <c r="P69" s="79"/>
    </row>
    <row r="70" spans="2:16" x14ac:dyDescent="0.25">
      <c r="B70" s="87" t="s">
        <v>23</v>
      </c>
      <c r="C70" s="96">
        <f>C57+C58+C59+C60+C61+C62</f>
        <v>195820</v>
      </c>
      <c r="D70" s="96">
        <f>SUM(D63:D69)</f>
        <v>193553</v>
      </c>
      <c r="E70" s="96">
        <f>C70-D70</f>
        <v>2267</v>
      </c>
      <c r="F70" s="87" t="s">
        <v>23</v>
      </c>
      <c r="G70" s="87"/>
      <c r="H70" s="87"/>
      <c r="I70" s="96">
        <f>I57+I58+I60+I62</f>
        <v>146790</v>
      </c>
      <c r="J70" s="96">
        <f>SUM(J63:J69)</f>
        <v>193553</v>
      </c>
      <c r="K70" s="96">
        <f>I70-J70</f>
        <v>-46763</v>
      </c>
      <c r="L70" s="96"/>
      <c r="M70" s="79"/>
      <c r="N70" s="79"/>
      <c r="O70" s="94"/>
      <c r="P70" s="79"/>
    </row>
    <row r="71" spans="2:16" x14ac:dyDescent="0.25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 x14ac:dyDescent="0.25">
      <c r="B72" s="97" t="s">
        <v>24</v>
      </c>
      <c r="C72" s="98"/>
      <c r="D72" s="98" t="s">
        <v>25</v>
      </c>
      <c r="E72" s="99"/>
      <c r="F72" s="97"/>
      <c r="G72" s="97"/>
      <c r="H72" s="97"/>
      <c r="I72" s="97" t="s">
        <v>26</v>
      </c>
      <c r="J72" s="79"/>
      <c r="K72" s="79"/>
      <c r="L72" s="79"/>
      <c r="M72" s="79"/>
      <c r="N72" s="79"/>
      <c r="O72" s="79"/>
      <c r="P72" s="79"/>
    </row>
    <row r="73" spans="2:16" x14ac:dyDescent="0.25">
      <c r="B73" s="79" t="s">
        <v>104</v>
      </c>
      <c r="C73" s="79"/>
      <c r="D73" s="79" t="s">
        <v>105</v>
      </c>
      <c r="E73" s="79"/>
      <c r="F73" s="79"/>
      <c r="G73" s="79"/>
      <c r="H73" s="79"/>
      <c r="I73" s="79" t="s">
        <v>27</v>
      </c>
      <c r="J73" s="79"/>
      <c r="K73" s="79"/>
      <c r="L73" s="79"/>
      <c r="M73" s="79"/>
      <c r="N73" s="79"/>
      <c r="O73" s="79"/>
      <c r="P73" s="79"/>
    </row>
    <row r="74" spans="2:16" x14ac:dyDescent="0.25">
      <c r="B74" s="119"/>
      <c r="C74" s="79"/>
      <c r="D74" s="79"/>
      <c r="E74" s="79"/>
      <c r="F74" s="79"/>
      <c r="G74" s="79"/>
      <c r="H74" s="79"/>
      <c r="I74" s="94"/>
      <c r="J74" s="79"/>
      <c r="K74" s="79"/>
      <c r="L74" s="94"/>
      <c r="M74" s="79">
        <v>15000</v>
      </c>
      <c r="N74" s="119"/>
      <c r="O74" s="79"/>
      <c r="P74" s="79"/>
    </row>
    <row r="75" spans="2:16" x14ac:dyDescent="0.25">
      <c r="B75" s="79"/>
      <c r="C75" s="79"/>
      <c r="D75" s="94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 x14ac:dyDescent="0.25">
      <c r="B76" s="94"/>
      <c r="C76" s="94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 x14ac:dyDescent="0.25">
      <c r="B77" s="79"/>
      <c r="C77" s="79"/>
      <c r="D77" s="79"/>
      <c r="E77" s="94">
        <f>D67+'FEBRUARY 20'!D70+'FEBRUARY 20'!D69</f>
        <v>33710</v>
      </c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 x14ac:dyDescent="0.25">
      <c r="B78" s="79"/>
      <c r="C78" s="79"/>
      <c r="D78" s="79"/>
      <c r="E78" s="79"/>
      <c r="F78" s="79"/>
      <c r="G78" s="94"/>
      <c r="H78" s="79"/>
      <c r="I78" s="79"/>
      <c r="J78" s="79"/>
      <c r="K78" s="79"/>
      <c r="L78" s="79"/>
      <c r="M78" s="79"/>
      <c r="N78" s="79"/>
      <c r="O78" s="79"/>
      <c r="P78" s="79"/>
    </row>
    <row r="80" spans="2:16" x14ac:dyDescent="0.25">
      <c r="F80" s="53"/>
    </row>
    <row r="84" spans="2:15" ht="15.75" x14ac:dyDescent="0.25">
      <c r="B84" s="7"/>
      <c r="C84" s="8" t="s">
        <v>27</v>
      </c>
      <c r="E84" s="8"/>
      <c r="F84" s="8"/>
      <c r="G84" s="8"/>
      <c r="H84" s="8"/>
      <c r="I84" s="9"/>
      <c r="J84" s="7"/>
      <c r="K84" s="7"/>
      <c r="L84" s="7"/>
    </row>
    <row r="85" spans="2:15" ht="15.75" x14ac:dyDescent="0.25">
      <c r="B85" s="7"/>
      <c r="C85" s="8" t="s">
        <v>0</v>
      </c>
      <c r="D85" s="8"/>
      <c r="E85" s="8"/>
      <c r="F85" s="8"/>
      <c r="G85" s="8"/>
      <c r="H85" s="8"/>
      <c r="I85" s="10"/>
      <c r="J85" s="7"/>
      <c r="K85" s="7"/>
      <c r="L85" s="7"/>
    </row>
    <row r="86" spans="2:15" ht="18.75" x14ac:dyDescent="0.3">
      <c r="B86" s="11"/>
      <c r="C86" s="8" t="s">
        <v>108</v>
      </c>
      <c r="D86" s="8"/>
      <c r="E86" s="8"/>
      <c r="F86" s="8"/>
      <c r="G86" s="8"/>
      <c r="H86" s="8"/>
      <c r="I86" s="12"/>
      <c r="J86" s="13"/>
      <c r="K86" s="13"/>
      <c r="L86" s="13"/>
      <c r="O86" s="4"/>
    </row>
    <row r="87" spans="2:15" x14ac:dyDescent="0.25">
      <c r="B87" s="14" t="s">
        <v>2</v>
      </c>
      <c r="C87" s="14" t="s">
        <v>3</v>
      </c>
      <c r="D87" s="14" t="s">
        <v>4</v>
      </c>
      <c r="E87" s="15" t="s">
        <v>5</v>
      </c>
      <c r="F87" s="14" t="s">
        <v>6</v>
      </c>
      <c r="G87" s="14" t="s">
        <v>109</v>
      </c>
      <c r="H87" s="14" t="s">
        <v>96</v>
      </c>
      <c r="I87" s="16" t="s">
        <v>7</v>
      </c>
      <c r="J87" s="14" t="s">
        <v>8</v>
      </c>
      <c r="K87" s="14" t="s">
        <v>9</v>
      </c>
      <c r="L87" s="14" t="s">
        <v>91</v>
      </c>
      <c r="O87" s="4"/>
    </row>
    <row r="88" spans="2:15" x14ac:dyDescent="0.25">
      <c r="B88" s="1" t="s">
        <v>61</v>
      </c>
      <c r="C88" s="19" t="s">
        <v>52</v>
      </c>
      <c r="D88" s="20"/>
      <c r="E88" s="21" t="e">
        <f>'DECEMBER 19'!I94:I127</f>
        <v>#VALUE!</v>
      </c>
      <c r="F88" s="22">
        <v>6000</v>
      </c>
      <c r="G88" s="22">
        <v>340</v>
      </c>
      <c r="H88" s="22">
        <v>200</v>
      </c>
      <c r="I88" s="22" t="e">
        <f>D88+E88+F88+G88+H88</f>
        <v>#VALUE!</v>
      </c>
      <c r="J88" s="22"/>
      <c r="K88" s="22" t="e">
        <f t="shared" ref="K88:K96" si="3">I88-J88</f>
        <v>#VALUE!</v>
      </c>
      <c r="L88" s="22"/>
      <c r="O88" s="4"/>
    </row>
    <row r="89" spans="2:15" x14ac:dyDescent="0.25">
      <c r="B89" s="2" t="s">
        <v>64</v>
      </c>
      <c r="C89" s="19" t="s">
        <v>51</v>
      </c>
      <c r="D89" s="20"/>
      <c r="E89" s="21">
        <f>'DECEMBER 19'!I7</f>
        <v>7000</v>
      </c>
      <c r="F89" s="25">
        <v>6000</v>
      </c>
      <c r="G89" s="25">
        <v>340</v>
      </c>
      <c r="H89" s="25">
        <v>200</v>
      </c>
      <c r="I89" s="22">
        <f t="shared" ref="I89:I105" si="4">D89+E89+F89+G89+H89</f>
        <v>13540</v>
      </c>
      <c r="J89" s="22">
        <f>6180+6000</f>
        <v>12180</v>
      </c>
      <c r="K89" s="22">
        <f t="shared" si="3"/>
        <v>1360</v>
      </c>
      <c r="L89" s="22"/>
      <c r="O89" s="4"/>
    </row>
    <row r="90" spans="2:15" x14ac:dyDescent="0.25">
      <c r="B90" s="2" t="s">
        <v>65</v>
      </c>
      <c r="C90" s="19" t="s">
        <v>54</v>
      </c>
      <c r="D90" s="20"/>
      <c r="E90" s="21" t="e">
        <f>'DECEMBER 19'!I96:I129</f>
        <v>#VALUE!</v>
      </c>
      <c r="F90" s="25"/>
      <c r="G90" s="25"/>
      <c r="H90" s="25"/>
      <c r="I90" s="22" t="e">
        <f t="shared" si="4"/>
        <v>#VALUE!</v>
      </c>
      <c r="J90" s="22"/>
      <c r="K90" s="22" t="e">
        <f t="shared" si="3"/>
        <v>#VALUE!</v>
      </c>
      <c r="L90" s="22"/>
      <c r="O90" s="4"/>
    </row>
    <row r="91" spans="2:15" x14ac:dyDescent="0.25">
      <c r="B91" s="18" t="s">
        <v>66</v>
      </c>
      <c r="C91" s="19" t="s">
        <v>50</v>
      </c>
      <c r="D91" s="20"/>
      <c r="E91" s="21" t="e">
        <f>'DECEMBER 19'!I97:I130</f>
        <v>#VALUE!</v>
      </c>
      <c r="F91" s="21">
        <v>6000</v>
      </c>
      <c r="G91" s="21"/>
      <c r="H91" s="25">
        <v>200</v>
      </c>
      <c r="I91" s="22" t="e">
        <f t="shared" si="4"/>
        <v>#VALUE!</v>
      </c>
      <c r="J91" s="22">
        <v>6200</v>
      </c>
      <c r="K91" s="22" t="e">
        <f t="shared" si="3"/>
        <v>#VALUE!</v>
      </c>
      <c r="L91" s="22"/>
      <c r="O91" s="4"/>
    </row>
    <row r="92" spans="2:15" x14ac:dyDescent="0.25">
      <c r="B92" s="59" t="s">
        <v>67</v>
      </c>
      <c r="C92" s="19" t="s">
        <v>49</v>
      </c>
      <c r="D92" s="20"/>
      <c r="E92" s="21" t="e">
        <f>'DECEMBER 19'!I98:I131</f>
        <v>#VALUE!</v>
      </c>
      <c r="F92" s="25"/>
      <c r="G92" s="25"/>
      <c r="H92" s="25"/>
      <c r="I92" s="22" t="e">
        <f t="shared" si="4"/>
        <v>#VALUE!</v>
      </c>
      <c r="J92" s="22"/>
      <c r="K92" s="22" t="e">
        <f t="shared" si="3"/>
        <v>#VALUE!</v>
      </c>
      <c r="L92" s="22"/>
      <c r="O92" s="4"/>
    </row>
    <row r="93" spans="2:15" x14ac:dyDescent="0.25">
      <c r="B93" s="26" t="s">
        <v>117</v>
      </c>
      <c r="C93" s="19" t="s">
        <v>53</v>
      </c>
      <c r="D93" s="20"/>
      <c r="E93" s="21" t="e">
        <f>'DECEMBER 19'!I99:I132</f>
        <v>#VALUE!</v>
      </c>
      <c r="F93" s="25">
        <v>6000</v>
      </c>
      <c r="G93" s="25">
        <v>680</v>
      </c>
      <c r="H93" s="25">
        <v>200</v>
      </c>
      <c r="I93" s="22" t="e">
        <f t="shared" si="4"/>
        <v>#VALUE!</v>
      </c>
      <c r="J93" s="22">
        <v>6880</v>
      </c>
      <c r="K93" s="22" t="e">
        <f t="shared" si="3"/>
        <v>#VALUE!</v>
      </c>
      <c r="L93" s="22"/>
      <c r="O93" s="4"/>
    </row>
    <row r="94" spans="2:15" x14ac:dyDescent="0.25">
      <c r="B94" s="1" t="s">
        <v>68</v>
      </c>
      <c r="C94" s="19" t="s">
        <v>48</v>
      </c>
      <c r="D94" s="20"/>
      <c r="E94" s="21">
        <f>'DECEMBER 19'!I12+340+200</f>
        <v>16149</v>
      </c>
      <c r="F94" s="25">
        <v>6000</v>
      </c>
      <c r="G94" s="25">
        <v>170</v>
      </c>
      <c r="H94" s="25">
        <v>200</v>
      </c>
      <c r="I94" s="22">
        <f t="shared" si="4"/>
        <v>22519</v>
      </c>
      <c r="J94" s="22">
        <v>20000</v>
      </c>
      <c r="K94" s="22">
        <f t="shared" si="3"/>
        <v>2519</v>
      </c>
      <c r="L94" s="22"/>
      <c r="M94" t="s">
        <v>139</v>
      </c>
      <c r="O94" s="4"/>
    </row>
    <row r="95" spans="2:15" x14ac:dyDescent="0.25">
      <c r="B95" s="3" t="s">
        <v>98</v>
      </c>
      <c r="C95" s="19" t="s">
        <v>47</v>
      </c>
      <c r="D95" s="20"/>
      <c r="E95" s="21" t="e">
        <f>'DECEMBER 19'!I101:I134</f>
        <v>#VALUE!</v>
      </c>
      <c r="F95" s="25">
        <v>6000</v>
      </c>
      <c r="G95" s="25">
        <v>170</v>
      </c>
      <c r="H95" s="25">
        <v>200</v>
      </c>
      <c r="I95" s="22" t="e">
        <f t="shared" si="4"/>
        <v>#VALUE!</v>
      </c>
      <c r="J95" s="22">
        <v>6370</v>
      </c>
      <c r="K95" s="22" t="e">
        <f t="shared" si="3"/>
        <v>#VALUE!</v>
      </c>
      <c r="L95" s="22"/>
      <c r="M95" t="s">
        <v>97</v>
      </c>
      <c r="O95" s="4"/>
    </row>
    <row r="96" spans="2:15" x14ac:dyDescent="0.25">
      <c r="B96" s="1" t="s">
        <v>70</v>
      </c>
      <c r="C96" s="19" t="s">
        <v>46</v>
      </c>
      <c r="D96" s="20"/>
      <c r="E96" s="21" t="e">
        <f>'DECEMBER 19'!I102:I135</f>
        <v>#VALUE!</v>
      </c>
      <c r="F96" s="25"/>
      <c r="G96" s="25"/>
      <c r="H96" s="25"/>
      <c r="I96" s="22" t="e">
        <f t="shared" si="4"/>
        <v>#VALUE!</v>
      </c>
      <c r="J96" s="22"/>
      <c r="K96" s="22" t="e">
        <f t="shared" si="3"/>
        <v>#VALUE!</v>
      </c>
      <c r="L96" s="22"/>
      <c r="O96" s="4"/>
    </row>
    <row r="97" spans="2:16" x14ac:dyDescent="0.25">
      <c r="B97" s="2" t="s">
        <v>110</v>
      </c>
      <c r="C97" s="19" t="s">
        <v>45</v>
      </c>
      <c r="D97" s="20"/>
      <c r="E97" s="21" t="e">
        <f>'DECEMBER 19'!I103:I136</f>
        <v>#VALUE!</v>
      </c>
      <c r="F97" s="25">
        <v>6000</v>
      </c>
      <c r="G97" s="25">
        <v>510</v>
      </c>
      <c r="H97" s="25">
        <v>200</v>
      </c>
      <c r="I97" s="22" t="e">
        <f t="shared" si="4"/>
        <v>#VALUE!</v>
      </c>
      <c r="J97" s="22">
        <v>6710</v>
      </c>
      <c r="K97" s="22" t="e">
        <f t="shared" ref="K97:K105" si="5">I97-J97</f>
        <v>#VALUE!</v>
      </c>
      <c r="L97" s="22"/>
      <c r="M97" t="s">
        <v>97</v>
      </c>
      <c r="O97" s="4"/>
    </row>
    <row r="98" spans="2:16" x14ac:dyDescent="0.25">
      <c r="B98" s="18" t="s">
        <v>71</v>
      </c>
      <c r="C98" s="19" t="s">
        <v>44</v>
      </c>
      <c r="D98" s="20"/>
      <c r="E98" s="21" t="e">
        <f>'DECEMBER 19'!I104:I137</f>
        <v>#VALUE!</v>
      </c>
      <c r="F98" s="25">
        <v>5000</v>
      </c>
      <c r="G98" s="25">
        <v>510</v>
      </c>
      <c r="H98" s="25">
        <v>200</v>
      </c>
      <c r="I98" s="22" t="e">
        <f t="shared" si="4"/>
        <v>#VALUE!</v>
      </c>
      <c r="J98" s="22">
        <v>5710</v>
      </c>
      <c r="K98" s="22" t="e">
        <f t="shared" si="5"/>
        <v>#VALUE!</v>
      </c>
      <c r="L98" s="22"/>
      <c r="M98" t="s">
        <v>97</v>
      </c>
      <c r="O98" s="4"/>
    </row>
    <row r="99" spans="2:16" x14ac:dyDescent="0.25">
      <c r="B99" s="2" t="s">
        <v>72</v>
      </c>
      <c r="C99" s="19" t="s">
        <v>43</v>
      </c>
      <c r="D99" s="20"/>
      <c r="E99" s="21" t="e">
        <f>'DECEMBER 19'!I105:I138</f>
        <v>#VALUE!</v>
      </c>
      <c r="F99" s="25">
        <v>6000</v>
      </c>
      <c r="G99" s="25">
        <v>850</v>
      </c>
      <c r="H99" s="25">
        <v>200</v>
      </c>
      <c r="I99" s="22" t="e">
        <f t="shared" si="4"/>
        <v>#VALUE!</v>
      </c>
      <c r="J99" s="22">
        <v>7050</v>
      </c>
      <c r="K99" s="22" t="e">
        <f t="shared" si="5"/>
        <v>#VALUE!</v>
      </c>
      <c r="L99" s="22"/>
      <c r="M99" s="56"/>
      <c r="O99" s="4"/>
    </row>
    <row r="100" spans="2:16" x14ac:dyDescent="0.25">
      <c r="B100" s="1" t="s">
        <v>73</v>
      </c>
      <c r="C100" s="19" t="s">
        <v>42</v>
      </c>
      <c r="D100" s="20"/>
      <c r="E100" s="21" t="e">
        <f>'DECEMBER 19'!I106:I139</f>
        <v>#VALUE!</v>
      </c>
      <c r="F100" s="25">
        <v>6000</v>
      </c>
      <c r="G100" s="25">
        <v>170</v>
      </c>
      <c r="H100" s="25">
        <v>200</v>
      </c>
      <c r="I100" s="22" t="e">
        <f t="shared" si="4"/>
        <v>#VALUE!</v>
      </c>
      <c r="J100" s="22">
        <v>6370</v>
      </c>
      <c r="K100" s="22" t="e">
        <f t="shared" si="5"/>
        <v>#VALUE!</v>
      </c>
      <c r="L100" s="22"/>
      <c r="M100" s="4"/>
      <c r="N100" s="4"/>
      <c r="O100" s="4"/>
    </row>
    <row r="101" spans="2:16" x14ac:dyDescent="0.25">
      <c r="B101" s="60" t="s">
        <v>67</v>
      </c>
      <c r="C101" s="19" t="s">
        <v>41</v>
      </c>
      <c r="D101" s="20"/>
      <c r="E101" s="21"/>
      <c r="F101" s="25"/>
      <c r="G101" s="25"/>
      <c r="H101" s="25"/>
      <c r="I101" s="22">
        <f t="shared" si="4"/>
        <v>0</v>
      </c>
      <c r="J101" s="22"/>
      <c r="K101" s="22">
        <f t="shared" si="5"/>
        <v>0</v>
      </c>
      <c r="L101" s="22"/>
      <c r="M101" s="4"/>
      <c r="N101" s="4"/>
      <c r="O101" s="4"/>
    </row>
    <row r="102" spans="2:16" x14ac:dyDescent="0.25">
      <c r="B102" s="2" t="s">
        <v>75</v>
      </c>
      <c r="C102" s="19" t="s">
        <v>40</v>
      </c>
      <c r="D102" s="20"/>
      <c r="E102" s="21" t="e">
        <f>'DECEMBER 19'!I108:I141</f>
        <v>#VALUE!</v>
      </c>
      <c r="F102" s="25">
        <v>6000</v>
      </c>
      <c r="G102" s="25">
        <v>170</v>
      </c>
      <c r="H102" s="25">
        <v>200</v>
      </c>
      <c r="I102" s="22" t="e">
        <f t="shared" si="4"/>
        <v>#VALUE!</v>
      </c>
      <c r="J102" s="22">
        <v>6370</v>
      </c>
      <c r="K102" s="22" t="e">
        <f t="shared" si="5"/>
        <v>#VALUE!</v>
      </c>
      <c r="L102" s="22"/>
      <c r="M102" t="s">
        <v>97</v>
      </c>
    </row>
    <row r="103" spans="2:16" x14ac:dyDescent="0.25">
      <c r="B103" s="1" t="s">
        <v>76</v>
      </c>
      <c r="C103" s="27" t="s">
        <v>39</v>
      </c>
      <c r="D103" s="20"/>
      <c r="E103" s="21" t="e">
        <f>'DECEMBER 19'!I109:I142</f>
        <v>#VALUE!</v>
      </c>
      <c r="F103" s="25">
        <v>6000</v>
      </c>
      <c r="G103" s="25"/>
      <c r="H103" s="25">
        <v>200</v>
      </c>
      <c r="I103" s="22" t="e">
        <f t="shared" si="4"/>
        <v>#VALUE!</v>
      </c>
      <c r="J103" s="22">
        <v>6200</v>
      </c>
      <c r="K103" s="22" t="e">
        <f t="shared" si="5"/>
        <v>#VALUE!</v>
      </c>
      <c r="L103" s="22"/>
    </row>
    <row r="104" spans="2:16" x14ac:dyDescent="0.25">
      <c r="B104" s="1" t="s">
        <v>77</v>
      </c>
      <c r="C104" s="19" t="s">
        <v>38</v>
      </c>
      <c r="D104" s="20"/>
      <c r="E104" s="21" t="e">
        <f>'DECEMBER 19'!I110:I143</f>
        <v>#VALUE!</v>
      </c>
      <c r="F104" s="25">
        <v>6000</v>
      </c>
      <c r="G104" s="25">
        <v>170</v>
      </c>
      <c r="H104" s="25">
        <v>200</v>
      </c>
      <c r="I104" s="22" t="e">
        <f t="shared" si="4"/>
        <v>#VALUE!</v>
      </c>
      <c r="J104" s="22">
        <v>6370</v>
      </c>
      <c r="K104" s="22" t="e">
        <f t="shared" si="5"/>
        <v>#VALUE!</v>
      </c>
      <c r="L104" s="22"/>
      <c r="M104" t="s">
        <v>122</v>
      </c>
    </row>
    <row r="105" spans="2:16" x14ac:dyDescent="0.25">
      <c r="B105" s="2" t="s">
        <v>78</v>
      </c>
      <c r="C105" s="19" t="s">
        <v>37</v>
      </c>
      <c r="D105" s="20"/>
      <c r="E105" s="21">
        <v>600</v>
      </c>
      <c r="F105" s="25">
        <v>6000</v>
      </c>
      <c r="G105" s="25">
        <v>340</v>
      </c>
      <c r="H105" s="25">
        <v>200</v>
      </c>
      <c r="I105" s="22">
        <f t="shared" si="4"/>
        <v>7140</v>
      </c>
      <c r="J105" s="22">
        <v>7000</v>
      </c>
      <c r="K105" s="22">
        <f t="shared" si="5"/>
        <v>140</v>
      </c>
      <c r="L105" s="22"/>
    </row>
    <row r="106" spans="2:16" x14ac:dyDescent="0.25">
      <c r="B106" s="1" t="s">
        <v>79</v>
      </c>
      <c r="C106" s="28" t="s">
        <v>28</v>
      </c>
      <c r="D106" s="20"/>
      <c r="E106" s="21">
        <f>'DECEMBER 19'!I24</f>
        <v>9505</v>
      </c>
      <c r="F106" s="25">
        <v>6500</v>
      </c>
      <c r="G106" s="25"/>
      <c r="H106" s="25">
        <v>200</v>
      </c>
      <c r="I106" s="22">
        <f>D106+E106+F106+G106+H106</f>
        <v>16205</v>
      </c>
      <c r="J106" s="22">
        <v>9000</v>
      </c>
      <c r="K106" s="22">
        <f>I106-J106</f>
        <v>7205</v>
      </c>
      <c r="L106" s="22"/>
    </row>
    <row r="107" spans="2:16" x14ac:dyDescent="0.25">
      <c r="B107" s="1" t="s">
        <v>80</v>
      </c>
      <c r="C107" s="28" t="s">
        <v>29</v>
      </c>
      <c r="D107" s="20"/>
      <c r="E107" s="21"/>
      <c r="F107" s="25">
        <v>6500</v>
      </c>
      <c r="G107" s="25">
        <v>680</v>
      </c>
      <c r="H107" s="25">
        <v>200</v>
      </c>
      <c r="I107" s="22">
        <f>D107+E107+F107+G107+H107</f>
        <v>7380</v>
      </c>
      <c r="J107" s="22">
        <v>7380</v>
      </c>
      <c r="K107" s="22">
        <f t="shared" ref="K107:K114" si="6">I107-J107</f>
        <v>0</v>
      </c>
      <c r="L107" s="22"/>
      <c r="N107" s="53"/>
      <c r="P107" s="53"/>
    </row>
    <row r="108" spans="2:16" x14ac:dyDescent="0.25">
      <c r="B108" s="1" t="s">
        <v>81</v>
      </c>
      <c r="C108" s="28" t="s">
        <v>30</v>
      </c>
      <c r="D108" s="20"/>
      <c r="E108" s="21" t="e">
        <f>'DECEMBER 19'!I114:I147</f>
        <v>#VALUE!</v>
      </c>
      <c r="F108" s="25">
        <v>6500</v>
      </c>
      <c r="G108" s="25">
        <v>340</v>
      </c>
      <c r="H108" s="25">
        <v>200</v>
      </c>
      <c r="I108" s="22" t="e">
        <f>D108+E108+F108+G108+H108</f>
        <v>#VALUE!</v>
      </c>
      <c r="J108" s="22">
        <v>7040</v>
      </c>
      <c r="K108" s="22" t="e">
        <f t="shared" si="6"/>
        <v>#VALUE!</v>
      </c>
      <c r="L108" s="22"/>
      <c r="M108" s="55"/>
    </row>
    <row r="109" spans="2:16" x14ac:dyDescent="0.25">
      <c r="B109" s="1" t="s">
        <v>82</v>
      </c>
      <c r="C109" s="28" t="s">
        <v>55</v>
      </c>
      <c r="D109" s="20"/>
      <c r="E109" s="21" t="e">
        <f>'DECEMBER 19'!I115:I148</f>
        <v>#VALUE!</v>
      </c>
      <c r="F109" s="25">
        <v>6500</v>
      </c>
      <c r="G109" s="25">
        <v>680</v>
      </c>
      <c r="H109" s="25">
        <v>200</v>
      </c>
      <c r="I109" s="22" t="e">
        <f>D109+E109+F109+G109+H109</f>
        <v>#VALUE!</v>
      </c>
      <c r="J109" s="22">
        <v>7380</v>
      </c>
      <c r="K109" s="22" t="e">
        <f t="shared" si="6"/>
        <v>#VALUE!</v>
      </c>
      <c r="L109" s="22"/>
      <c r="M109" s="55"/>
      <c r="P109" s="53"/>
    </row>
    <row r="110" spans="2:16" x14ac:dyDescent="0.25">
      <c r="B110" s="1" t="s">
        <v>83</v>
      </c>
      <c r="C110" s="28" t="s">
        <v>56</v>
      </c>
      <c r="D110" s="20"/>
      <c r="E110" s="21">
        <f>'DECEMBER 19'!I28</f>
        <v>14420</v>
      </c>
      <c r="F110" s="25">
        <v>8000</v>
      </c>
      <c r="G110" s="25">
        <v>340</v>
      </c>
      <c r="H110" s="25">
        <v>200</v>
      </c>
      <c r="I110" s="22">
        <f>D110+E110+F110+G110+H110</f>
        <v>22960</v>
      </c>
      <c r="J110" s="22">
        <v>10000</v>
      </c>
      <c r="K110" s="22">
        <f t="shared" si="6"/>
        <v>12960</v>
      </c>
      <c r="L110" s="22">
        <v>5000</v>
      </c>
    </row>
    <row r="111" spans="2:16" x14ac:dyDescent="0.25">
      <c r="B111" s="1" t="s">
        <v>129</v>
      </c>
      <c r="C111" s="28" t="s">
        <v>57</v>
      </c>
      <c r="D111" s="20"/>
      <c r="E111" s="21" t="e">
        <f>'DECEMBER 19'!I117:I150</f>
        <v>#VALUE!</v>
      </c>
      <c r="F111" s="25">
        <v>6500</v>
      </c>
      <c r="G111" s="25">
        <v>170</v>
      </c>
      <c r="H111" s="25">
        <v>200</v>
      </c>
      <c r="I111" s="22" t="e">
        <f t="shared" ref="I111:I120" si="7">D111+E111+F111+G111+H111</f>
        <v>#VALUE!</v>
      </c>
      <c r="J111" s="22">
        <v>6870</v>
      </c>
      <c r="K111" s="22" t="e">
        <f t="shared" si="6"/>
        <v>#VALUE!</v>
      </c>
      <c r="L111" s="22"/>
      <c r="N111" s="53"/>
    </row>
    <row r="112" spans="2:16" x14ac:dyDescent="0.25">
      <c r="B112" s="1" t="s">
        <v>92</v>
      </c>
      <c r="C112" s="28" t="s">
        <v>58</v>
      </c>
      <c r="D112" s="20"/>
      <c r="E112" s="21" t="e">
        <f>'DECEMBER 19'!I118:I151</f>
        <v>#VALUE!</v>
      </c>
      <c r="F112" s="25">
        <v>6500</v>
      </c>
      <c r="G112" s="25">
        <v>850</v>
      </c>
      <c r="H112" s="25">
        <v>200</v>
      </c>
      <c r="I112" s="22" t="e">
        <f t="shared" si="7"/>
        <v>#VALUE!</v>
      </c>
      <c r="J112" s="22">
        <v>2000</v>
      </c>
      <c r="K112" s="22" t="e">
        <f t="shared" si="6"/>
        <v>#VALUE!</v>
      </c>
      <c r="L112" s="22"/>
    </row>
    <row r="113" spans="2:15" x14ac:dyDescent="0.25">
      <c r="B113" s="1" t="s">
        <v>74</v>
      </c>
      <c r="C113" s="28" t="s">
        <v>59</v>
      </c>
      <c r="D113" s="20"/>
      <c r="E113" s="21">
        <v>2000</v>
      </c>
      <c r="F113" s="25">
        <v>6500</v>
      </c>
      <c r="G113" s="25">
        <v>340</v>
      </c>
      <c r="H113" s="25">
        <v>200</v>
      </c>
      <c r="I113" s="22">
        <f t="shared" si="7"/>
        <v>9040</v>
      </c>
      <c r="J113" s="22">
        <v>6700</v>
      </c>
      <c r="K113" s="22">
        <f t="shared" si="6"/>
        <v>2340</v>
      </c>
      <c r="L113" s="22"/>
    </row>
    <row r="114" spans="2:15" x14ac:dyDescent="0.25">
      <c r="B114" s="1" t="s">
        <v>85</v>
      </c>
      <c r="C114" s="28" t="s">
        <v>60</v>
      </c>
      <c r="D114" s="20"/>
      <c r="E114" s="21" t="e">
        <f>'DECEMBER 19'!I120:I153</f>
        <v>#VALUE!</v>
      </c>
      <c r="F114" s="25">
        <v>6500</v>
      </c>
      <c r="G114" s="25">
        <v>680</v>
      </c>
      <c r="H114" s="25">
        <v>200</v>
      </c>
      <c r="I114" s="22" t="e">
        <f t="shared" si="7"/>
        <v>#VALUE!</v>
      </c>
      <c r="J114" s="22">
        <v>7380</v>
      </c>
      <c r="K114" s="22" t="e">
        <f t="shared" si="6"/>
        <v>#VALUE!</v>
      </c>
      <c r="L114" s="22"/>
      <c r="O114" s="53"/>
    </row>
    <row r="115" spans="2:15" x14ac:dyDescent="0.25">
      <c r="B115" s="1" t="s">
        <v>86</v>
      </c>
      <c r="C115" s="28" t="s">
        <v>31</v>
      </c>
      <c r="D115" s="20"/>
      <c r="E115" s="21" t="e">
        <f>'DECEMBER 19'!I121:I154</f>
        <v>#VALUE!</v>
      </c>
      <c r="F115" s="25">
        <v>8000</v>
      </c>
      <c r="G115" s="25">
        <v>340</v>
      </c>
      <c r="H115" s="25">
        <v>200</v>
      </c>
      <c r="I115" s="22" t="e">
        <f t="shared" si="7"/>
        <v>#VALUE!</v>
      </c>
      <c r="J115" s="22">
        <v>8540</v>
      </c>
      <c r="K115" s="22" t="e">
        <f t="shared" ref="K115:K121" si="8">I115-J115</f>
        <v>#VALUE!</v>
      </c>
      <c r="L115" s="22"/>
    </row>
    <row r="116" spans="2:15" x14ac:dyDescent="0.25">
      <c r="B116" s="1" t="s">
        <v>67</v>
      </c>
      <c r="C116" s="28" t="s">
        <v>32</v>
      </c>
      <c r="D116" s="20"/>
      <c r="E116" s="21" t="e">
        <f>'DECEMBER 19'!I122:I155</f>
        <v>#VALUE!</v>
      </c>
      <c r="F116" s="29"/>
      <c r="G116" s="29"/>
      <c r="H116" s="25"/>
      <c r="I116" s="22" t="e">
        <f t="shared" si="7"/>
        <v>#VALUE!</v>
      </c>
      <c r="J116" s="22"/>
      <c r="K116" s="22" t="e">
        <f t="shared" si="8"/>
        <v>#VALUE!</v>
      </c>
      <c r="L116" s="22"/>
      <c r="O116" s="53"/>
    </row>
    <row r="117" spans="2:15" x14ac:dyDescent="0.25">
      <c r="B117" s="18" t="s">
        <v>99</v>
      </c>
      <c r="C117" s="28" t="s">
        <v>33</v>
      </c>
      <c r="D117" s="20"/>
      <c r="E117" s="21" t="e">
        <f>'DECEMBER 19'!I123:I156</f>
        <v>#VALUE!</v>
      </c>
      <c r="F117" s="29">
        <v>6500</v>
      </c>
      <c r="G117" s="29">
        <v>170</v>
      </c>
      <c r="H117" s="25">
        <v>200</v>
      </c>
      <c r="I117" s="22" t="e">
        <f t="shared" si="7"/>
        <v>#VALUE!</v>
      </c>
      <c r="J117" s="22">
        <v>4000</v>
      </c>
      <c r="K117" s="22" t="e">
        <f t="shared" si="8"/>
        <v>#VALUE!</v>
      </c>
      <c r="L117" s="22"/>
    </row>
    <row r="118" spans="2:15" x14ac:dyDescent="0.25">
      <c r="B118" s="1" t="s">
        <v>89</v>
      </c>
      <c r="C118" s="28" t="s">
        <v>34</v>
      </c>
      <c r="D118" s="20"/>
      <c r="E118" s="21" t="e">
        <f>'DECEMBER 19'!I124:I157</f>
        <v>#VALUE!</v>
      </c>
      <c r="F118" s="29">
        <v>6500</v>
      </c>
      <c r="G118" s="29">
        <v>170</v>
      </c>
      <c r="H118" s="25">
        <v>200</v>
      </c>
      <c r="I118" s="22" t="e">
        <f t="shared" si="7"/>
        <v>#VALUE!</v>
      </c>
      <c r="J118" s="22">
        <v>6870</v>
      </c>
      <c r="K118" s="22" t="e">
        <f t="shared" si="8"/>
        <v>#VALUE!</v>
      </c>
      <c r="L118" s="22"/>
    </row>
    <row r="119" spans="2:15" x14ac:dyDescent="0.25">
      <c r="B119" s="1" t="s">
        <v>103</v>
      </c>
      <c r="C119" s="28" t="s">
        <v>35</v>
      </c>
      <c r="D119" s="20"/>
      <c r="E119" s="21" t="e">
        <f>'DECEMBER 19'!I125:I158</f>
        <v>#VALUE!</v>
      </c>
      <c r="F119" s="29">
        <v>6500</v>
      </c>
      <c r="G119" s="29">
        <v>850</v>
      </c>
      <c r="H119" s="25">
        <v>200</v>
      </c>
      <c r="I119" s="22" t="e">
        <f t="shared" si="7"/>
        <v>#VALUE!</v>
      </c>
      <c r="J119" s="22">
        <v>7550</v>
      </c>
      <c r="K119" s="22" t="e">
        <f t="shared" si="8"/>
        <v>#VALUE!</v>
      </c>
      <c r="L119" s="22"/>
      <c r="M119" t="s">
        <v>97</v>
      </c>
    </row>
    <row r="120" spans="2:15" x14ac:dyDescent="0.25">
      <c r="B120" s="1" t="s">
        <v>90</v>
      </c>
      <c r="C120" s="28" t="s">
        <v>36</v>
      </c>
      <c r="D120" s="20"/>
      <c r="E120" s="21" t="e">
        <f>'DECEMBER 19'!I126:I159</f>
        <v>#VALUE!</v>
      </c>
      <c r="F120" s="29"/>
      <c r="G120" s="29"/>
      <c r="H120" s="25"/>
      <c r="I120" s="22" t="e">
        <f t="shared" si="7"/>
        <v>#VALUE!</v>
      </c>
      <c r="J120" s="22"/>
      <c r="K120" s="22" t="e">
        <f t="shared" si="8"/>
        <v>#VALUE!</v>
      </c>
      <c r="L120" s="22"/>
    </row>
    <row r="121" spans="2:15" x14ac:dyDescent="0.25">
      <c r="B121" s="1" t="s">
        <v>93</v>
      </c>
      <c r="C121" s="30"/>
      <c r="D121" s="20"/>
      <c r="E121" s="21">
        <f>'DECEMBER 19'!I39</f>
        <v>8000</v>
      </c>
      <c r="F121" s="31">
        <v>8000</v>
      </c>
      <c r="G121" s="31">
        <v>850</v>
      </c>
      <c r="H121" s="25">
        <v>200</v>
      </c>
      <c r="I121" s="22">
        <f>D121+E121+F121+G121+H121</f>
        <v>17050</v>
      </c>
      <c r="J121" s="22">
        <f>4800+3500+900</f>
        <v>9200</v>
      </c>
      <c r="K121" s="22">
        <f t="shared" si="8"/>
        <v>7850</v>
      </c>
      <c r="L121" s="22"/>
      <c r="N121" s="53"/>
    </row>
    <row r="122" spans="2:15" x14ac:dyDescent="0.25">
      <c r="B122" s="32" t="s">
        <v>10</v>
      </c>
      <c r="C122" s="18"/>
      <c r="D122" s="20">
        <f t="shared" ref="D122:L122" si="9">SUM(D88:D121)</f>
        <v>0</v>
      </c>
      <c r="E122" s="21" t="e">
        <f t="shared" si="9"/>
        <v>#VALUE!</v>
      </c>
      <c r="F122" s="33">
        <f t="shared" si="9"/>
        <v>178500</v>
      </c>
      <c r="G122" s="57">
        <f t="shared" si="9"/>
        <v>10880</v>
      </c>
      <c r="H122" s="33">
        <f t="shared" si="9"/>
        <v>5600</v>
      </c>
      <c r="I122" s="22" t="e">
        <f t="shared" si="9"/>
        <v>#VALUE!</v>
      </c>
      <c r="J122" s="22">
        <f t="shared" si="9"/>
        <v>203320</v>
      </c>
      <c r="K122" s="22" t="e">
        <f t="shared" si="9"/>
        <v>#VALUE!</v>
      </c>
      <c r="L122" s="22">
        <f t="shared" si="9"/>
        <v>5000</v>
      </c>
    </row>
    <row r="123" spans="2:15" x14ac:dyDescent="0.25">
      <c r="B123" s="7"/>
      <c r="C123" s="7"/>
      <c r="D123" s="7"/>
      <c r="E123" s="7"/>
      <c r="F123" s="7"/>
      <c r="G123" s="7"/>
      <c r="H123" s="7"/>
      <c r="I123" s="54"/>
    </row>
    <row r="124" spans="2:15" x14ac:dyDescent="0.25">
      <c r="B124" s="7"/>
      <c r="C124" s="7"/>
      <c r="D124" s="7"/>
      <c r="E124" s="7"/>
      <c r="F124" s="7"/>
      <c r="G124" s="7"/>
      <c r="H124" s="7"/>
      <c r="I124" s="54"/>
      <c r="J124" s="7"/>
      <c r="K124" s="54"/>
      <c r="L124" s="7"/>
    </row>
    <row r="125" spans="2:15" x14ac:dyDescent="0.25">
      <c r="B125" s="7"/>
      <c r="C125" s="7"/>
      <c r="D125" s="7"/>
      <c r="E125" s="7"/>
      <c r="F125" s="7"/>
      <c r="G125" s="7"/>
      <c r="H125" s="7"/>
      <c r="I125" s="54"/>
      <c r="J125" s="54"/>
      <c r="K125" s="54"/>
      <c r="L125" s="7"/>
    </row>
    <row r="126" spans="2:15" x14ac:dyDescent="0.25">
      <c r="B126" s="7"/>
      <c r="C126" s="7"/>
      <c r="D126" s="7"/>
      <c r="E126" s="7"/>
      <c r="F126" s="7"/>
      <c r="G126" s="7"/>
      <c r="H126" s="7"/>
      <c r="I126" s="7"/>
      <c r="J126" s="54"/>
      <c r="K126" s="7"/>
      <c r="L126" s="7"/>
    </row>
    <row r="127" spans="2:15" x14ac:dyDescent="0.25">
      <c r="B127" s="7"/>
      <c r="C127" s="7"/>
      <c r="D127" s="7"/>
      <c r="E127" s="7"/>
      <c r="F127" s="7"/>
      <c r="G127" s="7"/>
      <c r="H127" s="7"/>
      <c r="I127" s="7"/>
      <c r="J127" s="54"/>
      <c r="K127" s="7"/>
      <c r="L127" s="7"/>
    </row>
    <row r="128" spans="2:15" x14ac:dyDescent="0.25">
      <c r="B128" s="7"/>
      <c r="C128" s="7"/>
      <c r="D128" s="7"/>
      <c r="E128" s="7"/>
      <c r="F128" s="7"/>
      <c r="G128" s="7"/>
      <c r="H128" s="7"/>
      <c r="I128" s="7"/>
      <c r="J128" s="54"/>
      <c r="K128" s="54"/>
      <c r="L128" s="7"/>
    </row>
    <row r="129" spans="2:15" x14ac:dyDescent="0.25">
      <c r="B129" s="7"/>
      <c r="C129" s="7"/>
      <c r="D129" s="7"/>
      <c r="E129" s="7"/>
      <c r="F129" s="7"/>
      <c r="G129" s="7"/>
      <c r="H129" s="7"/>
      <c r="I129" s="7"/>
      <c r="J129" s="54"/>
      <c r="K129" s="54"/>
      <c r="L129" s="54"/>
    </row>
    <row r="130" spans="2:15" x14ac:dyDescent="0.25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</row>
    <row r="131" spans="2:15" x14ac:dyDescent="0.25">
      <c r="B131" s="7"/>
      <c r="C131" s="7"/>
      <c r="D131" s="7"/>
      <c r="E131" s="7"/>
      <c r="F131" s="7"/>
      <c r="G131" s="7"/>
      <c r="H131" s="7"/>
      <c r="I131" s="54"/>
      <c r="J131" s="7"/>
      <c r="K131" s="54"/>
      <c r="L131" s="7"/>
      <c r="M131" s="5"/>
      <c r="N131" s="53"/>
    </row>
    <row r="132" spans="2:15" x14ac:dyDescent="0.25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N132" s="53"/>
    </row>
    <row r="133" spans="2:15" x14ac:dyDescent="0.25">
      <c r="B133" s="7"/>
      <c r="C133" s="7"/>
      <c r="D133" s="7"/>
      <c r="E133" s="7"/>
      <c r="F133" s="7"/>
      <c r="G133" s="7"/>
      <c r="H133" s="7"/>
      <c r="I133" s="7"/>
      <c r="J133" s="7"/>
      <c r="K133" s="54"/>
      <c r="L133" s="7"/>
    </row>
    <row r="134" spans="2:15" x14ac:dyDescent="0.25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</row>
    <row r="135" spans="2:15" x14ac:dyDescent="0.25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</row>
    <row r="136" spans="2:15" x14ac:dyDescent="0.25">
      <c r="B136" s="7" t="s">
        <v>11</v>
      </c>
      <c r="C136" s="34"/>
      <c r="D136" s="35"/>
      <c r="E136" s="36"/>
      <c r="F136" s="37"/>
      <c r="G136" s="37"/>
      <c r="H136" s="37"/>
      <c r="I136" s="38"/>
      <c r="J136" s="37"/>
      <c r="K136" s="37"/>
      <c r="L136" s="37"/>
    </row>
    <row r="137" spans="2:15" x14ac:dyDescent="0.25">
      <c r="B137" s="39" t="s">
        <v>12</v>
      </c>
      <c r="C137" s="39"/>
      <c r="D137" s="39"/>
      <c r="F137" s="39" t="s">
        <v>8</v>
      </c>
      <c r="G137" s="39"/>
      <c r="H137" s="39"/>
      <c r="I137" s="7"/>
      <c r="J137" s="7"/>
      <c r="K137" s="7"/>
      <c r="L137" s="7"/>
      <c r="M137" s="5"/>
    </row>
    <row r="138" spans="2:15" x14ac:dyDescent="0.25">
      <c r="B138" s="41" t="s">
        <v>13</v>
      </c>
      <c r="C138" s="41" t="s">
        <v>14</v>
      </c>
      <c r="D138" s="41" t="s">
        <v>15</v>
      </c>
      <c r="E138" s="41" t="s">
        <v>16</v>
      </c>
      <c r="F138" s="41" t="s">
        <v>13</v>
      </c>
      <c r="G138" s="41"/>
      <c r="H138" s="41"/>
      <c r="I138" s="41" t="s">
        <v>14</v>
      </c>
      <c r="J138" s="41" t="s">
        <v>15</v>
      </c>
      <c r="K138" s="41" t="s">
        <v>16</v>
      </c>
      <c r="L138" s="41"/>
      <c r="M138" s="5"/>
    </row>
    <row r="139" spans="2:15" x14ac:dyDescent="0.25">
      <c r="B139" s="18" t="s">
        <v>115</v>
      </c>
      <c r="C139" s="42">
        <f>F122</f>
        <v>178500</v>
      </c>
      <c r="D139" s="18"/>
      <c r="E139" s="18"/>
      <c r="F139" s="18" t="s">
        <v>115</v>
      </c>
      <c r="G139" s="18"/>
      <c r="H139" s="18"/>
      <c r="I139" s="42">
        <f>J122</f>
        <v>203320</v>
      </c>
      <c r="J139" s="18"/>
      <c r="K139" s="18"/>
      <c r="L139" s="18"/>
      <c r="M139" s="5"/>
    </row>
    <row r="140" spans="2:15" x14ac:dyDescent="0.25">
      <c r="B140" s="18" t="s">
        <v>18</v>
      </c>
      <c r="C140" s="42">
        <f>'DECEMBER 19'!E76</f>
        <v>-4160</v>
      </c>
      <c r="D140" s="18"/>
      <c r="E140" s="18"/>
      <c r="F140" s="18" t="s">
        <v>18</v>
      </c>
      <c r="G140" s="18"/>
      <c r="H140" s="18"/>
      <c r="I140" s="42">
        <f>'DECEMBER 19'!K76</f>
        <v>-36580</v>
      </c>
      <c r="J140" s="40"/>
      <c r="K140" s="18"/>
      <c r="L140" s="18"/>
      <c r="M140" s="53"/>
    </row>
    <row r="141" spans="2:15" x14ac:dyDescent="0.25">
      <c r="B141" s="18" t="s">
        <v>19</v>
      </c>
      <c r="C141" s="42"/>
      <c r="D141" s="18"/>
      <c r="E141" s="18"/>
      <c r="F141" s="18"/>
      <c r="G141" s="18"/>
      <c r="H141" s="18"/>
      <c r="I141" s="42"/>
      <c r="J141" s="18"/>
      <c r="K141" s="18"/>
      <c r="L141" s="18"/>
      <c r="M141" s="53"/>
    </row>
    <row r="142" spans="2:15" x14ac:dyDescent="0.25">
      <c r="B142" s="18" t="s">
        <v>63</v>
      </c>
      <c r="C142" s="42">
        <f>G122</f>
        <v>10880</v>
      </c>
      <c r="D142" s="18"/>
      <c r="E142" s="18"/>
      <c r="F142" s="18"/>
      <c r="G142" s="18"/>
      <c r="H142" s="18"/>
      <c r="I142" s="42"/>
      <c r="J142" s="18"/>
      <c r="K142" s="18"/>
      <c r="L142" s="18"/>
      <c r="N142" s="53"/>
    </row>
    <row r="143" spans="2:15" x14ac:dyDescent="0.25">
      <c r="B143" s="18" t="s">
        <v>62</v>
      </c>
      <c r="C143" s="42">
        <f>L122</f>
        <v>5000</v>
      </c>
      <c r="D143" s="18"/>
      <c r="E143" s="18"/>
      <c r="F143" s="18"/>
      <c r="G143" s="18"/>
      <c r="H143" s="18"/>
      <c r="I143" s="42"/>
      <c r="J143" s="18"/>
      <c r="K143" s="18"/>
      <c r="L143" s="18"/>
      <c r="N143" s="53"/>
    </row>
    <row r="144" spans="2:15" x14ac:dyDescent="0.25">
      <c r="B144" s="18" t="s">
        <v>96</v>
      </c>
      <c r="C144" s="42">
        <f>H122</f>
        <v>5600</v>
      </c>
      <c r="D144" s="18"/>
      <c r="E144" s="18"/>
      <c r="F144" s="18"/>
      <c r="G144" s="18"/>
      <c r="H144" s="18"/>
      <c r="I144" s="42"/>
      <c r="J144" s="18"/>
      <c r="K144" s="18"/>
      <c r="L144" s="18"/>
      <c r="O144" s="53"/>
    </row>
    <row r="145" spans="2:15" x14ac:dyDescent="0.25">
      <c r="B145" s="18"/>
      <c r="C145" s="44"/>
      <c r="D145" s="42"/>
      <c r="E145" s="18"/>
      <c r="F145" s="18"/>
      <c r="G145" s="18"/>
      <c r="H145" s="18"/>
      <c r="I145" s="44"/>
      <c r="J145" s="42"/>
      <c r="K145" s="42"/>
      <c r="L145" s="42"/>
      <c r="N145" s="5"/>
    </row>
    <row r="146" spans="2:15" x14ac:dyDescent="0.25">
      <c r="B146" s="41" t="s">
        <v>21</v>
      </c>
      <c r="C146" s="18" t="s">
        <v>22</v>
      </c>
      <c r="D146" s="18"/>
      <c r="E146" s="18"/>
      <c r="F146" s="41" t="s">
        <v>21</v>
      </c>
      <c r="G146" s="41"/>
      <c r="H146" s="41"/>
      <c r="I146" s="45"/>
      <c r="J146" s="18"/>
      <c r="K146" s="18"/>
      <c r="L146" s="18"/>
    </row>
    <row r="147" spans="2:15" x14ac:dyDescent="0.25">
      <c r="B147" s="46" t="s">
        <v>111</v>
      </c>
      <c r="C147" s="44">
        <v>0.05</v>
      </c>
      <c r="D147" s="18">
        <f>C147*C139</f>
        <v>8925</v>
      </c>
      <c r="E147" s="18"/>
      <c r="F147" s="46" t="s">
        <v>111</v>
      </c>
      <c r="G147" s="46"/>
      <c r="H147" s="46"/>
      <c r="I147" s="44">
        <v>0.05</v>
      </c>
      <c r="J147" s="18">
        <f>I147*C139</f>
        <v>8925</v>
      </c>
      <c r="K147" s="18"/>
      <c r="L147" s="18"/>
    </row>
    <row r="148" spans="2:15" x14ac:dyDescent="0.25">
      <c r="B148" s="45"/>
      <c r="C148" s="7"/>
      <c r="D148" s="44"/>
      <c r="E148" s="47"/>
      <c r="F148" s="45"/>
      <c r="G148" s="45"/>
      <c r="H148" s="45"/>
      <c r="I148" s="44"/>
      <c r="J148" s="47"/>
      <c r="K148" s="47"/>
      <c r="L148" s="47"/>
    </row>
    <row r="149" spans="2:15" x14ac:dyDescent="0.25">
      <c r="B149" s="45" t="s">
        <v>116</v>
      </c>
      <c r="C149" s="7"/>
      <c r="D149" s="44">
        <v>12740</v>
      </c>
      <c r="E149" s="47"/>
      <c r="F149" s="45" t="s">
        <v>116</v>
      </c>
      <c r="G149" s="7"/>
      <c r="H149" s="44"/>
      <c r="I149" s="44"/>
      <c r="J149" s="47">
        <v>12740</v>
      </c>
      <c r="K149" s="47"/>
      <c r="L149" s="47"/>
    </row>
    <row r="150" spans="2:15" x14ac:dyDescent="0.25">
      <c r="B150" s="45" t="s">
        <v>112</v>
      </c>
      <c r="C150" s="44"/>
      <c r="D150" s="18">
        <v>1627</v>
      </c>
      <c r="E150" s="18"/>
      <c r="F150" s="45" t="s">
        <v>112</v>
      </c>
      <c r="G150" s="44"/>
      <c r="H150" s="18"/>
      <c r="I150" s="44"/>
      <c r="J150" s="18">
        <v>1627</v>
      </c>
      <c r="K150" s="18"/>
      <c r="L150" s="18"/>
    </row>
    <row r="151" spans="2:15" x14ac:dyDescent="0.25">
      <c r="B151" s="45" t="s">
        <v>113</v>
      </c>
      <c r="C151" s="46"/>
      <c r="D151" s="47">
        <f>2856+68605</f>
        <v>71461</v>
      </c>
      <c r="E151" s="18"/>
      <c r="F151" s="45" t="s">
        <v>113</v>
      </c>
      <c r="G151" s="46"/>
      <c r="H151" s="47"/>
      <c r="I151" s="46"/>
      <c r="J151" s="47">
        <f>2856+68605</f>
        <v>71461</v>
      </c>
      <c r="K151" s="18"/>
      <c r="L151" s="18"/>
    </row>
    <row r="152" spans="2:15" x14ac:dyDescent="0.25">
      <c r="B152" s="45" t="s">
        <v>114</v>
      </c>
      <c r="C152" s="18"/>
      <c r="D152" s="18">
        <v>98800</v>
      </c>
      <c r="E152" s="18"/>
      <c r="F152" s="45" t="s">
        <v>114</v>
      </c>
      <c r="G152" s="18"/>
      <c r="H152" s="18"/>
      <c r="I152" s="18"/>
      <c r="J152" s="18">
        <f>D152</f>
        <v>98800</v>
      </c>
      <c r="K152" s="18"/>
      <c r="L152" s="18"/>
    </row>
    <row r="153" spans="2:15" x14ac:dyDescent="0.25">
      <c r="B153" s="48" t="s">
        <v>158</v>
      </c>
      <c r="C153" s="18"/>
      <c r="D153" s="47">
        <f>J104</f>
        <v>6370</v>
      </c>
      <c r="E153" s="18"/>
      <c r="F153" s="48" t="s">
        <v>145</v>
      </c>
      <c r="G153" s="18"/>
      <c r="H153" s="47"/>
      <c r="I153" s="18"/>
      <c r="J153" s="47">
        <v>6370</v>
      </c>
      <c r="K153" s="18"/>
      <c r="L153" s="18"/>
      <c r="N153" s="53"/>
    </row>
    <row r="154" spans="2:15" x14ac:dyDescent="0.25">
      <c r="B154" s="45" t="s">
        <v>124</v>
      </c>
      <c r="C154" s="46"/>
      <c r="D154" s="47">
        <f>J97</f>
        <v>6710</v>
      </c>
      <c r="E154" s="18"/>
      <c r="F154" s="78" t="s">
        <v>124</v>
      </c>
      <c r="G154" s="45"/>
      <c r="H154" s="46"/>
      <c r="I154" s="47">
        <f>O97</f>
        <v>0</v>
      </c>
      <c r="J154" s="47">
        <v>6710</v>
      </c>
      <c r="K154" s="47"/>
      <c r="L154" s="47"/>
      <c r="N154" s="5"/>
    </row>
    <row r="155" spans="2:15" x14ac:dyDescent="0.25">
      <c r="B155" s="41" t="s">
        <v>23</v>
      </c>
      <c r="C155" s="49">
        <f>C139+C140+C141+C142+C143+C144</f>
        <v>195820</v>
      </c>
      <c r="D155" s="49">
        <f>SUM(D147:D154)</f>
        <v>206633</v>
      </c>
      <c r="E155" s="49">
        <f>C155-D155</f>
        <v>-10813</v>
      </c>
      <c r="F155" s="41" t="s">
        <v>23</v>
      </c>
      <c r="G155" s="41"/>
      <c r="H155" s="41"/>
      <c r="I155" s="49">
        <f>I139+I140+I142+I144</f>
        <v>166740</v>
      </c>
      <c r="J155" s="49">
        <f>SUM(J145:J154)</f>
        <v>206633</v>
      </c>
      <c r="K155" s="49">
        <f>I155-J155</f>
        <v>-39893</v>
      </c>
      <c r="L155" s="49"/>
      <c r="O155" s="53"/>
    </row>
    <row r="156" spans="2:15" x14ac:dyDescent="0.25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</row>
    <row r="157" spans="2:15" x14ac:dyDescent="0.25">
      <c r="B157" s="50" t="s">
        <v>24</v>
      </c>
      <c r="C157" s="51"/>
      <c r="D157" s="51" t="s">
        <v>25</v>
      </c>
      <c r="E157" s="52"/>
      <c r="F157" s="50"/>
      <c r="G157" s="50"/>
      <c r="H157" s="50"/>
      <c r="I157" s="50" t="s">
        <v>26</v>
      </c>
      <c r="J157" s="7"/>
      <c r="K157" s="7"/>
      <c r="L157" s="7"/>
      <c r="M157" s="53"/>
    </row>
    <row r="158" spans="2:15" x14ac:dyDescent="0.25">
      <c r="B158" s="7" t="s">
        <v>104</v>
      </c>
      <c r="C158" s="7"/>
      <c r="D158" s="7" t="s">
        <v>105</v>
      </c>
      <c r="E158" s="7"/>
      <c r="F158" s="7"/>
      <c r="G158" s="7"/>
      <c r="H158" s="7"/>
      <c r="I158" s="7" t="s">
        <v>27</v>
      </c>
      <c r="J158" s="7"/>
      <c r="K158" s="7"/>
      <c r="L158" s="7"/>
    </row>
    <row r="159" spans="2:15" x14ac:dyDescent="0.25">
      <c r="C159" s="53">
        <f>J37+580+I16+I15+I20+I13+I23+600+I12-2519</f>
        <v>60940</v>
      </c>
      <c r="N159" s="5"/>
    </row>
    <row r="160" spans="2:15" x14ac:dyDescent="0.25">
      <c r="B160" t="s">
        <v>147</v>
      </c>
      <c r="C160">
        <f>18920+7000</f>
        <v>25920</v>
      </c>
    </row>
    <row r="162" spans="2:6" x14ac:dyDescent="0.25">
      <c r="B162" t="s">
        <v>149</v>
      </c>
      <c r="C162" s="53">
        <f>C159-C160</f>
        <v>35020</v>
      </c>
    </row>
    <row r="168" spans="2:6" x14ac:dyDescent="0.25">
      <c r="F168" s="5">
        <f>E155-11393</f>
        <v>-22206</v>
      </c>
    </row>
  </sheetData>
  <pageMargins left="0" right="0" top="0.75" bottom="0.75" header="0.3" footer="0.3"/>
  <pageSetup orientation="portrait" horizontalDpi="203" verticalDpi="20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workbookViewId="0">
      <selection activeCell="F30" sqref="F30"/>
    </sheetView>
  </sheetViews>
  <sheetFormatPr defaultRowHeight="15" x14ac:dyDescent="0.25"/>
  <cols>
    <col min="1" max="1" width="20.5703125" bestFit="1" customWidth="1"/>
    <col min="2" max="2" width="11.7109375" customWidth="1"/>
    <col min="3" max="3" width="11.42578125" customWidth="1"/>
    <col min="4" max="4" width="11" customWidth="1"/>
    <col min="5" max="5" width="12.5703125" customWidth="1"/>
    <col min="8" max="8" width="21.7109375" customWidth="1"/>
    <col min="9" max="9" width="12.28515625" customWidth="1"/>
    <col min="10" max="10" width="22.85546875" customWidth="1"/>
    <col min="15" max="15" width="20" customWidth="1"/>
  </cols>
  <sheetData>
    <row r="1" spans="1:15" ht="15.75" x14ac:dyDescent="0.25">
      <c r="A1" s="158"/>
      <c r="B1" s="158"/>
      <c r="C1" s="159"/>
      <c r="D1" s="159"/>
      <c r="E1" s="159"/>
      <c r="F1" s="159"/>
      <c r="G1" s="159"/>
      <c r="H1" s="158"/>
      <c r="I1" s="159"/>
      <c r="J1" s="159"/>
      <c r="K1" s="159"/>
      <c r="L1" s="159"/>
      <c r="M1" s="158"/>
    </row>
    <row r="2" spans="1:15" ht="15.75" x14ac:dyDescent="0.25">
      <c r="A2" s="158"/>
      <c r="B2" s="158"/>
      <c r="C2" s="100"/>
      <c r="D2" s="100"/>
      <c r="E2" s="100" t="s">
        <v>27</v>
      </c>
      <c r="F2" s="160"/>
      <c r="G2" s="100"/>
      <c r="H2" s="101"/>
      <c r="I2" s="160"/>
      <c r="J2" s="160"/>
      <c r="K2" s="160"/>
      <c r="L2" s="160"/>
      <c r="M2" s="158"/>
    </row>
    <row r="3" spans="1:15" ht="15.75" x14ac:dyDescent="0.25">
      <c r="A3" s="160"/>
      <c r="B3" s="100"/>
      <c r="C3" s="100"/>
      <c r="D3" s="100"/>
      <c r="E3" s="100" t="s">
        <v>0</v>
      </c>
      <c r="F3" s="100"/>
      <c r="G3" s="159"/>
      <c r="H3" s="102"/>
      <c r="I3" s="160"/>
      <c r="J3" s="160"/>
      <c r="K3" s="160"/>
      <c r="L3" s="160"/>
      <c r="M3" s="158"/>
    </row>
    <row r="4" spans="1:15" ht="15.75" x14ac:dyDescent="0.25">
      <c r="A4" s="100"/>
      <c r="B4" s="160"/>
      <c r="C4" s="158"/>
      <c r="D4" s="100" t="s">
        <v>362</v>
      </c>
      <c r="E4" s="100"/>
      <c r="F4" s="158"/>
      <c r="G4" s="100"/>
      <c r="H4" s="104"/>
      <c r="I4" s="104"/>
      <c r="J4" s="104"/>
      <c r="K4" s="104"/>
      <c r="L4" s="104"/>
      <c r="M4" s="158"/>
    </row>
    <row r="5" spans="1:15" ht="15.75" x14ac:dyDescent="0.25">
      <c r="A5" s="161" t="s">
        <v>2</v>
      </c>
      <c r="B5" s="161" t="s">
        <v>3</v>
      </c>
      <c r="C5" s="161" t="s">
        <v>4</v>
      </c>
      <c r="D5" s="162" t="s">
        <v>5</v>
      </c>
      <c r="E5" s="161" t="s">
        <v>6</v>
      </c>
      <c r="F5" s="163" t="s">
        <v>63</v>
      </c>
      <c r="G5" s="161" t="s">
        <v>96</v>
      </c>
      <c r="H5" s="164" t="s">
        <v>7</v>
      </c>
      <c r="I5" s="161" t="s">
        <v>8</v>
      </c>
      <c r="J5" s="161" t="s">
        <v>9</v>
      </c>
      <c r="K5" s="161" t="s">
        <v>91</v>
      </c>
      <c r="L5" s="161" t="s">
        <v>123</v>
      </c>
      <c r="M5" s="158"/>
    </row>
    <row r="6" spans="1:15" ht="15.75" x14ac:dyDescent="0.25">
      <c r="A6" s="174" t="s">
        <v>67</v>
      </c>
      <c r="B6" s="166" t="s">
        <v>52</v>
      </c>
      <c r="C6" s="167"/>
      <c r="D6" s="220">
        <f>'JUNE 21'!J6:J39</f>
        <v>0</v>
      </c>
      <c r="E6" s="169"/>
      <c r="F6" s="170"/>
      <c r="G6" s="169"/>
      <c r="H6" s="169">
        <f t="shared" ref="H6:H39" si="0">D6+E6+F6+G6</f>
        <v>0</v>
      </c>
      <c r="I6" s="169"/>
      <c r="J6" s="169">
        <f>H6-I6</f>
        <v>0</v>
      </c>
      <c r="K6" s="169"/>
      <c r="L6" s="169"/>
      <c r="M6" s="158"/>
    </row>
    <row r="7" spans="1:15" ht="15.75" x14ac:dyDescent="0.25">
      <c r="A7" s="218" t="s">
        <v>64</v>
      </c>
      <c r="B7" s="166" t="s">
        <v>51</v>
      </c>
      <c r="C7" s="167"/>
      <c r="D7" s="220">
        <f>'JUNE 21'!J7:J40</f>
        <v>0</v>
      </c>
      <c r="E7" s="172"/>
      <c r="F7" s="173"/>
      <c r="G7" s="172"/>
      <c r="H7" s="169">
        <f t="shared" si="0"/>
        <v>0</v>
      </c>
      <c r="I7" s="169"/>
      <c r="J7" s="169">
        <f>H7-I7</f>
        <v>0</v>
      </c>
      <c r="K7" s="169"/>
      <c r="L7" s="169"/>
      <c r="M7" s="158"/>
    </row>
    <row r="8" spans="1:15" ht="15.75" x14ac:dyDescent="0.25">
      <c r="A8" s="171" t="s">
        <v>65</v>
      </c>
      <c r="B8" s="166" t="s">
        <v>54</v>
      </c>
      <c r="C8" s="167"/>
      <c r="D8" s="220">
        <f>'JUNE 21'!J8:J41</f>
        <v>0</v>
      </c>
      <c r="E8" s="172"/>
      <c r="F8" s="173"/>
      <c r="G8" s="172"/>
      <c r="H8" s="169">
        <f t="shared" si="0"/>
        <v>0</v>
      </c>
      <c r="I8" s="169"/>
      <c r="J8" s="169">
        <f>H8-I8</f>
        <v>0</v>
      </c>
      <c r="K8" s="169"/>
      <c r="L8" s="169"/>
      <c r="M8" s="158"/>
    </row>
    <row r="9" spans="1:15" ht="15.75" x14ac:dyDescent="0.25">
      <c r="A9" s="174" t="s">
        <v>67</v>
      </c>
      <c r="B9" s="175" t="s">
        <v>50</v>
      </c>
      <c r="C9" s="176"/>
      <c r="D9" s="220">
        <f>'JUNE 21'!J9:J42</f>
        <v>0</v>
      </c>
      <c r="E9" s="177"/>
      <c r="F9" s="178"/>
      <c r="G9" s="172"/>
      <c r="H9" s="169">
        <f t="shared" si="0"/>
        <v>0</v>
      </c>
      <c r="I9" s="169"/>
      <c r="J9" s="169">
        <f>H9-I9</f>
        <v>0</v>
      </c>
      <c r="K9" s="169"/>
      <c r="L9" s="169"/>
      <c r="M9" s="158"/>
    </row>
    <row r="10" spans="1:15" ht="15.75" x14ac:dyDescent="0.25">
      <c r="A10" s="218" t="s">
        <v>364</v>
      </c>
      <c r="B10" s="166" t="s">
        <v>49</v>
      </c>
      <c r="C10" s="176"/>
      <c r="D10" s="220">
        <f>'JUNE 21'!J10:J43</f>
        <v>0</v>
      </c>
      <c r="E10" s="172"/>
      <c r="F10" s="173"/>
      <c r="G10" s="172"/>
      <c r="H10" s="169">
        <f t="shared" si="0"/>
        <v>0</v>
      </c>
      <c r="I10" s="169"/>
      <c r="J10" s="169">
        <f>H10-I10</f>
        <v>0</v>
      </c>
      <c r="K10" s="169"/>
      <c r="L10" s="169"/>
      <c r="M10" s="158"/>
    </row>
    <row r="11" spans="1:15" ht="15.75" x14ac:dyDescent="0.25">
      <c r="A11" s="179" t="s">
        <v>263</v>
      </c>
      <c r="B11" s="166" t="s">
        <v>53</v>
      </c>
      <c r="C11" s="167"/>
      <c r="D11" s="220">
        <f>'JUNE 21'!J11:J44</f>
        <v>1548</v>
      </c>
      <c r="E11" s="172">
        <v>6000</v>
      </c>
      <c r="F11" s="173">
        <v>748</v>
      </c>
      <c r="G11" s="172">
        <v>200</v>
      </c>
      <c r="H11" s="169">
        <f t="shared" si="0"/>
        <v>8496</v>
      </c>
      <c r="I11" s="169">
        <f>6950</f>
        <v>6950</v>
      </c>
      <c r="J11" s="169">
        <f t="shared" ref="J11:J36" si="1">H11-I11</f>
        <v>1546</v>
      </c>
      <c r="K11" s="169"/>
      <c r="L11" s="169"/>
      <c r="M11" s="181"/>
    </row>
    <row r="12" spans="1:15" ht="15.75" x14ac:dyDescent="0.25">
      <c r="A12" s="165" t="s">
        <v>262</v>
      </c>
      <c r="B12" s="166" t="s">
        <v>48</v>
      </c>
      <c r="C12" s="167"/>
      <c r="D12" s="220">
        <f>'JUNE 21'!J12:J45</f>
        <v>0</v>
      </c>
      <c r="E12" s="172">
        <v>6000</v>
      </c>
      <c r="F12" s="173">
        <v>325</v>
      </c>
      <c r="G12" s="172">
        <v>200</v>
      </c>
      <c r="H12" s="169">
        <f t="shared" si="0"/>
        <v>6525</v>
      </c>
      <c r="I12" s="169">
        <v>6525</v>
      </c>
      <c r="J12" s="169">
        <f t="shared" si="1"/>
        <v>0</v>
      </c>
      <c r="K12" s="169"/>
      <c r="L12" s="169"/>
      <c r="M12" s="158"/>
    </row>
    <row r="13" spans="1:15" ht="15.75" x14ac:dyDescent="0.25">
      <c r="A13" s="180" t="s">
        <v>331</v>
      </c>
      <c r="B13" s="166" t="s">
        <v>47</v>
      </c>
      <c r="C13" s="167"/>
      <c r="D13" s="220">
        <f>'JUNE 21'!J13:J46</f>
        <v>1818</v>
      </c>
      <c r="E13" s="172">
        <v>6000</v>
      </c>
      <c r="F13" s="173">
        <v>408</v>
      </c>
      <c r="G13" s="172">
        <v>200</v>
      </c>
      <c r="H13" s="169">
        <f t="shared" si="0"/>
        <v>8426</v>
      </c>
      <c r="I13" s="169">
        <f>6875+1000</f>
        <v>7875</v>
      </c>
      <c r="J13" s="169">
        <f t="shared" si="1"/>
        <v>551</v>
      </c>
      <c r="K13" s="169"/>
      <c r="L13" s="169"/>
      <c r="M13" s="158" t="s">
        <v>246</v>
      </c>
    </row>
    <row r="14" spans="1:15" ht="15.75" x14ac:dyDescent="0.25">
      <c r="A14" s="174" t="s">
        <v>369</v>
      </c>
      <c r="B14" s="166" t="s">
        <v>46</v>
      </c>
      <c r="C14" s="167"/>
      <c r="D14" s="220">
        <f>'JUNE 21'!J14:J47</f>
        <v>540</v>
      </c>
      <c r="E14" s="172"/>
      <c r="F14" s="173"/>
      <c r="G14" s="172"/>
      <c r="H14" s="169">
        <f t="shared" si="0"/>
        <v>540</v>
      </c>
      <c r="I14" s="169">
        <f>540</f>
        <v>540</v>
      </c>
      <c r="J14" s="169">
        <f>H14-I14</f>
        <v>0</v>
      </c>
      <c r="K14" s="169"/>
      <c r="L14" s="169"/>
      <c r="M14" s="181">
        <f>E13+F13+G13</f>
        <v>6608</v>
      </c>
    </row>
    <row r="15" spans="1:15" ht="15.75" x14ac:dyDescent="0.25">
      <c r="A15" s="171" t="s">
        <v>315</v>
      </c>
      <c r="B15" s="166" t="s">
        <v>45</v>
      </c>
      <c r="C15" s="167"/>
      <c r="D15" s="220">
        <f>'JUNE 21'!J15:J48</f>
        <v>1641</v>
      </c>
      <c r="E15" s="172">
        <v>6000</v>
      </c>
      <c r="F15" s="173">
        <v>391</v>
      </c>
      <c r="G15" s="172">
        <v>200</v>
      </c>
      <c r="H15" s="169">
        <f t="shared" si="0"/>
        <v>8232</v>
      </c>
      <c r="I15" s="169">
        <f>6200+391</f>
        <v>6591</v>
      </c>
      <c r="J15" s="169">
        <f>H15-I15</f>
        <v>1641</v>
      </c>
      <c r="K15" s="169"/>
      <c r="L15" s="169"/>
      <c r="O15" s="53"/>
    </row>
    <row r="16" spans="1:15" ht="15.75" x14ac:dyDescent="0.25">
      <c r="A16" s="165" t="s">
        <v>225</v>
      </c>
      <c r="B16" s="166" t="s">
        <v>44</v>
      </c>
      <c r="C16" s="167"/>
      <c r="D16" s="220">
        <f>'JUNE 21'!J16:J49</f>
        <v>0</v>
      </c>
      <c r="E16" s="172">
        <v>6000</v>
      </c>
      <c r="F16" s="173">
        <v>187</v>
      </c>
      <c r="G16" s="172">
        <v>200</v>
      </c>
      <c r="H16" s="169">
        <f t="shared" si="0"/>
        <v>6387</v>
      </c>
      <c r="I16" s="169">
        <v>6387</v>
      </c>
      <c r="J16" s="169">
        <f>H16-I16</f>
        <v>0</v>
      </c>
      <c r="K16" s="169"/>
      <c r="L16" s="169"/>
      <c r="M16" s="158"/>
    </row>
    <row r="17" spans="1:15" ht="15.75" x14ac:dyDescent="0.25">
      <c r="A17" s="171" t="s">
        <v>349</v>
      </c>
      <c r="B17" s="166" t="s">
        <v>43</v>
      </c>
      <c r="C17" s="176"/>
      <c r="D17" s="220">
        <f>'JUNE 21'!J17:J50</f>
        <v>-800</v>
      </c>
      <c r="E17" s="172">
        <v>6000</v>
      </c>
      <c r="F17" s="173"/>
      <c r="G17" s="172">
        <v>200</v>
      </c>
      <c r="H17" s="169">
        <f t="shared" si="0"/>
        <v>5400</v>
      </c>
      <c r="I17" s="169">
        <v>5400</v>
      </c>
      <c r="J17" s="169">
        <f t="shared" si="1"/>
        <v>0</v>
      </c>
      <c r="K17" s="169"/>
      <c r="L17" s="169"/>
      <c r="M17" s="182" t="s">
        <v>350</v>
      </c>
    </row>
    <row r="18" spans="1:15" ht="15.75" x14ac:dyDescent="0.25">
      <c r="A18" s="165" t="s">
        <v>73</v>
      </c>
      <c r="B18" s="166" t="s">
        <v>42</v>
      </c>
      <c r="C18" s="167"/>
      <c r="D18" s="220">
        <f>'JUNE 21'!J18:J51</f>
        <v>0</v>
      </c>
      <c r="E18" s="172">
        <v>6000</v>
      </c>
      <c r="F18" s="173">
        <v>323</v>
      </c>
      <c r="G18" s="172">
        <v>200</v>
      </c>
      <c r="H18" s="169">
        <f t="shared" si="0"/>
        <v>6523</v>
      </c>
      <c r="I18" s="169">
        <f>6520</f>
        <v>6520</v>
      </c>
      <c r="J18" s="169">
        <f t="shared" si="1"/>
        <v>3</v>
      </c>
      <c r="K18" s="169"/>
      <c r="L18" s="169"/>
      <c r="M18" s="158"/>
    </row>
    <row r="19" spans="1:15" ht="15.75" x14ac:dyDescent="0.25">
      <c r="A19" s="165" t="s">
        <v>180</v>
      </c>
      <c r="B19" s="166" t="s">
        <v>41</v>
      </c>
      <c r="C19" s="167"/>
      <c r="D19" s="220">
        <f>'JUNE 21'!J19:J52</f>
        <v>0</v>
      </c>
      <c r="E19" s="172">
        <v>6000</v>
      </c>
      <c r="F19" s="173">
        <v>374</v>
      </c>
      <c r="G19" s="172">
        <v>200</v>
      </c>
      <c r="H19" s="169">
        <f t="shared" si="0"/>
        <v>6574</v>
      </c>
      <c r="I19" s="169">
        <f>3000+2000</f>
        <v>5000</v>
      </c>
      <c r="J19" s="169">
        <f t="shared" si="1"/>
        <v>1574</v>
      </c>
      <c r="K19" s="169"/>
      <c r="L19" s="169"/>
      <c r="M19" s="158"/>
    </row>
    <row r="20" spans="1:15" ht="15.75" x14ac:dyDescent="0.25">
      <c r="A20" s="171" t="s">
        <v>75</v>
      </c>
      <c r="B20" s="166" t="s">
        <v>40</v>
      </c>
      <c r="C20" s="167"/>
      <c r="D20" s="220">
        <f>'JUNE 21'!J20:J53</f>
        <v>200</v>
      </c>
      <c r="E20" s="172">
        <v>6000</v>
      </c>
      <c r="F20" s="173">
        <v>306</v>
      </c>
      <c r="G20" s="172">
        <v>200</v>
      </c>
      <c r="H20" s="169">
        <f t="shared" si="0"/>
        <v>6706</v>
      </c>
      <c r="I20" s="169">
        <v>6506</v>
      </c>
      <c r="J20" s="169">
        <f t="shared" si="1"/>
        <v>200</v>
      </c>
      <c r="K20" s="169"/>
      <c r="L20" s="169"/>
      <c r="M20" s="158"/>
    </row>
    <row r="21" spans="1:15" ht="15.75" x14ac:dyDescent="0.25">
      <c r="A21" s="174" t="s">
        <v>76</v>
      </c>
      <c r="B21" s="183" t="s">
        <v>39</v>
      </c>
      <c r="C21" s="167"/>
      <c r="D21" s="220">
        <f>'JUNE 21'!J21:J54</f>
        <v>6882</v>
      </c>
      <c r="E21" s="172"/>
      <c r="F21" s="173"/>
      <c r="G21" s="172"/>
      <c r="H21" s="169">
        <f t="shared" si="0"/>
        <v>6882</v>
      </c>
      <c r="I21" s="169">
        <f>6200</f>
        <v>6200</v>
      </c>
      <c r="J21" s="169">
        <f t="shared" si="1"/>
        <v>682</v>
      </c>
      <c r="K21" s="169"/>
      <c r="L21" s="169"/>
      <c r="M21" s="181"/>
    </row>
    <row r="22" spans="1:15" ht="15.75" x14ac:dyDescent="0.25">
      <c r="A22" s="165" t="s">
        <v>150</v>
      </c>
      <c r="B22" s="166" t="s">
        <v>38</v>
      </c>
      <c r="C22" s="167"/>
      <c r="D22" s="220">
        <f>'JUNE 21'!J22:J55</f>
        <v>0</v>
      </c>
      <c r="E22" s="172">
        <v>6000</v>
      </c>
      <c r="F22" s="173">
        <v>340</v>
      </c>
      <c r="G22" s="172">
        <v>200</v>
      </c>
      <c r="H22" s="169">
        <f t="shared" si="0"/>
        <v>6540</v>
      </c>
      <c r="I22" s="169">
        <f>6540</f>
        <v>6540</v>
      </c>
      <c r="J22" s="169">
        <f t="shared" si="1"/>
        <v>0</v>
      </c>
      <c r="K22" s="169"/>
      <c r="L22" s="169"/>
      <c r="M22" s="158"/>
    </row>
    <row r="23" spans="1:15" ht="15.75" x14ac:dyDescent="0.25">
      <c r="A23" s="171" t="s">
        <v>78</v>
      </c>
      <c r="B23" s="166" t="s">
        <v>37</v>
      </c>
      <c r="C23" s="167"/>
      <c r="D23" s="220">
        <f>'JUNE 21'!J23:J56</f>
        <v>0</v>
      </c>
      <c r="E23" s="172">
        <v>6000</v>
      </c>
      <c r="F23" s="173">
        <v>170</v>
      </c>
      <c r="G23" s="172">
        <v>200</v>
      </c>
      <c r="H23" s="169">
        <f t="shared" si="0"/>
        <v>6370</v>
      </c>
      <c r="I23" s="169">
        <v>6370</v>
      </c>
      <c r="J23" s="169">
        <f t="shared" si="1"/>
        <v>0</v>
      </c>
      <c r="K23" s="169"/>
      <c r="L23" s="169"/>
      <c r="M23" s="182"/>
    </row>
    <row r="24" spans="1:15" ht="15.75" x14ac:dyDescent="0.25">
      <c r="A24" s="174" t="s">
        <v>67</v>
      </c>
      <c r="B24" s="185" t="s">
        <v>28</v>
      </c>
      <c r="C24" s="167"/>
      <c r="D24" s="220">
        <f>'JUNE 21'!J24:J57</f>
        <v>0</v>
      </c>
      <c r="E24" s="172"/>
      <c r="F24" s="173"/>
      <c r="G24" s="172"/>
      <c r="H24" s="169">
        <f t="shared" si="0"/>
        <v>0</v>
      </c>
      <c r="I24" s="169"/>
      <c r="J24" s="169">
        <f>H24-I24</f>
        <v>0</v>
      </c>
      <c r="K24" s="169"/>
      <c r="L24" s="169"/>
      <c r="M24" s="182"/>
    </row>
    <row r="25" spans="1:15" ht="15.75" x14ac:dyDescent="0.25">
      <c r="A25" s="174" t="s">
        <v>67</v>
      </c>
      <c r="B25" s="186" t="s">
        <v>29</v>
      </c>
      <c r="C25" s="167"/>
      <c r="D25" s="220">
        <f>'JUNE 21'!J25:J58</f>
        <v>0</v>
      </c>
      <c r="E25" s="172"/>
      <c r="F25" s="173"/>
      <c r="G25" s="172"/>
      <c r="H25" s="169">
        <f t="shared" si="0"/>
        <v>0</v>
      </c>
      <c r="I25" s="169"/>
      <c r="J25" s="169">
        <f t="shared" si="1"/>
        <v>0</v>
      </c>
      <c r="K25" s="169"/>
      <c r="L25" s="169"/>
      <c r="M25" s="158"/>
    </row>
    <row r="26" spans="1:15" ht="15.75" x14ac:dyDescent="0.25">
      <c r="A26" s="165" t="s">
        <v>317</v>
      </c>
      <c r="B26" s="186" t="s">
        <v>30</v>
      </c>
      <c r="C26" s="167"/>
      <c r="D26" s="220">
        <f>'JUNE 21'!J26:J59</f>
        <v>8410</v>
      </c>
      <c r="E26" s="172">
        <v>6500</v>
      </c>
      <c r="F26" s="173">
        <v>884</v>
      </c>
      <c r="G26" s="172">
        <v>200</v>
      </c>
      <c r="H26" s="169">
        <f t="shared" si="0"/>
        <v>15994</v>
      </c>
      <c r="I26" s="169">
        <f>11204</f>
        <v>11204</v>
      </c>
      <c r="J26" s="169">
        <f t="shared" si="1"/>
        <v>4790</v>
      </c>
      <c r="K26" s="169"/>
      <c r="L26" s="169"/>
      <c r="M26" s="182"/>
    </row>
    <row r="27" spans="1:15" ht="15.75" x14ac:dyDescent="0.25">
      <c r="A27" s="165" t="s">
        <v>332</v>
      </c>
      <c r="B27" s="186" t="s">
        <v>55</v>
      </c>
      <c r="C27" s="167"/>
      <c r="D27" s="220">
        <f>'JUNE 21'!J27:J60</f>
        <v>2925</v>
      </c>
      <c r="E27" s="172">
        <v>6500</v>
      </c>
      <c r="F27" s="173">
        <v>765</v>
      </c>
      <c r="G27" s="172">
        <v>200</v>
      </c>
      <c r="H27" s="169">
        <f>D27+E27+F27+G27</f>
        <v>10390</v>
      </c>
      <c r="I27" s="169">
        <f>5000+1000</f>
        <v>6000</v>
      </c>
      <c r="J27" s="169">
        <f>H27-I27</f>
        <v>4390</v>
      </c>
      <c r="K27" s="169"/>
      <c r="L27" s="169"/>
      <c r="M27" s="187">
        <f>E27+F27+G27+'JUNE 21'!O27</f>
        <v>9390</v>
      </c>
      <c r="N27" s="53">
        <f>M27-5000</f>
        <v>4390</v>
      </c>
    </row>
    <row r="28" spans="1:15" ht="15.75" x14ac:dyDescent="0.25">
      <c r="A28" s="165" t="s">
        <v>83</v>
      </c>
      <c r="B28" s="186" t="s">
        <v>56</v>
      </c>
      <c r="C28" s="167"/>
      <c r="D28" s="220">
        <f>'JUNE 21'!J28:J61</f>
        <v>0</v>
      </c>
      <c r="E28" s="172">
        <v>8000</v>
      </c>
      <c r="F28" s="173">
        <v>187</v>
      </c>
      <c r="G28" s="172">
        <v>200</v>
      </c>
      <c r="H28" s="169">
        <f t="shared" si="0"/>
        <v>8387</v>
      </c>
      <c r="I28" s="169">
        <f>4000</f>
        <v>4000</v>
      </c>
      <c r="J28" s="169">
        <f t="shared" si="1"/>
        <v>4387</v>
      </c>
      <c r="K28" s="169"/>
      <c r="L28" s="169"/>
      <c r="M28" s="181">
        <f>M27+1000</f>
        <v>10390</v>
      </c>
      <c r="N28" s="53">
        <f>N27+650</f>
        <v>5040</v>
      </c>
      <c r="O28" s="53"/>
    </row>
    <row r="29" spans="1:15" ht="15.75" x14ac:dyDescent="0.25">
      <c r="A29" s="165" t="s">
        <v>181</v>
      </c>
      <c r="B29" s="186" t="s">
        <v>57</v>
      </c>
      <c r="C29" s="167"/>
      <c r="D29" s="220">
        <f>'JUNE 21'!J29:J62</f>
        <v>168</v>
      </c>
      <c r="E29" s="172">
        <v>6500</v>
      </c>
      <c r="F29" s="173">
        <v>561</v>
      </c>
      <c r="G29" s="172">
        <v>200</v>
      </c>
      <c r="H29" s="169">
        <f>D29+E29+F29+G29</f>
        <v>7429</v>
      </c>
      <c r="I29" s="169">
        <v>6100</v>
      </c>
      <c r="J29" s="169">
        <f t="shared" si="1"/>
        <v>1329</v>
      </c>
      <c r="K29" s="169"/>
      <c r="L29" s="169"/>
      <c r="M29" s="158"/>
      <c r="N29">
        <f>6500+357+200</f>
        <v>7057</v>
      </c>
    </row>
    <row r="30" spans="1:15" ht="15.75" x14ac:dyDescent="0.25">
      <c r="A30" s="184" t="s">
        <v>92</v>
      </c>
      <c r="B30" s="185" t="s">
        <v>58</v>
      </c>
      <c r="C30" s="167"/>
      <c r="D30" s="220">
        <f>'JUNE 21'!J30:J63</f>
        <v>3081</v>
      </c>
      <c r="E30" s="172">
        <v>6500</v>
      </c>
      <c r="F30" s="173">
        <v>221</v>
      </c>
      <c r="G30" s="172">
        <v>200</v>
      </c>
      <c r="H30" s="169">
        <f>D30+E30+F30+G30</f>
        <v>10002</v>
      </c>
      <c r="I30" s="169">
        <v>6000</v>
      </c>
      <c r="J30" s="169">
        <f t="shared" si="1"/>
        <v>4002</v>
      </c>
      <c r="K30" s="169"/>
      <c r="L30" s="169"/>
      <c r="M30" s="158"/>
      <c r="N30" s="53">
        <f>N28+N29</f>
        <v>12097</v>
      </c>
    </row>
    <row r="31" spans="1:15" ht="15.75" x14ac:dyDescent="0.25">
      <c r="A31" s="165" t="s">
        <v>176</v>
      </c>
      <c r="B31" s="186" t="s">
        <v>59</v>
      </c>
      <c r="C31" s="167"/>
      <c r="D31" s="220">
        <f>'JUNE 21'!J31:J64</f>
        <v>2731</v>
      </c>
      <c r="E31" s="172">
        <v>6500</v>
      </c>
      <c r="F31" s="173">
        <v>612</v>
      </c>
      <c r="G31" s="172">
        <v>200</v>
      </c>
      <c r="H31" s="169">
        <f t="shared" si="0"/>
        <v>10043</v>
      </c>
      <c r="I31" s="169">
        <f>8300</f>
        <v>8300</v>
      </c>
      <c r="J31" s="169">
        <f t="shared" si="1"/>
        <v>1743</v>
      </c>
      <c r="K31" s="169"/>
      <c r="L31" s="169"/>
      <c r="M31" s="158"/>
    </row>
    <row r="32" spans="1:15" ht="15.75" x14ac:dyDescent="0.25">
      <c r="A32" s="165" t="s">
        <v>170</v>
      </c>
      <c r="B32" s="186" t="s">
        <v>60</v>
      </c>
      <c r="C32" s="167"/>
      <c r="D32" s="220">
        <f>'JUNE 21'!J32:J65</f>
        <v>0</v>
      </c>
      <c r="E32" s="172">
        <v>6500</v>
      </c>
      <c r="F32" s="173">
        <v>510</v>
      </c>
      <c r="G32" s="172">
        <v>200</v>
      </c>
      <c r="H32" s="169">
        <f t="shared" si="0"/>
        <v>7210</v>
      </c>
      <c r="I32" s="169">
        <f>7210</f>
        <v>7210</v>
      </c>
      <c r="J32" s="169">
        <f t="shared" si="1"/>
        <v>0</v>
      </c>
      <c r="K32" s="169"/>
      <c r="L32" s="169"/>
      <c r="M32" s="181"/>
      <c r="O32">
        <v>0</v>
      </c>
    </row>
    <row r="33" spans="1:16" ht="15.75" x14ac:dyDescent="0.25">
      <c r="A33" s="165" t="s">
        <v>80</v>
      </c>
      <c r="B33" s="186" t="s">
        <v>31</v>
      </c>
      <c r="C33" s="167"/>
      <c r="D33" s="220">
        <f>'JUNE 21'!J33:J66</f>
        <v>0</v>
      </c>
      <c r="E33" s="172">
        <v>9000</v>
      </c>
      <c r="F33" s="173">
        <v>1479</v>
      </c>
      <c r="G33" s="172">
        <v>200</v>
      </c>
      <c r="H33" s="169">
        <f>D33+E33+F33+G33</f>
        <v>10679</v>
      </c>
      <c r="I33" s="169">
        <v>10679</v>
      </c>
      <c r="J33" s="169">
        <f>H33-I33</f>
        <v>0</v>
      </c>
      <c r="K33" s="169"/>
      <c r="L33" s="169"/>
      <c r="M33" s="187"/>
    </row>
    <row r="34" spans="1:16" ht="15.75" x14ac:dyDescent="0.25">
      <c r="A34" s="165" t="s">
        <v>322</v>
      </c>
      <c r="B34" s="186" t="s">
        <v>32</v>
      </c>
      <c r="C34" s="167"/>
      <c r="D34" s="220">
        <f>'JUNE 21'!J34:J67</f>
        <v>1062</v>
      </c>
      <c r="E34" s="173">
        <v>6500</v>
      </c>
      <c r="F34" s="173">
        <v>425</v>
      </c>
      <c r="G34" s="172">
        <v>200</v>
      </c>
      <c r="H34" s="169">
        <f t="shared" si="0"/>
        <v>8187</v>
      </c>
      <c r="I34" s="169">
        <f>700+6000</f>
        <v>6700</v>
      </c>
      <c r="J34" s="169">
        <f t="shared" si="1"/>
        <v>1487</v>
      </c>
      <c r="K34" s="169"/>
      <c r="L34" s="169"/>
      <c r="M34" s="181">
        <f>E31+F31+G31</f>
        <v>7312</v>
      </c>
    </row>
    <row r="35" spans="1:16" ht="15.75" x14ac:dyDescent="0.25">
      <c r="A35" s="165" t="s">
        <v>245</v>
      </c>
      <c r="B35" s="186" t="s">
        <v>33</v>
      </c>
      <c r="C35" s="167"/>
      <c r="D35" s="220">
        <f>'JUNE 21'!J35:J68</f>
        <v>2792</v>
      </c>
      <c r="E35" s="173">
        <v>6500</v>
      </c>
      <c r="F35" s="173">
        <v>476</v>
      </c>
      <c r="G35" s="172">
        <v>200</v>
      </c>
      <c r="H35" s="169">
        <f t="shared" si="0"/>
        <v>9968</v>
      </c>
      <c r="I35" s="169">
        <f>7200+1600+1000</f>
        <v>9800</v>
      </c>
      <c r="J35" s="169">
        <f t="shared" si="1"/>
        <v>168</v>
      </c>
      <c r="K35" s="169"/>
      <c r="L35" s="169"/>
      <c r="M35" s="158"/>
    </row>
    <row r="36" spans="1:16" ht="15.75" x14ac:dyDescent="0.25">
      <c r="A36" s="165" t="s">
        <v>89</v>
      </c>
      <c r="B36" s="186" t="s">
        <v>34</v>
      </c>
      <c r="C36" s="167"/>
      <c r="D36" s="220">
        <f>'JUNE 21'!J36:J69</f>
        <v>0</v>
      </c>
      <c r="E36" s="173">
        <v>6500</v>
      </c>
      <c r="F36" s="173">
        <v>136</v>
      </c>
      <c r="G36" s="172">
        <v>200</v>
      </c>
      <c r="H36" s="169">
        <f t="shared" si="0"/>
        <v>6836</v>
      </c>
      <c r="I36" s="169">
        <v>6836</v>
      </c>
      <c r="J36" s="169">
        <f t="shared" si="1"/>
        <v>0</v>
      </c>
      <c r="K36" s="169"/>
      <c r="L36" s="169"/>
      <c r="M36" s="158"/>
    </row>
    <row r="37" spans="1:16" ht="15.75" x14ac:dyDescent="0.25">
      <c r="A37" s="165" t="s">
        <v>330</v>
      </c>
      <c r="B37" s="186" t="s">
        <v>35</v>
      </c>
      <c r="C37" s="167"/>
      <c r="D37" s="220">
        <f>'JUNE 21'!J37:J70</f>
        <v>40</v>
      </c>
      <c r="E37" s="173">
        <v>6500</v>
      </c>
      <c r="F37" s="173">
        <v>357</v>
      </c>
      <c r="G37" s="172">
        <v>200</v>
      </c>
      <c r="H37" s="169">
        <f>D37+E37+F37+G37</f>
        <v>7097</v>
      </c>
      <c r="I37" s="169">
        <f>7000</f>
        <v>7000</v>
      </c>
      <c r="J37" s="169">
        <f>H37-I37</f>
        <v>97</v>
      </c>
      <c r="K37" s="169"/>
      <c r="L37" s="169"/>
      <c r="M37" s="158"/>
      <c r="N37" s="53">
        <f>D26+E26+F26+G26</f>
        <v>15994</v>
      </c>
    </row>
    <row r="38" spans="1:16" ht="15.75" x14ac:dyDescent="0.25">
      <c r="A38" s="165" t="s">
        <v>138</v>
      </c>
      <c r="B38" s="186" t="s">
        <v>36</v>
      </c>
      <c r="C38" s="167"/>
      <c r="D38" s="220">
        <f>'JUNE 21'!J38:J71</f>
        <v>0</v>
      </c>
      <c r="E38" s="178">
        <v>8000</v>
      </c>
      <c r="F38" s="178">
        <v>500</v>
      </c>
      <c r="G38" s="172">
        <v>200</v>
      </c>
      <c r="H38" s="169">
        <f>D38+E38+F38+G38</f>
        <v>8700</v>
      </c>
      <c r="I38" s="169">
        <f>4500+4200</f>
        <v>8700</v>
      </c>
      <c r="J38" s="169">
        <f>H38-I38</f>
        <v>0</v>
      </c>
      <c r="K38" s="169"/>
      <c r="L38" s="169"/>
      <c r="M38" s="158"/>
      <c r="N38" s="53">
        <f>N37-I26</f>
        <v>4790</v>
      </c>
    </row>
    <row r="39" spans="1:16" ht="15.75" x14ac:dyDescent="0.25">
      <c r="A39" s="165"/>
      <c r="B39" s="186"/>
      <c r="C39" s="167"/>
      <c r="D39" s="220">
        <f>'JUNE 21'!J39:J72</f>
        <v>0</v>
      </c>
      <c r="E39" s="178"/>
      <c r="F39" s="178"/>
      <c r="G39" s="172"/>
      <c r="H39" s="169">
        <f t="shared" si="0"/>
        <v>0</v>
      </c>
      <c r="I39" s="169">
        <f>SUM(D39:H39)</f>
        <v>0</v>
      </c>
      <c r="J39" s="169">
        <f>H39-I39</f>
        <v>0</v>
      </c>
      <c r="K39" s="169"/>
      <c r="L39" s="169"/>
      <c r="M39" s="158"/>
    </row>
    <row r="40" spans="1:16" ht="15.75" x14ac:dyDescent="0.25">
      <c r="A40" s="188" t="s">
        <v>10</v>
      </c>
      <c r="B40" s="165"/>
      <c r="C40" s="167">
        <f t="shared" ref="C40:L40" si="2">SUM(C6:C39)</f>
        <v>0</v>
      </c>
      <c r="D40" s="220">
        <f>SUM(D6:D39)</f>
        <v>33038</v>
      </c>
      <c r="E40" s="189">
        <f>SUM(E6:E39)</f>
        <v>156000</v>
      </c>
      <c r="F40" s="190">
        <f>SUM(F6:F39)</f>
        <v>10685</v>
      </c>
      <c r="G40" s="191">
        <f t="shared" si="2"/>
        <v>4800</v>
      </c>
      <c r="H40" s="169">
        <f>SUM(H6:H39)</f>
        <v>204523</v>
      </c>
      <c r="I40" s="192">
        <f>SUM(I6:I39)</f>
        <v>175933</v>
      </c>
      <c r="J40" s="192">
        <f>SUM(J6:J39)</f>
        <v>28590</v>
      </c>
      <c r="K40" s="192">
        <f t="shared" si="2"/>
        <v>0</v>
      </c>
      <c r="L40" s="192">
        <f t="shared" si="2"/>
        <v>0</v>
      </c>
      <c r="M40" s="158"/>
      <c r="P40">
        <f>11500-7150</f>
        <v>4350</v>
      </c>
    </row>
    <row r="41" spans="1:16" ht="15.75" x14ac:dyDescent="0.25">
      <c r="A41" s="184"/>
      <c r="B41" s="184"/>
      <c r="C41" s="177"/>
      <c r="D41" s="193"/>
      <c r="E41" s="184"/>
      <c r="F41" s="158"/>
      <c r="G41" s="184"/>
      <c r="H41" s="184"/>
      <c r="I41" s="184"/>
      <c r="J41" s="184"/>
      <c r="K41" s="184"/>
      <c r="L41" s="184"/>
      <c r="M41" s="158"/>
    </row>
    <row r="42" spans="1:16" ht="15.75" x14ac:dyDescent="0.25">
      <c r="A42" s="160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</row>
    <row r="43" spans="1:16" ht="15.75" x14ac:dyDescent="0.25">
      <c r="A43" s="184"/>
      <c r="B43" s="158"/>
      <c r="C43" s="158"/>
      <c r="D43" s="158"/>
      <c r="E43" s="158"/>
      <c r="F43" s="158"/>
      <c r="G43" s="158"/>
      <c r="H43" s="158"/>
      <c r="I43" s="158"/>
      <c r="J43" s="158"/>
      <c r="K43" s="158"/>
      <c r="L43" s="158"/>
      <c r="M43" s="158"/>
    </row>
    <row r="44" spans="1:16" x14ac:dyDescent="0.25">
      <c r="A44" s="18"/>
    </row>
    <row r="45" spans="1:16" x14ac:dyDescent="0.25">
      <c r="A45" s="18"/>
      <c r="H45" s="53"/>
      <c r="J45" s="53"/>
    </row>
    <row r="46" spans="1:16" x14ac:dyDescent="0.25">
      <c r="A46" s="18"/>
    </row>
    <row r="47" spans="1:16" x14ac:dyDescent="0.25">
      <c r="A47" s="18"/>
    </row>
    <row r="48" spans="1:16" x14ac:dyDescent="0.25">
      <c r="A48" s="18"/>
    </row>
    <row r="49" spans="1:19" x14ac:dyDescent="0.25">
      <c r="A49" s="18"/>
    </row>
    <row r="50" spans="1:19" x14ac:dyDescent="0.25">
      <c r="A50" s="18"/>
    </row>
    <row r="51" spans="1:19" x14ac:dyDescent="0.25">
      <c r="A51" s="18"/>
    </row>
    <row r="52" spans="1:19" x14ac:dyDescent="0.25">
      <c r="A52" s="18"/>
    </row>
    <row r="53" spans="1:19" x14ac:dyDescent="0.25">
      <c r="A53" s="18"/>
    </row>
    <row r="54" spans="1:19" x14ac:dyDescent="0.25">
      <c r="A54" s="18"/>
      <c r="J54" s="53"/>
    </row>
    <row r="55" spans="1:19" x14ac:dyDescent="0.25">
      <c r="A55" s="18"/>
      <c r="J55" s="53"/>
    </row>
    <row r="56" spans="1:19" x14ac:dyDescent="0.25">
      <c r="A56" s="18"/>
      <c r="K56" s="53"/>
    </row>
    <row r="57" spans="1:19" x14ac:dyDescent="0.25">
      <c r="A57" s="18"/>
      <c r="O57" s="157" t="s">
        <v>370</v>
      </c>
      <c r="P57" s="157"/>
      <c r="R57" t="s">
        <v>9</v>
      </c>
    </row>
    <row r="58" spans="1:19" x14ac:dyDescent="0.25">
      <c r="A58" s="18"/>
      <c r="H58" s="53"/>
      <c r="O58" s="18" t="s">
        <v>293</v>
      </c>
      <c r="P58" s="47">
        <f>H12</f>
        <v>6525</v>
      </c>
      <c r="Q58" s="132">
        <v>6525</v>
      </c>
      <c r="R58" s="132">
        <f>P58-Q58</f>
        <v>0</v>
      </c>
    </row>
    <row r="59" spans="1:19" x14ac:dyDescent="0.25">
      <c r="A59" s="134"/>
      <c r="O59" s="18" t="s">
        <v>372</v>
      </c>
      <c r="P59" s="47">
        <f>H13-1000</f>
        <v>7426</v>
      </c>
      <c r="Q59" s="47">
        <v>6875</v>
      </c>
      <c r="R59" s="222">
        <f>P59-Q59</f>
        <v>551</v>
      </c>
    </row>
    <row r="60" spans="1:19" ht="18.75" x14ac:dyDescent="0.3">
      <c r="A60" s="194"/>
      <c r="B60" s="194"/>
      <c r="C60" s="194"/>
      <c r="D60" s="194"/>
      <c r="E60" s="194"/>
      <c r="F60" s="194"/>
      <c r="G60" s="194"/>
      <c r="H60" s="194"/>
      <c r="I60" s="194"/>
      <c r="J60" s="194"/>
      <c r="O60" s="125" t="s">
        <v>352</v>
      </c>
      <c r="P60" s="47">
        <f>1114</f>
        <v>1114</v>
      </c>
      <c r="Q60" s="132">
        <v>1000</v>
      </c>
      <c r="R60" s="132">
        <f>P60-Q60</f>
        <v>114</v>
      </c>
    </row>
    <row r="61" spans="1:19" ht="18.75" x14ac:dyDescent="0.3">
      <c r="A61" s="195" t="s">
        <v>12</v>
      </c>
      <c r="B61" s="195"/>
      <c r="C61" s="195"/>
      <c r="D61" s="196"/>
      <c r="E61" s="197"/>
      <c r="F61" s="195" t="s">
        <v>8</v>
      </c>
      <c r="G61" s="195"/>
      <c r="H61" s="195"/>
      <c r="I61" s="198"/>
      <c r="J61" s="198"/>
      <c r="K61" s="79"/>
      <c r="L61" s="71"/>
      <c r="O61" s="74" t="s">
        <v>353</v>
      </c>
      <c r="P61" s="53"/>
      <c r="Q61" s="132"/>
      <c r="R61" s="132">
        <f t="shared" ref="R61" si="3">P61-Q61</f>
        <v>0</v>
      </c>
      <c r="S61" s="53"/>
    </row>
    <row r="62" spans="1:19" ht="18.75" x14ac:dyDescent="0.3">
      <c r="A62" s="199" t="s">
        <v>13</v>
      </c>
      <c r="B62" s="199" t="s">
        <v>14</v>
      </c>
      <c r="C62" s="199" t="s">
        <v>15</v>
      </c>
      <c r="D62" s="199" t="s">
        <v>16</v>
      </c>
      <c r="E62" s="199"/>
      <c r="F62" s="199" t="s">
        <v>13</v>
      </c>
      <c r="G62" s="199"/>
      <c r="H62" s="199" t="s">
        <v>265</v>
      </c>
      <c r="I62" s="199" t="s">
        <v>15</v>
      </c>
      <c r="J62" s="199" t="s">
        <v>16</v>
      </c>
      <c r="K62" s="87"/>
      <c r="L62" s="73"/>
      <c r="O62" s="18" t="s">
        <v>354</v>
      </c>
      <c r="P62" s="125">
        <v>1000</v>
      </c>
      <c r="Q62" s="132">
        <v>1000</v>
      </c>
      <c r="R62" s="132">
        <f>P62-Q62</f>
        <v>0</v>
      </c>
      <c r="S62" s="53"/>
    </row>
    <row r="63" spans="1:19" ht="18.75" x14ac:dyDescent="0.3">
      <c r="A63" s="200" t="s">
        <v>223</v>
      </c>
      <c r="B63" s="201">
        <f>E40</f>
        <v>156000</v>
      </c>
      <c r="C63" s="200"/>
      <c r="D63" s="200"/>
      <c r="E63" s="200"/>
      <c r="F63" s="200" t="s">
        <v>223</v>
      </c>
      <c r="G63" s="200"/>
      <c r="H63" s="202">
        <f>I40</f>
        <v>175933</v>
      </c>
      <c r="I63" s="200"/>
      <c r="J63" s="200"/>
      <c r="K63" s="60"/>
      <c r="L63" s="74"/>
      <c r="O63" s="18" t="s">
        <v>371</v>
      </c>
      <c r="P63" s="18">
        <v>1000</v>
      </c>
      <c r="Q63" s="132">
        <v>1000</v>
      </c>
      <c r="R63" s="132">
        <f>P63-Q63</f>
        <v>0</v>
      </c>
    </row>
    <row r="64" spans="1:19" ht="18.75" x14ac:dyDescent="0.3">
      <c r="A64" s="200"/>
      <c r="B64" s="201"/>
      <c r="C64" s="200"/>
      <c r="D64" s="200"/>
      <c r="E64" s="200"/>
      <c r="F64" s="200"/>
      <c r="G64" s="200"/>
      <c r="H64" s="202"/>
      <c r="I64" s="200"/>
      <c r="J64" s="200"/>
      <c r="K64" s="60"/>
      <c r="L64" s="74"/>
      <c r="O64" s="18" t="s">
        <v>368</v>
      </c>
      <c r="P64" s="18">
        <f>682</f>
        <v>682</v>
      </c>
      <c r="Q64" s="132"/>
      <c r="R64" s="132">
        <f>P64-Q64</f>
        <v>682</v>
      </c>
      <c r="S64" s="53"/>
    </row>
    <row r="65" spans="1:19" ht="18.75" x14ac:dyDescent="0.3">
      <c r="A65" s="200" t="s">
        <v>18</v>
      </c>
      <c r="B65" s="201">
        <f>'JUNE 21'!D78</f>
        <v>40.25</v>
      </c>
      <c r="C65" s="200"/>
      <c r="D65" s="200"/>
      <c r="E65" s="200"/>
      <c r="F65" s="200" t="s">
        <v>18</v>
      </c>
      <c r="G65" s="200"/>
      <c r="H65" s="201">
        <f>'JUNE 21'!J78</f>
        <v>-63063.75</v>
      </c>
      <c r="I65" s="200"/>
      <c r="J65" s="200"/>
      <c r="K65" s="60"/>
      <c r="L65" s="74"/>
      <c r="O65" s="18" t="s">
        <v>367</v>
      </c>
      <c r="P65" s="18">
        <v>1600</v>
      </c>
      <c r="Q65" s="132">
        <v>1600</v>
      </c>
      <c r="R65" s="132">
        <f>P65-Q65</f>
        <v>0</v>
      </c>
    </row>
    <row r="66" spans="1:19" ht="18.75" x14ac:dyDescent="0.3">
      <c r="A66" s="200" t="s">
        <v>19</v>
      </c>
      <c r="B66" s="201">
        <f>C40</f>
        <v>0</v>
      </c>
      <c r="C66" s="200"/>
      <c r="D66" s="200"/>
      <c r="E66" s="200"/>
      <c r="F66" s="200"/>
      <c r="G66" s="200"/>
      <c r="H66" s="200"/>
      <c r="I66" s="200"/>
      <c r="J66" s="200"/>
      <c r="K66" s="60"/>
      <c r="L66" s="74"/>
      <c r="O66" s="18" t="s">
        <v>23</v>
      </c>
      <c r="P66" s="47">
        <f>SUM(P58:P65)</f>
        <v>19347</v>
      </c>
      <c r="Q66" s="132">
        <f>SUM(Q58:Q65)</f>
        <v>18000</v>
      </c>
      <c r="R66" s="132">
        <f>P66-Q66</f>
        <v>1347</v>
      </c>
      <c r="S66" s="53"/>
    </row>
    <row r="67" spans="1:19" ht="18.75" x14ac:dyDescent="0.3">
      <c r="A67" s="200" t="s">
        <v>63</v>
      </c>
      <c r="B67" s="201">
        <f>F40</f>
        <v>10685</v>
      </c>
      <c r="C67" s="200"/>
      <c r="D67" s="200"/>
      <c r="E67" s="200"/>
      <c r="F67" s="200"/>
      <c r="G67" s="200"/>
      <c r="H67" s="200"/>
      <c r="I67" s="200"/>
      <c r="J67" s="200"/>
      <c r="K67" s="60"/>
      <c r="L67" s="74"/>
      <c r="O67" s="142"/>
      <c r="P67" s="18"/>
      <c r="Q67" s="132"/>
      <c r="R67" s="41"/>
    </row>
    <row r="68" spans="1:19" ht="18.75" x14ac:dyDescent="0.3">
      <c r="A68" s="200" t="s">
        <v>62</v>
      </c>
      <c r="B68" s="201">
        <f>K40</f>
        <v>0</v>
      </c>
      <c r="C68" s="200"/>
      <c r="D68" s="200"/>
      <c r="E68" s="200"/>
      <c r="F68" s="200"/>
      <c r="G68" s="200"/>
      <c r="H68" s="200"/>
      <c r="I68" s="200"/>
      <c r="J68" s="200"/>
      <c r="K68" s="60"/>
      <c r="L68" s="74"/>
    </row>
    <row r="69" spans="1:19" ht="18.75" x14ac:dyDescent="0.3">
      <c r="A69" s="200" t="s">
        <v>96</v>
      </c>
      <c r="B69" s="201">
        <f>G40</f>
        <v>4800</v>
      </c>
      <c r="C69" s="200"/>
      <c r="D69" s="200"/>
      <c r="E69" s="200"/>
      <c r="F69" s="200" t="s">
        <v>126</v>
      </c>
      <c r="G69" s="200"/>
      <c r="H69" s="200"/>
      <c r="I69" s="200"/>
      <c r="J69" s="200"/>
      <c r="K69" s="60"/>
      <c r="L69" s="74"/>
      <c r="O69" t="s">
        <v>373</v>
      </c>
      <c r="Q69">
        <v>18000</v>
      </c>
    </row>
    <row r="70" spans="1:19" ht="18.75" x14ac:dyDescent="0.3">
      <c r="A70" s="200" t="s">
        <v>167</v>
      </c>
      <c r="B70" s="201"/>
      <c r="C70" s="200"/>
      <c r="D70" s="200"/>
      <c r="E70" s="200"/>
      <c r="F70" s="200" t="s">
        <v>167</v>
      </c>
      <c r="G70" s="201"/>
      <c r="H70" s="194"/>
      <c r="I70" s="194"/>
      <c r="J70" s="200"/>
      <c r="K70" s="60"/>
      <c r="L70" s="74"/>
      <c r="M70" s="53"/>
      <c r="O70" t="s">
        <v>374</v>
      </c>
      <c r="Q70" s="53">
        <f>R66-Q69</f>
        <v>-16653</v>
      </c>
    </row>
    <row r="71" spans="1:19" ht="18.75" x14ac:dyDescent="0.3">
      <c r="A71" s="200" t="s">
        <v>126</v>
      </c>
      <c r="B71" s="202">
        <f>L40</f>
        <v>0</v>
      </c>
      <c r="C71" s="201"/>
      <c r="D71" s="200"/>
      <c r="E71" s="200"/>
      <c r="F71" s="200"/>
      <c r="G71" s="200"/>
      <c r="H71" s="200"/>
      <c r="I71" s="201"/>
      <c r="J71" s="201"/>
      <c r="K71" s="88"/>
      <c r="L71" s="75"/>
    </row>
    <row r="72" spans="1:19" ht="18.75" x14ac:dyDescent="0.3">
      <c r="A72" s="199" t="s">
        <v>21</v>
      </c>
      <c r="B72" s="200" t="s">
        <v>22</v>
      </c>
      <c r="C72" s="200"/>
      <c r="D72" s="200"/>
      <c r="E72" s="200"/>
      <c r="F72" s="199" t="s">
        <v>21</v>
      </c>
      <c r="G72" s="199"/>
      <c r="H72" s="199"/>
      <c r="I72" s="200"/>
      <c r="J72" s="200"/>
      <c r="K72" s="60"/>
      <c r="L72" s="74"/>
      <c r="Q72">
        <f>P64+114</f>
        <v>796</v>
      </c>
      <c r="S72" s="53">
        <f>P60+P64</f>
        <v>1796</v>
      </c>
    </row>
    <row r="73" spans="1:19" ht="18.75" x14ac:dyDescent="0.3">
      <c r="A73" s="203" t="s">
        <v>111</v>
      </c>
      <c r="B73" s="204">
        <v>0.05</v>
      </c>
      <c r="C73" s="202">
        <f>B73*E40</f>
        <v>7800</v>
      </c>
      <c r="D73" s="200"/>
      <c r="E73" s="200"/>
      <c r="F73" s="203" t="s">
        <v>111</v>
      </c>
      <c r="G73" s="203"/>
      <c r="H73" s="204">
        <v>0.05</v>
      </c>
      <c r="I73" s="202">
        <f>H73*E40</f>
        <v>7800</v>
      </c>
      <c r="J73" s="200"/>
      <c r="K73" s="60"/>
      <c r="L73" s="74"/>
    </row>
    <row r="74" spans="1:19" ht="18.75" x14ac:dyDescent="0.3">
      <c r="A74" s="205" t="s">
        <v>366</v>
      </c>
      <c r="B74" s="206"/>
      <c r="C74" s="194">
        <v>163725</v>
      </c>
      <c r="D74" s="202"/>
      <c r="E74" s="202"/>
      <c r="F74" s="205" t="s">
        <v>366</v>
      </c>
      <c r="G74" s="206"/>
      <c r="H74" s="194"/>
      <c r="I74" s="194">
        <f>C74</f>
        <v>163725</v>
      </c>
      <c r="J74" s="194"/>
      <c r="K74" s="89"/>
      <c r="L74" s="76"/>
      <c r="P74">
        <f>6525+8426+2000+1600</f>
        <v>18551</v>
      </c>
      <c r="R74" s="53">
        <f>P66-P74</f>
        <v>796</v>
      </c>
    </row>
    <row r="75" spans="1:19" ht="18.75" x14ac:dyDescent="0.3">
      <c r="A75" s="205"/>
      <c r="B75" s="204"/>
      <c r="C75" s="202"/>
      <c r="D75" s="200"/>
      <c r="E75" s="200"/>
      <c r="F75" s="205"/>
      <c r="G75" s="204"/>
      <c r="H75" s="202"/>
      <c r="I75" s="202"/>
      <c r="J75" s="200"/>
      <c r="K75" s="60"/>
      <c r="L75" s="74"/>
      <c r="S75" s="53">
        <f>R74+551</f>
        <v>1347</v>
      </c>
    </row>
    <row r="76" spans="1:19" ht="18.75" x14ac:dyDescent="0.3">
      <c r="A76" s="200"/>
      <c r="B76" s="200"/>
      <c r="C76" s="207"/>
      <c r="D76" s="200"/>
      <c r="E76" s="200"/>
      <c r="F76" s="207"/>
      <c r="G76" s="207"/>
      <c r="H76" s="200"/>
      <c r="I76" s="207"/>
      <c r="J76" s="200"/>
      <c r="K76" s="60"/>
      <c r="L76" s="74"/>
    </row>
    <row r="77" spans="1:19" ht="18.75" x14ac:dyDescent="0.3">
      <c r="A77" s="194"/>
      <c r="B77" s="194"/>
      <c r="C77" s="194"/>
      <c r="D77" s="194"/>
      <c r="E77" s="194"/>
      <c r="F77" s="194"/>
      <c r="G77" s="194"/>
      <c r="H77" s="194"/>
      <c r="I77" s="194"/>
      <c r="J77" s="194"/>
      <c r="K77" s="60"/>
      <c r="L77" s="74"/>
    </row>
    <row r="78" spans="1:19" ht="18.75" x14ac:dyDescent="0.3">
      <c r="A78" s="208"/>
      <c r="B78" s="200"/>
      <c r="C78" s="202"/>
      <c r="D78" s="200"/>
      <c r="E78" s="200"/>
      <c r="F78" s="200"/>
      <c r="G78" s="202"/>
      <c r="H78" s="203"/>
      <c r="I78" s="202"/>
      <c r="J78" s="202"/>
      <c r="K78" s="89"/>
      <c r="L78" s="76"/>
    </row>
    <row r="79" spans="1:19" ht="18.75" x14ac:dyDescent="0.3">
      <c r="A79" s="199" t="s">
        <v>23</v>
      </c>
      <c r="B79" s="209">
        <f>B63+B65+B66+B67+B68+B69+B71+B70</f>
        <v>171525.25</v>
      </c>
      <c r="C79" s="209">
        <f>SUM(C73:C78)</f>
        <v>171525</v>
      </c>
      <c r="D79" s="209">
        <f>B79-C79</f>
        <v>0.25</v>
      </c>
      <c r="E79" s="209"/>
      <c r="F79" s="199"/>
      <c r="G79" s="199"/>
      <c r="H79" s="209">
        <f>H63+H65+H67+H69+H70</f>
        <v>112869.25</v>
      </c>
      <c r="I79" s="209">
        <f>SUM(I73:I78)</f>
        <v>171525</v>
      </c>
      <c r="J79" s="209">
        <f>H79-I79</f>
        <v>-58655.75</v>
      </c>
      <c r="K79" s="96"/>
      <c r="L79" s="77"/>
    </row>
    <row r="80" spans="1:19" ht="18.75" x14ac:dyDescent="0.3">
      <c r="A80" s="198"/>
      <c r="B80" s="198"/>
      <c r="C80" s="198"/>
      <c r="D80" s="198"/>
      <c r="E80" s="198"/>
      <c r="F80" s="198"/>
      <c r="G80" s="198"/>
      <c r="H80" s="198"/>
      <c r="I80" s="210">
        <f>I79-I73</f>
        <v>163725</v>
      </c>
      <c r="J80" s="198"/>
      <c r="K80" s="79"/>
      <c r="L80" s="71"/>
    </row>
    <row r="81" spans="1:13" ht="18.75" x14ac:dyDescent="0.3">
      <c r="A81" s="211" t="s">
        <v>24</v>
      </c>
      <c r="B81" s="212"/>
      <c r="C81" s="212" t="s">
        <v>25</v>
      </c>
      <c r="D81" s="213"/>
      <c r="E81" s="213"/>
      <c r="F81" s="211"/>
      <c r="G81" s="211"/>
      <c r="H81" s="211" t="s">
        <v>26</v>
      </c>
      <c r="I81" s="198"/>
      <c r="J81" s="198"/>
      <c r="K81" s="79"/>
      <c r="L81" s="71"/>
    </row>
    <row r="82" spans="1:13" ht="18.75" x14ac:dyDescent="0.3">
      <c r="A82" s="198" t="s">
        <v>104</v>
      </c>
      <c r="B82" s="198"/>
      <c r="C82" s="198" t="s">
        <v>105</v>
      </c>
      <c r="D82" s="198"/>
      <c r="E82" s="198"/>
      <c r="F82" s="198"/>
      <c r="G82" s="198"/>
      <c r="H82" s="198" t="s">
        <v>27</v>
      </c>
      <c r="I82" s="198"/>
      <c r="J82" s="198"/>
      <c r="K82" s="119"/>
      <c r="L82" s="71"/>
      <c r="M82" s="5"/>
    </row>
    <row r="83" spans="1:13" ht="18.75" x14ac:dyDescent="0.3">
      <c r="A83" s="194"/>
      <c r="B83" s="194"/>
      <c r="C83" s="194"/>
      <c r="D83" s="194"/>
      <c r="E83" s="194"/>
      <c r="F83" s="194"/>
      <c r="G83" s="194"/>
      <c r="H83" s="194"/>
      <c r="I83" s="194"/>
      <c r="J83" s="194"/>
      <c r="K83" s="5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topLeftCell="A4" workbookViewId="0">
      <selection activeCell="I17" sqref="I17"/>
    </sheetView>
  </sheetViews>
  <sheetFormatPr defaultRowHeight="15" x14ac:dyDescent="0.25"/>
  <cols>
    <col min="1" max="1" width="20.42578125" customWidth="1"/>
    <col min="2" max="2" width="10.28515625" customWidth="1"/>
    <col min="3" max="3" width="10.5703125" customWidth="1"/>
    <col min="4" max="4" width="11.28515625" customWidth="1"/>
    <col min="5" max="5" width="9.7109375" customWidth="1"/>
    <col min="7" max="7" width="11.5703125" customWidth="1"/>
    <col min="8" max="8" width="13" customWidth="1"/>
    <col min="9" max="9" width="13.28515625" customWidth="1"/>
    <col min="10" max="10" width="11.7109375" customWidth="1"/>
    <col min="15" max="15" width="12.5703125" customWidth="1"/>
  </cols>
  <sheetData>
    <row r="1" spans="1:15" ht="15.75" x14ac:dyDescent="0.25">
      <c r="A1" s="158"/>
      <c r="B1" s="158"/>
      <c r="C1" s="159"/>
      <c r="D1" s="159"/>
      <c r="E1" s="159"/>
      <c r="F1" s="159"/>
      <c r="G1" s="159"/>
      <c r="H1" s="158"/>
      <c r="I1" s="159"/>
      <c r="J1" s="159"/>
      <c r="K1" s="159"/>
      <c r="L1" s="159"/>
      <c r="M1" s="158"/>
    </row>
    <row r="2" spans="1:15" ht="15.75" x14ac:dyDescent="0.25">
      <c r="A2" s="158"/>
      <c r="B2" s="158"/>
      <c r="C2" s="100"/>
      <c r="D2" s="100"/>
      <c r="E2" s="100" t="s">
        <v>27</v>
      </c>
      <c r="F2" s="160"/>
      <c r="G2" s="100"/>
      <c r="H2" s="101"/>
      <c r="I2" s="160"/>
      <c r="J2" s="160"/>
      <c r="K2" s="160"/>
      <c r="L2" s="160"/>
      <c r="M2" s="158"/>
    </row>
    <row r="3" spans="1:15" ht="15.75" x14ac:dyDescent="0.25">
      <c r="A3" s="160"/>
      <c r="B3" s="100"/>
      <c r="C3" s="100"/>
      <c r="D3" s="100"/>
      <c r="E3" s="100" t="s">
        <v>0</v>
      </c>
      <c r="F3" s="100"/>
      <c r="G3" s="159"/>
      <c r="H3" s="102"/>
      <c r="I3" s="160"/>
      <c r="J3" s="160"/>
      <c r="K3" s="160"/>
      <c r="L3" s="160"/>
      <c r="M3" s="158"/>
    </row>
    <row r="4" spans="1:15" ht="15.75" x14ac:dyDescent="0.25">
      <c r="A4" s="100"/>
      <c r="B4" s="160"/>
      <c r="C4" s="158"/>
      <c r="D4" s="100" t="s">
        <v>375</v>
      </c>
      <c r="E4" s="100"/>
      <c r="F4" s="158"/>
      <c r="G4" s="100"/>
      <c r="H4" s="104"/>
      <c r="I4" s="104"/>
      <c r="J4" s="104"/>
      <c r="K4" s="104"/>
      <c r="L4" s="104"/>
      <c r="M4" s="158"/>
    </row>
    <row r="5" spans="1:15" ht="15.75" x14ac:dyDescent="0.25">
      <c r="A5" s="161" t="s">
        <v>2</v>
      </c>
      <c r="B5" s="161" t="s">
        <v>3</v>
      </c>
      <c r="C5" s="161" t="s">
        <v>4</v>
      </c>
      <c r="D5" s="162" t="s">
        <v>5</v>
      </c>
      <c r="E5" s="161" t="s">
        <v>6</v>
      </c>
      <c r="F5" s="163" t="s">
        <v>63</v>
      </c>
      <c r="G5" s="161" t="s">
        <v>96</v>
      </c>
      <c r="H5" s="164" t="s">
        <v>7</v>
      </c>
      <c r="I5" s="161" t="s">
        <v>8</v>
      </c>
      <c r="J5" s="161" t="s">
        <v>9</v>
      </c>
      <c r="K5" s="161" t="s">
        <v>91</v>
      </c>
      <c r="L5" s="161" t="s">
        <v>123</v>
      </c>
      <c r="M5" s="158"/>
    </row>
    <row r="6" spans="1:15" ht="15.75" x14ac:dyDescent="0.25">
      <c r="A6" s="165" t="s">
        <v>376</v>
      </c>
      <c r="B6" s="166" t="s">
        <v>52</v>
      </c>
      <c r="C6" s="167"/>
      <c r="D6" s="220">
        <f>'JULY 21'!J6:J39</f>
        <v>0</v>
      </c>
      <c r="E6" s="169"/>
      <c r="F6" s="170"/>
      <c r="G6" s="169"/>
      <c r="H6" s="169">
        <f t="shared" ref="H6:H39" si="0">D6+E6+F6+G6</f>
        <v>0</v>
      </c>
      <c r="I6" s="169"/>
      <c r="J6" s="169">
        <f>H6-I6</f>
        <v>0</v>
      </c>
      <c r="K6" s="169"/>
      <c r="L6" s="169"/>
      <c r="M6" s="158"/>
    </row>
    <row r="7" spans="1:15" ht="15.75" x14ac:dyDescent="0.25">
      <c r="A7" s="218" t="s">
        <v>67</v>
      </c>
      <c r="B7" s="166" t="s">
        <v>51</v>
      </c>
      <c r="C7" s="167"/>
      <c r="D7" s="220">
        <f>'JULY 21'!J7:J40</f>
        <v>0</v>
      </c>
      <c r="E7" s="172"/>
      <c r="F7" s="173"/>
      <c r="G7" s="172"/>
      <c r="H7" s="169">
        <f t="shared" si="0"/>
        <v>0</v>
      </c>
      <c r="I7" s="169"/>
      <c r="J7" s="169">
        <f>H7-I7</f>
        <v>0</v>
      </c>
      <c r="K7" s="169"/>
      <c r="L7" s="169"/>
      <c r="M7" s="158"/>
    </row>
    <row r="8" spans="1:15" ht="15.75" x14ac:dyDescent="0.25">
      <c r="A8" s="171" t="s">
        <v>65</v>
      </c>
      <c r="B8" s="166" t="s">
        <v>54</v>
      </c>
      <c r="C8" s="167"/>
      <c r="D8" s="220">
        <f>'JULY 21'!J8:J41</f>
        <v>0</v>
      </c>
      <c r="E8" s="172"/>
      <c r="F8" s="173"/>
      <c r="G8" s="172"/>
      <c r="H8" s="169">
        <f t="shared" si="0"/>
        <v>0</v>
      </c>
      <c r="I8" s="169"/>
      <c r="J8" s="169">
        <f>H8-I8</f>
        <v>0</v>
      </c>
      <c r="K8" s="169"/>
      <c r="L8" s="169"/>
      <c r="M8" s="158"/>
    </row>
    <row r="9" spans="1:15" ht="15.75" x14ac:dyDescent="0.25">
      <c r="A9" s="174" t="s">
        <v>67</v>
      </c>
      <c r="B9" s="175" t="s">
        <v>50</v>
      </c>
      <c r="C9" s="176"/>
      <c r="D9" s="220">
        <f>'JULY 21'!J9:J42</f>
        <v>0</v>
      </c>
      <c r="E9" s="177"/>
      <c r="F9" s="178"/>
      <c r="G9" s="172"/>
      <c r="H9" s="169">
        <f t="shared" si="0"/>
        <v>0</v>
      </c>
      <c r="I9" s="169"/>
      <c r="J9" s="169">
        <f>H9-I9</f>
        <v>0</v>
      </c>
      <c r="K9" s="169"/>
      <c r="L9" s="169"/>
      <c r="M9" s="158"/>
    </row>
    <row r="10" spans="1:15" ht="15.75" x14ac:dyDescent="0.25">
      <c r="A10" s="218" t="s">
        <v>364</v>
      </c>
      <c r="B10" s="166" t="s">
        <v>49</v>
      </c>
      <c r="C10" s="176"/>
      <c r="D10" s="220">
        <f>'JULY 21'!J10:J43</f>
        <v>0</v>
      </c>
      <c r="E10" s="172"/>
      <c r="F10" s="173"/>
      <c r="G10" s="172"/>
      <c r="H10" s="169">
        <f t="shared" si="0"/>
        <v>0</v>
      </c>
      <c r="I10" s="169"/>
      <c r="J10" s="169">
        <f>H10-I10</f>
        <v>0</v>
      </c>
      <c r="K10" s="169"/>
      <c r="L10" s="169"/>
      <c r="M10" s="158"/>
    </row>
    <row r="11" spans="1:15" ht="15.75" x14ac:dyDescent="0.25">
      <c r="A11" s="179" t="s">
        <v>263</v>
      </c>
      <c r="B11" s="166" t="s">
        <v>53</v>
      </c>
      <c r="C11" s="167"/>
      <c r="D11" s="220">
        <f>'JULY 21'!J11:J44</f>
        <v>1546</v>
      </c>
      <c r="E11" s="172">
        <v>6000</v>
      </c>
      <c r="F11" s="173">
        <v>680</v>
      </c>
      <c r="G11" s="172">
        <v>200</v>
      </c>
      <c r="H11" s="169">
        <f t="shared" si="0"/>
        <v>8426</v>
      </c>
      <c r="I11" s="169">
        <f>5500+1370</f>
        <v>6870</v>
      </c>
      <c r="J11" s="169">
        <f t="shared" ref="J11:J36" si="1">H11-I11</f>
        <v>1556</v>
      </c>
      <c r="K11" s="169"/>
      <c r="L11" s="169"/>
      <c r="M11" s="181"/>
    </row>
    <row r="12" spans="1:15" ht="15.75" x14ac:dyDescent="0.25">
      <c r="A12" s="165" t="s">
        <v>262</v>
      </c>
      <c r="B12" s="166" t="s">
        <v>48</v>
      </c>
      <c r="C12" s="167"/>
      <c r="D12" s="220">
        <f>'JULY 21'!J12:J45</f>
        <v>0</v>
      </c>
      <c r="E12" s="172">
        <v>6000</v>
      </c>
      <c r="F12" s="173">
        <v>493</v>
      </c>
      <c r="G12" s="172">
        <v>200</v>
      </c>
      <c r="H12" s="169">
        <f t="shared" si="0"/>
        <v>6693</v>
      </c>
      <c r="I12" s="169"/>
      <c r="J12" s="169">
        <f t="shared" si="1"/>
        <v>6693</v>
      </c>
      <c r="K12" s="169"/>
      <c r="L12" s="169"/>
      <c r="M12" s="158"/>
    </row>
    <row r="13" spans="1:15" ht="15.75" x14ac:dyDescent="0.25">
      <c r="A13" s="223" t="s">
        <v>67</v>
      </c>
      <c r="B13" s="166" t="s">
        <v>47</v>
      </c>
      <c r="C13" s="167"/>
      <c r="D13" s="220"/>
      <c r="E13" s="172"/>
      <c r="F13" s="173"/>
      <c r="G13" s="172"/>
      <c r="H13" s="169">
        <f t="shared" si="0"/>
        <v>0</v>
      </c>
      <c r="I13" s="169"/>
      <c r="J13" s="169">
        <f t="shared" si="1"/>
        <v>0</v>
      </c>
      <c r="K13" s="169"/>
      <c r="L13" s="169"/>
      <c r="M13" s="158"/>
    </row>
    <row r="14" spans="1:15" ht="15.75" x14ac:dyDescent="0.25">
      <c r="A14" s="174" t="s">
        <v>67</v>
      </c>
      <c r="B14" s="166" t="s">
        <v>46</v>
      </c>
      <c r="C14" s="167"/>
      <c r="D14" s="220">
        <f>'JULY 21'!J14:J47</f>
        <v>0</v>
      </c>
      <c r="E14" s="172"/>
      <c r="F14" s="173">
        <v>0</v>
      </c>
      <c r="G14" s="172"/>
      <c r="H14" s="169">
        <f t="shared" si="0"/>
        <v>0</v>
      </c>
      <c r="I14" s="169"/>
      <c r="J14" s="169">
        <f>H14-I14</f>
        <v>0</v>
      </c>
      <c r="K14" s="169"/>
      <c r="L14" s="169"/>
      <c r="M14" s="181"/>
    </row>
    <row r="15" spans="1:15" ht="15.75" x14ac:dyDescent="0.25">
      <c r="A15" s="171" t="s">
        <v>315</v>
      </c>
      <c r="B15" s="166" t="s">
        <v>45</v>
      </c>
      <c r="C15" s="167"/>
      <c r="D15" s="220">
        <f>'JULY 21'!J15:J48</f>
        <v>1641</v>
      </c>
      <c r="E15" s="172">
        <v>6000</v>
      </c>
      <c r="F15" s="173">
        <v>612</v>
      </c>
      <c r="G15" s="172">
        <v>200</v>
      </c>
      <c r="H15" s="169">
        <f t="shared" si="0"/>
        <v>8453</v>
      </c>
      <c r="I15" s="169">
        <f>6700+612</f>
        <v>7312</v>
      </c>
      <c r="J15" s="169">
        <f>H15-I15</f>
        <v>1141</v>
      </c>
      <c r="K15" s="169"/>
      <c r="L15" s="169"/>
      <c r="O15" s="53"/>
    </row>
    <row r="16" spans="1:15" ht="15.75" x14ac:dyDescent="0.25">
      <c r="A16" s="165" t="s">
        <v>225</v>
      </c>
      <c r="B16" s="166" t="s">
        <v>44</v>
      </c>
      <c r="C16" s="167"/>
      <c r="D16" s="220">
        <f>'JULY 21'!J16:J49</f>
        <v>0</v>
      </c>
      <c r="E16" s="172">
        <v>6000</v>
      </c>
      <c r="F16" s="173">
        <v>187</v>
      </c>
      <c r="G16" s="172">
        <v>200</v>
      </c>
      <c r="H16" s="169">
        <f t="shared" si="0"/>
        <v>6387</v>
      </c>
      <c r="I16" s="169">
        <v>6387</v>
      </c>
      <c r="J16" s="169">
        <f>H16-I16</f>
        <v>0</v>
      </c>
      <c r="K16" s="169"/>
      <c r="L16" s="169"/>
      <c r="M16" s="158"/>
    </row>
    <row r="17" spans="1:15" ht="15.75" x14ac:dyDescent="0.25">
      <c r="A17" s="171" t="s">
        <v>349</v>
      </c>
      <c r="B17" s="166" t="s">
        <v>43</v>
      </c>
      <c r="C17" s="176"/>
      <c r="D17" s="220">
        <f>'JULY 21'!J17:J50</f>
        <v>0</v>
      </c>
      <c r="E17" s="172">
        <v>6000</v>
      </c>
      <c r="F17" s="173">
        <v>0</v>
      </c>
      <c r="G17" s="172">
        <v>200</v>
      </c>
      <c r="H17" s="169">
        <f t="shared" si="0"/>
        <v>6200</v>
      </c>
      <c r="I17" s="169">
        <f>3000+3000</f>
        <v>6000</v>
      </c>
      <c r="J17" s="169">
        <f t="shared" si="1"/>
        <v>200</v>
      </c>
      <c r="K17" s="169"/>
      <c r="L17" s="169"/>
      <c r="M17" s="182" t="s">
        <v>350</v>
      </c>
    </row>
    <row r="18" spans="1:15" ht="15.75" x14ac:dyDescent="0.25">
      <c r="A18" s="165" t="s">
        <v>73</v>
      </c>
      <c r="B18" s="166" t="s">
        <v>42</v>
      </c>
      <c r="C18" s="167"/>
      <c r="D18" s="220">
        <f>'JULY 21'!J18:J51</f>
        <v>3</v>
      </c>
      <c r="E18" s="172">
        <v>6000</v>
      </c>
      <c r="F18" s="173">
        <v>221</v>
      </c>
      <c r="G18" s="172">
        <v>200</v>
      </c>
      <c r="H18" s="169">
        <f t="shared" si="0"/>
        <v>6424</v>
      </c>
      <c r="I18" s="169">
        <v>6920</v>
      </c>
      <c r="J18" s="169">
        <f t="shared" si="1"/>
        <v>-496</v>
      </c>
      <c r="K18" s="169"/>
      <c r="L18" s="169"/>
      <c r="M18" s="158"/>
    </row>
    <row r="19" spans="1:15" ht="15.75" x14ac:dyDescent="0.25">
      <c r="A19" s="165" t="s">
        <v>180</v>
      </c>
      <c r="B19" s="166" t="s">
        <v>41</v>
      </c>
      <c r="C19" s="167"/>
      <c r="D19" s="220">
        <f>'JULY 21'!J19:J52</f>
        <v>1574</v>
      </c>
      <c r="E19" s="172">
        <v>6000</v>
      </c>
      <c r="F19" s="173">
        <v>255</v>
      </c>
      <c r="G19" s="172">
        <v>200</v>
      </c>
      <c r="H19" s="169">
        <f t="shared" si="0"/>
        <v>8029</v>
      </c>
      <c r="I19" s="169">
        <f>1547+6455</f>
        <v>8002</v>
      </c>
      <c r="J19" s="169">
        <f t="shared" si="1"/>
        <v>27</v>
      </c>
      <c r="K19" s="169"/>
      <c r="L19" s="169"/>
      <c r="M19" s="158"/>
    </row>
    <row r="20" spans="1:15" ht="15.75" x14ac:dyDescent="0.25">
      <c r="A20" s="171" t="s">
        <v>75</v>
      </c>
      <c r="B20" s="166" t="s">
        <v>40</v>
      </c>
      <c r="C20" s="167"/>
      <c r="D20" s="220">
        <f>'JULY 21'!J20:J53</f>
        <v>200</v>
      </c>
      <c r="E20" s="172">
        <v>6000</v>
      </c>
      <c r="F20" s="173">
        <v>255</v>
      </c>
      <c r="G20" s="172">
        <v>200</v>
      </c>
      <c r="H20" s="169">
        <f t="shared" si="0"/>
        <v>6655</v>
      </c>
      <c r="I20" s="169">
        <f>5500+1155</f>
        <v>6655</v>
      </c>
      <c r="J20" s="169">
        <f t="shared" si="1"/>
        <v>0</v>
      </c>
      <c r="K20" s="169"/>
      <c r="L20" s="169"/>
      <c r="M20" s="158"/>
    </row>
    <row r="21" spans="1:15" ht="15.75" x14ac:dyDescent="0.25">
      <c r="A21" s="174" t="s">
        <v>76</v>
      </c>
      <c r="B21" s="183" t="s">
        <v>39</v>
      </c>
      <c r="C21" s="167"/>
      <c r="D21" s="220"/>
      <c r="E21" s="172"/>
      <c r="F21" s="173">
        <v>0</v>
      </c>
      <c r="G21" s="172"/>
      <c r="H21" s="169">
        <f t="shared" si="0"/>
        <v>0</v>
      </c>
      <c r="I21" s="169"/>
      <c r="J21" s="169">
        <f t="shared" si="1"/>
        <v>0</v>
      </c>
      <c r="K21" s="169"/>
      <c r="L21" s="169"/>
      <c r="M21" s="181"/>
    </row>
    <row r="22" spans="1:15" ht="15.75" x14ac:dyDescent="0.25">
      <c r="A22" s="165" t="s">
        <v>150</v>
      </c>
      <c r="B22" s="166" t="s">
        <v>38</v>
      </c>
      <c r="C22" s="167"/>
      <c r="D22" s="220">
        <f>'JULY 21'!J22:J55</f>
        <v>0</v>
      </c>
      <c r="E22" s="172">
        <v>6000</v>
      </c>
      <c r="F22" s="173">
        <v>170</v>
      </c>
      <c r="G22" s="172">
        <v>200</v>
      </c>
      <c r="H22" s="169">
        <f t="shared" si="0"/>
        <v>6370</v>
      </c>
      <c r="I22" s="169">
        <f>6370</f>
        <v>6370</v>
      </c>
      <c r="J22" s="169">
        <f t="shared" si="1"/>
        <v>0</v>
      </c>
      <c r="K22" s="169"/>
      <c r="L22" s="169"/>
      <c r="M22" s="158"/>
    </row>
    <row r="23" spans="1:15" ht="15.75" x14ac:dyDescent="0.25">
      <c r="A23" s="171" t="s">
        <v>78</v>
      </c>
      <c r="B23" s="166" t="s">
        <v>37</v>
      </c>
      <c r="C23" s="167"/>
      <c r="D23" s="220">
        <f>'JULY 21'!J23:J56</f>
        <v>0</v>
      </c>
      <c r="E23" s="172">
        <v>6000</v>
      </c>
      <c r="F23" s="173">
        <v>170</v>
      </c>
      <c r="G23" s="172">
        <v>200</v>
      </c>
      <c r="H23" s="169">
        <f t="shared" si="0"/>
        <v>6370</v>
      </c>
      <c r="I23" s="169">
        <f>6370</f>
        <v>6370</v>
      </c>
      <c r="J23" s="169">
        <f t="shared" si="1"/>
        <v>0</v>
      </c>
      <c r="K23" s="169"/>
      <c r="L23" s="169"/>
      <c r="M23" s="182"/>
    </row>
    <row r="24" spans="1:15" ht="15.75" x14ac:dyDescent="0.25">
      <c r="A24" s="174" t="s">
        <v>67</v>
      </c>
      <c r="B24" s="185" t="s">
        <v>28</v>
      </c>
      <c r="C24" s="167"/>
      <c r="D24" s="220">
        <f>'JULY 21'!J24:J57</f>
        <v>0</v>
      </c>
      <c r="E24" s="172"/>
      <c r="F24" s="173"/>
      <c r="G24" s="172"/>
      <c r="H24" s="169">
        <f t="shared" si="0"/>
        <v>0</v>
      </c>
      <c r="I24" s="169"/>
      <c r="J24" s="169">
        <f>H24-I24</f>
        <v>0</v>
      </c>
      <c r="K24" s="169"/>
      <c r="L24" s="169"/>
      <c r="M24" s="182"/>
    </row>
    <row r="25" spans="1:15" ht="15.75" x14ac:dyDescent="0.25">
      <c r="A25" s="174" t="s">
        <v>67</v>
      </c>
      <c r="B25" s="186" t="s">
        <v>29</v>
      </c>
      <c r="C25" s="167"/>
      <c r="D25" s="220">
        <f>'JULY 21'!J25:J58</f>
        <v>0</v>
      </c>
      <c r="E25" s="172"/>
      <c r="F25" s="173"/>
      <c r="G25" s="172"/>
      <c r="H25" s="169">
        <f t="shared" si="0"/>
        <v>0</v>
      </c>
      <c r="I25" s="169"/>
      <c r="J25" s="169">
        <f t="shared" si="1"/>
        <v>0</v>
      </c>
      <c r="K25" s="169"/>
      <c r="L25" s="169"/>
      <c r="M25" s="158"/>
    </row>
    <row r="26" spans="1:15" ht="15.75" x14ac:dyDescent="0.25">
      <c r="A26" s="165" t="s">
        <v>317</v>
      </c>
      <c r="B26" s="186" t="s">
        <v>30</v>
      </c>
      <c r="C26" s="167"/>
      <c r="D26" s="220">
        <f>'JULY 21'!J26:J59</f>
        <v>4790</v>
      </c>
      <c r="E26" s="172">
        <v>6500</v>
      </c>
      <c r="F26" s="173">
        <v>765</v>
      </c>
      <c r="G26" s="172">
        <v>200</v>
      </c>
      <c r="H26" s="169">
        <f t="shared" si="0"/>
        <v>12255</v>
      </c>
      <c r="I26" s="169">
        <f>6000</f>
        <v>6000</v>
      </c>
      <c r="J26" s="169">
        <f t="shared" si="1"/>
        <v>6255</v>
      </c>
      <c r="K26" s="169"/>
      <c r="L26" s="169"/>
      <c r="M26" s="182"/>
    </row>
    <row r="27" spans="1:15" ht="15.75" x14ac:dyDescent="0.25">
      <c r="A27" s="165" t="s">
        <v>332</v>
      </c>
      <c r="B27" s="186" t="s">
        <v>55</v>
      </c>
      <c r="C27" s="167"/>
      <c r="D27" s="220">
        <f>'JULY 21'!J27:J60</f>
        <v>4390</v>
      </c>
      <c r="E27" s="172">
        <v>6500</v>
      </c>
      <c r="F27" s="173">
        <v>357</v>
      </c>
      <c r="G27" s="172">
        <v>200</v>
      </c>
      <c r="H27" s="169">
        <f t="shared" si="0"/>
        <v>11447</v>
      </c>
      <c r="I27" s="169">
        <f>8000</f>
        <v>8000</v>
      </c>
      <c r="J27" s="169">
        <f>H27-I27</f>
        <v>3447</v>
      </c>
      <c r="K27" s="169"/>
      <c r="L27" s="169"/>
      <c r="M27" s="182"/>
    </row>
    <row r="28" spans="1:15" ht="15.75" x14ac:dyDescent="0.25">
      <c r="A28" s="165" t="s">
        <v>83</v>
      </c>
      <c r="B28" s="186" t="s">
        <v>56</v>
      </c>
      <c r="C28" s="167"/>
      <c r="D28" s="220">
        <f>'JULY 21'!J28:J61</f>
        <v>4387</v>
      </c>
      <c r="E28" s="172">
        <v>8000</v>
      </c>
      <c r="F28" s="173">
        <v>187</v>
      </c>
      <c r="G28" s="172">
        <v>200</v>
      </c>
      <c r="H28" s="169">
        <f t="shared" si="0"/>
        <v>12774</v>
      </c>
      <c r="I28" s="169">
        <f>8000</f>
        <v>8000</v>
      </c>
      <c r="J28" s="169">
        <f t="shared" si="1"/>
        <v>4774</v>
      </c>
      <c r="K28" s="169"/>
      <c r="L28" s="169"/>
      <c r="M28" s="158"/>
    </row>
    <row r="29" spans="1:15" ht="15.75" x14ac:dyDescent="0.25">
      <c r="A29" s="165" t="s">
        <v>181</v>
      </c>
      <c r="B29" s="186" t="s">
        <v>57</v>
      </c>
      <c r="C29" s="167"/>
      <c r="D29" s="220">
        <f>'JULY 21'!J29:J62</f>
        <v>1329</v>
      </c>
      <c r="E29" s="172">
        <v>6500</v>
      </c>
      <c r="F29" s="173">
        <v>510</v>
      </c>
      <c r="G29" s="172">
        <v>200</v>
      </c>
      <c r="H29" s="169">
        <f>D29+E29+F29+G29</f>
        <v>8539</v>
      </c>
      <c r="I29" s="169">
        <f>8000+200</f>
        <v>8200</v>
      </c>
      <c r="J29" s="169">
        <f t="shared" si="1"/>
        <v>339</v>
      </c>
      <c r="K29" s="169"/>
      <c r="L29" s="169"/>
      <c r="M29" s="158"/>
    </row>
    <row r="30" spans="1:15" ht="15.75" x14ac:dyDescent="0.25">
      <c r="A30" s="184" t="s">
        <v>92</v>
      </c>
      <c r="B30" s="185" t="s">
        <v>58</v>
      </c>
      <c r="C30" s="167"/>
      <c r="D30" s="220">
        <f>'JULY 21'!J30:J63</f>
        <v>4002</v>
      </c>
      <c r="E30" s="172">
        <v>6500</v>
      </c>
      <c r="F30" s="173"/>
      <c r="G30" s="172">
        <v>200</v>
      </c>
      <c r="H30" s="169">
        <f>D30+E30+F30+G30</f>
        <v>10702</v>
      </c>
      <c r="I30" s="169">
        <f>5000+2000</f>
        <v>7000</v>
      </c>
      <c r="J30" s="169">
        <f t="shared" si="1"/>
        <v>3702</v>
      </c>
      <c r="K30" s="169"/>
      <c r="L30" s="169"/>
      <c r="M30" s="158"/>
    </row>
    <row r="31" spans="1:15" ht="15.75" x14ac:dyDescent="0.25">
      <c r="A31" s="165" t="s">
        <v>176</v>
      </c>
      <c r="B31" s="186" t="s">
        <v>59</v>
      </c>
      <c r="C31" s="167"/>
      <c r="D31" s="220">
        <f>'JULY 21'!J31:J64</f>
        <v>1743</v>
      </c>
      <c r="E31" s="172">
        <v>6500</v>
      </c>
      <c r="F31" s="173">
        <v>578</v>
      </c>
      <c r="G31" s="172">
        <v>200</v>
      </c>
      <c r="H31" s="169">
        <f t="shared" si="0"/>
        <v>9021</v>
      </c>
      <c r="I31" s="169">
        <f>4000+1000</f>
        <v>5000</v>
      </c>
      <c r="J31" s="169">
        <f t="shared" si="1"/>
        <v>4021</v>
      </c>
      <c r="K31" s="169"/>
      <c r="L31" s="169"/>
      <c r="M31" s="158"/>
    </row>
    <row r="32" spans="1:15" ht="15.75" x14ac:dyDescent="0.25">
      <c r="A32" s="165" t="s">
        <v>170</v>
      </c>
      <c r="B32" s="186" t="s">
        <v>60</v>
      </c>
      <c r="C32" s="167"/>
      <c r="D32" s="220">
        <f>'JULY 21'!J32:J65</f>
        <v>0</v>
      </c>
      <c r="E32" s="172">
        <v>6500</v>
      </c>
      <c r="F32" s="173">
        <v>646</v>
      </c>
      <c r="G32" s="172">
        <v>200</v>
      </c>
      <c r="H32" s="169">
        <f t="shared" si="0"/>
        <v>7346</v>
      </c>
      <c r="I32" s="169">
        <v>7346</v>
      </c>
      <c r="J32" s="169">
        <f t="shared" si="1"/>
        <v>0</v>
      </c>
      <c r="K32" s="169"/>
      <c r="L32" s="169"/>
      <c r="M32" s="181"/>
      <c r="O32">
        <v>0</v>
      </c>
    </row>
    <row r="33" spans="1:13" ht="15.75" x14ac:dyDescent="0.25">
      <c r="A33" s="165" t="s">
        <v>80</v>
      </c>
      <c r="B33" s="186" t="s">
        <v>31</v>
      </c>
      <c r="C33" s="167"/>
      <c r="D33" s="220">
        <f>'JULY 21'!J33:J66</f>
        <v>0</v>
      </c>
      <c r="E33" s="172">
        <v>9000</v>
      </c>
      <c r="F33" s="173">
        <v>1360</v>
      </c>
      <c r="G33" s="172">
        <v>200</v>
      </c>
      <c r="H33" s="169">
        <f>D33+E33+F33+G33</f>
        <v>10560</v>
      </c>
      <c r="I33" s="169">
        <v>10560</v>
      </c>
      <c r="J33" s="169">
        <f>H33-I33</f>
        <v>0</v>
      </c>
      <c r="K33" s="169"/>
      <c r="L33" s="169"/>
      <c r="M33" s="187"/>
    </row>
    <row r="34" spans="1:13" ht="15.75" x14ac:dyDescent="0.25">
      <c r="A34" s="165" t="s">
        <v>322</v>
      </c>
      <c r="B34" s="186" t="s">
        <v>32</v>
      </c>
      <c r="C34" s="167"/>
      <c r="D34" s="220">
        <f>'JULY 21'!J34:J67</f>
        <v>1487</v>
      </c>
      <c r="E34" s="173">
        <v>6500</v>
      </c>
      <c r="F34" s="173">
        <v>408</v>
      </c>
      <c r="G34" s="172">
        <v>200</v>
      </c>
      <c r="H34" s="169">
        <f t="shared" si="0"/>
        <v>8595</v>
      </c>
      <c r="I34" s="169">
        <f>4000+3000</f>
        <v>7000</v>
      </c>
      <c r="J34" s="169">
        <f t="shared" si="1"/>
        <v>1595</v>
      </c>
      <c r="K34" s="169"/>
      <c r="L34" s="169"/>
      <c r="M34" s="181"/>
    </row>
    <row r="35" spans="1:13" ht="15.75" x14ac:dyDescent="0.25">
      <c r="A35" s="165" t="s">
        <v>245</v>
      </c>
      <c r="B35" s="186" t="s">
        <v>33</v>
      </c>
      <c r="C35" s="167"/>
      <c r="D35" s="220">
        <f>'JULY 21'!J35:J68</f>
        <v>168</v>
      </c>
      <c r="E35" s="173">
        <v>6500</v>
      </c>
      <c r="F35" s="173">
        <v>323</v>
      </c>
      <c r="G35" s="172">
        <v>200</v>
      </c>
      <c r="H35" s="169">
        <f t="shared" si="0"/>
        <v>7191</v>
      </c>
      <c r="I35" s="169">
        <f>7000</f>
        <v>7000</v>
      </c>
      <c r="J35" s="169">
        <f t="shared" si="1"/>
        <v>191</v>
      </c>
      <c r="K35" s="169"/>
      <c r="L35" s="169"/>
      <c r="M35" s="158"/>
    </row>
    <row r="36" spans="1:13" ht="15.75" x14ac:dyDescent="0.25">
      <c r="A36" s="165" t="s">
        <v>89</v>
      </c>
      <c r="B36" s="186" t="s">
        <v>34</v>
      </c>
      <c r="C36" s="167"/>
      <c r="D36" s="220">
        <f>'JULY 21'!J36:J69</f>
        <v>0</v>
      </c>
      <c r="E36" s="173">
        <v>6500</v>
      </c>
      <c r="F36" s="173">
        <v>1071</v>
      </c>
      <c r="G36" s="172">
        <v>200</v>
      </c>
      <c r="H36" s="169">
        <f t="shared" si="0"/>
        <v>7771</v>
      </c>
      <c r="I36" s="169">
        <f>8220</f>
        <v>8220</v>
      </c>
      <c r="J36" s="169">
        <f t="shared" si="1"/>
        <v>-449</v>
      </c>
      <c r="K36" s="169"/>
      <c r="L36" s="169"/>
      <c r="M36" s="158"/>
    </row>
    <row r="37" spans="1:13" ht="15.75" x14ac:dyDescent="0.25">
      <c r="A37" s="165" t="s">
        <v>330</v>
      </c>
      <c r="B37" s="186" t="s">
        <v>35</v>
      </c>
      <c r="C37" s="167"/>
      <c r="D37" s="220">
        <f>'JULY 21'!J37:J70</f>
        <v>97</v>
      </c>
      <c r="E37" s="173">
        <v>6500</v>
      </c>
      <c r="F37" s="173">
        <v>153</v>
      </c>
      <c r="G37" s="172">
        <v>200</v>
      </c>
      <c r="H37" s="169">
        <f>D37+E37+F37+G37</f>
        <v>6950</v>
      </c>
      <c r="I37" s="169">
        <v>6500</v>
      </c>
      <c r="J37" s="169">
        <f>H37-I37</f>
        <v>450</v>
      </c>
      <c r="K37" s="169"/>
      <c r="L37" s="169"/>
      <c r="M37" s="158"/>
    </row>
    <row r="38" spans="1:13" ht="15.75" x14ac:dyDescent="0.25">
      <c r="A38" s="165" t="s">
        <v>138</v>
      </c>
      <c r="B38" s="186" t="s">
        <v>36</v>
      </c>
      <c r="C38" s="167"/>
      <c r="D38" s="220">
        <f>'JULY 21'!J38:J71</f>
        <v>0</v>
      </c>
      <c r="E38" s="178">
        <v>8000</v>
      </c>
      <c r="F38" s="178">
        <v>500</v>
      </c>
      <c r="G38" s="172">
        <v>200</v>
      </c>
      <c r="H38" s="169">
        <f>D38+E38+F38+G38</f>
        <v>8700</v>
      </c>
      <c r="I38" s="169">
        <f>8000</f>
        <v>8000</v>
      </c>
      <c r="J38" s="169">
        <f>H38-I38</f>
        <v>700</v>
      </c>
      <c r="K38" s="169"/>
      <c r="L38" s="169"/>
      <c r="M38" s="158"/>
    </row>
    <row r="39" spans="1:13" ht="15.75" x14ac:dyDescent="0.25">
      <c r="A39" s="165"/>
      <c r="B39" s="186"/>
      <c r="C39" s="167"/>
      <c r="D39" s="220">
        <f>'JULY 21'!J39:J72</f>
        <v>0</v>
      </c>
      <c r="E39" s="178"/>
      <c r="F39" s="178"/>
      <c r="G39" s="172"/>
      <c r="H39" s="169">
        <f t="shared" si="0"/>
        <v>0</v>
      </c>
      <c r="I39" s="169">
        <f>SUM(D39:H39)</f>
        <v>0</v>
      </c>
      <c r="J39" s="169">
        <f>H39-I39</f>
        <v>0</v>
      </c>
      <c r="K39" s="169"/>
      <c r="L39" s="169"/>
      <c r="M39" s="158"/>
    </row>
    <row r="40" spans="1:13" ht="15.75" x14ac:dyDescent="0.25">
      <c r="A40" s="188" t="s">
        <v>10</v>
      </c>
      <c r="B40" s="165"/>
      <c r="C40" s="167">
        <f t="shared" ref="C40:L40" si="2">SUM(C6:C39)</f>
        <v>0</v>
      </c>
      <c r="D40" s="220">
        <f>SUM(D6:D39)</f>
        <v>27357</v>
      </c>
      <c r="E40" s="189">
        <f>SUM(E6:E39)</f>
        <v>150000</v>
      </c>
      <c r="F40" s="190">
        <f>SUM(F6:F39)</f>
        <v>9901</v>
      </c>
      <c r="G40" s="191">
        <f t="shared" si="2"/>
        <v>4600</v>
      </c>
      <c r="H40" s="169">
        <f>SUM(H6:H39)</f>
        <v>191858</v>
      </c>
      <c r="I40" s="192">
        <f>SUM(I6:I39)</f>
        <v>157712</v>
      </c>
      <c r="J40" s="192">
        <f>SUM(J6:J39)</f>
        <v>34146</v>
      </c>
      <c r="K40" s="192">
        <f t="shared" si="2"/>
        <v>0</v>
      </c>
      <c r="L40" s="192">
        <f t="shared" si="2"/>
        <v>0</v>
      </c>
      <c r="M40" s="158"/>
    </row>
    <row r="41" spans="1:13" ht="15.75" x14ac:dyDescent="0.25">
      <c r="A41" s="184"/>
      <c r="B41" s="184"/>
      <c r="C41" s="177"/>
      <c r="D41" s="193"/>
      <c r="E41" s="184"/>
      <c r="F41" s="158"/>
      <c r="G41" s="184"/>
      <c r="H41" s="184"/>
      <c r="I41" s="184"/>
      <c r="J41" s="184"/>
      <c r="K41" s="184"/>
      <c r="L41" s="184"/>
      <c r="M41" s="158"/>
    </row>
    <row r="42" spans="1:13" ht="15.75" x14ac:dyDescent="0.25">
      <c r="A42" s="160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</row>
    <row r="43" spans="1:13" ht="15.75" x14ac:dyDescent="0.25">
      <c r="A43" s="184"/>
      <c r="B43" s="158"/>
      <c r="C43" s="158"/>
      <c r="D43" s="158"/>
      <c r="E43" s="158"/>
      <c r="F43" s="181">
        <f>F40+731+102</f>
        <v>10734</v>
      </c>
      <c r="G43" s="158"/>
      <c r="H43" s="158"/>
      <c r="I43" s="158"/>
      <c r="J43" s="158"/>
      <c r="K43" s="158"/>
      <c r="L43" s="158"/>
      <c r="M43" s="158"/>
    </row>
    <row r="44" spans="1:13" x14ac:dyDescent="0.25">
      <c r="A44" s="18"/>
    </row>
    <row r="45" spans="1:13" x14ac:dyDescent="0.25">
      <c r="A45" s="18"/>
      <c r="H45" s="53"/>
      <c r="J45" s="53"/>
    </row>
    <row r="46" spans="1:13" x14ac:dyDescent="0.25">
      <c r="A46" s="18"/>
    </row>
    <row r="47" spans="1:13" x14ac:dyDescent="0.25">
      <c r="A47" s="18"/>
    </row>
    <row r="48" spans="1:13" x14ac:dyDescent="0.25">
      <c r="A48" s="18"/>
    </row>
    <row r="49" spans="1:15" x14ac:dyDescent="0.25">
      <c r="A49" s="18"/>
    </row>
    <row r="50" spans="1:15" x14ac:dyDescent="0.25">
      <c r="A50" s="18"/>
    </row>
    <row r="51" spans="1:15" x14ac:dyDescent="0.25">
      <c r="A51" s="18"/>
    </row>
    <row r="52" spans="1:15" x14ac:dyDescent="0.25">
      <c r="A52" s="18"/>
    </row>
    <row r="53" spans="1:15" x14ac:dyDescent="0.25">
      <c r="A53" s="18"/>
    </row>
    <row r="54" spans="1:15" x14ac:dyDescent="0.25">
      <c r="A54" s="18"/>
      <c r="J54" s="53"/>
    </row>
    <row r="55" spans="1:15" x14ac:dyDescent="0.25">
      <c r="A55" s="18"/>
      <c r="J55" s="53"/>
    </row>
    <row r="56" spans="1:15" x14ac:dyDescent="0.25">
      <c r="A56" s="18"/>
      <c r="K56" s="53"/>
    </row>
    <row r="57" spans="1:15" x14ac:dyDescent="0.25">
      <c r="A57" s="18"/>
      <c r="O57" s="157" t="s">
        <v>370</v>
      </c>
    </row>
    <row r="58" spans="1:15" x14ac:dyDescent="0.25">
      <c r="A58" s="18"/>
      <c r="H58" s="53"/>
      <c r="O58" s="18" t="s">
        <v>293</v>
      </c>
    </row>
    <row r="59" spans="1:15" x14ac:dyDescent="0.25">
      <c r="A59" s="134"/>
      <c r="O59" s="18" t="s">
        <v>372</v>
      </c>
    </row>
    <row r="60" spans="1:15" ht="18.75" x14ac:dyDescent="0.3">
      <c r="A60" s="194"/>
      <c r="B60" s="194"/>
      <c r="C60" s="194"/>
      <c r="D60" s="194"/>
      <c r="E60" s="194"/>
      <c r="F60" s="194"/>
      <c r="G60" s="194"/>
      <c r="H60" s="194"/>
      <c r="I60" s="194"/>
      <c r="J60" s="194"/>
      <c r="O60" s="125" t="s">
        <v>352</v>
      </c>
    </row>
    <row r="61" spans="1:15" ht="18.75" x14ac:dyDescent="0.3">
      <c r="A61" s="195" t="s">
        <v>12</v>
      </c>
      <c r="B61" s="195"/>
      <c r="C61" s="195"/>
      <c r="D61" s="196"/>
      <c r="E61" s="197"/>
      <c r="F61" s="195" t="s">
        <v>8</v>
      </c>
      <c r="G61" s="195"/>
      <c r="H61" s="195"/>
      <c r="I61" s="198"/>
      <c r="J61" s="198"/>
      <c r="K61" s="79"/>
      <c r="L61" s="71"/>
      <c r="O61" s="74" t="s">
        <v>353</v>
      </c>
    </row>
    <row r="62" spans="1:15" ht="18.75" x14ac:dyDescent="0.3">
      <c r="A62" s="199" t="s">
        <v>13</v>
      </c>
      <c r="B62" s="199" t="s">
        <v>14</v>
      </c>
      <c r="C62" s="199" t="s">
        <v>15</v>
      </c>
      <c r="D62" s="199" t="s">
        <v>16</v>
      </c>
      <c r="E62" s="199"/>
      <c r="F62" s="199" t="s">
        <v>13</v>
      </c>
      <c r="G62" s="199"/>
      <c r="H62" s="199" t="s">
        <v>265</v>
      </c>
      <c r="I62" s="199" t="s">
        <v>15</v>
      </c>
      <c r="J62" s="199" t="s">
        <v>16</v>
      </c>
      <c r="K62" s="87"/>
      <c r="L62" s="73"/>
      <c r="O62" s="18" t="s">
        <v>354</v>
      </c>
    </row>
    <row r="63" spans="1:15" ht="18.75" x14ac:dyDescent="0.3">
      <c r="A63" s="200" t="s">
        <v>243</v>
      </c>
      <c r="B63" s="201">
        <f>E40</f>
        <v>150000</v>
      </c>
      <c r="C63" s="200"/>
      <c r="D63" s="200"/>
      <c r="E63" s="200"/>
      <c r="F63" s="200" t="s">
        <v>243</v>
      </c>
      <c r="G63" s="200"/>
      <c r="H63" s="202">
        <f>I40</f>
        <v>157712</v>
      </c>
      <c r="I63" s="200"/>
      <c r="J63" s="200"/>
      <c r="K63" s="60"/>
      <c r="L63" s="74"/>
      <c r="O63" s="18" t="s">
        <v>371</v>
      </c>
    </row>
    <row r="64" spans="1:15" ht="18.75" x14ac:dyDescent="0.3">
      <c r="A64" s="200"/>
      <c r="B64" s="201"/>
      <c r="C64" s="200"/>
      <c r="D64" s="200"/>
      <c r="E64" s="200"/>
      <c r="F64" s="200"/>
      <c r="G64" s="200"/>
      <c r="H64" s="202"/>
      <c r="I64" s="200"/>
      <c r="J64" s="200"/>
      <c r="K64" s="60"/>
      <c r="L64" s="74"/>
      <c r="O64" s="18" t="s">
        <v>368</v>
      </c>
    </row>
    <row r="65" spans="1:15" ht="18.75" x14ac:dyDescent="0.3">
      <c r="A65" s="200" t="s">
        <v>18</v>
      </c>
      <c r="B65" s="201">
        <f>'JULY 21'!D79</f>
        <v>0.25</v>
      </c>
      <c r="C65" s="200"/>
      <c r="D65" s="200"/>
      <c r="E65" s="200"/>
      <c r="F65" s="200" t="s">
        <v>18</v>
      </c>
      <c r="G65" s="200"/>
      <c r="H65" s="201">
        <f>'JULY 21'!J79</f>
        <v>-58655.75</v>
      </c>
      <c r="I65" s="200"/>
      <c r="J65" s="200"/>
      <c r="K65" s="60"/>
      <c r="L65" s="74"/>
      <c r="O65" s="18" t="s">
        <v>367</v>
      </c>
    </row>
    <row r="66" spans="1:15" ht="18.75" x14ac:dyDescent="0.3">
      <c r="A66" s="200" t="s">
        <v>19</v>
      </c>
      <c r="B66" s="201">
        <f>C40</f>
        <v>0</v>
      </c>
      <c r="C66" s="200"/>
      <c r="D66" s="200"/>
      <c r="E66" s="200"/>
      <c r="F66" s="200"/>
      <c r="G66" s="200"/>
      <c r="H66" s="200"/>
      <c r="I66" s="200"/>
      <c r="J66" s="200"/>
      <c r="K66" s="60"/>
      <c r="L66" s="74"/>
      <c r="O66" s="18" t="s">
        <v>23</v>
      </c>
    </row>
    <row r="67" spans="1:15" ht="18.75" x14ac:dyDescent="0.3">
      <c r="A67" s="200" t="s">
        <v>63</v>
      </c>
      <c r="B67" s="201">
        <f>F40</f>
        <v>9901</v>
      </c>
      <c r="C67" s="200"/>
      <c r="D67" s="200"/>
      <c r="E67" s="200"/>
      <c r="F67" s="200"/>
      <c r="G67" s="200"/>
      <c r="H67" s="200"/>
      <c r="I67" s="200"/>
      <c r="J67" s="200"/>
      <c r="K67" s="60"/>
      <c r="L67" s="74"/>
      <c r="O67" s="142"/>
    </row>
    <row r="68" spans="1:15" ht="18.75" x14ac:dyDescent="0.3">
      <c r="A68" s="200" t="s">
        <v>62</v>
      </c>
      <c r="B68" s="201">
        <f>K40</f>
        <v>0</v>
      </c>
      <c r="C68" s="200"/>
      <c r="D68" s="200"/>
      <c r="E68" s="200"/>
      <c r="F68" s="200"/>
      <c r="G68" s="200"/>
      <c r="H68" s="200"/>
      <c r="I68" s="200"/>
      <c r="J68" s="200"/>
      <c r="K68" s="60"/>
      <c r="L68" s="74"/>
    </row>
    <row r="69" spans="1:15" ht="18.75" x14ac:dyDescent="0.3">
      <c r="A69" s="200" t="s">
        <v>96</v>
      </c>
      <c r="B69" s="201">
        <f>G40</f>
        <v>4600</v>
      </c>
      <c r="C69" s="200"/>
      <c r="D69" s="200"/>
      <c r="E69" s="200"/>
      <c r="F69" s="200" t="s">
        <v>126</v>
      </c>
      <c r="G69" s="200"/>
      <c r="H69" s="200"/>
      <c r="I69" s="200"/>
      <c r="J69" s="200"/>
      <c r="K69" s="60"/>
      <c r="L69" s="74"/>
      <c r="O69" t="s">
        <v>373</v>
      </c>
    </row>
    <row r="70" spans="1:15" ht="18.75" x14ac:dyDescent="0.3">
      <c r="A70" s="200" t="s">
        <v>167</v>
      </c>
      <c r="B70" s="201"/>
      <c r="C70" s="200"/>
      <c r="D70" s="200"/>
      <c r="E70" s="200"/>
      <c r="F70" s="200" t="s">
        <v>167</v>
      </c>
      <c r="G70" s="201"/>
      <c r="H70" s="194"/>
      <c r="I70" s="194"/>
      <c r="J70" s="200"/>
      <c r="K70" s="60"/>
      <c r="L70" s="74"/>
      <c r="M70" s="53"/>
      <c r="O70" t="s">
        <v>374</v>
      </c>
    </row>
    <row r="71" spans="1:15" ht="18.75" x14ac:dyDescent="0.3">
      <c r="A71" s="200" t="s">
        <v>126</v>
      </c>
      <c r="B71" s="202">
        <f>L40</f>
        <v>0</v>
      </c>
      <c r="C71" s="201"/>
      <c r="D71" s="200"/>
      <c r="E71" s="200"/>
      <c r="F71" s="200"/>
      <c r="G71" s="200"/>
      <c r="H71" s="200"/>
      <c r="I71" s="201"/>
      <c r="J71" s="201"/>
      <c r="K71" s="88"/>
      <c r="L71" s="75"/>
    </row>
    <row r="72" spans="1:15" ht="18.75" x14ac:dyDescent="0.3">
      <c r="A72" s="199" t="s">
        <v>21</v>
      </c>
      <c r="B72" s="200" t="s">
        <v>22</v>
      </c>
      <c r="C72" s="200"/>
      <c r="D72" s="200"/>
      <c r="E72" s="200"/>
      <c r="F72" s="199" t="s">
        <v>21</v>
      </c>
      <c r="G72" s="199"/>
      <c r="H72" s="199"/>
      <c r="I72" s="200"/>
      <c r="J72" s="200"/>
      <c r="K72" s="60"/>
      <c r="L72" s="74"/>
    </row>
    <row r="73" spans="1:15" ht="18.75" x14ac:dyDescent="0.3">
      <c r="A73" s="203" t="s">
        <v>111</v>
      </c>
      <c r="B73" s="204">
        <v>0.05</v>
      </c>
      <c r="C73" s="202">
        <f>B73*E40</f>
        <v>7500</v>
      </c>
      <c r="D73" s="200"/>
      <c r="E73" s="200"/>
      <c r="F73" s="203" t="s">
        <v>111</v>
      </c>
      <c r="G73" s="203"/>
      <c r="H73" s="204">
        <v>0.05</v>
      </c>
      <c r="I73" s="202">
        <f>H73*E40</f>
        <v>7500</v>
      </c>
      <c r="J73" s="200"/>
      <c r="K73" s="60"/>
      <c r="L73" s="74"/>
    </row>
    <row r="74" spans="1:15" ht="18.75" x14ac:dyDescent="0.3">
      <c r="A74" s="205" t="s">
        <v>377</v>
      </c>
      <c r="B74" s="206"/>
      <c r="C74" s="226">
        <v>157000</v>
      </c>
      <c r="D74" s="202"/>
      <c r="E74" s="202"/>
      <c r="F74" s="205" t="s">
        <v>377</v>
      </c>
      <c r="G74" s="204"/>
      <c r="H74" s="226"/>
      <c r="I74" s="226">
        <v>157000</v>
      </c>
      <c r="J74" s="226"/>
      <c r="K74" s="89"/>
      <c r="L74" s="76"/>
    </row>
    <row r="75" spans="1:15" ht="18.75" x14ac:dyDescent="0.3">
      <c r="A75" s="205"/>
      <c r="B75" s="204"/>
      <c r="C75" s="202"/>
      <c r="D75" s="200"/>
      <c r="E75" s="200"/>
      <c r="F75" s="205"/>
      <c r="G75" s="204"/>
      <c r="H75" s="202"/>
      <c r="I75" s="202"/>
      <c r="J75" s="200"/>
      <c r="K75" s="60"/>
      <c r="L75" s="74"/>
    </row>
    <row r="76" spans="1:15" ht="18.75" x14ac:dyDescent="0.3">
      <c r="A76" s="224"/>
      <c r="B76" s="200"/>
      <c r="C76" s="202"/>
      <c r="D76" s="200"/>
      <c r="E76" s="200"/>
      <c r="F76" s="202"/>
      <c r="G76" s="202"/>
      <c r="H76" s="200"/>
      <c r="I76" s="202"/>
      <c r="J76" s="225"/>
      <c r="K76" s="60"/>
      <c r="L76" s="74"/>
    </row>
    <row r="77" spans="1:15" ht="18.75" x14ac:dyDescent="0.3">
      <c r="A77" s="194"/>
      <c r="B77" s="226"/>
      <c r="C77" s="226"/>
      <c r="D77" s="226"/>
      <c r="E77" s="226"/>
      <c r="F77" s="226"/>
      <c r="G77" s="226"/>
      <c r="H77" s="226"/>
      <c r="I77" s="226"/>
      <c r="J77" s="194"/>
      <c r="K77" s="60"/>
      <c r="L77" s="74"/>
    </row>
    <row r="78" spans="1:15" ht="18.75" x14ac:dyDescent="0.3">
      <c r="A78" s="208"/>
      <c r="B78" s="200"/>
      <c r="C78" s="202"/>
      <c r="D78" s="200"/>
      <c r="E78" s="200"/>
      <c r="F78" s="200"/>
      <c r="G78" s="202"/>
      <c r="H78" s="203"/>
      <c r="I78" s="202"/>
      <c r="J78" s="202"/>
      <c r="K78" s="89"/>
      <c r="L78" s="76"/>
    </row>
    <row r="79" spans="1:15" ht="18.75" x14ac:dyDescent="0.3">
      <c r="A79" s="199" t="s">
        <v>23</v>
      </c>
      <c r="B79" s="209">
        <f>B63+B65+B66+B67+B68+B69+B71+B70</f>
        <v>164501.25</v>
      </c>
      <c r="C79" s="209">
        <f>SUM(C73:C78)</f>
        <v>164500</v>
      </c>
      <c r="D79" s="209">
        <f>B79-C79</f>
        <v>1.25</v>
      </c>
      <c r="E79" s="209"/>
      <c r="F79" s="199"/>
      <c r="G79" s="199"/>
      <c r="H79" s="209">
        <f>H63+H65+H67+H69+H70</f>
        <v>99056.25</v>
      </c>
      <c r="I79" s="209">
        <f>SUM(I73:I78)</f>
        <v>164500</v>
      </c>
      <c r="J79" s="209">
        <f>H79-I79</f>
        <v>-65443.75</v>
      </c>
      <c r="K79" s="96"/>
      <c r="L79" s="77"/>
    </row>
    <row r="80" spans="1:15" ht="18.75" x14ac:dyDescent="0.3">
      <c r="A80" s="198"/>
      <c r="B80" s="198"/>
      <c r="C80" s="198"/>
      <c r="D80" s="198"/>
      <c r="E80" s="198"/>
      <c r="F80" s="198"/>
      <c r="G80" s="198"/>
      <c r="H80" s="198"/>
      <c r="I80" s="210">
        <f>I79-I73</f>
        <v>157000</v>
      </c>
      <c r="J80" s="198"/>
      <c r="K80" s="79"/>
      <c r="L80" s="71"/>
    </row>
    <row r="81" spans="1:13" ht="18.75" x14ac:dyDescent="0.3">
      <c r="A81" s="211" t="s">
        <v>24</v>
      </c>
      <c r="B81" s="212"/>
      <c r="C81" s="212" t="s">
        <v>25</v>
      </c>
      <c r="D81" s="213"/>
      <c r="E81" s="213"/>
      <c r="F81" s="211"/>
      <c r="G81" s="211"/>
      <c r="H81" s="211" t="s">
        <v>26</v>
      </c>
      <c r="I81" s="198"/>
      <c r="J81" s="198"/>
      <c r="K81" s="79"/>
      <c r="L81" s="71"/>
    </row>
    <row r="82" spans="1:13" ht="18.75" x14ac:dyDescent="0.3">
      <c r="A82" s="198" t="s">
        <v>104</v>
      </c>
      <c r="B82" s="198"/>
      <c r="C82" s="198" t="s">
        <v>105</v>
      </c>
      <c r="D82" s="198"/>
      <c r="E82" s="198"/>
      <c r="F82" s="198"/>
      <c r="G82" s="198"/>
      <c r="H82" s="198" t="s">
        <v>27</v>
      </c>
      <c r="I82" s="198"/>
      <c r="J82" s="198"/>
      <c r="K82" s="119"/>
      <c r="L82" s="71"/>
      <c r="M82" s="5"/>
    </row>
    <row r="83" spans="1:13" ht="18.75" x14ac:dyDescent="0.3">
      <c r="A83" s="194"/>
      <c r="B83" s="194"/>
      <c r="C83" s="194"/>
      <c r="D83" s="194"/>
      <c r="E83" s="194"/>
      <c r="F83" s="194"/>
      <c r="G83" s="194"/>
      <c r="H83" s="194"/>
      <c r="I83" s="194"/>
      <c r="J83" s="194"/>
      <c r="K83" s="53"/>
    </row>
  </sheetData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"/>
  <sheetViews>
    <sheetView topLeftCell="A4" zoomScale="96" zoomScaleNormal="96" workbookViewId="0">
      <selection activeCell="J17" sqref="J17"/>
    </sheetView>
  </sheetViews>
  <sheetFormatPr defaultRowHeight="15" x14ac:dyDescent="0.25"/>
  <cols>
    <col min="1" max="1" width="22.7109375" customWidth="1"/>
    <col min="2" max="2" width="10.7109375" customWidth="1"/>
    <col min="3" max="3" width="11.140625" customWidth="1"/>
    <col min="4" max="4" width="12.28515625" customWidth="1"/>
    <col min="5" max="5" width="10.7109375" customWidth="1"/>
    <col min="6" max="6" width="9.85546875" bestFit="1" customWidth="1"/>
    <col min="8" max="8" width="12.5703125" customWidth="1"/>
    <col min="9" max="9" width="10.7109375" bestFit="1" customWidth="1"/>
    <col min="10" max="10" width="13.7109375" customWidth="1"/>
    <col min="11" max="11" width="11.140625" customWidth="1"/>
  </cols>
  <sheetData>
    <row r="1" spans="1:15" ht="15.75" x14ac:dyDescent="0.25">
      <c r="A1" s="158"/>
      <c r="B1" s="158"/>
      <c r="C1" s="159"/>
      <c r="D1" s="159"/>
      <c r="E1" s="159"/>
      <c r="F1" s="159"/>
      <c r="G1" s="159"/>
      <c r="H1" s="158"/>
      <c r="I1" s="159"/>
      <c r="J1" s="159"/>
      <c r="K1" s="159"/>
      <c r="L1" s="159"/>
      <c r="M1" s="158"/>
    </row>
    <row r="2" spans="1:15" ht="15.75" x14ac:dyDescent="0.25">
      <c r="A2" s="158"/>
      <c r="B2" s="158"/>
      <c r="C2" s="100"/>
      <c r="D2" s="100"/>
      <c r="E2" s="100" t="s">
        <v>27</v>
      </c>
      <c r="F2" s="160"/>
      <c r="G2" s="100"/>
      <c r="H2" s="101"/>
      <c r="I2" s="160"/>
      <c r="J2" s="160"/>
      <c r="K2" s="160"/>
      <c r="L2" s="160"/>
      <c r="M2" s="158"/>
    </row>
    <row r="3" spans="1:15" ht="15.75" x14ac:dyDescent="0.25">
      <c r="A3" s="160"/>
      <c r="B3" s="100"/>
      <c r="C3" s="100"/>
      <c r="D3" s="100"/>
      <c r="E3" s="100" t="s">
        <v>0</v>
      </c>
      <c r="F3" s="100"/>
      <c r="G3" s="159"/>
      <c r="H3" s="102"/>
      <c r="I3" s="160"/>
      <c r="J3" s="160"/>
      <c r="K3" s="160"/>
      <c r="L3" s="160"/>
      <c r="M3" s="158"/>
    </row>
    <row r="4" spans="1:15" ht="15.75" x14ac:dyDescent="0.25">
      <c r="A4" s="100"/>
      <c r="B4" s="160"/>
      <c r="C4" s="158"/>
      <c r="D4" s="100" t="s">
        <v>375</v>
      </c>
      <c r="E4" s="100"/>
      <c r="F4" s="158"/>
      <c r="G4" s="100"/>
      <c r="H4" s="104"/>
      <c r="I4" s="104"/>
      <c r="J4" s="104"/>
      <c r="K4" s="104"/>
      <c r="L4" s="104"/>
      <c r="M4" s="158"/>
    </row>
    <row r="5" spans="1:15" ht="15.75" x14ac:dyDescent="0.25">
      <c r="A5" s="161" t="s">
        <v>2</v>
      </c>
      <c r="B5" s="161" t="s">
        <v>3</v>
      </c>
      <c r="C5" s="161" t="s">
        <v>4</v>
      </c>
      <c r="D5" s="162" t="s">
        <v>5</v>
      </c>
      <c r="E5" s="161" t="s">
        <v>6</v>
      </c>
      <c r="F5" s="163" t="s">
        <v>63</v>
      </c>
      <c r="G5" s="161" t="s">
        <v>96</v>
      </c>
      <c r="H5" s="164" t="s">
        <v>7</v>
      </c>
      <c r="I5" s="161" t="s">
        <v>8</v>
      </c>
      <c r="J5" s="161" t="s">
        <v>9</v>
      </c>
      <c r="K5" s="161" t="s">
        <v>91</v>
      </c>
      <c r="L5" s="161" t="s">
        <v>123</v>
      </c>
      <c r="M5" s="158"/>
    </row>
    <row r="6" spans="1:15" ht="15.75" x14ac:dyDescent="0.25">
      <c r="A6" s="165" t="s">
        <v>376</v>
      </c>
      <c r="B6" s="166" t="s">
        <v>52</v>
      </c>
      <c r="C6" s="167"/>
      <c r="D6" s="220">
        <f>'AUGUST 21'!J6:J38</f>
        <v>0</v>
      </c>
      <c r="E6" s="169"/>
      <c r="F6" s="170"/>
      <c r="G6" s="169"/>
      <c r="H6" s="169">
        <f>D6+E6+F6+G6+C6</f>
        <v>0</v>
      </c>
      <c r="I6" s="169"/>
      <c r="J6" s="169">
        <f>H6-I6</f>
        <v>0</v>
      </c>
      <c r="K6" s="169"/>
      <c r="L6" s="169"/>
      <c r="M6" s="158"/>
    </row>
    <row r="7" spans="1:15" ht="15.75" x14ac:dyDescent="0.25">
      <c r="A7" s="218" t="s">
        <v>67</v>
      </c>
      <c r="B7" s="166" t="s">
        <v>51</v>
      </c>
      <c r="C7" s="167"/>
      <c r="D7" s="220">
        <f>'AUGUST 21'!J7:J39</f>
        <v>0</v>
      </c>
      <c r="E7" s="172"/>
      <c r="F7" s="173"/>
      <c r="G7" s="172"/>
      <c r="H7" s="169">
        <f t="shared" ref="H7:H39" si="0">D7+E7+F7+G7+C7</f>
        <v>0</v>
      </c>
      <c r="I7" s="169"/>
      <c r="J7" s="169">
        <f>H7-I7</f>
        <v>0</v>
      </c>
      <c r="K7" s="169"/>
      <c r="L7" s="169"/>
      <c r="M7" s="158"/>
    </row>
    <row r="8" spans="1:15" ht="15.75" x14ac:dyDescent="0.25">
      <c r="A8" s="171" t="s">
        <v>65</v>
      </c>
      <c r="B8" s="166" t="s">
        <v>54</v>
      </c>
      <c r="C8" s="167"/>
      <c r="D8" s="220">
        <f>'AUGUST 21'!J8:J40</f>
        <v>0</v>
      </c>
      <c r="E8" s="172"/>
      <c r="F8" s="173"/>
      <c r="G8" s="172"/>
      <c r="H8" s="169">
        <f t="shared" si="0"/>
        <v>0</v>
      </c>
      <c r="I8" s="169"/>
      <c r="J8" s="169">
        <f>H8-I8</f>
        <v>0</v>
      </c>
      <c r="K8" s="169"/>
      <c r="L8" s="169"/>
      <c r="M8" s="158"/>
    </row>
    <row r="9" spans="1:15" ht="15.75" x14ac:dyDescent="0.25">
      <c r="A9" s="174" t="s">
        <v>67</v>
      </c>
      <c r="B9" s="175" t="s">
        <v>50</v>
      </c>
      <c r="C9" s="176"/>
      <c r="D9" s="220">
        <f>'AUGUST 21'!J9:J41</f>
        <v>0</v>
      </c>
      <c r="E9" s="177"/>
      <c r="F9" s="178"/>
      <c r="G9" s="172"/>
      <c r="H9" s="169">
        <f t="shared" si="0"/>
        <v>0</v>
      </c>
      <c r="I9" s="169"/>
      <c r="J9" s="169">
        <f>H9-I9</f>
        <v>0</v>
      </c>
      <c r="K9" s="169"/>
      <c r="L9" s="169"/>
      <c r="M9" s="158"/>
    </row>
    <row r="10" spans="1:15" ht="15.75" x14ac:dyDescent="0.25">
      <c r="A10" s="218" t="s">
        <v>364</v>
      </c>
      <c r="B10" s="166" t="s">
        <v>49</v>
      </c>
      <c r="C10" s="176"/>
      <c r="D10" s="220">
        <f>'AUGUST 21'!J10:J42</f>
        <v>0</v>
      </c>
      <c r="E10" s="172"/>
      <c r="F10" s="173"/>
      <c r="G10" s="172"/>
      <c r="H10" s="169">
        <f t="shared" si="0"/>
        <v>0</v>
      </c>
      <c r="I10" s="169"/>
      <c r="J10" s="169">
        <f>H10-I10</f>
        <v>0</v>
      </c>
      <c r="K10" s="169"/>
      <c r="L10" s="169"/>
      <c r="M10" s="158"/>
    </row>
    <row r="11" spans="1:15" ht="15.75" x14ac:dyDescent="0.25">
      <c r="A11" s="179" t="s">
        <v>263</v>
      </c>
      <c r="B11" s="166" t="s">
        <v>53</v>
      </c>
      <c r="C11" s="167"/>
      <c r="D11" s="220">
        <f>'AUGUST 21'!J11:J43</f>
        <v>1556</v>
      </c>
      <c r="E11" s="172">
        <v>6500</v>
      </c>
      <c r="F11" s="173">
        <v>663</v>
      </c>
      <c r="G11" s="172">
        <v>200</v>
      </c>
      <c r="H11" s="169">
        <f t="shared" si="0"/>
        <v>8919</v>
      </c>
      <c r="I11" s="169">
        <f>6900</f>
        <v>6900</v>
      </c>
      <c r="J11" s="169">
        <f t="shared" ref="J11:J36" si="1">H11-I11</f>
        <v>2019</v>
      </c>
      <c r="K11" s="169"/>
      <c r="L11" s="169"/>
      <c r="M11" s="181"/>
    </row>
    <row r="12" spans="1:15" ht="15.75" x14ac:dyDescent="0.25">
      <c r="A12" s="165" t="s">
        <v>262</v>
      </c>
      <c r="B12" s="166" t="s">
        <v>48</v>
      </c>
      <c r="C12" s="167"/>
      <c r="D12" s="220">
        <f>'AUGUST 21'!J12:J44</f>
        <v>6693</v>
      </c>
      <c r="E12" s="172">
        <v>6500</v>
      </c>
      <c r="F12" s="173">
        <v>544</v>
      </c>
      <c r="G12" s="172">
        <v>200</v>
      </c>
      <c r="H12" s="169">
        <f t="shared" si="0"/>
        <v>13937</v>
      </c>
      <c r="I12" s="169">
        <v>13937</v>
      </c>
      <c r="J12" s="169">
        <f t="shared" si="1"/>
        <v>0</v>
      </c>
      <c r="K12" s="169"/>
      <c r="L12" s="169"/>
      <c r="M12" s="158"/>
    </row>
    <row r="13" spans="1:15" ht="15.75" x14ac:dyDescent="0.25">
      <c r="A13" s="223"/>
      <c r="B13" s="166" t="s">
        <v>47</v>
      </c>
      <c r="C13" s="167"/>
      <c r="D13" s="220">
        <f>'AUGUST 21'!J13:J45</f>
        <v>0</v>
      </c>
      <c r="E13" s="172"/>
      <c r="F13" s="173"/>
      <c r="G13" s="172"/>
      <c r="H13" s="169">
        <f t="shared" si="0"/>
        <v>0</v>
      </c>
      <c r="I13" s="169"/>
      <c r="J13" s="169">
        <f t="shared" si="1"/>
        <v>0</v>
      </c>
      <c r="K13" s="169"/>
      <c r="L13" s="169"/>
      <c r="M13" s="158"/>
    </row>
    <row r="14" spans="1:15" ht="15.75" x14ac:dyDescent="0.25">
      <c r="A14" s="174" t="s">
        <v>378</v>
      </c>
      <c r="B14" s="166" t="s">
        <v>46</v>
      </c>
      <c r="C14" s="167"/>
      <c r="D14" s="220">
        <f>'AUGUST 21'!J14:J46</f>
        <v>0</v>
      </c>
      <c r="E14" s="172"/>
      <c r="F14" s="173"/>
      <c r="G14" s="172">
        <v>0</v>
      </c>
      <c r="H14" s="169">
        <f t="shared" si="0"/>
        <v>0</v>
      </c>
      <c r="I14" s="169"/>
      <c r="J14" s="169">
        <f>H14-I14</f>
        <v>0</v>
      </c>
      <c r="K14" s="169"/>
      <c r="L14" s="169"/>
      <c r="M14" s="181"/>
    </row>
    <row r="15" spans="1:15" ht="15.75" x14ac:dyDescent="0.25">
      <c r="A15" s="171" t="s">
        <v>315</v>
      </c>
      <c r="B15" s="166" t="s">
        <v>45</v>
      </c>
      <c r="C15" s="167"/>
      <c r="D15" s="220">
        <f>'AUGUST 21'!J15:J47</f>
        <v>1141</v>
      </c>
      <c r="E15" s="172">
        <v>6500</v>
      </c>
      <c r="F15" s="173">
        <v>442</v>
      </c>
      <c r="G15" s="172">
        <v>200</v>
      </c>
      <c r="H15" s="169">
        <f t="shared" si="0"/>
        <v>8283</v>
      </c>
      <c r="I15" s="169">
        <f>6500+442+200</f>
        <v>7142</v>
      </c>
      <c r="J15" s="169">
        <f>H15-I15</f>
        <v>1141</v>
      </c>
      <c r="K15" s="169"/>
      <c r="L15" s="169"/>
      <c r="O15" s="53"/>
    </row>
    <row r="16" spans="1:15" ht="15.75" x14ac:dyDescent="0.25">
      <c r="A16" s="165" t="s">
        <v>225</v>
      </c>
      <c r="B16" s="166" t="s">
        <v>44</v>
      </c>
      <c r="C16" s="167"/>
      <c r="D16" s="220">
        <f>'AUGUST 21'!J16:J48</f>
        <v>0</v>
      </c>
      <c r="E16" s="172">
        <v>6500</v>
      </c>
      <c r="F16" s="173">
        <v>323</v>
      </c>
      <c r="G16" s="172">
        <v>200</v>
      </c>
      <c r="H16" s="169">
        <f t="shared" si="0"/>
        <v>7023</v>
      </c>
      <c r="I16" s="169">
        <v>7023</v>
      </c>
      <c r="J16" s="169">
        <f>H16-I16</f>
        <v>0</v>
      </c>
      <c r="K16" s="169"/>
      <c r="L16" s="169"/>
      <c r="M16" s="158"/>
    </row>
    <row r="17" spans="1:15" ht="15.75" x14ac:dyDescent="0.25">
      <c r="A17" s="171" t="s">
        <v>349</v>
      </c>
      <c r="B17" s="166" t="s">
        <v>43</v>
      </c>
      <c r="C17" s="176"/>
      <c r="D17" s="220">
        <f>'AUGUST 21'!J17:J49</f>
        <v>200</v>
      </c>
      <c r="E17" s="172">
        <v>6500</v>
      </c>
      <c r="F17" s="173">
        <v>238</v>
      </c>
      <c r="G17" s="172">
        <v>200</v>
      </c>
      <c r="H17" s="169">
        <f t="shared" si="0"/>
        <v>7138</v>
      </c>
      <c r="I17" s="169">
        <f>6500</f>
        <v>6500</v>
      </c>
      <c r="J17" s="169">
        <f t="shared" si="1"/>
        <v>638</v>
      </c>
      <c r="K17" s="169"/>
      <c r="L17" s="169"/>
      <c r="M17" s="182" t="s">
        <v>350</v>
      </c>
    </row>
    <row r="18" spans="1:15" ht="15.75" x14ac:dyDescent="0.25">
      <c r="A18" s="165" t="s">
        <v>73</v>
      </c>
      <c r="B18" s="166" t="s">
        <v>42</v>
      </c>
      <c r="C18" s="167"/>
      <c r="D18" s="220">
        <f>'AUGUST 21'!J18:J50</f>
        <v>-496</v>
      </c>
      <c r="E18" s="172">
        <v>6500</v>
      </c>
      <c r="F18" s="173">
        <v>425</v>
      </c>
      <c r="G18" s="172">
        <v>200</v>
      </c>
      <c r="H18" s="169">
        <f t="shared" si="0"/>
        <v>6629</v>
      </c>
      <c r="I18" s="169">
        <v>6629</v>
      </c>
      <c r="J18" s="169">
        <f t="shared" si="1"/>
        <v>0</v>
      </c>
      <c r="K18" s="169"/>
      <c r="L18" s="169"/>
      <c r="M18" s="158"/>
    </row>
    <row r="19" spans="1:15" ht="15.75" x14ac:dyDescent="0.25">
      <c r="A19" s="165" t="s">
        <v>180</v>
      </c>
      <c r="B19" s="166" t="s">
        <v>41</v>
      </c>
      <c r="C19" s="167"/>
      <c r="D19" s="220">
        <f>'AUGUST 21'!J19:J51</f>
        <v>27</v>
      </c>
      <c r="E19" s="172">
        <v>6500</v>
      </c>
      <c r="F19" s="173">
        <v>272</v>
      </c>
      <c r="G19" s="172">
        <v>200</v>
      </c>
      <c r="H19" s="169">
        <f t="shared" si="0"/>
        <v>6999</v>
      </c>
      <c r="I19" s="169">
        <v>6000</v>
      </c>
      <c r="J19" s="169">
        <f t="shared" si="1"/>
        <v>999</v>
      </c>
      <c r="K19" s="169"/>
      <c r="L19" s="169"/>
      <c r="M19" s="158"/>
    </row>
    <row r="20" spans="1:15" ht="15.75" x14ac:dyDescent="0.25">
      <c r="A20" s="171" t="s">
        <v>75</v>
      </c>
      <c r="B20" s="166" t="s">
        <v>40</v>
      </c>
      <c r="C20" s="167"/>
      <c r="D20" s="220">
        <f>'AUGUST 21'!J20:J52</f>
        <v>0</v>
      </c>
      <c r="E20" s="172">
        <v>6500</v>
      </c>
      <c r="F20" s="173">
        <v>170</v>
      </c>
      <c r="G20" s="172">
        <v>200</v>
      </c>
      <c r="H20" s="169">
        <f t="shared" si="0"/>
        <v>6870</v>
      </c>
      <c r="I20" s="169">
        <f>6870</f>
        <v>6870</v>
      </c>
      <c r="J20" s="169">
        <f t="shared" si="1"/>
        <v>0</v>
      </c>
      <c r="K20" s="169"/>
      <c r="L20" s="169"/>
      <c r="M20" s="158"/>
    </row>
    <row r="21" spans="1:15" ht="15.75" x14ac:dyDescent="0.25">
      <c r="A21" s="174" t="s">
        <v>379</v>
      </c>
      <c r="B21" s="183" t="s">
        <v>39</v>
      </c>
      <c r="C21" s="167"/>
      <c r="D21" s="220">
        <f>'AUGUST 21'!J21:J53</f>
        <v>0</v>
      </c>
      <c r="E21" s="172"/>
      <c r="F21" s="173"/>
      <c r="G21" s="172"/>
      <c r="H21" s="169">
        <f t="shared" si="0"/>
        <v>0</v>
      </c>
      <c r="I21" s="169"/>
      <c r="J21" s="169">
        <f t="shared" si="1"/>
        <v>0</v>
      </c>
      <c r="K21" s="169"/>
      <c r="L21" s="169"/>
      <c r="M21" s="181"/>
    </row>
    <row r="22" spans="1:15" ht="15.75" x14ac:dyDescent="0.25">
      <c r="A22" s="165" t="s">
        <v>150</v>
      </c>
      <c r="B22" s="166" t="s">
        <v>38</v>
      </c>
      <c r="C22" s="167"/>
      <c r="D22" s="220">
        <f>'AUGUST 21'!J22:J54</f>
        <v>0</v>
      </c>
      <c r="E22" s="172">
        <v>6500</v>
      </c>
      <c r="F22" s="173">
        <v>510</v>
      </c>
      <c r="G22" s="172">
        <v>200</v>
      </c>
      <c r="H22" s="169">
        <f t="shared" si="0"/>
        <v>7210</v>
      </c>
      <c r="I22" s="169">
        <f>6500</f>
        <v>6500</v>
      </c>
      <c r="J22" s="169">
        <f t="shared" si="1"/>
        <v>710</v>
      </c>
      <c r="K22" s="169"/>
      <c r="L22" s="169"/>
      <c r="M22" s="158"/>
    </row>
    <row r="23" spans="1:15" ht="15.75" x14ac:dyDescent="0.25">
      <c r="A23" s="171" t="s">
        <v>78</v>
      </c>
      <c r="B23" s="166" t="s">
        <v>37</v>
      </c>
      <c r="C23" s="167"/>
      <c r="D23" s="220">
        <f>'AUGUST 21'!J23:J55</f>
        <v>0</v>
      </c>
      <c r="E23" s="172">
        <v>6500</v>
      </c>
      <c r="F23" s="173"/>
      <c r="G23" s="172">
        <v>200</v>
      </c>
      <c r="H23" s="169">
        <f t="shared" si="0"/>
        <v>6700</v>
      </c>
      <c r="I23" s="169">
        <v>6700</v>
      </c>
      <c r="J23" s="169">
        <f t="shared" si="1"/>
        <v>0</v>
      </c>
      <c r="K23" s="169"/>
      <c r="L23" s="169"/>
      <c r="M23" s="182"/>
    </row>
    <row r="24" spans="1:15" ht="15.75" x14ac:dyDescent="0.25">
      <c r="A24" s="174" t="s">
        <v>67</v>
      </c>
      <c r="B24" s="185" t="s">
        <v>28</v>
      </c>
      <c r="C24" s="167"/>
      <c r="D24" s="220">
        <f>'AUGUST 21'!J24:J56</f>
        <v>0</v>
      </c>
      <c r="E24" s="172"/>
      <c r="F24" s="173"/>
      <c r="G24" s="172"/>
      <c r="H24" s="169">
        <f t="shared" si="0"/>
        <v>0</v>
      </c>
      <c r="I24" s="169"/>
      <c r="J24" s="169">
        <f>H24-I24</f>
        <v>0</v>
      </c>
      <c r="K24" s="169"/>
      <c r="L24" s="169"/>
      <c r="M24" s="182"/>
    </row>
    <row r="25" spans="1:15" ht="15.75" x14ac:dyDescent="0.25">
      <c r="A25" s="174" t="s">
        <v>67</v>
      </c>
      <c r="B25" s="186" t="s">
        <v>29</v>
      </c>
      <c r="C25" s="167"/>
      <c r="D25" s="220">
        <f>'AUGUST 21'!J25:J57</f>
        <v>0</v>
      </c>
      <c r="E25" s="172"/>
      <c r="F25" s="173"/>
      <c r="G25" s="172"/>
      <c r="H25" s="169">
        <f t="shared" si="0"/>
        <v>0</v>
      </c>
      <c r="I25" s="169"/>
      <c r="J25" s="169">
        <f t="shared" si="1"/>
        <v>0</v>
      </c>
      <c r="K25" s="169"/>
      <c r="L25" s="169"/>
      <c r="M25" s="158"/>
    </row>
    <row r="26" spans="1:15" ht="15.75" x14ac:dyDescent="0.25">
      <c r="A26" s="165" t="s">
        <v>317</v>
      </c>
      <c r="B26" s="186" t="s">
        <v>30</v>
      </c>
      <c r="C26" s="167"/>
      <c r="D26" s="220">
        <f>'AUGUST 21'!J26:J58</f>
        <v>6255</v>
      </c>
      <c r="E26" s="172">
        <v>7000</v>
      </c>
      <c r="F26" s="173">
        <v>1292</v>
      </c>
      <c r="G26" s="172">
        <v>200</v>
      </c>
      <c r="H26" s="169">
        <f t="shared" si="0"/>
        <v>14747</v>
      </c>
      <c r="I26" s="169"/>
      <c r="J26" s="169">
        <f t="shared" si="1"/>
        <v>14747</v>
      </c>
      <c r="K26" s="169"/>
      <c r="L26" s="169"/>
      <c r="M26" s="182"/>
    </row>
    <row r="27" spans="1:15" ht="15.75" x14ac:dyDescent="0.25">
      <c r="A27" s="165" t="s">
        <v>332</v>
      </c>
      <c r="B27" s="186" t="s">
        <v>55</v>
      </c>
      <c r="C27" s="167"/>
      <c r="D27" s="220"/>
      <c r="E27" s="172"/>
      <c r="F27" s="173">
        <v>884</v>
      </c>
      <c r="G27" s="172"/>
      <c r="H27" s="169">
        <f t="shared" si="0"/>
        <v>884</v>
      </c>
      <c r="I27" s="169">
        <v>884</v>
      </c>
      <c r="J27" s="169">
        <f>H27-I27</f>
        <v>0</v>
      </c>
      <c r="K27" s="169"/>
      <c r="L27" s="169"/>
      <c r="M27" s="182"/>
    </row>
    <row r="28" spans="1:15" ht="15.75" x14ac:dyDescent="0.25">
      <c r="A28" s="165" t="s">
        <v>83</v>
      </c>
      <c r="B28" s="186" t="s">
        <v>56</v>
      </c>
      <c r="C28" s="167"/>
      <c r="D28" s="220">
        <f>'AUGUST 21'!J28:J60</f>
        <v>4774</v>
      </c>
      <c r="E28" s="172">
        <v>8500</v>
      </c>
      <c r="F28" s="173">
        <v>255</v>
      </c>
      <c r="G28" s="172">
        <v>200</v>
      </c>
      <c r="H28" s="169">
        <f t="shared" si="0"/>
        <v>13729</v>
      </c>
      <c r="I28" s="169">
        <f>400+9600</f>
        <v>10000</v>
      </c>
      <c r="J28" s="169">
        <f t="shared" si="1"/>
        <v>3729</v>
      </c>
      <c r="K28" s="169"/>
      <c r="L28" s="169"/>
      <c r="M28" s="158"/>
    </row>
    <row r="29" spans="1:15" ht="15.75" x14ac:dyDescent="0.25">
      <c r="A29" s="165" t="s">
        <v>181</v>
      </c>
      <c r="B29" s="186" t="s">
        <v>57</v>
      </c>
      <c r="C29" s="167"/>
      <c r="D29" s="220">
        <f>'AUGUST 21'!J29:J61</f>
        <v>339</v>
      </c>
      <c r="E29" s="172">
        <v>7000</v>
      </c>
      <c r="F29" s="173">
        <v>629</v>
      </c>
      <c r="G29" s="172">
        <v>200</v>
      </c>
      <c r="H29" s="169">
        <f t="shared" si="0"/>
        <v>8168</v>
      </c>
      <c r="I29" s="169">
        <f>8168</f>
        <v>8168</v>
      </c>
      <c r="J29" s="169">
        <f t="shared" si="1"/>
        <v>0</v>
      </c>
      <c r="K29" s="169"/>
      <c r="L29" s="169"/>
      <c r="M29" s="158"/>
    </row>
    <row r="30" spans="1:15" ht="15.75" x14ac:dyDescent="0.25">
      <c r="A30" s="184" t="s">
        <v>92</v>
      </c>
      <c r="B30" s="185" t="s">
        <v>58</v>
      </c>
      <c r="C30" s="167"/>
      <c r="D30" s="220">
        <f>'AUGUST 21'!J30:J62</f>
        <v>3702</v>
      </c>
      <c r="E30" s="172">
        <v>7000</v>
      </c>
      <c r="F30" s="173"/>
      <c r="G30" s="172">
        <v>200</v>
      </c>
      <c r="H30" s="169">
        <f t="shared" si="0"/>
        <v>10902</v>
      </c>
      <c r="I30" s="169">
        <f>5000</f>
        <v>5000</v>
      </c>
      <c r="J30" s="169">
        <f t="shared" si="1"/>
        <v>5902</v>
      </c>
      <c r="K30" s="169"/>
      <c r="L30" s="169"/>
      <c r="M30" s="158"/>
    </row>
    <row r="31" spans="1:15" ht="15.75" x14ac:dyDescent="0.25">
      <c r="A31" s="165" t="s">
        <v>176</v>
      </c>
      <c r="B31" s="186" t="s">
        <v>59</v>
      </c>
      <c r="C31" s="167"/>
      <c r="D31" s="220">
        <f>'AUGUST 21'!J31:J63</f>
        <v>4021</v>
      </c>
      <c r="E31" s="172">
        <v>7000</v>
      </c>
      <c r="F31" s="173">
        <v>612</v>
      </c>
      <c r="G31" s="172">
        <v>200</v>
      </c>
      <c r="H31" s="169">
        <f t="shared" si="0"/>
        <v>11833</v>
      </c>
      <c r="I31" s="169">
        <v>10500</v>
      </c>
      <c r="J31" s="169">
        <f t="shared" si="1"/>
        <v>1333</v>
      </c>
      <c r="K31" s="169"/>
      <c r="L31" s="169"/>
      <c r="M31" s="158"/>
    </row>
    <row r="32" spans="1:15" ht="15.75" x14ac:dyDescent="0.25">
      <c r="A32" s="165" t="s">
        <v>170</v>
      </c>
      <c r="B32" s="186" t="s">
        <v>60</v>
      </c>
      <c r="C32" s="167"/>
      <c r="D32" s="220">
        <f>'AUGUST 21'!J32:J64</f>
        <v>0</v>
      </c>
      <c r="E32" s="172">
        <v>7000</v>
      </c>
      <c r="F32" s="173">
        <v>799</v>
      </c>
      <c r="G32" s="172">
        <v>200</v>
      </c>
      <c r="H32" s="169">
        <f t="shared" si="0"/>
        <v>7999</v>
      </c>
      <c r="I32" s="169">
        <f>200+7800</f>
        <v>8000</v>
      </c>
      <c r="J32" s="169">
        <f t="shared" si="1"/>
        <v>-1</v>
      </c>
      <c r="K32" s="169"/>
      <c r="L32" s="169"/>
      <c r="M32" s="181"/>
      <c r="O32">
        <v>0</v>
      </c>
    </row>
    <row r="33" spans="1:13" ht="15.75" x14ac:dyDescent="0.25">
      <c r="A33" s="165" t="s">
        <v>80</v>
      </c>
      <c r="B33" s="186" t="s">
        <v>31</v>
      </c>
      <c r="C33" s="167"/>
      <c r="D33" s="220">
        <f>'AUGUST 21'!J33:J65</f>
        <v>0</v>
      </c>
      <c r="E33" s="172">
        <v>9000</v>
      </c>
      <c r="F33" s="173">
        <v>1275</v>
      </c>
      <c r="G33" s="172">
        <v>200</v>
      </c>
      <c r="H33" s="169">
        <f t="shared" si="0"/>
        <v>10475</v>
      </c>
      <c r="I33" s="169">
        <v>10475</v>
      </c>
      <c r="J33" s="169">
        <f>H33-I33</f>
        <v>0</v>
      </c>
      <c r="K33" s="169"/>
      <c r="L33" s="169"/>
      <c r="M33" s="187"/>
    </row>
    <row r="34" spans="1:13" ht="15.75" x14ac:dyDescent="0.25">
      <c r="A34" s="165" t="s">
        <v>322</v>
      </c>
      <c r="B34" s="186" t="s">
        <v>32</v>
      </c>
      <c r="C34" s="167"/>
      <c r="D34" s="220">
        <f>'AUGUST 21'!J34:J66</f>
        <v>1595</v>
      </c>
      <c r="E34" s="173">
        <v>7000</v>
      </c>
      <c r="F34" s="173">
        <v>986</v>
      </c>
      <c r="G34" s="172">
        <v>200</v>
      </c>
      <c r="H34" s="169">
        <f t="shared" si="0"/>
        <v>9781</v>
      </c>
      <c r="I34" s="169">
        <f>8361</f>
        <v>8361</v>
      </c>
      <c r="J34" s="169">
        <f t="shared" si="1"/>
        <v>1420</v>
      </c>
      <c r="K34" s="169"/>
      <c r="L34" s="169"/>
      <c r="M34" s="181"/>
    </row>
    <row r="35" spans="1:13" ht="15.75" x14ac:dyDescent="0.25">
      <c r="A35" s="165" t="s">
        <v>245</v>
      </c>
      <c r="B35" s="186" t="s">
        <v>33</v>
      </c>
      <c r="C35" s="167"/>
      <c r="D35" s="220">
        <f>'AUGUST 21'!J35:J67</f>
        <v>191</v>
      </c>
      <c r="E35" s="173">
        <v>7000</v>
      </c>
      <c r="F35" s="173">
        <v>442</v>
      </c>
      <c r="G35" s="172">
        <v>200</v>
      </c>
      <c r="H35" s="169">
        <f t="shared" si="0"/>
        <v>7833</v>
      </c>
      <c r="I35" s="169">
        <v>6500</v>
      </c>
      <c r="J35" s="169">
        <f t="shared" si="1"/>
        <v>1333</v>
      </c>
      <c r="K35" s="169"/>
      <c r="L35" s="169"/>
      <c r="M35" s="158"/>
    </row>
    <row r="36" spans="1:13" ht="15.75" x14ac:dyDescent="0.25">
      <c r="A36" s="165" t="s">
        <v>89</v>
      </c>
      <c r="B36" s="186" t="s">
        <v>34</v>
      </c>
      <c r="C36" s="167"/>
      <c r="D36" s="220">
        <f>'AUGUST 21'!J36:J68</f>
        <v>-449</v>
      </c>
      <c r="E36" s="173">
        <v>7000</v>
      </c>
      <c r="F36" s="173">
        <v>544</v>
      </c>
      <c r="G36" s="172">
        <v>200</v>
      </c>
      <c r="H36" s="169">
        <f t="shared" si="0"/>
        <v>7295</v>
      </c>
      <c r="I36" s="169">
        <f>7295</f>
        <v>7295</v>
      </c>
      <c r="J36" s="169">
        <f t="shared" si="1"/>
        <v>0</v>
      </c>
      <c r="K36" s="169"/>
      <c r="L36" s="169"/>
      <c r="M36" s="158"/>
    </row>
    <row r="37" spans="1:13" ht="15.75" x14ac:dyDescent="0.25">
      <c r="A37" s="165" t="s">
        <v>330</v>
      </c>
      <c r="B37" s="186" t="s">
        <v>35</v>
      </c>
      <c r="C37" s="167"/>
      <c r="D37" s="220">
        <f>'AUGUST 21'!J37:J69</f>
        <v>450</v>
      </c>
      <c r="E37" s="173">
        <v>7000</v>
      </c>
      <c r="F37" s="173">
        <v>510</v>
      </c>
      <c r="G37" s="172">
        <v>200</v>
      </c>
      <c r="H37" s="169">
        <f t="shared" si="0"/>
        <v>8160</v>
      </c>
      <c r="I37" s="169">
        <f>5500+1000</f>
        <v>6500</v>
      </c>
      <c r="J37" s="169">
        <f>H37-I37</f>
        <v>1660</v>
      </c>
      <c r="K37" s="169"/>
      <c r="L37" s="169"/>
      <c r="M37" s="158"/>
    </row>
    <row r="38" spans="1:13" ht="15.75" x14ac:dyDescent="0.25">
      <c r="A38" s="165" t="s">
        <v>138</v>
      </c>
      <c r="B38" s="186" t="s">
        <v>36</v>
      </c>
      <c r="C38" s="167"/>
      <c r="D38" s="220">
        <f>'AUGUST 21'!J38:J70</f>
        <v>700</v>
      </c>
      <c r="E38" s="178">
        <v>8500</v>
      </c>
      <c r="F38" s="178">
        <v>500</v>
      </c>
      <c r="G38" s="172">
        <v>200</v>
      </c>
      <c r="H38" s="169">
        <f t="shared" si="0"/>
        <v>9900</v>
      </c>
      <c r="I38" s="169">
        <f>9500</f>
        <v>9500</v>
      </c>
      <c r="J38" s="169">
        <f>H38-I38</f>
        <v>400</v>
      </c>
      <c r="K38" s="169"/>
      <c r="L38" s="169"/>
      <c r="M38" s="158"/>
    </row>
    <row r="39" spans="1:13" ht="15.75" x14ac:dyDescent="0.25">
      <c r="A39" s="165"/>
      <c r="B39" s="186"/>
      <c r="C39" s="167"/>
      <c r="D39" s="220">
        <f>'AUGUST 21'!J39:J71</f>
        <v>0</v>
      </c>
      <c r="E39" s="178"/>
      <c r="F39" s="178"/>
      <c r="G39" s="172"/>
      <c r="H39" s="169">
        <f t="shared" si="0"/>
        <v>0</v>
      </c>
      <c r="I39" s="169">
        <f>SUM(D39:H39)</f>
        <v>0</v>
      </c>
      <c r="J39" s="169">
        <f>H39-I39</f>
        <v>0</v>
      </c>
      <c r="K39" s="169"/>
      <c r="L39" s="169"/>
      <c r="M39" s="158"/>
    </row>
    <row r="40" spans="1:13" ht="15.75" x14ac:dyDescent="0.25">
      <c r="A40" s="188" t="s">
        <v>10</v>
      </c>
      <c r="B40" s="165"/>
      <c r="C40" s="167">
        <f t="shared" ref="C40:L40" si="2">SUM(C6:C39)</f>
        <v>0</v>
      </c>
      <c r="D40" s="220">
        <f>SUM(D6:D39)</f>
        <v>30699</v>
      </c>
      <c r="E40" s="189">
        <f>SUM(E6:E39)</f>
        <v>154000</v>
      </c>
      <c r="F40" s="190">
        <f>SUM(F6:F39)</f>
        <v>12315</v>
      </c>
      <c r="G40" s="191">
        <f t="shared" si="2"/>
        <v>4400</v>
      </c>
      <c r="H40" s="169">
        <f>SUM(H6:H39)</f>
        <v>201414</v>
      </c>
      <c r="I40" s="192">
        <f>SUM(I6:I39)</f>
        <v>165384</v>
      </c>
      <c r="J40" s="192">
        <f>SUM(J6:J39)</f>
        <v>36030</v>
      </c>
      <c r="K40" s="192">
        <f t="shared" si="2"/>
        <v>0</v>
      </c>
      <c r="L40" s="192">
        <f t="shared" si="2"/>
        <v>0</v>
      </c>
      <c r="M40" s="158"/>
    </row>
    <row r="41" spans="1:13" ht="15.75" x14ac:dyDescent="0.25">
      <c r="A41" s="184"/>
      <c r="B41" s="184"/>
      <c r="C41" s="177"/>
      <c r="D41" s="193"/>
      <c r="E41" s="184"/>
      <c r="F41" s="158"/>
      <c r="G41" s="184"/>
      <c r="H41" s="184"/>
      <c r="I41" s="184"/>
      <c r="J41" s="184"/>
      <c r="K41" s="184"/>
      <c r="L41" s="184"/>
      <c r="M41" s="158"/>
    </row>
    <row r="42" spans="1:13" ht="15.75" x14ac:dyDescent="0.25">
      <c r="A42" s="160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</row>
    <row r="43" spans="1:13" ht="15.75" x14ac:dyDescent="0.25">
      <c r="A43" s="184"/>
      <c r="B43" s="158"/>
      <c r="C43" s="158"/>
      <c r="D43" s="158"/>
      <c r="E43" s="158"/>
      <c r="F43" s="181">
        <f>F40+731+102</f>
        <v>13148</v>
      </c>
      <c r="G43" s="158"/>
      <c r="H43" s="158"/>
      <c r="I43" s="158"/>
      <c r="J43" s="158"/>
      <c r="K43" s="158"/>
      <c r="L43" s="158"/>
      <c r="M43" s="158"/>
    </row>
    <row r="44" spans="1:13" x14ac:dyDescent="0.25">
      <c r="A44" s="18"/>
    </row>
    <row r="45" spans="1:13" ht="18.75" x14ac:dyDescent="0.3">
      <c r="A45" s="195" t="s">
        <v>12</v>
      </c>
      <c r="B45" s="195"/>
      <c r="C45" s="195"/>
      <c r="D45" s="196"/>
      <c r="E45" s="197"/>
      <c r="F45" s="195" t="s">
        <v>8</v>
      </c>
      <c r="G45" s="195"/>
      <c r="H45" s="195"/>
      <c r="I45" s="198"/>
      <c r="J45" s="198"/>
      <c r="K45" s="79"/>
      <c r="L45" s="71"/>
    </row>
    <row r="46" spans="1:13" ht="18.75" x14ac:dyDescent="0.3">
      <c r="A46" s="199" t="s">
        <v>13</v>
      </c>
      <c r="B46" s="199" t="s">
        <v>14</v>
      </c>
      <c r="C46" s="199" t="s">
        <v>15</v>
      </c>
      <c r="D46" s="199" t="s">
        <v>16</v>
      </c>
      <c r="E46" s="199"/>
      <c r="F46" s="199" t="s">
        <v>13</v>
      </c>
      <c r="G46" s="199"/>
      <c r="H46" s="199" t="s">
        <v>265</v>
      </c>
      <c r="I46" s="199" t="s">
        <v>15</v>
      </c>
      <c r="J46" s="199" t="s">
        <v>16</v>
      </c>
      <c r="K46" s="87"/>
      <c r="L46" s="73"/>
    </row>
    <row r="47" spans="1:13" ht="18.75" x14ac:dyDescent="0.3">
      <c r="A47" s="200" t="s">
        <v>380</v>
      </c>
      <c r="B47" s="201">
        <f>E40</f>
        <v>154000</v>
      </c>
      <c r="C47" s="200"/>
      <c r="D47" s="200"/>
      <c r="E47" s="200"/>
      <c r="F47" s="200" t="s">
        <v>380</v>
      </c>
      <c r="G47" s="200"/>
      <c r="H47" s="202">
        <f>I40</f>
        <v>165384</v>
      </c>
      <c r="I47" s="200"/>
      <c r="J47" s="200"/>
      <c r="K47" s="60"/>
      <c r="L47" s="74"/>
    </row>
    <row r="48" spans="1:13" ht="18.75" x14ac:dyDescent="0.3">
      <c r="A48" s="200"/>
      <c r="B48" s="201"/>
      <c r="C48" s="200"/>
      <c r="D48" s="200"/>
      <c r="E48" s="200"/>
      <c r="F48" s="200"/>
      <c r="G48" s="200"/>
      <c r="H48" s="202"/>
      <c r="I48" s="200"/>
      <c r="J48" s="200"/>
      <c r="K48" s="60"/>
      <c r="L48" s="74"/>
    </row>
    <row r="49" spans="1:15" ht="18.75" x14ac:dyDescent="0.3">
      <c r="A49" s="200" t="s">
        <v>18</v>
      </c>
      <c r="B49" s="201">
        <f>'AUGUST 21'!D79</f>
        <v>1.25</v>
      </c>
      <c r="C49" s="200"/>
      <c r="D49" s="200"/>
      <c r="E49" s="200"/>
      <c r="F49" s="200" t="s">
        <v>18</v>
      </c>
      <c r="G49" s="200"/>
      <c r="H49" s="201">
        <f>'AUGUST 21'!J79</f>
        <v>-65443.75</v>
      </c>
      <c r="I49" s="200"/>
      <c r="J49" s="200"/>
      <c r="K49" s="60"/>
      <c r="L49" s="74"/>
    </row>
    <row r="50" spans="1:15" ht="18.75" x14ac:dyDescent="0.3">
      <c r="A50" s="200" t="s">
        <v>19</v>
      </c>
      <c r="B50" s="201">
        <f>C40</f>
        <v>0</v>
      </c>
      <c r="C50" s="200"/>
      <c r="D50" s="200"/>
      <c r="E50" s="200"/>
      <c r="F50" s="200"/>
      <c r="G50" s="200"/>
      <c r="H50" s="200"/>
      <c r="I50" s="200"/>
      <c r="J50" s="200"/>
      <c r="K50" s="60"/>
      <c r="L50" s="74"/>
    </row>
    <row r="51" spans="1:15" ht="18.75" x14ac:dyDescent="0.3">
      <c r="A51" s="200" t="s">
        <v>63</v>
      </c>
      <c r="B51" s="201">
        <f>F40</f>
        <v>12315</v>
      </c>
      <c r="C51" s="200"/>
      <c r="D51" s="200"/>
      <c r="E51" s="200"/>
      <c r="F51" s="200"/>
      <c r="G51" s="200"/>
      <c r="H51" s="200"/>
      <c r="I51" s="200"/>
      <c r="J51" s="200"/>
      <c r="K51" s="60"/>
      <c r="L51" s="74"/>
    </row>
    <row r="52" spans="1:15" ht="18.75" x14ac:dyDescent="0.3">
      <c r="A52" s="200" t="s">
        <v>62</v>
      </c>
      <c r="B52" s="201">
        <f>K40</f>
        <v>0</v>
      </c>
      <c r="C52" s="200"/>
      <c r="D52" s="200"/>
      <c r="E52" s="200"/>
      <c r="F52" s="200"/>
      <c r="G52" s="200"/>
      <c r="H52" s="200"/>
      <c r="I52" s="200"/>
      <c r="J52" s="200"/>
      <c r="K52" s="60"/>
      <c r="L52" s="74"/>
    </row>
    <row r="53" spans="1:15" ht="18.75" x14ac:dyDescent="0.3">
      <c r="A53" s="200" t="s">
        <v>96</v>
      </c>
      <c r="B53" s="201">
        <f>G40</f>
        <v>4400</v>
      </c>
      <c r="C53" s="200"/>
      <c r="D53" s="200"/>
      <c r="E53" s="200"/>
      <c r="F53" s="200" t="s">
        <v>126</v>
      </c>
      <c r="G53" s="200"/>
      <c r="H53" s="200"/>
      <c r="I53" s="200"/>
      <c r="J53" s="200"/>
      <c r="K53" s="60"/>
      <c r="L53" s="74"/>
    </row>
    <row r="54" spans="1:15" ht="18.75" x14ac:dyDescent="0.3">
      <c r="A54" s="200" t="s">
        <v>167</v>
      </c>
      <c r="B54" s="201"/>
      <c r="C54" s="200"/>
      <c r="D54" s="200"/>
      <c r="E54" s="200"/>
      <c r="F54" s="200" t="s">
        <v>167</v>
      </c>
      <c r="G54" s="201"/>
      <c r="H54" s="194"/>
      <c r="I54" s="194"/>
      <c r="J54" s="200"/>
      <c r="K54" s="60"/>
      <c r="L54" s="74"/>
    </row>
    <row r="55" spans="1:15" ht="18.75" x14ac:dyDescent="0.3">
      <c r="A55" s="200" t="s">
        <v>126</v>
      </c>
      <c r="B55" s="202">
        <f>L40</f>
        <v>0</v>
      </c>
      <c r="C55" s="201"/>
      <c r="D55" s="200"/>
      <c r="E55" s="200"/>
      <c r="F55" s="200"/>
      <c r="G55" s="200"/>
      <c r="H55" s="200"/>
      <c r="I55" s="201"/>
      <c r="J55" s="201"/>
      <c r="K55" s="88"/>
      <c r="L55" s="75"/>
    </row>
    <row r="56" spans="1:15" ht="18.75" x14ac:dyDescent="0.3">
      <c r="A56" s="199" t="s">
        <v>21</v>
      </c>
      <c r="B56" s="200" t="s">
        <v>22</v>
      </c>
      <c r="C56" s="200"/>
      <c r="D56" s="200"/>
      <c r="E56" s="200"/>
      <c r="F56" s="199" t="s">
        <v>21</v>
      </c>
      <c r="G56" s="199"/>
      <c r="H56" s="199"/>
      <c r="I56" s="200"/>
      <c r="J56" s="200"/>
      <c r="K56" s="60"/>
      <c r="L56" s="74"/>
    </row>
    <row r="57" spans="1:15" ht="18.75" x14ac:dyDescent="0.3">
      <c r="A57" s="203" t="s">
        <v>111</v>
      </c>
      <c r="B57" s="204">
        <v>0.05</v>
      </c>
      <c r="C57" s="202">
        <f>B57*E40</f>
        <v>7700</v>
      </c>
      <c r="D57" s="200"/>
      <c r="E57" s="200"/>
      <c r="F57" s="203" t="s">
        <v>111</v>
      </c>
      <c r="G57" s="203"/>
      <c r="H57" s="204">
        <v>0.05</v>
      </c>
      <c r="I57" s="202">
        <f>H57*E40</f>
        <v>7700</v>
      </c>
      <c r="J57" s="200"/>
      <c r="K57" s="60"/>
      <c r="L57" s="74"/>
      <c r="O57" s="157" t="s">
        <v>370</v>
      </c>
    </row>
    <row r="58" spans="1:15" ht="18.75" x14ac:dyDescent="0.3">
      <c r="A58" s="205" t="s">
        <v>381</v>
      </c>
      <c r="B58" s="206"/>
      <c r="C58" s="226">
        <v>163000</v>
      </c>
      <c r="D58" s="202"/>
      <c r="E58" s="205"/>
      <c r="F58" s="205" t="s">
        <v>381</v>
      </c>
      <c r="G58" s="226"/>
      <c r="H58" s="226"/>
      <c r="I58" s="194">
        <v>163000</v>
      </c>
      <c r="J58" s="226"/>
      <c r="K58" s="89"/>
      <c r="L58" s="76"/>
      <c r="O58" s="18" t="s">
        <v>293</v>
      </c>
    </row>
    <row r="59" spans="1:15" ht="18.75" x14ac:dyDescent="0.3">
      <c r="A59" s="205" t="s">
        <v>384</v>
      </c>
      <c r="B59" s="204"/>
      <c r="C59" s="202">
        <f>7516</f>
        <v>7516</v>
      </c>
      <c r="D59" s="200"/>
      <c r="E59" s="200"/>
      <c r="F59" s="205" t="s">
        <v>384</v>
      </c>
      <c r="G59" s="204"/>
      <c r="H59" s="202"/>
      <c r="I59" s="202">
        <f>C59</f>
        <v>7516</v>
      </c>
      <c r="J59" s="200"/>
      <c r="K59" s="60"/>
      <c r="L59" s="74"/>
      <c r="O59" s="18" t="s">
        <v>372</v>
      </c>
    </row>
    <row r="60" spans="1:15" ht="18.75" x14ac:dyDescent="0.3">
      <c r="A60" s="224"/>
      <c r="B60" s="200"/>
      <c r="C60" s="202"/>
      <c r="D60" s="200"/>
      <c r="E60" s="200"/>
      <c r="F60" s="202"/>
      <c r="G60" s="202"/>
      <c r="H60" s="200"/>
      <c r="I60" s="202"/>
      <c r="J60" s="225"/>
      <c r="K60" s="60"/>
      <c r="L60" s="74"/>
      <c r="O60" s="125" t="s">
        <v>352</v>
      </c>
    </row>
    <row r="61" spans="1:15" ht="18.75" x14ac:dyDescent="0.3">
      <c r="A61" s="194"/>
      <c r="B61" s="226"/>
      <c r="C61" s="226"/>
      <c r="D61" s="226"/>
      <c r="E61" s="226"/>
      <c r="F61" s="226"/>
      <c r="G61" s="226"/>
      <c r="H61" s="226"/>
      <c r="I61" s="226"/>
      <c r="J61" s="194"/>
      <c r="K61" s="60"/>
      <c r="L61" s="74"/>
      <c r="O61" s="74" t="s">
        <v>353</v>
      </c>
    </row>
    <row r="62" spans="1:15" ht="18.75" x14ac:dyDescent="0.3">
      <c r="A62" s="208"/>
      <c r="B62" s="200"/>
      <c r="C62" s="202"/>
      <c r="D62" s="200"/>
      <c r="E62" s="200"/>
      <c r="F62" s="200"/>
      <c r="G62" s="202"/>
      <c r="H62" s="203"/>
      <c r="I62" s="202"/>
      <c r="J62" s="202"/>
      <c r="K62" s="89"/>
      <c r="L62" s="76"/>
      <c r="O62" s="18" t="s">
        <v>354</v>
      </c>
    </row>
    <row r="63" spans="1:15" ht="18.75" x14ac:dyDescent="0.3">
      <c r="A63" s="199" t="s">
        <v>23</v>
      </c>
      <c r="B63" s="209">
        <f>B47+B49+B50+B51+B52+B53+B55+B54</f>
        <v>170716.25</v>
      </c>
      <c r="C63" s="209">
        <f>SUM(C57:C62)</f>
        <v>178216</v>
      </c>
      <c r="D63" s="209">
        <f>B63-C63</f>
        <v>-7499.75</v>
      </c>
      <c r="E63" s="209"/>
      <c r="F63" s="199"/>
      <c r="G63" s="199"/>
      <c r="H63" s="209">
        <f>H47+H49+H51+H53+H54</f>
        <v>99940.25</v>
      </c>
      <c r="I63" s="209">
        <f>SUM(I57:I62)</f>
        <v>178216</v>
      </c>
      <c r="J63" s="209">
        <f>H63-I63</f>
        <v>-78275.75</v>
      </c>
      <c r="K63" s="96"/>
      <c r="L63" s="77"/>
      <c r="O63" s="18" t="s">
        <v>371</v>
      </c>
    </row>
    <row r="64" spans="1:15" ht="18.75" x14ac:dyDescent="0.3">
      <c r="A64" s="198"/>
      <c r="B64" s="198"/>
      <c r="C64" s="198"/>
      <c r="D64" s="198"/>
      <c r="E64" s="198"/>
      <c r="F64" s="198"/>
      <c r="G64" s="198"/>
      <c r="H64" s="198"/>
      <c r="I64" s="210">
        <f>I63-I57</f>
        <v>170516</v>
      </c>
      <c r="J64" s="198"/>
      <c r="K64" s="79"/>
      <c r="L64" s="71"/>
      <c r="O64" s="18" t="s">
        <v>368</v>
      </c>
    </row>
    <row r="65" spans="1:15" ht="18.75" x14ac:dyDescent="0.3">
      <c r="A65" s="211" t="s">
        <v>24</v>
      </c>
      <c r="B65" s="212"/>
      <c r="C65" s="212" t="s">
        <v>25</v>
      </c>
      <c r="D65" s="213"/>
      <c r="E65" s="213"/>
      <c r="F65" s="211"/>
      <c r="G65" s="211"/>
      <c r="H65" s="211" t="s">
        <v>26</v>
      </c>
      <c r="I65" s="198"/>
      <c r="J65" s="198"/>
      <c r="K65" s="79"/>
      <c r="L65" s="71"/>
      <c r="O65" s="18" t="s">
        <v>367</v>
      </c>
    </row>
    <row r="66" spans="1:15" ht="18.75" x14ac:dyDescent="0.3">
      <c r="A66" s="198" t="s">
        <v>104</v>
      </c>
      <c r="B66" s="198"/>
      <c r="C66" s="198" t="s">
        <v>105</v>
      </c>
      <c r="D66" s="198"/>
      <c r="E66" s="198"/>
      <c r="F66" s="198"/>
      <c r="G66" s="198"/>
      <c r="H66" s="198" t="s">
        <v>27</v>
      </c>
      <c r="I66" s="198"/>
      <c r="J66" s="198"/>
      <c r="K66" s="119"/>
      <c r="L66" s="71"/>
      <c r="O66" s="18" t="s">
        <v>23</v>
      </c>
    </row>
    <row r="67" spans="1:15" ht="18.75" x14ac:dyDescent="0.3">
      <c r="A67" s="194"/>
      <c r="B67" s="194"/>
      <c r="C67" s="194"/>
      <c r="D67" s="194"/>
      <c r="E67" s="194"/>
      <c r="F67" s="194"/>
      <c r="G67" s="194"/>
      <c r="H67" s="194"/>
      <c r="I67" s="194"/>
      <c r="J67" s="194"/>
      <c r="K67" s="53"/>
      <c r="O67" s="142"/>
    </row>
    <row r="69" spans="1:15" x14ac:dyDescent="0.25">
      <c r="O69" t="s">
        <v>373</v>
      </c>
    </row>
    <row r="70" spans="1:15" x14ac:dyDescent="0.25">
      <c r="M70" s="53"/>
      <c r="O70" t="s">
        <v>374</v>
      </c>
    </row>
    <row r="80" spans="1:15" x14ac:dyDescent="0.25">
      <c r="N80">
        <f>14000/30</f>
        <v>466.66666666666669</v>
      </c>
    </row>
    <row r="81" spans="13:14" x14ac:dyDescent="0.25">
      <c r="N81">
        <f>N80*5</f>
        <v>2333.3333333333335</v>
      </c>
    </row>
    <row r="82" spans="13:14" x14ac:dyDescent="0.25">
      <c r="M82" s="5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workbookViewId="0">
      <selection activeCell="B21" sqref="A21:XFD21"/>
    </sheetView>
  </sheetViews>
  <sheetFormatPr defaultRowHeight="15" x14ac:dyDescent="0.25"/>
  <cols>
    <col min="1" max="1" width="26.85546875" customWidth="1"/>
    <col min="2" max="2" width="12.140625" customWidth="1"/>
    <col min="3" max="3" width="16.140625" customWidth="1"/>
    <col min="4" max="4" width="11.42578125" customWidth="1"/>
    <col min="5" max="5" width="10.7109375" customWidth="1"/>
    <col min="6" max="6" width="13.140625" customWidth="1"/>
    <col min="7" max="7" width="16.85546875" customWidth="1"/>
    <col min="8" max="8" width="14.140625" customWidth="1"/>
    <col min="9" max="9" width="10.42578125" customWidth="1"/>
    <col min="10" max="10" width="13" customWidth="1"/>
    <col min="11" max="11" width="10" customWidth="1"/>
    <col min="12" max="12" width="8.7109375" customWidth="1"/>
  </cols>
  <sheetData>
    <row r="1" spans="1:12" ht="15.75" x14ac:dyDescent="0.25">
      <c r="A1" s="158"/>
      <c r="B1" s="158"/>
      <c r="C1" s="159"/>
      <c r="D1" s="159"/>
      <c r="E1" s="159"/>
      <c r="F1" s="159"/>
      <c r="G1" s="159"/>
      <c r="H1" s="158"/>
      <c r="I1" s="159"/>
      <c r="J1" s="159"/>
      <c r="K1" s="159"/>
      <c r="L1" s="159"/>
    </row>
    <row r="2" spans="1:12" ht="15.75" x14ac:dyDescent="0.25">
      <c r="A2" s="158"/>
      <c r="B2" s="158"/>
      <c r="C2" s="100"/>
      <c r="D2" s="100"/>
      <c r="E2" s="100" t="s">
        <v>27</v>
      </c>
      <c r="F2" s="160"/>
      <c r="G2" s="100"/>
      <c r="H2" s="101"/>
      <c r="I2" s="160"/>
      <c r="J2" s="160"/>
      <c r="K2" s="160"/>
      <c r="L2" s="160"/>
    </row>
    <row r="3" spans="1:12" ht="15.75" x14ac:dyDescent="0.25">
      <c r="A3" s="160"/>
      <c r="B3" s="100"/>
      <c r="C3" s="100"/>
      <c r="D3" s="100"/>
      <c r="E3" s="100" t="s">
        <v>0</v>
      </c>
      <c r="F3" s="100"/>
      <c r="G3" s="159"/>
      <c r="H3" s="102"/>
      <c r="I3" s="160"/>
      <c r="J3" s="160"/>
      <c r="K3" s="160"/>
      <c r="L3" s="160"/>
    </row>
    <row r="4" spans="1:12" ht="15.75" x14ac:dyDescent="0.25">
      <c r="A4" s="100"/>
      <c r="B4" s="160"/>
      <c r="C4" s="158"/>
      <c r="D4" s="100" t="s">
        <v>382</v>
      </c>
      <c r="E4" s="100"/>
      <c r="F4" s="158"/>
      <c r="G4" s="100"/>
      <c r="H4" s="104"/>
      <c r="I4" s="104"/>
      <c r="J4" s="104"/>
      <c r="K4" s="104"/>
      <c r="L4" s="104"/>
    </row>
    <row r="5" spans="1:12" ht="15.75" x14ac:dyDescent="0.25">
      <c r="A5" s="161" t="s">
        <v>2</v>
      </c>
      <c r="B5" s="161" t="s">
        <v>3</v>
      </c>
      <c r="C5" s="161" t="s">
        <v>4</v>
      </c>
      <c r="D5" s="162" t="s">
        <v>5</v>
      </c>
      <c r="E5" s="161" t="s">
        <v>6</v>
      </c>
      <c r="F5" s="163" t="s">
        <v>63</v>
      </c>
      <c r="G5" s="161" t="s">
        <v>96</v>
      </c>
      <c r="H5" s="164" t="s">
        <v>7</v>
      </c>
      <c r="I5" s="161" t="s">
        <v>8</v>
      </c>
      <c r="J5" s="161" t="s">
        <v>9</v>
      </c>
      <c r="K5" s="161" t="s">
        <v>91</v>
      </c>
      <c r="L5" s="161" t="s">
        <v>123</v>
      </c>
    </row>
    <row r="6" spans="1:12" ht="15.75" x14ac:dyDescent="0.25">
      <c r="A6" s="174" t="s">
        <v>387</v>
      </c>
      <c r="B6" s="166" t="s">
        <v>52</v>
      </c>
      <c r="C6" s="167"/>
      <c r="D6" s="220">
        <f>'SEPT 21'!J6:J40</f>
        <v>0</v>
      </c>
      <c r="E6" s="169"/>
      <c r="F6" s="170"/>
      <c r="G6" s="169"/>
      <c r="H6" s="169">
        <f>D6+E6+F6+G6+C6</f>
        <v>0</v>
      </c>
      <c r="I6" s="169"/>
      <c r="J6" s="169">
        <f>H6-I6</f>
        <v>0</v>
      </c>
      <c r="K6" s="169"/>
      <c r="L6" s="169"/>
    </row>
    <row r="7" spans="1:12" ht="15.75" x14ac:dyDescent="0.25">
      <c r="A7" s="218" t="s">
        <v>67</v>
      </c>
      <c r="B7" s="166" t="s">
        <v>51</v>
      </c>
      <c r="C7" s="167"/>
      <c r="D7" s="220">
        <f>'SEPT 21'!J7:J41</f>
        <v>0</v>
      </c>
      <c r="E7" s="172"/>
      <c r="F7" s="173"/>
      <c r="G7" s="172"/>
      <c r="H7" s="169">
        <f t="shared" ref="H7:H39" si="0">D7+E7+F7+G7+C7</f>
        <v>0</v>
      </c>
      <c r="I7" s="169"/>
      <c r="J7" s="169">
        <f>H7-I7</f>
        <v>0</v>
      </c>
      <c r="K7" s="169"/>
      <c r="L7" s="169"/>
    </row>
    <row r="8" spans="1:12" ht="15.75" x14ac:dyDescent="0.25">
      <c r="A8" s="171" t="s">
        <v>65</v>
      </c>
      <c r="B8" s="166" t="s">
        <v>54</v>
      </c>
      <c r="C8" s="167"/>
      <c r="D8" s="220">
        <f>'SEPT 21'!J8:J42</f>
        <v>0</v>
      </c>
      <c r="E8" s="172"/>
      <c r="F8" s="173"/>
      <c r="G8" s="172"/>
      <c r="H8" s="169">
        <f t="shared" si="0"/>
        <v>0</v>
      </c>
      <c r="I8" s="169"/>
      <c r="J8" s="169">
        <f>H8-I8</f>
        <v>0</v>
      </c>
      <c r="K8" s="169"/>
      <c r="L8" s="169"/>
    </row>
    <row r="9" spans="1:12" ht="15.75" x14ac:dyDescent="0.25">
      <c r="A9" s="174" t="s">
        <v>67</v>
      </c>
      <c r="B9" s="175" t="s">
        <v>50</v>
      </c>
      <c r="C9" s="176"/>
      <c r="D9" s="220">
        <f>'SEPT 21'!J9:J43</f>
        <v>0</v>
      </c>
      <c r="E9" s="177"/>
      <c r="F9" s="178"/>
      <c r="G9" s="172"/>
      <c r="H9" s="169">
        <f t="shared" si="0"/>
        <v>0</v>
      </c>
      <c r="I9" s="169"/>
      <c r="J9" s="169">
        <f>H9-I9</f>
        <v>0</v>
      </c>
      <c r="K9" s="169"/>
      <c r="L9" s="169"/>
    </row>
    <row r="10" spans="1:12" ht="15.75" x14ac:dyDescent="0.25">
      <c r="A10" s="218" t="s">
        <v>364</v>
      </c>
      <c r="B10" s="166" t="s">
        <v>49</v>
      </c>
      <c r="C10" s="176"/>
      <c r="D10" s="220">
        <f>'SEPT 21'!J10:J44</f>
        <v>0</v>
      </c>
      <c r="E10" s="172"/>
      <c r="F10" s="173"/>
      <c r="G10" s="172"/>
      <c r="H10" s="169">
        <f t="shared" si="0"/>
        <v>0</v>
      </c>
      <c r="I10" s="169"/>
      <c r="J10" s="169">
        <f>H10-I10</f>
        <v>0</v>
      </c>
      <c r="K10" s="169"/>
      <c r="L10" s="169"/>
    </row>
    <row r="11" spans="1:12" ht="15.75" x14ac:dyDescent="0.25">
      <c r="A11" s="179" t="s">
        <v>263</v>
      </c>
      <c r="B11" s="166" t="s">
        <v>53</v>
      </c>
      <c r="C11" s="167"/>
      <c r="D11" s="220">
        <f>'SEPT 21'!J11:J45</f>
        <v>2019</v>
      </c>
      <c r="E11" s="172">
        <v>6500</v>
      </c>
      <c r="F11" s="173">
        <v>629</v>
      </c>
      <c r="G11" s="172">
        <v>200</v>
      </c>
      <c r="H11" s="169">
        <f t="shared" si="0"/>
        <v>9348</v>
      </c>
      <c r="I11" s="169">
        <f>7500</f>
        <v>7500</v>
      </c>
      <c r="J11" s="169">
        <f t="shared" ref="J11:J36" si="1">H11-I11</f>
        <v>1848</v>
      </c>
      <c r="K11" s="169"/>
      <c r="L11" s="169"/>
    </row>
    <row r="12" spans="1:12" ht="15.75" x14ac:dyDescent="0.25">
      <c r="A12" s="165" t="s">
        <v>262</v>
      </c>
      <c r="B12" s="166" t="s">
        <v>48</v>
      </c>
      <c r="C12" s="167"/>
      <c r="D12" s="220">
        <f>'SEPT 21'!J12:J46</f>
        <v>0</v>
      </c>
      <c r="E12" s="172">
        <v>6500</v>
      </c>
      <c r="F12" s="173">
        <v>340</v>
      </c>
      <c r="G12" s="172">
        <v>200</v>
      </c>
      <c r="H12" s="169">
        <f t="shared" si="0"/>
        <v>7040</v>
      </c>
      <c r="I12" s="169"/>
      <c r="J12" s="169">
        <f t="shared" si="1"/>
        <v>7040</v>
      </c>
      <c r="K12" s="169"/>
      <c r="L12" s="169"/>
    </row>
    <row r="13" spans="1:12" ht="15.75" x14ac:dyDescent="0.25">
      <c r="A13" s="180" t="s">
        <v>385</v>
      </c>
      <c r="B13" s="166" t="s">
        <v>47</v>
      </c>
      <c r="C13" s="167">
        <v>6500</v>
      </c>
      <c r="D13" s="220">
        <f>'SEPT 21'!J13:J47</f>
        <v>0</v>
      </c>
      <c r="E13" s="172">
        <v>6500</v>
      </c>
      <c r="F13" s="173"/>
      <c r="G13" s="172">
        <v>200</v>
      </c>
      <c r="H13" s="169">
        <f t="shared" si="0"/>
        <v>13200</v>
      </c>
      <c r="I13" s="169">
        <f>6500+6700</f>
        <v>13200</v>
      </c>
      <c r="J13" s="169">
        <f t="shared" si="1"/>
        <v>0</v>
      </c>
      <c r="K13" s="169"/>
      <c r="L13" s="169">
        <v>1000</v>
      </c>
    </row>
    <row r="14" spans="1:12" ht="15.75" x14ac:dyDescent="0.25">
      <c r="A14" s="165" t="s">
        <v>378</v>
      </c>
      <c r="B14" s="166" t="s">
        <v>46</v>
      </c>
      <c r="C14" s="167"/>
      <c r="D14" s="220">
        <f>'SEPT 21'!J14:J48</f>
        <v>0</v>
      </c>
      <c r="E14" s="172">
        <v>6500</v>
      </c>
      <c r="F14" s="173">
        <v>986</v>
      </c>
      <c r="G14" s="172">
        <v>200</v>
      </c>
      <c r="H14" s="169">
        <f t="shared" si="0"/>
        <v>7686</v>
      </c>
      <c r="I14" s="169">
        <v>7686</v>
      </c>
      <c r="J14" s="169">
        <f>H14-I14</f>
        <v>0</v>
      </c>
      <c r="K14" s="169"/>
      <c r="L14" s="169"/>
    </row>
    <row r="15" spans="1:12" ht="15.75" x14ac:dyDescent="0.25">
      <c r="A15" s="171" t="s">
        <v>315</v>
      </c>
      <c r="B15" s="166" t="s">
        <v>45</v>
      </c>
      <c r="C15" s="167"/>
      <c r="D15" s="220">
        <f>'SEPT 21'!J15:J49</f>
        <v>1141</v>
      </c>
      <c r="E15" s="172">
        <v>6500</v>
      </c>
      <c r="F15" s="173">
        <v>289</v>
      </c>
      <c r="G15" s="172">
        <v>200</v>
      </c>
      <c r="H15" s="169">
        <f t="shared" si="0"/>
        <v>8130</v>
      </c>
      <c r="I15" s="169">
        <v>6989</v>
      </c>
      <c r="J15" s="169">
        <f>H15-I15</f>
        <v>1141</v>
      </c>
      <c r="K15" s="169"/>
      <c r="L15" s="169"/>
    </row>
    <row r="16" spans="1:12" ht="15.75" x14ac:dyDescent="0.25">
      <c r="A16" s="165" t="s">
        <v>225</v>
      </c>
      <c r="B16" s="166" t="s">
        <v>44</v>
      </c>
      <c r="C16" s="167"/>
      <c r="D16" s="220">
        <f>'SEPT 21'!J16:J50</f>
        <v>0</v>
      </c>
      <c r="E16" s="172">
        <v>6500</v>
      </c>
      <c r="F16" s="173">
        <v>272</v>
      </c>
      <c r="G16" s="172">
        <v>200</v>
      </c>
      <c r="H16" s="169">
        <f t="shared" si="0"/>
        <v>6972</v>
      </c>
      <c r="I16" s="169">
        <v>6972</v>
      </c>
      <c r="J16" s="169">
        <f>H16-I16</f>
        <v>0</v>
      </c>
      <c r="K16" s="169"/>
      <c r="L16" s="169"/>
    </row>
    <row r="17" spans="1:12" ht="15.75" x14ac:dyDescent="0.25">
      <c r="A17" s="171" t="s">
        <v>349</v>
      </c>
      <c r="B17" s="166" t="s">
        <v>43</v>
      </c>
      <c r="C17" s="176"/>
      <c r="D17" s="220">
        <f>'SEPT 21'!J17:J51</f>
        <v>638</v>
      </c>
      <c r="E17" s="172">
        <v>6500</v>
      </c>
      <c r="F17" s="173"/>
      <c r="G17" s="172">
        <v>200</v>
      </c>
      <c r="H17" s="169">
        <f t="shared" si="0"/>
        <v>7338</v>
      </c>
      <c r="I17" s="169">
        <f>5500+1200</f>
        <v>6700</v>
      </c>
      <c r="J17" s="169">
        <f t="shared" si="1"/>
        <v>638</v>
      </c>
      <c r="K17" s="169"/>
      <c r="L17" s="169"/>
    </row>
    <row r="18" spans="1:12" ht="15.75" x14ac:dyDescent="0.25">
      <c r="A18" s="165" t="s">
        <v>73</v>
      </c>
      <c r="B18" s="166" t="s">
        <v>42</v>
      </c>
      <c r="C18" s="167"/>
      <c r="D18" s="220">
        <f>'SEPT 21'!J18:J52</f>
        <v>0</v>
      </c>
      <c r="E18" s="172">
        <v>6500</v>
      </c>
      <c r="F18" s="173">
        <v>283</v>
      </c>
      <c r="G18" s="172">
        <v>200</v>
      </c>
      <c r="H18" s="169">
        <f t="shared" si="0"/>
        <v>6983</v>
      </c>
      <c r="I18" s="169">
        <v>7000</v>
      </c>
      <c r="J18" s="169">
        <f t="shared" si="1"/>
        <v>-17</v>
      </c>
      <c r="K18" s="169"/>
      <c r="L18" s="169"/>
    </row>
    <row r="19" spans="1:12" ht="15.75" x14ac:dyDescent="0.25">
      <c r="A19" s="165" t="s">
        <v>180</v>
      </c>
      <c r="B19" s="166" t="s">
        <v>41</v>
      </c>
      <c r="C19" s="167"/>
      <c r="D19" s="220">
        <f>'SEPT 21'!J19:J53</f>
        <v>999</v>
      </c>
      <c r="E19" s="172">
        <v>6500</v>
      </c>
      <c r="F19" s="173">
        <v>204</v>
      </c>
      <c r="G19" s="172">
        <v>200</v>
      </c>
      <c r="H19" s="169">
        <f t="shared" si="0"/>
        <v>7903</v>
      </c>
      <c r="I19" s="169"/>
      <c r="J19" s="169">
        <f t="shared" si="1"/>
        <v>7903</v>
      </c>
      <c r="K19" s="169"/>
      <c r="L19" s="169"/>
    </row>
    <row r="20" spans="1:12" ht="15.75" x14ac:dyDescent="0.25">
      <c r="A20" s="171" t="s">
        <v>75</v>
      </c>
      <c r="B20" s="166" t="s">
        <v>40</v>
      </c>
      <c r="C20" s="167"/>
      <c r="D20" s="220">
        <f>'SEPT 21'!J20:J54</f>
        <v>0</v>
      </c>
      <c r="E20" s="172">
        <v>6500</v>
      </c>
      <c r="F20" s="173">
        <v>442</v>
      </c>
      <c r="G20" s="172">
        <v>200</v>
      </c>
      <c r="H20" s="169">
        <f t="shared" si="0"/>
        <v>7142</v>
      </c>
      <c r="I20" s="169">
        <v>7142</v>
      </c>
      <c r="J20" s="169">
        <f t="shared" si="1"/>
        <v>0</v>
      </c>
      <c r="K20" s="169"/>
      <c r="L20" s="169"/>
    </row>
    <row r="21" spans="1:12" ht="15.75" x14ac:dyDescent="0.25">
      <c r="A21" s="174" t="s">
        <v>379</v>
      </c>
      <c r="B21" s="183" t="s">
        <v>39</v>
      </c>
      <c r="C21" s="167"/>
      <c r="D21" s="220">
        <f>'SEPT 21'!J21:J55</f>
        <v>0</v>
      </c>
      <c r="E21" s="172"/>
      <c r="F21" s="173"/>
      <c r="G21" s="172"/>
      <c r="H21" s="169">
        <f t="shared" si="0"/>
        <v>0</v>
      </c>
      <c r="I21" s="169"/>
      <c r="J21" s="169">
        <f t="shared" si="1"/>
        <v>0</v>
      </c>
      <c r="K21" s="169"/>
      <c r="L21" s="169"/>
    </row>
    <row r="22" spans="1:12" ht="15.75" x14ac:dyDescent="0.25">
      <c r="A22" s="165" t="s">
        <v>150</v>
      </c>
      <c r="B22" s="166" t="s">
        <v>38</v>
      </c>
      <c r="C22" s="167"/>
      <c r="D22" s="220">
        <f>'SEPT 21'!J22:J56</f>
        <v>710</v>
      </c>
      <c r="E22" s="172">
        <v>6500</v>
      </c>
      <c r="F22" s="173">
        <v>510</v>
      </c>
      <c r="G22" s="172">
        <v>200</v>
      </c>
      <c r="H22" s="169">
        <f t="shared" si="0"/>
        <v>7920</v>
      </c>
      <c r="I22" s="169">
        <f>6000</f>
        <v>6000</v>
      </c>
      <c r="J22" s="169">
        <f t="shared" si="1"/>
        <v>1920</v>
      </c>
      <c r="K22" s="169"/>
      <c r="L22" s="169"/>
    </row>
    <row r="23" spans="1:12" ht="15.75" x14ac:dyDescent="0.25">
      <c r="A23" s="171" t="s">
        <v>78</v>
      </c>
      <c r="B23" s="166" t="s">
        <v>37</v>
      </c>
      <c r="C23" s="167"/>
      <c r="D23" s="220">
        <f>'SEPT 21'!J23:J57</f>
        <v>0</v>
      </c>
      <c r="E23" s="172">
        <v>6500</v>
      </c>
      <c r="F23" s="173">
        <v>170</v>
      </c>
      <c r="G23" s="172">
        <v>200</v>
      </c>
      <c r="H23" s="169">
        <f t="shared" si="0"/>
        <v>6870</v>
      </c>
      <c r="I23" s="169">
        <v>6870</v>
      </c>
      <c r="J23" s="169">
        <f t="shared" si="1"/>
        <v>0</v>
      </c>
      <c r="K23" s="169"/>
      <c r="L23" s="169"/>
    </row>
    <row r="24" spans="1:12" ht="15.75" x14ac:dyDescent="0.25">
      <c r="A24" s="174" t="s">
        <v>67</v>
      </c>
      <c r="B24" s="185" t="s">
        <v>28</v>
      </c>
      <c r="C24" s="167"/>
      <c r="D24" s="220">
        <f>'SEPT 21'!J24:J58</f>
        <v>0</v>
      </c>
      <c r="E24" s="172"/>
      <c r="F24" s="173"/>
      <c r="G24" s="172"/>
      <c r="H24" s="169">
        <f t="shared" si="0"/>
        <v>0</v>
      </c>
      <c r="I24" s="169"/>
      <c r="J24" s="169">
        <f>H24-I24</f>
        <v>0</v>
      </c>
      <c r="K24" s="169"/>
      <c r="L24" s="169"/>
    </row>
    <row r="25" spans="1:12" ht="15.75" x14ac:dyDescent="0.25">
      <c r="A25" s="174" t="s">
        <v>67</v>
      </c>
      <c r="B25" s="186" t="s">
        <v>29</v>
      </c>
      <c r="C25" s="167"/>
      <c r="D25" s="220">
        <f>'SEPT 21'!J25:J59</f>
        <v>0</v>
      </c>
      <c r="E25" s="172"/>
      <c r="F25" s="173"/>
      <c r="G25" s="172"/>
      <c r="H25" s="169">
        <f t="shared" si="0"/>
        <v>0</v>
      </c>
      <c r="I25" s="169"/>
      <c r="J25" s="169">
        <f t="shared" si="1"/>
        <v>0</v>
      </c>
      <c r="K25" s="169"/>
      <c r="L25" s="169"/>
    </row>
    <row r="26" spans="1:12" ht="15" customHeight="1" x14ac:dyDescent="0.25">
      <c r="A26" s="165" t="s">
        <v>317</v>
      </c>
      <c r="B26" s="227" t="s">
        <v>30</v>
      </c>
      <c r="C26" s="176"/>
      <c r="D26" s="220">
        <f>'SEPT 21'!J26:J60</f>
        <v>14747</v>
      </c>
      <c r="E26" s="228"/>
      <c r="F26" s="229"/>
      <c r="G26" s="228"/>
      <c r="H26" s="169">
        <f>D26+E26+F26+G26+C26+7000+200+1071</f>
        <v>23018</v>
      </c>
      <c r="I26" s="169">
        <f>15000+4000</f>
        <v>19000</v>
      </c>
      <c r="J26" s="169">
        <f t="shared" si="1"/>
        <v>4018</v>
      </c>
      <c r="K26" s="169"/>
      <c r="L26" s="169"/>
    </row>
    <row r="27" spans="1:12" ht="15.75" x14ac:dyDescent="0.25">
      <c r="A27" s="174" t="s">
        <v>386</v>
      </c>
      <c r="B27" s="186" t="s">
        <v>55</v>
      </c>
      <c r="C27" s="167"/>
      <c r="D27" s="220">
        <f>'SEPT 21'!J27:J61</f>
        <v>0</v>
      </c>
      <c r="E27" s="172"/>
      <c r="F27" s="173"/>
      <c r="G27" s="172"/>
      <c r="H27" s="169">
        <f t="shared" si="0"/>
        <v>0</v>
      </c>
      <c r="I27" s="169"/>
      <c r="J27" s="169">
        <f>H27-I27</f>
        <v>0</v>
      </c>
      <c r="K27" s="169"/>
      <c r="L27" s="169"/>
    </row>
    <row r="28" spans="1:12" ht="15.75" x14ac:dyDescent="0.25">
      <c r="A28" s="165" t="s">
        <v>83</v>
      </c>
      <c r="B28" s="186" t="s">
        <v>56</v>
      </c>
      <c r="C28" s="167"/>
      <c r="D28" s="220">
        <f>'SEPT 21'!J28:J62</f>
        <v>3729</v>
      </c>
      <c r="E28" s="172">
        <v>8500</v>
      </c>
      <c r="F28" s="173">
        <v>153</v>
      </c>
      <c r="G28" s="172">
        <v>200</v>
      </c>
      <c r="H28" s="169">
        <f t="shared" si="0"/>
        <v>12582</v>
      </c>
      <c r="I28" s="169">
        <v>8500</v>
      </c>
      <c r="J28" s="169">
        <f t="shared" si="1"/>
        <v>4082</v>
      </c>
      <c r="K28" s="169"/>
      <c r="L28" s="169"/>
    </row>
    <row r="29" spans="1:12" ht="15.75" x14ac:dyDescent="0.25">
      <c r="A29" s="165" t="s">
        <v>181</v>
      </c>
      <c r="B29" s="186" t="s">
        <v>57</v>
      </c>
      <c r="C29" s="167"/>
      <c r="D29" s="220">
        <f>'SEPT 21'!J29:J63</f>
        <v>0</v>
      </c>
      <c r="E29" s="172">
        <v>7000</v>
      </c>
      <c r="F29" s="173">
        <v>442</v>
      </c>
      <c r="G29" s="172">
        <v>200</v>
      </c>
      <c r="H29" s="169">
        <f t="shared" si="0"/>
        <v>7642</v>
      </c>
      <c r="I29" s="169">
        <v>7000</v>
      </c>
      <c r="J29" s="169">
        <f t="shared" si="1"/>
        <v>642</v>
      </c>
      <c r="K29" s="169"/>
      <c r="L29" s="169"/>
    </row>
    <row r="30" spans="1:12" ht="15.75" x14ac:dyDescent="0.25">
      <c r="A30" s="184" t="s">
        <v>92</v>
      </c>
      <c r="B30" s="185" t="s">
        <v>58</v>
      </c>
      <c r="C30" s="167"/>
      <c r="D30" s="220">
        <f>'SEPT 21'!J30:J64</f>
        <v>5902</v>
      </c>
      <c r="E30" s="172">
        <v>7000</v>
      </c>
      <c r="F30" s="173">
        <v>500</v>
      </c>
      <c r="G30" s="172">
        <v>200</v>
      </c>
      <c r="H30" s="169">
        <f t="shared" si="0"/>
        <v>13602</v>
      </c>
      <c r="I30" s="169">
        <f>2000</f>
        <v>2000</v>
      </c>
      <c r="J30" s="169">
        <f t="shared" si="1"/>
        <v>11602</v>
      </c>
      <c r="K30" s="169"/>
      <c r="L30" s="169"/>
    </row>
    <row r="31" spans="1:12" ht="15.75" x14ac:dyDescent="0.25">
      <c r="A31" s="165" t="s">
        <v>176</v>
      </c>
      <c r="B31" s="186" t="s">
        <v>59</v>
      </c>
      <c r="C31" s="167"/>
      <c r="D31" s="220">
        <f>'SEPT 21'!J31:J65</f>
        <v>1333</v>
      </c>
      <c r="E31" s="172">
        <v>7000</v>
      </c>
      <c r="F31" s="173">
        <v>510</v>
      </c>
      <c r="G31" s="172">
        <v>200</v>
      </c>
      <c r="H31" s="169">
        <f t="shared" si="0"/>
        <v>9043</v>
      </c>
      <c r="I31" s="169">
        <f>2500+4000</f>
        <v>6500</v>
      </c>
      <c r="J31" s="169">
        <f t="shared" si="1"/>
        <v>2543</v>
      </c>
      <c r="K31" s="169"/>
      <c r="L31" s="169"/>
    </row>
    <row r="32" spans="1:12" ht="15.75" x14ac:dyDescent="0.25">
      <c r="A32" s="165" t="s">
        <v>170</v>
      </c>
      <c r="B32" s="186" t="s">
        <v>60</v>
      </c>
      <c r="C32" s="167"/>
      <c r="D32" s="220">
        <f>'SEPT 21'!J32:J66</f>
        <v>-1</v>
      </c>
      <c r="E32" s="172">
        <v>7000</v>
      </c>
      <c r="F32" s="173">
        <v>612</v>
      </c>
      <c r="G32" s="172">
        <v>200</v>
      </c>
      <c r="H32" s="169">
        <f t="shared" si="0"/>
        <v>7811</v>
      </c>
      <c r="I32" s="169">
        <v>7811</v>
      </c>
      <c r="J32" s="169">
        <f t="shared" si="1"/>
        <v>0</v>
      </c>
      <c r="K32" s="169"/>
      <c r="L32" s="169"/>
    </row>
    <row r="33" spans="1:12" ht="15.75" x14ac:dyDescent="0.25">
      <c r="A33" s="165" t="s">
        <v>80</v>
      </c>
      <c r="B33" s="186" t="s">
        <v>31</v>
      </c>
      <c r="C33" s="167"/>
      <c r="D33" s="220">
        <f>'SEPT 21'!J33:J67</f>
        <v>0</v>
      </c>
      <c r="E33" s="172">
        <v>9000</v>
      </c>
      <c r="F33" s="173">
        <v>918</v>
      </c>
      <c r="G33" s="172">
        <v>200</v>
      </c>
      <c r="H33" s="169">
        <f t="shared" si="0"/>
        <v>10118</v>
      </c>
      <c r="I33" s="169">
        <v>10118</v>
      </c>
      <c r="J33" s="169">
        <f>H33-I33</f>
        <v>0</v>
      </c>
      <c r="K33" s="169"/>
      <c r="L33" s="169"/>
    </row>
    <row r="34" spans="1:12" ht="15.75" x14ac:dyDescent="0.25">
      <c r="A34" s="165" t="s">
        <v>322</v>
      </c>
      <c r="B34" s="186" t="s">
        <v>32</v>
      </c>
      <c r="C34" s="167"/>
      <c r="D34" s="220">
        <f>'SEPT 21'!J34:J68</f>
        <v>1420</v>
      </c>
      <c r="E34" s="173">
        <v>7000</v>
      </c>
      <c r="F34" s="173">
        <v>561</v>
      </c>
      <c r="G34" s="172">
        <v>200</v>
      </c>
      <c r="H34" s="169">
        <f t="shared" si="0"/>
        <v>9181</v>
      </c>
      <c r="I34" s="169">
        <f>6000+1500+1000+761</f>
        <v>9261</v>
      </c>
      <c r="J34" s="169">
        <f t="shared" si="1"/>
        <v>-80</v>
      </c>
      <c r="K34" s="169"/>
      <c r="L34" s="169"/>
    </row>
    <row r="35" spans="1:12" ht="15.75" x14ac:dyDescent="0.25">
      <c r="A35" s="165" t="s">
        <v>245</v>
      </c>
      <c r="B35" s="186" t="s">
        <v>33</v>
      </c>
      <c r="C35" s="167"/>
      <c r="D35" s="220">
        <f>'SEPT 21'!J35:J69</f>
        <v>1333</v>
      </c>
      <c r="E35" s="173">
        <v>7000</v>
      </c>
      <c r="F35" s="173">
        <v>595</v>
      </c>
      <c r="G35" s="172">
        <v>200</v>
      </c>
      <c r="H35" s="169">
        <f t="shared" si="0"/>
        <v>9128</v>
      </c>
      <c r="I35" s="169">
        <f>6000+1000</f>
        <v>7000</v>
      </c>
      <c r="J35" s="169">
        <f t="shared" si="1"/>
        <v>2128</v>
      </c>
      <c r="K35" s="169"/>
      <c r="L35" s="169"/>
    </row>
    <row r="36" spans="1:12" ht="15.75" x14ac:dyDescent="0.25">
      <c r="A36" s="165" t="s">
        <v>89</v>
      </c>
      <c r="B36" s="186" t="s">
        <v>34</v>
      </c>
      <c r="C36" s="167"/>
      <c r="D36" s="220">
        <f>'SEPT 21'!J36:J70</f>
        <v>0</v>
      </c>
      <c r="E36" s="173">
        <v>7000</v>
      </c>
      <c r="F36" s="173">
        <v>561</v>
      </c>
      <c r="G36" s="172">
        <v>200</v>
      </c>
      <c r="H36" s="169">
        <f t="shared" si="0"/>
        <v>7761</v>
      </c>
      <c r="I36" s="169">
        <v>7761</v>
      </c>
      <c r="J36" s="169">
        <f t="shared" si="1"/>
        <v>0</v>
      </c>
      <c r="K36" s="169"/>
      <c r="L36" s="169"/>
    </row>
    <row r="37" spans="1:12" ht="15.75" x14ac:dyDescent="0.25">
      <c r="A37" s="165" t="s">
        <v>330</v>
      </c>
      <c r="B37" s="186" t="s">
        <v>35</v>
      </c>
      <c r="C37" s="167"/>
      <c r="D37" s="220">
        <f>'SEPT 21'!J37:J71</f>
        <v>1660</v>
      </c>
      <c r="E37" s="173">
        <v>7000</v>
      </c>
      <c r="F37" s="173">
        <v>170</v>
      </c>
      <c r="G37" s="172">
        <v>200</v>
      </c>
      <c r="H37" s="169">
        <f t="shared" si="0"/>
        <v>9030</v>
      </c>
      <c r="I37" s="169">
        <v>9000</v>
      </c>
      <c r="J37" s="169">
        <f>H37-I37</f>
        <v>30</v>
      </c>
      <c r="K37" s="169"/>
      <c r="L37" s="169"/>
    </row>
    <row r="38" spans="1:12" ht="15.75" x14ac:dyDescent="0.25">
      <c r="A38" s="165" t="s">
        <v>138</v>
      </c>
      <c r="B38" s="186" t="s">
        <v>36</v>
      </c>
      <c r="C38" s="167"/>
      <c r="D38" s="220">
        <f>'SEPT 21'!J38:J72</f>
        <v>400</v>
      </c>
      <c r="E38" s="178">
        <v>8500</v>
      </c>
      <c r="F38" s="178">
        <v>500</v>
      </c>
      <c r="G38" s="172">
        <v>200</v>
      </c>
      <c r="H38" s="169">
        <f t="shared" si="0"/>
        <v>9600</v>
      </c>
      <c r="I38" s="169">
        <f>8500</f>
        <v>8500</v>
      </c>
      <c r="J38" s="169">
        <f>H38-I38</f>
        <v>1100</v>
      </c>
      <c r="K38" s="169"/>
      <c r="L38" s="169"/>
    </row>
    <row r="39" spans="1:12" ht="15.75" x14ac:dyDescent="0.25">
      <c r="A39" s="165"/>
      <c r="B39" s="186"/>
      <c r="C39" s="167"/>
      <c r="D39" s="220">
        <f>'SEPT 21'!J39:J73</f>
        <v>0</v>
      </c>
      <c r="E39" s="178"/>
      <c r="F39" s="178"/>
      <c r="G39" s="172"/>
      <c r="H39" s="169">
        <f t="shared" si="0"/>
        <v>0</v>
      </c>
      <c r="I39" s="169">
        <f>SUM(D39:H39)</f>
        <v>0</v>
      </c>
      <c r="J39" s="169">
        <f>H39-I39</f>
        <v>0</v>
      </c>
      <c r="K39" s="169"/>
      <c r="L39" s="169"/>
    </row>
    <row r="40" spans="1:12" ht="15.75" x14ac:dyDescent="0.25">
      <c r="A40" s="188" t="s">
        <v>10</v>
      </c>
      <c r="B40" s="165"/>
      <c r="C40" s="167">
        <f t="shared" ref="C40:L40" si="2">SUM(C6:C39)</f>
        <v>6500</v>
      </c>
      <c r="D40" s="220">
        <f>'SEPT 21'!J40:J74</f>
        <v>36030</v>
      </c>
      <c r="E40" s="189">
        <f>SUM(E6:E39)</f>
        <v>160000</v>
      </c>
      <c r="F40" s="190">
        <f>SUM(F6:F39)</f>
        <v>9647</v>
      </c>
      <c r="G40" s="191">
        <f t="shared" si="2"/>
        <v>4600</v>
      </c>
      <c r="H40" s="169">
        <f>SUM(H6:H39)</f>
        <v>225048</v>
      </c>
      <c r="I40" s="192">
        <f>SUM(I6:I39)</f>
        <v>178510</v>
      </c>
      <c r="J40" s="192">
        <f>SUM(J6:J39)</f>
        <v>46538</v>
      </c>
      <c r="K40" s="192">
        <f t="shared" si="2"/>
        <v>0</v>
      </c>
      <c r="L40" s="192">
        <f t="shared" si="2"/>
        <v>1000</v>
      </c>
    </row>
    <row r="41" spans="1:12" ht="15.75" x14ac:dyDescent="0.25">
      <c r="A41" s="184"/>
      <c r="B41" s="184"/>
      <c r="C41" s="177"/>
      <c r="D41" s="193"/>
      <c r="E41" s="184"/>
      <c r="F41" s="158"/>
      <c r="G41" s="184"/>
      <c r="H41" s="184"/>
      <c r="I41" s="184"/>
      <c r="J41" s="184"/>
      <c r="K41" s="184"/>
      <c r="L41" s="184"/>
    </row>
    <row r="42" spans="1:12" ht="15.75" x14ac:dyDescent="0.25">
      <c r="A42" s="160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</row>
    <row r="43" spans="1:12" ht="15.75" x14ac:dyDescent="0.25">
      <c r="A43" s="184"/>
      <c r="B43" s="158"/>
      <c r="C43" s="158"/>
      <c r="D43" s="158"/>
      <c r="E43" s="158"/>
      <c r="F43" s="181">
        <f>F40+731+102</f>
        <v>10480</v>
      </c>
      <c r="G43" s="158"/>
      <c r="H43" s="158"/>
      <c r="I43" s="158"/>
      <c r="J43" s="158"/>
      <c r="K43" s="158"/>
      <c r="L43" s="158"/>
    </row>
    <row r="44" spans="1:12" x14ac:dyDescent="0.25">
      <c r="A44" s="18"/>
    </row>
    <row r="45" spans="1:12" ht="18.75" x14ac:dyDescent="0.3">
      <c r="A45" s="195" t="s">
        <v>12</v>
      </c>
      <c r="B45" s="195"/>
      <c r="C45" s="195"/>
      <c r="D45" s="196"/>
      <c r="E45" s="197"/>
      <c r="F45" s="195" t="s">
        <v>8</v>
      </c>
      <c r="G45" s="195"/>
      <c r="H45" s="195"/>
      <c r="I45" s="198"/>
      <c r="J45" s="198"/>
      <c r="K45" s="79"/>
      <c r="L45" s="71"/>
    </row>
    <row r="46" spans="1:12" ht="18.75" x14ac:dyDescent="0.3">
      <c r="A46" s="199" t="s">
        <v>13</v>
      </c>
      <c r="B46" s="199" t="s">
        <v>14</v>
      </c>
      <c r="C46" s="199" t="s">
        <v>15</v>
      </c>
      <c r="D46" s="199" t="s">
        <v>16</v>
      </c>
      <c r="E46" s="199"/>
      <c r="F46" s="199" t="s">
        <v>13</v>
      </c>
      <c r="G46" s="199"/>
      <c r="H46" s="199" t="s">
        <v>265</v>
      </c>
      <c r="I46" s="199" t="s">
        <v>15</v>
      </c>
      <c r="J46" s="199" t="s">
        <v>16</v>
      </c>
      <c r="K46" s="87"/>
      <c r="L46" s="73"/>
    </row>
    <row r="47" spans="1:12" ht="18.75" x14ac:dyDescent="0.3">
      <c r="A47" s="200" t="s">
        <v>383</v>
      </c>
      <c r="B47" s="201">
        <f>E40</f>
        <v>160000</v>
      </c>
      <c r="C47" s="200"/>
      <c r="D47" s="200"/>
      <c r="E47" s="200"/>
      <c r="F47" s="200" t="s">
        <v>383</v>
      </c>
      <c r="G47" s="200"/>
      <c r="H47" s="202">
        <f>I40</f>
        <v>178510</v>
      </c>
      <c r="I47" s="200"/>
      <c r="J47" s="200"/>
      <c r="K47" s="60"/>
      <c r="L47" s="74"/>
    </row>
    <row r="48" spans="1:12" ht="18.75" x14ac:dyDescent="0.3">
      <c r="A48" s="200"/>
      <c r="B48" s="201"/>
      <c r="C48" s="200"/>
      <c r="D48" s="200"/>
      <c r="E48" s="200"/>
      <c r="F48" s="200"/>
      <c r="G48" s="200"/>
      <c r="H48" s="202"/>
      <c r="I48" s="200"/>
      <c r="J48" s="200"/>
      <c r="K48" s="60"/>
      <c r="L48" s="74"/>
    </row>
    <row r="49" spans="1:12" ht="18.75" x14ac:dyDescent="0.3">
      <c r="A49" s="200" t="s">
        <v>18</v>
      </c>
      <c r="B49" s="201">
        <f>'SEPT 21'!D63</f>
        <v>-7499.75</v>
      </c>
      <c r="C49" s="200"/>
      <c r="D49" s="200"/>
      <c r="E49" s="200"/>
      <c r="F49" s="200" t="s">
        <v>18</v>
      </c>
      <c r="G49" s="200"/>
      <c r="H49" s="201">
        <f>'SEPT 21'!J63</f>
        <v>-78275.75</v>
      </c>
      <c r="I49" s="200"/>
      <c r="J49" s="200"/>
      <c r="K49" s="60"/>
      <c r="L49" s="74"/>
    </row>
    <row r="50" spans="1:12" ht="18.75" x14ac:dyDescent="0.3">
      <c r="A50" s="200" t="s">
        <v>19</v>
      </c>
      <c r="B50" s="201">
        <f>C40</f>
        <v>6500</v>
      </c>
      <c r="C50" s="200"/>
      <c r="D50" s="200"/>
      <c r="E50" s="200"/>
      <c r="F50" s="200"/>
      <c r="G50" s="200"/>
      <c r="H50" s="200"/>
      <c r="I50" s="200"/>
      <c r="J50" s="200"/>
      <c r="K50" s="60"/>
      <c r="L50" s="74"/>
    </row>
    <row r="51" spans="1:12" ht="18.75" x14ac:dyDescent="0.3">
      <c r="A51" s="200" t="s">
        <v>63</v>
      </c>
      <c r="B51" s="201">
        <f>F40</f>
        <v>9647</v>
      </c>
      <c r="C51" s="200"/>
      <c r="D51" s="200"/>
      <c r="E51" s="200"/>
      <c r="F51" s="200"/>
      <c r="G51" s="200"/>
      <c r="H51" s="200"/>
      <c r="I51" s="200"/>
      <c r="J51" s="200"/>
      <c r="K51" s="60"/>
      <c r="L51" s="74"/>
    </row>
    <row r="52" spans="1:12" ht="18.75" x14ac:dyDescent="0.3">
      <c r="A52" s="200" t="s">
        <v>62</v>
      </c>
      <c r="B52" s="201">
        <f>K40</f>
        <v>0</v>
      </c>
      <c r="C52" s="200"/>
      <c r="D52" s="200"/>
      <c r="E52" s="200"/>
      <c r="F52" s="200"/>
      <c r="G52" s="200"/>
      <c r="H52" s="200"/>
      <c r="I52" s="200"/>
      <c r="J52" s="200"/>
      <c r="K52" s="60"/>
      <c r="L52" s="74"/>
    </row>
    <row r="53" spans="1:12" ht="18.75" x14ac:dyDescent="0.3">
      <c r="A53" s="200" t="s">
        <v>96</v>
      </c>
      <c r="B53" s="201">
        <f>G40</f>
        <v>4600</v>
      </c>
      <c r="C53" s="200"/>
      <c r="D53" s="200"/>
      <c r="E53" s="200"/>
      <c r="F53" s="200" t="s">
        <v>126</v>
      </c>
      <c r="G53" s="200"/>
      <c r="H53" s="202">
        <f>L40</f>
        <v>1000</v>
      </c>
      <c r="I53" s="200"/>
      <c r="J53" s="200"/>
      <c r="K53" s="60"/>
      <c r="L53" s="74"/>
    </row>
    <row r="54" spans="1:12" ht="18.75" x14ac:dyDescent="0.3">
      <c r="A54" s="200" t="s">
        <v>167</v>
      </c>
      <c r="B54" s="201"/>
      <c r="C54" s="200"/>
      <c r="D54" s="200"/>
      <c r="E54" s="200"/>
      <c r="F54" s="200" t="s">
        <v>167</v>
      </c>
      <c r="G54" s="201"/>
      <c r="H54" s="194"/>
      <c r="I54" s="194"/>
      <c r="J54" s="200"/>
      <c r="K54" s="60"/>
      <c r="L54" s="74"/>
    </row>
    <row r="55" spans="1:12" ht="18.75" x14ac:dyDescent="0.3">
      <c r="A55" s="200" t="s">
        <v>126</v>
      </c>
      <c r="B55" s="202">
        <f>L40</f>
        <v>1000</v>
      </c>
      <c r="C55" s="201"/>
      <c r="D55" s="200"/>
      <c r="E55" s="200"/>
      <c r="F55" s="200"/>
      <c r="G55" s="200"/>
      <c r="H55" s="200"/>
      <c r="I55" s="201"/>
      <c r="J55" s="201"/>
      <c r="K55" s="88"/>
      <c r="L55" s="75"/>
    </row>
    <row r="56" spans="1:12" ht="18.75" x14ac:dyDescent="0.3">
      <c r="A56" s="199" t="s">
        <v>21</v>
      </c>
      <c r="B56" s="200" t="s">
        <v>22</v>
      </c>
      <c r="C56" s="200"/>
      <c r="D56" s="200"/>
      <c r="E56" s="200"/>
      <c r="F56" s="199" t="s">
        <v>21</v>
      </c>
      <c r="G56" s="199"/>
      <c r="H56" s="199"/>
      <c r="I56" s="200"/>
      <c r="J56" s="200"/>
      <c r="K56" s="60"/>
      <c r="L56" s="74"/>
    </row>
    <row r="57" spans="1:12" ht="18.75" x14ac:dyDescent="0.3">
      <c r="A57" s="203" t="s">
        <v>111</v>
      </c>
      <c r="B57" s="204">
        <v>0.05</v>
      </c>
      <c r="C57" s="202">
        <f>B57*E40</f>
        <v>8000</v>
      </c>
      <c r="D57" s="200"/>
      <c r="E57" s="200"/>
      <c r="F57" s="203" t="s">
        <v>111</v>
      </c>
      <c r="G57" s="203"/>
      <c r="H57" s="204">
        <v>0.05</v>
      </c>
      <c r="I57" s="202">
        <f>H57*E40</f>
        <v>8000</v>
      </c>
      <c r="J57" s="200"/>
      <c r="K57" s="60"/>
      <c r="L57" s="74"/>
    </row>
    <row r="58" spans="1:12" ht="18.75" x14ac:dyDescent="0.3">
      <c r="A58" s="205" t="s">
        <v>281</v>
      </c>
      <c r="B58" s="206"/>
      <c r="C58" s="226">
        <v>166247</v>
      </c>
      <c r="D58" s="202"/>
      <c r="E58" s="205"/>
      <c r="F58" s="205" t="s">
        <v>281</v>
      </c>
      <c r="G58" s="206"/>
      <c r="H58" s="226"/>
      <c r="I58" s="194">
        <v>166247</v>
      </c>
      <c r="J58" s="226"/>
      <c r="K58" s="89"/>
      <c r="L58" s="76"/>
    </row>
    <row r="59" spans="1:12" ht="18.75" x14ac:dyDescent="0.3">
      <c r="A59" s="205"/>
      <c r="B59" s="204"/>
      <c r="C59" s="202"/>
      <c r="D59" s="200"/>
      <c r="E59" s="200"/>
      <c r="F59" s="205"/>
      <c r="G59" s="204"/>
      <c r="H59" s="202"/>
      <c r="I59" s="202"/>
      <c r="J59" s="200"/>
      <c r="K59" s="60"/>
      <c r="L59" s="74"/>
    </row>
    <row r="60" spans="1:12" ht="18.75" x14ac:dyDescent="0.3">
      <c r="A60" s="224"/>
      <c r="B60" s="200"/>
      <c r="C60" s="202"/>
      <c r="D60" s="200"/>
      <c r="E60" s="200"/>
      <c r="F60" s="202"/>
      <c r="G60" s="202"/>
      <c r="H60" s="200"/>
      <c r="I60" s="202"/>
      <c r="J60" s="225"/>
      <c r="K60" s="60"/>
      <c r="L60" s="74"/>
    </row>
    <row r="61" spans="1:12" ht="18.75" x14ac:dyDescent="0.3">
      <c r="A61" s="194"/>
      <c r="B61" s="226"/>
      <c r="C61" s="226"/>
      <c r="D61" s="226"/>
      <c r="E61" s="226"/>
      <c r="F61" s="226"/>
      <c r="G61" s="226"/>
      <c r="H61" s="226"/>
      <c r="I61" s="226"/>
      <c r="J61" s="194"/>
      <c r="K61" s="60"/>
      <c r="L61" s="74"/>
    </row>
    <row r="62" spans="1:12" ht="18.75" x14ac:dyDescent="0.3">
      <c r="A62" s="208"/>
      <c r="B62" s="200"/>
      <c r="C62" s="202"/>
      <c r="D62" s="200"/>
      <c r="E62" s="200"/>
      <c r="F62" s="200"/>
      <c r="G62" s="202"/>
      <c r="H62" s="203"/>
      <c r="I62" s="202"/>
      <c r="J62" s="202"/>
      <c r="K62" s="89"/>
      <c r="L62" s="76"/>
    </row>
    <row r="63" spans="1:12" ht="18.75" x14ac:dyDescent="0.3">
      <c r="A63" s="199" t="s">
        <v>23</v>
      </c>
      <c r="B63" s="209">
        <f>B47+B49+B50+B51+B52+B53+B55+B54</f>
        <v>174247.25</v>
      </c>
      <c r="C63" s="209">
        <f>SUM(C57:C62)</f>
        <v>174247</v>
      </c>
      <c r="D63" s="209">
        <f>B63-C63</f>
        <v>0.25</v>
      </c>
      <c r="E63" s="209"/>
      <c r="F63" s="199"/>
      <c r="G63" s="199"/>
      <c r="H63" s="209">
        <f>H47+H49+H51+H53+H54</f>
        <v>101234.25</v>
      </c>
      <c r="I63" s="209">
        <f>SUM(I57:I62)</f>
        <v>174247</v>
      </c>
      <c r="J63" s="209">
        <f>H63-I63</f>
        <v>-73012.75</v>
      </c>
      <c r="K63" s="96"/>
      <c r="L63" s="77"/>
    </row>
    <row r="64" spans="1:12" ht="18.75" x14ac:dyDescent="0.3">
      <c r="A64" s="198"/>
      <c r="B64" s="198"/>
      <c r="C64" s="198"/>
      <c r="D64" s="198"/>
      <c r="E64" s="198"/>
      <c r="F64" s="198"/>
      <c r="G64" s="198"/>
      <c r="H64" s="198"/>
      <c r="I64" s="210">
        <f>I63-I57</f>
        <v>166247</v>
      </c>
      <c r="J64" s="198"/>
      <c r="K64" s="79"/>
      <c r="L64" s="71"/>
    </row>
    <row r="65" spans="1:12" ht="18.75" x14ac:dyDescent="0.3">
      <c r="A65" s="211" t="s">
        <v>24</v>
      </c>
      <c r="B65" s="212"/>
      <c r="C65" s="212" t="s">
        <v>25</v>
      </c>
      <c r="D65" s="213"/>
      <c r="E65" s="213"/>
      <c r="F65" s="211"/>
      <c r="G65" s="211"/>
      <c r="H65" s="211" t="s">
        <v>26</v>
      </c>
      <c r="I65" s="198"/>
      <c r="J65" s="198"/>
      <c r="K65" s="79"/>
      <c r="L65" s="71"/>
    </row>
    <row r="66" spans="1:12" ht="18.75" x14ac:dyDescent="0.3">
      <c r="A66" s="198" t="s">
        <v>104</v>
      </c>
      <c r="B66" s="198"/>
      <c r="C66" s="198" t="s">
        <v>105</v>
      </c>
      <c r="D66" s="198"/>
      <c r="E66" s="198"/>
      <c r="F66" s="198"/>
      <c r="G66" s="198"/>
      <c r="H66" s="198" t="s">
        <v>27</v>
      </c>
      <c r="I66" s="198"/>
      <c r="J66" s="198"/>
      <c r="K66" s="119"/>
      <c r="L66" s="71"/>
    </row>
    <row r="67" spans="1:12" x14ac:dyDescent="0.25">
      <c r="E67" s="5"/>
    </row>
    <row r="68" spans="1:12" x14ac:dyDescent="0.25">
      <c r="F68" s="5"/>
    </row>
    <row r="72" spans="1:12" x14ac:dyDescent="0.25">
      <c r="F72" s="5"/>
    </row>
    <row r="79" spans="1:12" x14ac:dyDescent="0.25">
      <c r="I79" s="5"/>
    </row>
  </sheetData>
  <pageMargins left="0.7" right="0.7" top="0.75" bottom="0.75" header="0.3" footer="0.3"/>
  <pageSetup orientation="portrait" horizontalDpi="203" verticalDpi="203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A16" workbookViewId="0">
      <selection activeCell="I21" sqref="I21"/>
    </sheetView>
  </sheetViews>
  <sheetFormatPr defaultRowHeight="15" x14ac:dyDescent="0.25"/>
  <cols>
    <col min="1" max="1" width="26.85546875" customWidth="1"/>
    <col min="2" max="2" width="12.140625" customWidth="1"/>
    <col min="3" max="3" width="16.140625" customWidth="1"/>
    <col min="4" max="4" width="11.42578125" customWidth="1"/>
    <col min="5" max="5" width="10.7109375" customWidth="1"/>
    <col min="6" max="6" width="13.140625" customWidth="1"/>
    <col min="7" max="7" width="16.85546875" customWidth="1"/>
    <col min="8" max="8" width="14.140625" customWidth="1"/>
    <col min="9" max="9" width="14.7109375" customWidth="1"/>
    <col min="10" max="10" width="13" customWidth="1"/>
    <col min="11" max="11" width="10" customWidth="1"/>
    <col min="12" max="12" width="8.7109375" customWidth="1"/>
  </cols>
  <sheetData>
    <row r="1" spans="1:13" ht="15.75" x14ac:dyDescent="0.25">
      <c r="A1" s="158"/>
      <c r="B1" s="158"/>
      <c r="C1" s="159"/>
      <c r="D1" s="159"/>
      <c r="E1" s="159"/>
      <c r="F1" s="159"/>
      <c r="G1" s="159"/>
      <c r="H1" s="158"/>
      <c r="I1" s="159"/>
      <c r="J1" s="159"/>
      <c r="K1" s="159"/>
      <c r="L1" s="159"/>
    </row>
    <row r="2" spans="1:13" ht="15.75" x14ac:dyDescent="0.25">
      <c r="A2" s="158"/>
      <c r="B2" s="158"/>
      <c r="C2" s="100"/>
      <c r="D2" s="100"/>
      <c r="E2" s="100" t="s">
        <v>27</v>
      </c>
      <c r="F2" s="160"/>
      <c r="G2" s="100"/>
      <c r="H2" s="101"/>
      <c r="I2" s="160"/>
      <c r="J2" s="160"/>
      <c r="K2" s="160"/>
      <c r="L2" s="160"/>
    </row>
    <row r="3" spans="1:13" ht="15.75" x14ac:dyDescent="0.25">
      <c r="A3" s="160"/>
      <c r="B3" s="100"/>
      <c r="C3" s="100"/>
      <c r="D3" s="100"/>
      <c r="E3" s="100" t="s">
        <v>0</v>
      </c>
      <c r="F3" s="100"/>
      <c r="G3" s="159"/>
      <c r="H3" s="102"/>
      <c r="I3" s="160"/>
      <c r="J3" s="160"/>
      <c r="K3" s="160"/>
      <c r="L3" s="160"/>
    </row>
    <row r="4" spans="1:13" ht="15.75" x14ac:dyDescent="0.25">
      <c r="A4" s="100"/>
      <c r="B4" s="160"/>
      <c r="C4" s="158"/>
      <c r="D4" s="100" t="s">
        <v>388</v>
      </c>
      <c r="E4" s="100"/>
      <c r="F4" s="158"/>
      <c r="G4" s="100"/>
      <c r="H4" s="104"/>
      <c r="I4" s="104"/>
      <c r="J4" s="104"/>
      <c r="K4" s="104"/>
      <c r="L4" s="104"/>
    </row>
    <row r="5" spans="1:13" ht="15.75" x14ac:dyDescent="0.25">
      <c r="A5" s="161" t="s">
        <v>2</v>
      </c>
      <c r="B5" s="161" t="s">
        <v>3</v>
      </c>
      <c r="C5" s="161" t="s">
        <v>4</v>
      </c>
      <c r="D5" s="162" t="s">
        <v>5</v>
      </c>
      <c r="E5" s="161" t="s">
        <v>6</v>
      </c>
      <c r="F5" s="163" t="s">
        <v>63</v>
      </c>
      <c r="G5" s="161" t="s">
        <v>96</v>
      </c>
      <c r="H5" s="164" t="s">
        <v>7</v>
      </c>
      <c r="I5" s="161" t="s">
        <v>8</v>
      </c>
      <c r="J5" s="161" t="s">
        <v>9</v>
      </c>
      <c r="K5" s="161" t="s">
        <v>91</v>
      </c>
      <c r="L5" s="161" t="s">
        <v>123</v>
      </c>
    </row>
    <row r="6" spans="1:13" ht="15.75" x14ac:dyDescent="0.25">
      <c r="A6" s="174" t="s">
        <v>391</v>
      </c>
      <c r="B6" s="166" t="s">
        <v>52</v>
      </c>
      <c r="C6" s="167"/>
      <c r="D6" s="220">
        <f>'OCT21'!J6:J39</f>
        <v>0</v>
      </c>
      <c r="E6" s="169"/>
      <c r="F6" s="170"/>
      <c r="G6" s="169"/>
      <c r="H6" s="169">
        <f>D6+E6+F6+G6+C6</f>
        <v>0</v>
      </c>
      <c r="I6" s="169"/>
      <c r="J6" s="169">
        <f>H6-I6</f>
        <v>0</v>
      </c>
      <c r="K6" s="169"/>
      <c r="L6" s="169"/>
    </row>
    <row r="7" spans="1:13" ht="15.75" x14ac:dyDescent="0.25">
      <c r="A7" s="171" t="s">
        <v>390</v>
      </c>
      <c r="B7" s="166" t="s">
        <v>51</v>
      </c>
      <c r="C7" s="167"/>
      <c r="D7" s="220">
        <f>'OCT21'!J7:J40</f>
        <v>0</v>
      </c>
      <c r="E7" s="172">
        <v>6500</v>
      </c>
      <c r="F7" s="173">
        <v>357</v>
      </c>
      <c r="G7" s="172">
        <v>200</v>
      </c>
      <c r="H7" s="169">
        <f t="shared" ref="H7:H39" si="0">D7+E7+F7+G7+C7</f>
        <v>7057</v>
      </c>
      <c r="I7" s="169">
        <v>6500</v>
      </c>
      <c r="J7" s="169">
        <f>H7-I7</f>
        <v>557</v>
      </c>
      <c r="K7" s="169"/>
      <c r="L7" s="169"/>
    </row>
    <row r="8" spans="1:13" ht="15.75" x14ac:dyDescent="0.25">
      <c r="A8" s="171" t="s">
        <v>65</v>
      </c>
      <c r="B8" s="166" t="s">
        <v>54</v>
      </c>
      <c r="C8" s="167"/>
      <c r="D8" s="220">
        <f>'OCT21'!J8:J41</f>
        <v>0</v>
      </c>
      <c r="E8" s="172"/>
      <c r="F8" s="173"/>
      <c r="G8" s="172"/>
      <c r="H8" s="169">
        <f t="shared" si="0"/>
        <v>0</v>
      </c>
      <c r="I8" s="169"/>
      <c r="J8" s="169">
        <f>H8-I8</f>
        <v>0</v>
      </c>
      <c r="K8" s="169"/>
      <c r="L8" s="169"/>
    </row>
    <row r="9" spans="1:13" ht="15.75" x14ac:dyDescent="0.25">
      <c r="A9" s="174" t="s">
        <v>110</v>
      </c>
      <c r="B9" s="175" t="s">
        <v>50</v>
      </c>
      <c r="C9" s="176"/>
      <c r="D9" s="220">
        <f>'OCT21'!J9:J42</f>
        <v>0</v>
      </c>
      <c r="E9" s="177"/>
      <c r="F9" s="178"/>
      <c r="G9" s="172"/>
      <c r="H9" s="169">
        <f t="shared" si="0"/>
        <v>0</v>
      </c>
      <c r="I9" s="169"/>
      <c r="J9" s="169">
        <f>H9-I9</f>
        <v>0</v>
      </c>
      <c r="K9" s="169"/>
      <c r="L9" s="169"/>
    </row>
    <row r="10" spans="1:13" ht="15.75" x14ac:dyDescent="0.25">
      <c r="A10" s="218" t="s">
        <v>364</v>
      </c>
      <c r="B10" s="166" t="s">
        <v>49</v>
      </c>
      <c r="C10" s="176"/>
      <c r="D10" s="220">
        <f>'OCT21'!J10:J43</f>
        <v>0</v>
      </c>
      <c r="E10" s="172"/>
      <c r="F10" s="173"/>
      <c r="G10" s="172"/>
      <c r="H10" s="169">
        <f t="shared" si="0"/>
        <v>0</v>
      </c>
      <c r="I10" s="169"/>
      <c r="J10" s="169">
        <f>H10-I10</f>
        <v>0</v>
      </c>
      <c r="K10" s="169"/>
      <c r="L10" s="169"/>
    </row>
    <row r="11" spans="1:13" ht="15.75" x14ac:dyDescent="0.25">
      <c r="A11" s="179" t="s">
        <v>263</v>
      </c>
      <c r="B11" s="166" t="s">
        <v>53</v>
      </c>
      <c r="C11" s="167"/>
      <c r="D11" s="220">
        <f>'OCT21'!J11:J44</f>
        <v>1848</v>
      </c>
      <c r="E11" s="172">
        <v>6500</v>
      </c>
      <c r="F11" s="173">
        <v>544</v>
      </c>
      <c r="G11" s="172">
        <v>200</v>
      </c>
      <c r="H11" s="169">
        <f t="shared" si="0"/>
        <v>9092</v>
      </c>
      <c r="I11" s="169">
        <v>7100</v>
      </c>
      <c r="J11" s="169">
        <f t="shared" ref="J11:J36" si="1">H11-I11</f>
        <v>1992</v>
      </c>
      <c r="K11" s="169"/>
      <c r="L11" s="169"/>
    </row>
    <row r="12" spans="1:13" ht="15.75" x14ac:dyDescent="0.25">
      <c r="A12" s="165" t="s">
        <v>262</v>
      </c>
      <c r="B12" s="166" t="s">
        <v>48</v>
      </c>
      <c r="C12" s="167"/>
      <c r="D12" s="220">
        <f>'OCT21'!J12:J45</f>
        <v>7040</v>
      </c>
      <c r="E12" s="172"/>
      <c r="F12" s="173"/>
      <c r="G12" s="172"/>
      <c r="H12" s="169">
        <f t="shared" si="0"/>
        <v>7040</v>
      </c>
      <c r="I12" s="169"/>
      <c r="J12" s="169">
        <f t="shared" si="1"/>
        <v>7040</v>
      </c>
      <c r="K12" s="169"/>
      <c r="L12" s="169"/>
      <c r="M12">
        <f>6500+200+493</f>
        <v>7193</v>
      </c>
    </row>
    <row r="13" spans="1:13" ht="15.75" x14ac:dyDescent="0.25">
      <c r="A13" s="180" t="s">
        <v>385</v>
      </c>
      <c r="B13" s="166" t="s">
        <v>47</v>
      </c>
      <c r="C13" s="167"/>
      <c r="D13" s="220">
        <f>'OCT21'!J13:J46</f>
        <v>0</v>
      </c>
      <c r="E13" s="172">
        <v>6500</v>
      </c>
      <c r="F13" s="173">
        <v>391</v>
      </c>
      <c r="G13" s="172">
        <v>200</v>
      </c>
      <c r="H13" s="169">
        <f t="shared" si="0"/>
        <v>7091</v>
      </c>
      <c r="I13" s="169">
        <v>7091</v>
      </c>
      <c r="J13" s="169">
        <f t="shared" si="1"/>
        <v>0</v>
      </c>
      <c r="K13" s="169"/>
      <c r="L13" s="169"/>
      <c r="M13">
        <f>6500+1122+200</f>
        <v>7822</v>
      </c>
    </row>
    <row r="14" spans="1:13" ht="15.75" x14ac:dyDescent="0.25">
      <c r="A14" s="165" t="s">
        <v>378</v>
      </c>
      <c r="B14" s="166" t="s">
        <v>46</v>
      </c>
      <c r="C14" s="167"/>
      <c r="D14" s="220">
        <f>'OCT21'!J14:J47</f>
        <v>0</v>
      </c>
      <c r="E14" s="172">
        <v>6500</v>
      </c>
      <c r="F14" s="173">
        <v>714</v>
      </c>
      <c r="G14" s="172">
        <v>200</v>
      </c>
      <c r="H14" s="169">
        <f t="shared" si="0"/>
        <v>7414</v>
      </c>
      <c r="I14" s="169">
        <v>7414</v>
      </c>
      <c r="J14" s="169">
        <f>H14-I14</f>
        <v>0</v>
      </c>
      <c r="K14" s="169"/>
      <c r="L14" s="169"/>
    </row>
    <row r="15" spans="1:13" ht="15.75" x14ac:dyDescent="0.25">
      <c r="A15" s="171" t="s">
        <v>315</v>
      </c>
      <c r="B15" s="166" t="s">
        <v>45</v>
      </c>
      <c r="C15" s="167"/>
      <c r="D15" s="220">
        <f>'OCT21'!J15:J48</f>
        <v>1141</v>
      </c>
      <c r="E15" s="172">
        <v>6500</v>
      </c>
      <c r="F15" s="173">
        <v>459</v>
      </c>
      <c r="G15" s="172">
        <v>200</v>
      </c>
      <c r="H15" s="169">
        <f t="shared" si="0"/>
        <v>8300</v>
      </c>
      <c r="I15" s="169">
        <v>7159</v>
      </c>
      <c r="J15" s="169">
        <f>H15-I15</f>
        <v>1141</v>
      </c>
      <c r="K15" s="169"/>
      <c r="L15" s="169"/>
      <c r="M15">
        <f>1122+493</f>
        <v>1615</v>
      </c>
    </row>
    <row r="16" spans="1:13" ht="15.75" x14ac:dyDescent="0.25">
      <c r="A16" s="165" t="s">
        <v>225</v>
      </c>
      <c r="B16" s="166" t="s">
        <v>44</v>
      </c>
      <c r="C16" s="167"/>
      <c r="D16" s="220">
        <f>'OCT21'!J16:J49</f>
        <v>0</v>
      </c>
      <c r="E16" s="172">
        <v>6500</v>
      </c>
      <c r="F16" s="173">
        <v>187</v>
      </c>
      <c r="G16" s="172">
        <v>200</v>
      </c>
      <c r="H16" s="169">
        <f t="shared" si="0"/>
        <v>6887</v>
      </c>
      <c r="I16" s="169">
        <v>6687</v>
      </c>
      <c r="J16" s="169">
        <f>H16-I16</f>
        <v>200</v>
      </c>
      <c r="K16" s="169"/>
      <c r="L16" s="169"/>
    </row>
    <row r="17" spans="1:15" ht="15.75" x14ac:dyDescent="0.25">
      <c r="A17" s="171" t="s">
        <v>349</v>
      </c>
      <c r="B17" s="166" t="s">
        <v>43</v>
      </c>
      <c r="C17" s="176"/>
      <c r="D17" s="220">
        <f>'OCT21'!J17:J50</f>
        <v>638</v>
      </c>
      <c r="E17" s="172">
        <v>6500</v>
      </c>
      <c r="F17" s="173">
        <v>748</v>
      </c>
      <c r="G17" s="172">
        <v>200</v>
      </c>
      <c r="H17" s="169">
        <f t="shared" si="0"/>
        <v>8086</v>
      </c>
      <c r="I17" s="169">
        <f>6600+1000</f>
        <v>7600</v>
      </c>
      <c r="J17" s="169">
        <f t="shared" si="1"/>
        <v>486</v>
      </c>
      <c r="K17" s="169"/>
      <c r="L17" s="169"/>
    </row>
    <row r="18" spans="1:15" ht="15.75" x14ac:dyDescent="0.25">
      <c r="A18" s="165" t="s">
        <v>73</v>
      </c>
      <c r="B18" s="166" t="s">
        <v>42</v>
      </c>
      <c r="C18" s="167"/>
      <c r="D18" s="220">
        <f>'OCT21'!J18:J51</f>
        <v>-17</v>
      </c>
      <c r="E18" s="172">
        <v>6500</v>
      </c>
      <c r="F18" s="173">
        <v>391</v>
      </c>
      <c r="G18" s="172">
        <v>200</v>
      </c>
      <c r="H18" s="169">
        <f t="shared" si="0"/>
        <v>7074</v>
      </c>
      <c r="I18" s="169">
        <v>7074</v>
      </c>
      <c r="J18" s="169">
        <f t="shared" si="1"/>
        <v>0</v>
      </c>
      <c r="K18" s="169"/>
      <c r="L18" s="169"/>
    </row>
    <row r="19" spans="1:15" ht="15.75" x14ac:dyDescent="0.25">
      <c r="A19" s="165" t="s">
        <v>180</v>
      </c>
      <c r="B19" s="166" t="s">
        <v>41</v>
      </c>
      <c r="C19" s="167"/>
      <c r="D19" s="220">
        <f>'OCT21'!J19:J52</f>
        <v>7903</v>
      </c>
      <c r="E19" s="172">
        <v>6500</v>
      </c>
      <c r="F19" s="173">
        <v>289</v>
      </c>
      <c r="G19" s="172">
        <v>200</v>
      </c>
      <c r="H19" s="169">
        <f t="shared" si="0"/>
        <v>14892</v>
      </c>
      <c r="I19" s="169">
        <f>6904</f>
        <v>6904</v>
      </c>
      <c r="J19" s="169">
        <f t="shared" si="1"/>
        <v>7988</v>
      </c>
      <c r="K19" s="169"/>
      <c r="L19" s="169"/>
    </row>
    <row r="20" spans="1:15" ht="15.75" x14ac:dyDescent="0.25">
      <c r="A20" s="171" t="s">
        <v>75</v>
      </c>
      <c r="B20" s="166" t="s">
        <v>40</v>
      </c>
      <c r="C20" s="167"/>
      <c r="D20" s="220">
        <f>'OCT21'!J20:J53</f>
        <v>0</v>
      </c>
      <c r="E20" s="172">
        <v>6500</v>
      </c>
      <c r="F20" s="173">
        <v>323</v>
      </c>
      <c r="G20" s="172">
        <v>200</v>
      </c>
      <c r="H20" s="169">
        <f t="shared" si="0"/>
        <v>7023</v>
      </c>
      <c r="I20" s="169">
        <v>7023</v>
      </c>
      <c r="J20" s="169">
        <f t="shared" si="1"/>
        <v>0</v>
      </c>
      <c r="K20" s="169"/>
      <c r="L20" s="169"/>
    </row>
    <row r="21" spans="1:15" ht="15.75" x14ac:dyDescent="0.25">
      <c r="A21" s="174" t="s">
        <v>393</v>
      </c>
      <c r="B21" s="183" t="s">
        <v>39</v>
      </c>
      <c r="C21" s="167"/>
      <c r="D21" s="220">
        <f>'OCT21'!J21:J54</f>
        <v>0</v>
      </c>
      <c r="E21" s="172">
        <v>6500</v>
      </c>
      <c r="F21" s="173">
        <v>459</v>
      </c>
      <c r="G21" s="172">
        <v>200</v>
      </c>
      <c r="H21" s="169">
        <f t="shared" si="0"/>
        <v>7159</v>
      </c>
      <c r="I21" s="169">
        <v>7159</v>
      </c>
      <c r="J21" s="169">
        <f t="shared" si="1"/>
        <v>0</v>
      </c>
      <c r="K21" s="169"/>
      <c r="L21" s="169"/>
    </row>
    <row r="22" spans="1:15" ht="15.75" x14ac:dyDescent="0.25">
      <c r="A22" s="165" t="s">
        <v>150</v>
      </c>
      <c r="B22" s="166" t="s">
        <v>38</v>
      </c>
      <c r="C22" s="167"/>
      <c r="D22" s="220">
        <f>'OCT21'!J22:J55</f>
        <v>1920</v>
      </c>
      <c r="E22" s="172">
        <v>6500</v>
      </c>
      <c r="F22" s="173">
        <v>510</v>
      </c>
      <c r="G22" s="172">
        <v>200</v>
      </c>
      <c r="H22" s="169">
        <f t="shared" si="0"/>
        <v>9130</v>
      </c>
      <c r="I22" s="169">
        <v>8000</v>
      </c>
      <c r="J22" s="169">
        <f t="shared" si="1"/>
        <v>1130</v>
      </c>
      <c r="K22" s="169"/>
      <c r="L22" s="169"/>
      <c r="N22">
        <f>6500+748+200</f>
        <v>7448</v>
      </c>
      <c r="O22">
        <f>N22-6600</f>
        <v>848</v>
      </c>
    </row>
    <row r="23" spans="1:15" ht="15.75" x14ac:dyDescent="0.25">
      <c r="A23" s="171" t="s">
        <v>78</v>
      </c>
      <c r="B23" s="166" t="s">
        <v>37</v>
      </c>
      <c r="C23" s="167"/>
      <c r="D23" s="220">
        <f>'OCT21'!J23:J56</f>
        <v>0</v>
      </c>
      <c r="E23" s="172">
        <v>6500</v>
      </c>
      <c r="F23" s="173"/>
      <c r="G23" s="172">
        <v>200</v>
      </c>
      <c r="H23" s="169">
        <f t="shared" si="0"/>
        <v>6700</v>
      </c>
      <c r="I23" s="169">
        <v>6700</v>
      </c>
      <c r="J23" s="169">
        <f t="shared" si="1"/>
        <v>0</v>
      </c>
      <c r="K23" s="169"/>
      <c r="L23" s="169"/>
      <c r="O23">
        <v>638</v>
      </c>
    </row>
    <row r="24" spans="1:15" ht="15.75" x14ac:dyDescent="0.25">
      <c r="A24" s="174" t="s">
        <v>67</v>
      </c>
      <c r="B24" s="185" t="s">
        <v>28</v>
      </c>
      <c r="C24" s="167"/>
      <c r="D24" s="220">
        <f>'OCT21'!J24:J57</f>
        <v>0</v>
      </c>
      <c r="E24" s="172"/>
      <c r="F24" s="173"/>
      <c r="G24" s="172"/>
      <c r="H24" s="169">
        <f t="shared" si="0"/>
        <v>0</v>
      </c>
      <c r="I24" s="169"/>
      <c r="J24" s="169">
        <f>H24-I24</f>
        <v>0</v>
      </c>
      <c r="K24" s="169"/>
      <c r="L24" s="169"/>
      <c r="O24">
        <f>O22+O23</f>
        <v>1486</v>
      </c>
    </row>
    <row r="25" spans="1:15" ht="15.75" x14ac:dyDescent="0.25">
      <c r="A25" s="174" t="s">
        <v>110</v>
      </c>
      <c r="B25" s="186" t="s">
        <v>29</v>
      </c>
      <c r="C25" s="167"/>
      <c r="D25" s="220">
        <f>'OCT21'!J25:J58</f>
        <v>0</v>
      </c>
      <c r="E25" s="172"/>
      <c r="F25" s="173"/>
      <c r="G25" s="172"/>
      <c r="H25" s="169">
        <f t="shared" si="0"/>
        <v>0</v>
      </c>
      <c r="I25" s="169"/>
      <c r="J25" s="169">
        <f t="shared" si="1"/>
        <v>0</v>
      </c>
      <c r="K25" s="169"/>
      <c r="L25" s="169"/>
      <c r="M25" t="s">
        <v>392</v>
      </c>
    </row>
    <row r="26" spans="1:15" ht="15.75" x14ac:dyDescent="0.25">
      <c r="A26" s="165" t="s">
        <v>317</v>
      </c>
      <c r="B26" s="227" t="s">
        <v>30</v>
      </c>
      <c r="C26" s="176"/>
      <c r="D26" s="220">
        <f>'OCT21'!J26:J59</f>
        <v>4018</v>
      </c>
      <c r="E26" s="228">
        <v>7000</v>
      </c>
      <c r="F26" s="229">
        <v>935</v>
      </c>
      <c r="G26" s="228">
        <v>200</v>
      </c>
      <c r="H26" s="169">
        <f>D26+E26+F26+G26+C26</f>
        <v>12153</v>
      </c>
      <c r="I26" s="169">
        <f>10000</f>
        <v>10000</v>
      </c>
      <c r="J26" s="169">
        <f t="shared" si="1"/>
        <v>2153</v>
      </c>
      <c r="K26" s="169"/>
      <c r="L26" s="169"/>
    </row>
    <row r="27" spans="1:15" ht="15.75" x14ac:dyDescent="0.25">
      <c r="A27" s="174" t="s">
        <v>386</v>
      </c>
      <c r="B27" s="186" t="s">
        <v>55</v>
      </c>
      <c r="C27" s="167"/>
      <c r="D27" s="220">
        <f>'OCT21'!J27:J60</f>
        <v>0</v>
      </c>
      <c r="E27" s="172">
        <v>7000</v>
      </c>
      <c r="F27" s="173">
        <v>612</v>
      </c>
      <c r="G27" s="172">
        <v>200</v>
      </c>
      <c r="H27" s="169">
        <f t="shared" si="0"/>
        <v>7812</v>
      </c>
      <c r="I27" s="169">
        <v>7312</v>
      </c>
      <c r="J27" s="169">
        <f>H27-I27</f>
        <v>500</v>
      </c>
      <c r="K27" s="169"/>
      <c r="L27" s="169"/>
    </row>
    <row r="28" spans="1:15" ht="15.75" x14ac:dyDescent="0.25">
      <c r="A28" s="165" t="s">
        <v>83</v>
      </c>
      <c r="B28" s="186" t="s">
        <v>56</v>
      </c>
      <c r="C28" s="167"/>
      <c r="D28" s="220">
        <f>'OCT21'!J28:J61</f>
        <v>4082</v>
      </c>
      <c r="E28" s="172">
        <v>8500</v>
      </c>
      <c r="F28" s="173"/>
      <c r="G28" s="172">
        <v>200</v>
      </c>
      <c r="H28" s="169">
        <f t="shared" si="0"/>
        <v>12782</v>
      </c>
      <c r="I28" s="169">
        <v>8000</v>
      </c>
      <c r="J28" s="169">
        <f t="shared" si="1"/>
        <v>4782</v>
      </c>
      <c r="K28" s="169"/>
      <c r="L28" s="169"/>
    </row>
    <row r="29" spans="1:15" ht="15.75" x14ac:dyDescent="0.25">
      <c r="A29" s="165" t="s">
        <v>181</v>
      </c>
      <c r="B29" s="186" t="s">
        <v>57</v>
      </c>
      <c r="C29" s="167"/>
      <c r="D29" s="220">
        <f>'OCT21'!J29:J62</f>
        <v>642</v>
      </c>
      <c r="E29" s="172">
        <v>7000</v>
      </c>
      <c r="F29" s="173">
        <v>748</v>
      </c>
      <c r="G29" s="172">
        <v>200</v>
      </c>
      <c r="H29" s="169">
        <f t="shared" si="0"/>
        <v>8590</v>
      </c>
      <c r="I29" s="169">
        <v>5000</v>
      </c>
      <c r="J29" s="169">
        <f t="shared" si="1"/>
        <v>3590</v>
      </c>
      <c r="K29" s="169"/>
      <c r="L29" s="169"/>
    </row>
    <row r="30" spans="1:15" ht="15.75" x14ac:dyDescent="0.25">
      <c r="A30" s="184" t="s">
        <v>92</v>
      </c>
      <c r="B30" s="185" t="s">
        <v>58</v>
      </c>
      <c r="C30" s="167"/>
      <c r="D30" s="220">
        <f>'OCT21'!J30:J63</f>
        <v>11602</v>
      </c>
      <c r="E30" s="172">
        <v>7000</v>
      </c>
      <c r="F30" s="173">
        <v>500</v>
      </c>
      <c r="G30" s="172">
        <v>200</v>
      </c>
      <c r="H30" s="169">
        <f t="shared" si="0"/>
        <v>19302</v>
      </c>
      <c r="I30" s="169"/>
      <c r="J30" s="169">
        <f t="shared" si="1"/>
        <v>19302</v>
      </c>
      <c r="K30" s="169"/>
      <c r="L30" s="169"/>
    </row>
    <row r="31" spans="1:15" ht="15.75" x14ac:dyDescent="0.25">
      <c r="A31" s="165" t="s">
        <v>176</v>
      </c>
      <c r="B31" s="186" t="s">
        <v>59</v>
      </c>
      <c r="C31" s="167"/>
      <c r="D31" s="220">
        <f>'OCT21'!J31:J64</f>
        <v>2543</v>
      </c>
      <c r="E31" s="172">
        <v>7000</v>
      </c>
      <c r="F31" s="173">
        <v>629</v>
      </c>
      <c r="G31" s="172">
        <v>200</v>
      </c>
      <c r="H31" s="169">
        <f t="shared" si="0"/>
        <v>10372</v>
      </c>
      <c r="I31" s="169">
        <v>9660</v>
      </c>
      <c r="J31" s="169">
        <f t="shared" si="1"/>
        <v>712</v>
      </c>
      <c r="K31" s="169"/>
      <c r="L31" s="169"/>
    </row>
    <row r="32" spans="1:15" ht="15.75" x14ac:dyDescent="0.25">
      <c r="A32" s="165" t="s">
        <v>170</v>
      </c>
      <c r="B32" s="186" t="s">
        <v>60</v>
      </c>
      <c r="C32" s="167"/>
      <c r="D32" s="220">
        <f>'OCT21'!J32:J65</f>
        <v>0</v>
      </c>
      <c r="E32" s="172">
        <v>7000</v>
      </c>
      <c r="F32" s="173">
        <v>561</v>
      </c>
      <c r="G32" s="172">
        <v>200</v>
      </c>
      <c r="H32" s="169">
        <f t="shared" si="0"/>
        <v>7761</v>
      </c>
      <c r="I32" s="169">
        <v>7761</v>
      </c>
      <c r="J32" s="169">
        <f t="shared" si="1"/>
        <v>0</v>
      </c>
      <c r="K32" s="169"/>
      <c r="L32" s="169"/>
    </row>
    <row r="33" spans="1:12" ht="15.75" x14ac:dyDescent="0.25">
      <c r="A33" s="165" t="s">
        <v>80</v>
      </c>
      <c r="B33" s="186" t="s">
        <v>31</v>
      </c>
      <c r="C33" s="167"/>
      <c r="D33" s="220">
        <f>'OCT21'!J33:J66</f>
        <v>0</v>
      </c>
      <c r="E33" s="172">
        <v>9000</v>
      </c>
      <c r="F33" s="173">
        <v>1105</v>
      </c>
      <c r="G33" s="172">
        <v>200</v>
      </c>
      <c r="H33" s="169">
        <f t="shared" si="0"/>
        <v>10305</v>
      </c>
      <c r="I33" s="169">
        <v>10305</v>
      </c>
      <c r="J33" s="169">
        <f>H33-I33</f>
        <v>0</v>
      </c>
      <c r="K33" s="169"/>
      <c r="L33" s="169"/>
    </row>
    <row r="34" spans="1:12" ht="15.75" x14ac:dyDescent="0.25">
      <c r="A34" s="165" t="s">
        <v>322</v>
      </c>
      <c r="B34" s="186" t="s">
        <v>32</v>
      </c>
      <c r="C34" s="167"/>
      <c r="D34" s="220">
        <f>'OCT21'!J34:J67</f>
        <v>-80</v>
      </c>
      <c r="E34" s="173">
        <v>7000</v>
      </c>
      <c r="F34" s="173">
        <v>816</v>
      </c>
      <c r="G34" s="172">
        <v>200</v>
      </c>
      <c r="H34" s="169">
        <f t="shared" si="0"/>
        <v>7936</v>
      </c>
      <c r="I34" s="169">
        <f>3000+4000</f>
        <v>7000</v>
      </c>
      <c r="J34" s="169">
        <f t="shared" si="1"/>
        <v>936</v>
      </c>
      <c r="K34" s="169"/>
      <c r="L34" s="169"/>
    </row>
    <row r="35" spans="1:12" ht="15.75" x14ac:dyDescent="0.25">
      <c r="A35" s="165" t="s">
        <v>245</v>
      </c>
      <c r="B35" s="186" t="s">
        <v>33</v>
      </c>
      <c r="C35" s="167"/>
      <c r="D35" s="220">
        <f>'OCT21'!J35:J68</f>
        <v>2128</v>
      </c>
      <c r="E35" s="173">
        <v>7000</v>
      </c>
      <c r="F35" s="173">
        <v>748</v>
      </c>
      <c r="G35" s="172">
        <v>200</v>
      </c>
      <c r="H35" s="169">
        <f t="shared" si="0"/>
        <v>10076</v>
      </c>
      <c r="I35" s="169">
        <f>5000+1000+3000</f>
        <v>9000</v>
      </c>
      <c r="J35" s="169">
        <f t="shared" si="1"/>
        <v>1076</v>
      </c>
      <c r="K35" s="169"/>
      <c r="L35" s="169"/>
    </row>
    <row r="36" spans="1:12" ht="15.75" x14ac:dyDescent="0.25">
      <c r="A36" s="165" t="s">
        <v>89</v>
      </c>
      <c r="B36" s="186" t="s">
        <v>34</v>
      </c>
      <c r="C36" s="167"/>
      <c r="D36" s="220">
        <f>'OCT21'!J36:J69</f>
        <v>0</v>
      </c>
      <c r="E36" s="173">
        <v>7000</v>
      </c>
      <c r="F36" s="173">
        <v>34</v>
      </c>
      <c r="G36" s="172">
        <v>200</v>
      </c>
      <c r="H36" s="169">
        <f t="shared" si="0"/>
        <v>7234</v>
      </c>
      <c r="I36" s="169">
        <f>7000+200</f>
        <v>7200</v>
      </c>
      <c r="J36" s="169">
        <f t="shared" si="1"/>
        <v>34</v>
      </c>
      <c r="K36" s="169"/>
      <c r="L36" s="169"/>
    </row>
    <row r="37" spans="1:12" ht="15.75" x14ac:dyDescent="0.25">
      <c r="A37" s="165" t="s">
        <v>330</v>
      </c>
      <c r="B37" s="186" t="s">
        <v>35</v>
      </c>
      <c r="C37" s="167"/>
      <c r="D37" s="220">
        <f>'OCT21'!J37:J70</f>
        <v>30</v>
      </c>
      <c r="E37" s="173">
        <v>7000</v>
      </c>
      <c r="F37" s="173">
        <v>340</v>
      </c>
      <c r="G37" s="172">
        <v>200</v>
      </c>
      <c r="H37" s="169">
        <f t="shared" si="0"/>
        <v>7570</v>
      </c>
      <c r="I37" s="169">
        <v>6000</v>
      </c>
      <c r="J37" s="169">
        <f>H37-I37</f>
        <v>1570</v>
      </c>
      <c r="K37" s="169"/>
      <c r="L37" s="169"/>
    </row>
    <row r="38" spans="1:12" ht="15.75" x14ac:dyDescent="0.25">
      <c r="A38" s="165" t="s">
        <v>138</v>
      </c>
      <c r="B38" s="186" t="s">
        <v>36</v>
      </c>
      <c r="C38" s="167"/>
      <c r="D38" s="220">
        <f>'OCT21'!J38:J71</f>
        <v>1100</v>
      </c>
      <c r="E38" s="178">
        <v>8500</v>
      </c>
      <c r="F38" s="178">
        <v>500</v>
      </c>
      <c r="G38" s="172">
        <v>200</v>
      </c>
      <c r="H38" s="169">
        <f t="shared" si="0"/>
        <v>10300</v>
      </c>
      <c r="I38" s="169">
        <f>5000+4000</f>
        <v>9000</v>
      </c>
      <c r="J38" s="169">
        <f>H38-I38</f>
        <v>1300</v>
      </c>
      <c r="K38" s="169"/>
      <c r="L38" s="169"/>
    </row>
    <row r="39" spans="1:12" ht="15.75" x14ac:dyDescent="0.25">
      <c r="A39" s="165"/>
      <c r="B39" s="186"/>
      <c r="C39" s="167"/>
      <c r="D39" s="220">
        <f>'OCT21'!J39:J72</f>
        <v>0</v>
      </c>
      <c r="E39" s="178"/>
      <c r="F39" s="178"/>
      <c r="G39" s="172"/>
      <c r="H39" s="169">
        <f t="shared" si="0"/>
        <v>0</v>
      </c>
      <c r="I39" s="169"/>
      <c r="J39" s="169">
        <f>H39-I39</f>
        <v>0</v>
      </c>
      <c r="K39" s="169"/>
      <c r="L39" s="169"/>
    </row>
    <row r="40" spans="1:12" ht="15.75" x14ac:dyDescent="0.25">
      <c r="A40" s="188" t="s">
        <v>10</v>
      </c>
      <c r="B40" s="165"/>
      <c r="C40" s="167">
        <f t="shared" ref="C40:L40" si="2">SUM(C6:C39)</f>
        <v>0</v>
      </c>
      <c r="D40" s="220">
        <f>SUM(D6:D39)</f>
        <v>46538</v>
      </c>
      <c r="E40" s="189">
        <f>SUM(E6:E39)</f>
        <v>180500</v>
      </c>
      <c r="F40" s="190">
        <f>SUM(F6:F39)</f>
        <v>12900</v>
      </c>
      <c r="G40" s="191">
        <f t="shared" si="2"/>
        <v>5200</v>
      </c>
      <c r="H40" s="169">
        <f>SUM(H6:H39)</f>
        <v>245138</v>
      </c>
      <c r="I40" s="192">
        <f>SUM(I6:I39)</f>
        <v>188649</v>
      </c>
      <c r="J40" s="192">
        <f>SUM(J6:J39)</f>
        <v>56489</v>
      </c>
      <c r="K40" s="192">
        <f t="shared" si="2"/>
        <v>0</v>
      </c>
      <c r="L40" s="192">
        <f t="shared" si="2"/>
        <v>0</v>
      </c>
    </row>
    <row r="41" spans="1:12" ht="15.75" x14ac:dyDescent="0.25">
      <c r="A41" s="184"/>
      <c r="B41" s="184"/>
      <c r="C41" s="177"/>
      <c r="D41" s="193"/>
      <c r="E41" s="184"/>
      <c r="F41" s="158"/>
      <c r="G41" s="184"/>
      <c r="H41" s="184"/>
      <c r="I41" s="184"/>
      <c r="J41" s="184"/>
      <c r="K41" s="184"/>
      <c r="L41" s="184"/>
    </row>
    <row r="42" spans="1:12" ht="15.75" x14ac:dyDescent="0.25">
      <c r="A42" s="160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</row>
    <row r="43" spans="1:12" ht="15.75" x14ac:dyDescent="0.25">
      <c r="A43" s="184"/>
      <c r="B43" s="158"/>
      <c r="C43" s="158"/>
      <c r="D43" s="158"/>
      <c r="E43" s="158"/>
      <c r="F43" s="181">
        <f>F40+731+102</f>
        <v>13733</v>
      </c>
      <c r="G43" s="158"/>
      <c r="H43" s="158"/>
      <c r="I43" s="158"/>
      <c r="J43" s="158"/>
      <c r="K43" s="158"/>
      <c r="L43" s="158"/>
    </row>
    <row r="44" spans="1:12" x14ac:dyDescent="0.25">
      <c r="A44" s="18"/>
    </row>
    <row r="45" spans="1:12" ht="18.75" x14ac:dyDescent="0.3">
      <c r="A45" s="195" t="s">
        <v>12</v>
      </c>
      <c r="B45" s="195"/>
      <c r="C45" s="195"/>
      <c r="D45" s="196"/>
      <c r="E45" s="197"/>
      <c r="F45" s="195" t="s">
        <v>8</v>
      </c>
      <c r="G45" s="195"/>
      <c r="H45" s="195"/>
      <c r="I45" s="198"/>
      <c r="J45" s="198"/>
      <c r="K45" s="79"/>
      <c r="L45" s="71"/>
    </row>
    <row r="46" spans="1:12" ht="18.75" x14ac:dyDescent="0.3">
      <c r="A46" s="199" t="s">
        <v>13</v>
      </c>
      <c r="B46" s="199" t="s">
        <v>14</v>
      </c>
      <c r="C46" s="199" t="s">
        <v>15</v>
      </c>
      <c r="D46" s="199" t="s">
        <v>16</v>
      </c>
      <c r="E46" s="199"/>
      <c r="F46" s="199" t="s">
        <v>13</v>
      </c>
      <c r="G46" s="199"/>
      <c r="H46" s="199" t="s">
        <v>265</v>
      </c>
      <c r="I46" s="199" t="s">
        <v>15</v>
      </c>
      <c r="J46" s="199" t="s">
        <v>16</v>
      </c>
      <c r="K46" s="87"/>
      <c r="L46" s="73"/>
    </row>
    <row r="47" spans="1:12" ht="18.75" x14ac:dyDescent="0.3">
      <c r="A47" s="200" t="s">
        <v>389</v>
      </c>
      <c r="B47" s="201">
        <f>E40</f>
        <v>180500</v>
      </c>
      <c r="C47" s="200"/>
      <c r="D47" s="200"/>
      <c r="E47" s="200"/>
      <c r="F47" s="200" t="s">
        <v>389</v>
      </c>
      <c r="G47" s="200"/>
      <c r="H47" s="202">
        <f>I40</f>
        <v>188649</v>
      </c>
      <c r="I47" s="200"/>
      <c r="J47" s="200"/>
      <c r="K47" s="60"/>
      <c r="L47" s="74"/>
    </row>
    <row r="48" spans="1:12" ht="18.75" x14ac:dyDescent="0.3">
      <c r="A48" s="200"/>
      <c r="B48" s="201"/>
      <c r="C48" s="200"/>
      <c r="D48" s="200"/>
      <c r="E48" s="200"/>
      <c r="F48" s="200"/>
      <c r="G48" s="200"/>
      <c r="H48" s="202"/>
      <c r="I48" s="200"/>
      <c r="J48" s="200"/>
      <c r="K48" s="60"/>
      <c r="L48" s="74"/>
    </row>
    <row r="49" spans="1:12" ht="18.75" x14ac:dyDescent="0.3">
      <c r="A49" s="200" t="s">
        <v>18</v>
      </c>
      <c r="B49" s="201">
        <f>'OCT21'!D63</f>
        <v>0.25</v>
      </c>
      <c r="C49" s="200"/>
      <c r="D49" s="200"/>
      <c r="E49" s="200"/>
      <c r="F49" s="200" t="s">
        <v>18</v>
      </c>
      <c r="G49" s="200"/>
      <c r="H49" s="201">
        <f>'OCT21'!J63</f>
        <v>-73012.75</v>
      </c>
      <c r="I49" s="200"/>
      <c r="J49" s="200"/>
      <c r="K49" s="60"/>
      <c r="L49" s="74"/>
    </row>
    <row r="50" spans="1:12" ht="18.75" x14ac:dyDescent="0.3">
      <c r="A50" s="200" t="s">
        <v>19</v>
      </c>
      <c r="B50" s="201">
        <f>C40</f>
        <v>0</v>
      </c>
      <c r="C50" s="200"/>
      <c r="D50" s="200"/>
      <c r="E50" s="200"/>
      <c r="F50" s="200"/>
      <c r="G50" s="200"/>
      <c r="H50" s="200"/>
      <c r="I50" s="200"/>
      <c r="J50" s="200"/>
      <c r="K50" s="60"/>
      <c r="L50" s="74"/>
    </row>
    <row r="51" spans="1:12" ht="18.75" x14ac:dyDescent="0.3">
      <c r="A51" s="200" t="s">
        <v>63</v>
      </c>
      <c r="B51" s="201">
        <f>F40</f>
        <v>12900</v>
      </c>
      <c r="C51" s="200"/>
      <c r="D51" s="200"/>
      <c r="E51" s="200"/>
      <c r="F51" s="200"/>
      <c r="G51" s="200"/>
      <c r="H51" s="200"/>
      <c r="I51" s="200"/>
      <c r="J51" s="200"/>
      <c r="K51" s="60"/>
      <c r="L51" s="74"/>
    </row>
    <row r="52" spans="1:12" ht="18.75" x14ac:dyDescent="0.3">
      <c r="A52" s="200" t="s">
        <v>62</v>
      </c>
      <c r="B52" s="201">
        <f>K40</f>
        <v>0</v>
      </c>
      <c r="C52" s="200"/>
      <c r="D52" s="200"/>
      <c r="E52" s="200"/>
      <c r="F52" s="200"/>
      <c r="G52" s="200"/>
      <c r="H52" s="200"/>
      <c r="I52" s="200"/>
      <c r="J52" s="200"/>
      <c r="K52" s="60"/>
      <c r="L52" s="74"/>
    </row>
    <row r="53" spans="1:12" ht="18.75" x14ac:dyDescent="0.3">
      <c r="A53" s="200" t="s">
        <v>96</v>
      </c>
      <c r="B53" s="201">
        <f>G40</f>
        <v>5200</v>
      </c>
      <c r="C53" s="200"/>
      <c r="D53" s="200"/>
      <c r="E53" s="200"/>
      <c r="F53" s="200" t="s">
        <v>126</v>
      </c>
      <c r="G53" s="200"/>
      <c r="H53" s="202">
        <f>L40</f>
        <v>0</v>
      </c>
      <c r="I53" s="200"/>
      <c r="J53" s="200"/>
      <c r="K53" s="60"/>
      <c r="L53" s="74"/>
    </row>
    <row r="54" spans="1:12" ht="18.75" x14ac:dyDescent="0.3">
      <c r="A54" s="200" t="s">
        <v>167</v>
      </c>
      <c r="B54" s="201"/>
      <c r="C54" s="200"/>
      <c r="D54" s="200"/>
      <c r="E54" s="200"/>
      <c r="F54" s="200" t="s">
        <v>167</v>
      </c>
      <c r="G54" s="201"/>
      <c r="H54" s="194"/>
      <c r="I54" s="194"/>
      <c r="J54" s="200"/>
      <c r="K54" s="60"/>
      <c r="L54" s="74"/>
    </row>
    <row r="55" spans="1:12" ht="18.75" x14ac:dyDescent="0.3">
      <c r="A55" s="200" t="s">
        <v>126</v>
      </c>
      <c r="B55" s="202">
        <f>L40</f>
        <v>0</v>
      </c>
      <c r="C55" s="201"/>
      <c r="D55" s="200"/>
      <c r="E55" s="200"/>
      <c r="F55" s="200"/>
      <c r="G55" s="200"/>
      <c r="H55" s="200"/>
      <c r="I55" s="201"/>
      <c r="J55" s="201"/>
      <c r="K55" s="88"/>
      <c r="L55" s="75"/>
    </row>
    <row r="56" spans="1:12" ht="18.75" x14ac:dyDescent="0.3">
      <c r="A56" s="199" t="s">
        <v>21</v>
      </c>
      <c r="B56" s="200" t="s">
        <v>22</v>
      </c>
      <c r="C56" s="200"/>
      <c r="D56" s="200"/>
      <c r="E56" s="200"/>
      <c r="F56" s="199" t="s">
        <v>21</v>
      </c>
      <c r="G56" s="199"/>
      <c r="H56" s="199"/>
      <c r="I56" s="200"/>
      <c r="J56" s="200"/>
      <c r="K56" s="60"/>
      <c r="L56" s="74"/>
    </row>
    <row r="57" spans="1:12" ht="18.75" x14ac:dyDescent="0.3">
      <c r="A57" s="203" t="s">
        <v>111</v>
      </c>
      <c r="B57" s="204">
        <v>0.05</v>
      </c>
      <c r="C57" s="202">
        <f>B57*E40</f>
        <v>9025</v>
      </c>
      <c r="D57" s="200"/>
      <c r="E57" s="200"/>
      <c r="F57" s="203" t="s">
        <v>111</v>
      </c>
      <c r="G57" s="203"/>
      <c r="H57" s="204">
        <v>0.05</v>
      </c>
      <c r="I57" s="202">
        <f>H57*E40</f>
        <v>9025</v>
      </c>
      <c r="J57" s="200"/>
      <c r="K57" s="60"/>
      <c r="L57" s="74"/>
    </row>
    <row r="58" spans="1:12" ht="18.75" x14ac:dyDescent="0.3">
      <c r="A58" s="205"/>
      <c r="B58" s="206"/>
      <c r="C58" s="226"/>
      <c r="D58" s="202"/>
      <c r="E58" s="205"/>
      <c r="F58" s="205"/>
      <c r="G58" s="206"/>
      <c r="H58" s="226"/>
      <c r="I58" s="194"/>
      <c r="J58" s="226"/>
      <c r="K58" s="89"/>
      <c r="L58" s="76"/>
    </row>
    <row r="59" spans="1:12" ht="18.75" x14ac:dyDescent="0.3">
      <c r="A59" s="205" t="s">
        <v>394</v>
      </c>
      <c r="B59" s="204"/>
      <c r="C59" s="202">
        <v>189575</v>
      </c>
      <c r="D59" s="200"/>
      <c r="E59" s="200"/>
      <c r="F59" s="205" t="s">
        <v>394</v>
      </c>
      <c r="G59" s="204"/>
      <c r="H59" s="202"/>
      <c r="I59" s="202">
        <v>189575</v>
      </c>
      <c r="J59" s="200"/>
      <c r="K59" s="60"/>
      <c r="L59" s="74"/>
    </row>
    <row r="60" spans="1:12" ht="18.75" x14ac:dyDescent="0.3">
      <c r="A60" s="224"/>
      <c r="B60" s="200"/>
      <c r="C60" s="202"/>
      <c r="D60" s="200"/>
      <c r="E60" s="200"/>
      <c r="F60" s="202"/>
      <c r="G60" s="202"/>
      <c r="H60" s="200"/>
      <c r="I60" s="202"/>
      <c r="J60" s="225"/>
      <c r="K60" s="60"/>
      <c r="L60" s="74"/>
    </row>
    <row r="61" spans="1:12" ht="18.75" x14ac:dyDescent="0.3">
      <c r="A61" s="194"/>
      <c r="B61" s="226"/>
      <c r="C61" s="226"/>
      <c r="D61" s="226"/>
      <c r="E61" s="226"/>
      <c r="F61" s="226"/>
      <c r="G61" s="226"/>
      <c r="H61" s="226"/>
      <c r="I61" s="226"/>
      <c r="J61" s="194"/>
      <c r="K61" s="60"/>
      <c r="L61" s="74"/>
    </row>
    <row r="62" spans="1:12" ht="18.75" x14ac:dyDescent="0.3">
      <c r="A62" s="208"/>
      <c r="B62" s="200"/>
      <c r="C62" s="202"/>
      <c r="D62" s="200"/>
      <c r="E62" s="200"/>
      <c r="F62" s="200"/>
      <c r="G62" s="202"/>
      <c r="H62" s="203"/>
      <c r="I62" s="202"/>
      <c r="J62" s="202"/>
      <c r="K62" s="89"/>
      <c r="L62" s="76"/>
    </row>
    <row r="63" spans="1:12" ht="18.75" x14ac:dyDescent="0.3">
      <c r="A63" s="199" t="s">
        <v>23</v>
      </c>
      <c r="B63" s="209">
        <f>B47+B49+B50+B51+B52+B53+B55+B54</f>
        <v>198600.25</v>
      </c>
      <c r="C63" s="209">
        <f>SUM(C57:C62)</f>
        <v>198600</v>
      </c>
      <c r="D63" s="209">
        <f>B63-C63</f>
        <v>0.25</v>
      </c>
      <c r="E63" s="209"/>
      <c r="F63" s="199"/>
      <c r="G63" s="199"/>
      <c r="H63" s="209">
        <f>H47+H49+H51+H53+H54</f>
        <v>115636.25</v>
      </c>
      <c r="I63" s="209">
        <f>SUM(I57:I62)</f>
        <v>198600</v>
      </c>
      <c r="J63" s="209">
        <f>H63-I63</f>
        <v>-82963.75</v>
      </c>
      <c r="K63" s="96"/>
      <c r="L63" s="77"/>
    </row>
    <row r="64" spans="1:12" ht="18.75" x14ac:dyDescent="0.3">
      <c r="A64" s="198"/>
      <c r="B64" s="198"/>
      <c r="C64" s="207">
        <f>C63-C57</f>
        <v>189575</v>
      </c>
      <c r="D64" s="198"/>
      <c r="E64" s="198"/>
      <c r="F64" s="198"/>
      <c r="G64" s="198"/>
      <c r="H64" s="198"/>
      <c r="I64" s="210">
        <f>I63-I57</f>
        <v>189575</v>
      </c>
      <c r="J64" s="198"/>
      <c r="K64" s="79"/>
      <c r="L64" s="71"/>
    </row>
    <row r="65" spans="1:12" ht="18.75" x14ac:dyDescent="0.3">
      <c r="A65" s="211" t="s">
        <v>24</v>
      </c>
      <c r="B65" s="212"/>
      <c r="C65" s="212" t="s">
        <v>25</v>
      </c>
      <c r="D65" s="213"/>
      <c r="E65" s="213"/>
      <c r="F65" s="211"/>
      <c r="G65" s="211"/>
      <c r="H65" s="211" t="s">
        <v>26</v>
      </c>
      <c r="I65" s="198"/>
      <c r="J65" s="198"/>
      <c r="K65" s="79"/>
      <c r="L65" s="71"/>
    </row>
    <row r="66" spans="1:12" ht="18.75" x14ac:dyDescent="0.3">
      <c r="A66" s="198" t="s">
        <v>104</v>
      </c>
      <c r="B66" s="198"/>
      <c r="C66" s="198" t="s">
        <v>105</v>
      </c>
      <c r="D66" s="198"/>
      <c r="E66" s="198"/>
      <c r="F66" s="198"/>
      <c r="G66" s="198"/>
      <c r="H66" s="198" t="s">
        <v>27</v>
      </c>
      <c r="I66" s="198"/>
      <c r="J66" s="198"/>
      <c r="K66" s="119"/>
      <c r="L66" s="71"/>
    </row>
    <row r="67" spans="1:12" x14ac:dyDescent="0.25">
      <c r="E67" s="5"/>
    </row>
    <row r="68" spans="1:12" x14ac:dyDescent="0.25">
      <c r="F68" s="5"/>
    </row>
    <row r="72" spans="1:12" x14ac:dyDescent="0.25">
      <c r="F72" s="5"/>
    </row>
    <row r="79" spans="1:12" x14ac:dyDescent="0.25">
      <c r="I79" s="5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tabSelected="1" topLeftCell="A13" zoomScale="80" zoomScaleNormal="80" workbookViewId="0">
      <selection activeCell="A7" sqref="A7:XFD7"/>
    </sheetView>
  </sheetViews>
  <sheetFormatPr defaultRowHeight="15" x14ac:dyDescent="0.25"/>
  <cols>
    <col min="1" max="1" width="28.140625" customWidth="1"/>
    <col min="3" max="3" width="14.85546875" customWidth="1"/>
    <col min="4" max="4" width="17.7109375" customWidth="1"/>
    <col min="5" max="5" width="13.28515625" customWidth="1"/>
    <col min="6" max="6" width="18.42578125" customWidth="1"/>
    <col min="7" max="7" width="13.28515625" customWidth="1"/>
    <col min="8" max="8" width="14.85546875" customWidth="1"/>
    <col min="9" max="9" width="16.42578125" customWidth="1"/>
    <col min="10" max="10" width="16.85546875" customWidth="1"/>
    <col min="13" max="14" width="10.85546875" bestFit="1" customWidth="1"/>
  </cols>
  <sheetData>
    <row r="1" spans="1:13" ht="15.75" x14ac:dyDescent="0.25">
      <c r="A1" s="158"/>
      <c r="B1" s="158"/>
      <c r="C1" s="159"/>
      <c r="D1" s="159"/>
      <c r="E1" s="159"/>
      <c r="F1" s="159"/>
      <c r="G1" s="159"/>
      <c r="H1" s="158"/>
      <c r="I1" s="159"/>
      <c r="J1" s="159"/>
      <c r="K1" s="159"/>
      <c r="L1" s="159"/>
    </row>
    <row r="2" spans="1:13" ht="22.5" customHeight="1" x14ac:dyDescent="0.25">
      <c r="A2" s="158"/>
      <c r="B2" s="158"/>
      <c r="C2" s="100"/>
      <c r="D2" s="235"/>
      <c r="E2" s="237" t="s">
        <v>27</v>
      </c>
      <c r="F2" s="237"/>
      <c r="G2" s="235"/>
      <c r="H2" s="101"/>
      <c r="I2" s="160"/>
      <c r="J2" s="160"/>
      <c r="K2" s="160"/>
      <c r="L2" s="160"/>
    </row>
    <row r="3" spans="1:13" ht="29.25" customHeight="1" x14ac:dyDescent="0.25">
      <c r="A3" s="160"/>
      <c r="B3" s="100"/>
      <c r="C3" s="100"/>
      <c r="D3" s="235"/>
      <c r="E3" s="237" t="s">
        <v>0</v>
      </c>
      <c r="F3" s="237"/>
      <c r="G3" s="236"/>
      <c r="H3" s="102"/>
      <c r="I3" s="160"/>
      <c r="J3" s="160"/>
      <c r="K3" s="160"/>
      <c r="L3" s="160"/>
    </row>
    <row r="4" spans="1:13" ht="27.75" customHeight="1" x14ac:dyDescent="0.25">
      <c r="A4" s="100"/>
      <c r="B4" s="160"/>
      <c r="C4" s="158"/>
      <c r="D4" s="238" t="s">
        <v>395</v>
      </c>
      <c r="E4" s="238"/>
      <c r="F4" s="238"/>
      <c r="G4" s="238"/>
      <c r="H4" s="104"/>
      <c r="I4" s="104"/>
      <c r="J4" s="104"/>
      <c r="K4" s="104"/>
      <c r="L4" s="104"/>
    </row>
    <row r="5" spans="1:13" s="234" customFormat="1" ht="63" x14ac:dyDescent="0.25">
      <c r="A5" s="230" t="s">
        <v>2</v>
      </c>
      <c r="B5" s="230" t="s">
        <v>3</v>
      </c>
      <c r="C5" s="230" t="s">
        <v>4</v>
      </c>
      <c r="D5" s="231" t="s">
        <v>5</v>
      </c>
      <c r="E5" s="230" t="s">
        <v>6</v>
      </c>
      <c r="F5" s="232" t="s">
        <v>63</v>
      </c>
      <c r="G5" s="230" t="s">
        <v>96</v>
      </c>
      <c r="H5" s="233" t="s">
        <v>7</v>
      </c>
      <c r="I5" s="230" t="s">
        <v>8</v>
      </c>
      <c r="J5" s="230" t="s">
        <v>9</v>
      </c>
      <c r="K5" s="230" t="s">
        <v>91</v>
      </c>
      <c r="L5" s="230" t="s">
        <v>123</v>
      </c>
    </row>
    <row r="6" spans="1:13" ht="15.75" x14ac:dyDescent="0.25">
      <c r="A6" s="165" t="s">
        <v>396</v>
      </c>
      <c r="B6" s="166" t="s">
        <v>52</v>
      </c>
      <c r="C6" s="167"/>
      <c r="D6" s="220">
        <f>'NOVEMBER 21'!J6:J38</f>
        <v>0</v>
      </c>
      <c r="E6" s="169">
        <v>6500</v>
      </c>
      <c r="F6" s="170"/>
      <c r="G6" s="169">
        <v>200</v>
      </c>
      <c r="H6" s="169">
        <f>D6+E6+F6+G6+C6</f>
        <v>6700</v>
      </c>
      <c r="I6" s="169">
        <v>6700</v>
      </c>
      <c r="J6" s="169">
        <f>H6-I6</f>
        <v>0</v>
      </c>
      <c r="K6" s="169"/>
      <c r="L6" s="169"/>
    </row>
    <row r="7" spans="1:13" ht="15.75" x14ac:dyDescent="0.25">
      <c r="A7" s="171" t="s">
        <v>403</v>
      </c>
      <c r="B7" s="166" t="s">
        <v>51</v>
      </c>
      <c r="C7" s="167"/>
      <c r="D7" s="220">
        <f>'NOVEMBER 21'!J7:J39</f>
        <v>557</v>
      </c>
      <c r="E7" s="172">
        <v>6500</v>
      </c>
      <c r="F7" s="173">
        <v>731</v>
      </c>
      <c r="G7" s="172">
        <v>200</v>
      </c>
      <c r="H7" s="169">
        <f t="shared" ref="H7:H39" si="0">D7+E7+F7+G7+C7</f>
        <v>7988</v>
      </c>
      <c r="I7" s="169">
        <v>6500</v>
      </c>
      <c r="J7" s="169">
        <f>H7-I7</f>
        <v>1488</v>
      </c>
      <c r="K7" s="169"/>
      <c r="L7" s="169"/>
    </row>
    <row r="8" spans="1:13" ht="15.75" x14ac:dyDescent="0.25">
      <c r="A8" s="171" t="s">
        <v>65</v>
      </c>
      <c r="B8" s="166" t="s">
        <v>54</v>
      </c>
      <c r="C8" s="167"/>
      <c r="D8" s="220">
        <f>'NOVEMBER 21'!J8:J40</f>
        <v>0</v>
      </c>
      <c r="E8" s="172"/>
      <c r="F8" s="173"/>
      <c r="G8" s="172"/>
      <c r="H8" s="169">
        <f t="shared" si="0"/>
        <v>0</v>
      </c>
      <c r="I8" s="169"/>
      <c r="J8" s="169">
        <f>H8-I8</f>
        <v>0</v>
      </c>
      <c r="K8" s="169"/>
      <c r="L8" s="169"/>
    </row>
    <row r="9" spans="1:13" ht="15.75" x14ac:dyDescent="0.25">
      <c r="A9" s="165" t="s">
        <v>397</v>
      </c>
      <c r="B9" s="175" t="s">
        <v>50</v>
      </c>
      <c r="C9" s="176"/>
      <c r="D9" s="220">
        <f>'NOVEMBER 21'!J9:J41</f>
        <v>0</v>
      </c>
      <c r="E9" s="177">
        <v>6500</v>
      </c>
      <c r="F9" s="178"/>
      <c r="G9" s="172">
        <v>200</v>
      </c>
      <c r="H9" s="169">
        <f t="shared" si="0"/>
        <v>6700</v>
      </c>
      <c r="I9" s="169"/>
      <c r="J9" s="169">
        <f>H9-I9</f>
        <v>6700</v>
      </c>
      <c r="K9" s="169"/>
      <c r="L9" s="169"/>
      <c r="M9">
        <v>714760364</v>
      </c>
    </row>
    <row r="10" spans="1:13" ht="15.75" x14ac:dyDescent="0.25">
      <c r="A10" s="218" t="s">
        <v>364</v>
      </c>
      <c r="B10" s="166" t="s">
        <v>49</v>
      </c>
      <c r="C10" s="176"/>
      <c r="D10" s="220">
        <f>'NOVEMBER 21'!J10:J42</f>
        <v>0</v>
      </c>
      <c r="E10" s="172"/>
      <c r="F10" s="173"/>
      <c r="G10" s="172"/>
      <c r="H10" s="169">
        <f t="shared" si="0"/>
        <v>0</v>
      </c>
      <c r="I10" s="169"/>
      <c r="J10" s="169">
        <f>H10-I10</f>
        <v>0</v>
      </c>
      <c r="K10" s="169"/>
      <c r="L10" s="169"/>
    </row>
    <row r="11" spans="1:13" ht="15.75" x14ac:dyDescent="0.25">
      <c r="A11" s="179" t="s">
        <v>263</v>
      </c>
      <c r="B11" s="166" t="s">
        <v>53</v>
      </c>
      <c r="C11" s="167"/>
      <c r="D11" s="220">
        <f>'NOVEMBER 21'!J11:J43</f>
        <v>1992</v>
      </c>
      <c r="E11" s="172">
        <v>6500</v>
      </c>
      <c r="F11" s="173">
        <v>561</v>
      </c>
      <c r="G11" s="172">
        <v>200</v>
      </c>
      <c r="H11" s="169">
        <f t="shared" si="0"/>
        <v>9253</v>
      </c>
      <c r="I11" s="169">
        <v>7200</v>
      </c>
      <c r="J11" s="169">
        <f t="shared" ref="J11:J36" si="1">H11-I11</f>
        <v>2053</v>
      </c>
      <c r="K11" s="169"/>
      <c r="L11" s="169"/>
    </row>
    <row r="12" spans="1:13" ht="15.75" x14ac:dyDescent="0.25">
      <c r="A12" s="174" t="s">
        <v>262</v>
      </c>
      <c r="B12" s="166" t="s">
        <v>48</v>
      </c>
      <c r="C12" s="167"/>
      <c r="D12" s="220">
        <f>'NOVEMBER 21'!J12:J44</f>
        <v>7040</v>
      </c>
      <c r="E12" s="172"/>
      <c r="F12" s="173"/>
      <c r="G12" s="172"/>
      <c r="H12" s="169">
        <f t="shared" si="0"/>
        <v>7040</v>
      </c>
      <c r="I12" s="169"/>
      <c r="J12" s="169">
        <f t="shared" si="1"/>
        <v>7040</v>
      </c>
      <c r="K12" s="169"/>
      <c r="L12" s="169"/>
    </row>
    <row r="13" spans="1:13" ht="15.75" x14ac:dyDescent="0.25">
      <c r="A13" s="180" t="s">
        <v>385</v>
      </c>
      <c r="B13" s="166" t="s">
        <v>47</v>
      </c>
      <c r="C13" s="167"/>
      <c r="D13" s="220">
        <f>'NOVEMBER 21'!J13:J45</f>
        <v>0</v>
      </c>
      <c r="E13" s="172">
        <v>6500</v>
      </c>
      <c r="F13" s="173">
        <v>408</v>
      </c>
      <c r="G13" s="172">
        <v>200</v>
      </c>
      <c r="H13" s="169">
        <f t="shared" si="0"/>
        <v>7108</v>
      </c>
      <c r="I13" s="169"/>
      <c r="J13" s="169">
        <f t="shared" si="1"/>
        <v>7108</v>
      </c>
      <c r="K13" s="169"/>
      <c r="L13" s="169"/>
    </row>
    <row r="14" spans="1:13" ht="15.75" x14ac:dyDescent="0.25">
      <c r="A14" s="165" t="s">
        <v>378</v>
      </c>
      <c r="B14" s="166" t="s">
        <v>46</v>
      </c>
      <c r="C14" s="167"/>
      <c r="D14" s="220">
        <f>'NOVEMBER 21'!J14:J46</f>
        <v>0</v>
      </c>
      <c r="E14" s="172">
        <v>6500</v>
      </c>
      <c r="F14" s="173">
        <v>629</v>
      </c>
      <c r="G14" s="172">
        <v>200</v>
      </c>
      <c r="H14" s="169">
        <f t="shared" si="0"/>
        <v>7329</v>
      </c>
      <c r="I14" s="169"/>
      <c r="J14" s="169">
        <f>H14-I14</f>
        <v>7329</v>
      </c>
      <c r="K14" s="169"/>
      <c r="L14" s="169"/>
    </row>
    <row r="15" spans="1:13" ht="15.75" x14ac:dyDescent="0.25">
      <c r="A15" s="171" t="s">
        <v>315</v>
      </c>
      <c r="B15" s="166" t="s">
        <v>45</v>
      </c>
      <c r="C15" s="167"/>
      <c r="D15" s="220">
        <f>'NOVEMBER 21'!J15:J47</f>
        <v>1141</v>
      </c>
      <c r="E15" s="172">
        <v>6500</v>
      </c>
      <c r="F15" s="173">
        <v>374</v>
      </c>
      <c r="G15" s="172">
        <v>200</v>
      </c>
      <c r="H15" s="169">
        <f t="shared" si="0"/>
        <v>8215</v>
      </c>
      <c r="I15" s="169"/>
      <c r="J15" s="169">
        <f>H15-I15</f>
        <v>8215</v>
      </c>
      <c r="K15" s="169"/>
      <c r="L15" s="169"/>
    </row>
    <row r="16" spans="1:13" ht="15.75" x14ac:dyDescent="0.25">
      <c r="A16" s="165" t="s">
        <v>225</v>
      </c>
      <c r="B16" s="166" t="s">
        <v>44</v>
      </c>
      <c r="C16" s="167"/>
      <c r="D16" s="220">
        <f>'NOVEMBER 21'!J16:J48</f>
        <v>200</v>
      </c>
      <c r="E16" s="172">
        <v>6500</v>
      </c>
      <c r="F16" s="173">
        <v>204</v>
      </c>
      <c r="G16" s="172">
        <v>200</v>
      </c>
      <c r="H16" s="169">
        <f t="shared" si="0"/>
        <v>7104</v>
      </c>
      <c r="I16" s="169">
        <v>6500</v>
      </c>
      <c r="J16" s="169">
        <f>H16-I16</f>
        <v>604</v>
      </c>
      <c r="K16" s="169"/>
      <c r="L16" s="169"/>
    </row>
    <row r="17" spans="1:15" ht="15.75" x14ac:dyDescent="0.25">
      <c r="A17" s="171" t="s">
        <v>349</v>
      </c>
      <c r="B17" s="166" t="s">
        <v>43</v>
      </c>
      <c r="C17" s="176"/>
      <c r="D17" s="220">
        <f>'NOVEMBER 21'!J17:J49</f>
        <v>486</v>
      </c>
      <c r="E17" s="172">
        <v>6500</v>
      </c>
      <c r="F17" s="173">
        <v>374</v>
      </c>
      <c r="G17" s="172">
        <v>200</v>
      </c>
      <c r="H17" s="169">
        <f t="shared" si="0"/>
        <v>7560</v>
      </c>
      <c r="I17" s="169"/>
      <c r="J17" s="169">
        <f t="shared" si="1"/>
        <v>7560</v>
      </c>
      <c r="K17" s="169"/>
      <c r="L17" s="169"/>
    </row>
    <row r="18" spans="1:15" ht="15.75" x14ac:dyDescent="0.25">
      <c r="A18" s="165" t="s">
        <v>73</v>
      </c>
      <c r="B18" s="166" t="s">
        <v>42</v>
      </c>
      <c r="C18" s="167"/>
      <c r="D18" s="220">
        <f>'NOVEMBER 21'!J18:J50</f>
        <v>0</v>
      </c>
      <c r="E18" s="172">
        <v>6500</v>
      </c>
      <c r="F18" s="173">
        <v>306</v>
      </c>
      <c r="G18" s="172">
        <v>200</v>
      </c>
      <c r="H18" s="169">
        <f t="shared" si="0"/>
        <v>7006</v>
      </c>
      <c r="I18" s="169">
        <v>7000</v>
      </c>
      <c r="J18" s="169">
        <f t="shared" si="1"/>
        <v>6</v>
      </c>
      <c r="K18" s="169"/>
      <c r="L18" s="169"/>
      <c r="O18" s="53">
        <f>E17+F17+G17</f>
        <v>7074</v>
      </c>
    </row>
    <row r="19" spans="1:15" ht="15.75" x14ac:dyDescent="0.25">
      <c r="A19" s="165" t="s">
        <v>180</v>
      </c>
      <c r="B19" s="166" t="s">
        <v>41</v>
      </c>
      <c r="C19" s="167"/>
      <c r="D19" s="220">
        <f>'NOVEMBER 21'!J19:J51</f>
        <v>7988</v>
      </c>
      <c r="E19" s="172">
        <v>6500</v>
      </c>
      <c r="F19" s="173">
        <v>102</v>
      </c>
      <c r="G19" s="172">
        <v>200</v>
      </c>
      <c r="H19" s="169">
        <f t="shared" si="0"/>
        <v>14790</v>
      </c>
      <c r="I19" s="169"/>
      <c r="J19" s="169">
        <f t="shared" si="1"/>
        <v>14790</v>
      </c>
      <c r="K19" s="169"/>
      <c r="L19" s="169"/>
      <c r="O19" s="53">
        <f>D17</f>
        <v>486</v>
      </c>
    </row>
    <row r="20" spans="1:15" ht="15.75" x14ac:dyDescent="0.25">
      <c r="A20" s="171" t="s">
        <v>75</v>
      </c>
      <c r="B20" s="166" t="s">
        <v>40</v>
      </c>
      <c r="C20" s="167"/>
      <c r="D20" s="220">
        <f>'NOVEMBER 21'!J20:J52</f>
        <v>0</v>
      </c>
      <c r="E20" s="172">
        <v>6500</v>
      </c>
      <c r="F20" s="173">
        <v>306</v>
      </c>
      <c r="G20" s="172">
        <v>200</v>
      </c>
      <c r="H20" s="169">
        <f t="shared" si="0"/>
        <v>7006</v>
      </c>
      <c r="I20" s="169"/>
      <c r="J20" s="169">
        <f t="shared" si="1"/>
        <v>7006</v>
      </c>
      <c r="K20" s="169"/>
      <c r="L20" s="169"/>
      <c r="O20" s="53">
        <f>O18+O19</f>
        <v>7560</v>
      </c>
    </row>
    <row r="21" spans="1:15" ht="15.75" x14ac:dyDescent="0.25">
      <c r="A21" s="165" t="s">
        <v>393</v>
      </c>
      <c r="B21" s="183" t="s">
        <v>39</v>
      </c>
      <c r="C21" s="167"/>
      <c r="D21" s="220">
        <f>'NOVEMBER 21'!J21:J53</f>
        <v>0</v>
      </c>
      <c r="E21" s="172">
        <v>6500</v>
      </c>
      <c r="F21" s="173">
        <v>272</v>
      </c>
      <c r="G21" s="172">
        <v>200</v>
      </c>
      <c r="H21" s="169">
        <f t="shared" si="0"/>
        <v>6972</v>
      </c>
      <c r="I21" s="169">
        <v>7159</v>
      </c>
      <c r="J21" s="169">
        <f t="shared" si="1"/>
        <v>-187</v>
      </c>
      <c r="K21" s="169"/>
      <c r="L21" s="169"/>
    </row>
    <row r="22" spans="1:15" ht="15.75" x14ac:dyDescent="0.25">
      <c r="A22" s="165" t="s">
        <v>150</v>
      </c>
      <c r="B22" s="166" t="s">
        <v>38</v>
      </c>
      <c r="C22" s="167"/>
      <c r="D22" s="220">
        <f>'NOVEMBER 21'!J22:J54</f>
        <v>1130</v>
      </c>
      <c r="E22" s="172">
        <v>6500</v>
      </c>
      <c r="F22" s="173">
        <v>340</v>
      </c>
      <c r="G22" s="172">
        <v>200</v>
      </c>
      <c r="H22" s="169">
        <f t="shared" si="0"/>
        <v>8170</v>
      </c>
      <c r="I22" s="169"/>
      <c r="J22" s="169">
        <f t="shared" si="1"/>
        <v>8170</v>
      </c>
      <c r="K22" s="169"/>
      <c r="L22" s="169"/>
    </row>
    <row r="23" spans="1:15" ht="15.75" x14ac:dyDescent="0.25">
      <c r="A23" s="171" t="s">
        <v>78</v>
      </c>
      <c r="B23" s="166" t="s">
        <v>37</v>
      </c>
      <c r="C23" s="167"/>
      <c r="D23" s="220">
        <f>'NOVEMBER 21'!J23:J55</f>
        <v>0</v>
      </c>
      <c r="E23" s="172">
        <v>6500</v>
      </c>
      <c r="F23" s="173"/>
      <c r="G23" s="172">
        <v>200</v>
      </c>
      <c r="H23" s="169">
        <f t="shared" si="0"/>
        <v>6700</v>
      </c>
      <c r="I23" s="169"/>
      <c r="J23" s="169">
        <f t="shared" si="1"/>
        <v>6700</v>
      </c>
      <c r="K23" s="169"/>
      <c r="L23" s="169"/>
    </row>
    <row r="24" spans="1:15" ht="15.75" x14ac:dyDescent="0.25">
      <c r="A24" s="165" t="s">
        <v>399</v>
      </c>
      <c r="B24" s="185" t="s">
        <v>28</v>
      </c>
      <c r="C24" s="167"/>
      <c r="D24" s="220">
        <f>'NOVEMBER 21'!J24:J56</f>
        <v>0</v>
      </c>
      <c r="E24" s="172">
        <v>7000</v>
      </c>
      <c r="F24" s="173">
        <v>629</v>
      </c>
      <c r="G24" s="172">
        <v>200</v>
      </c>
      <c r="H24" s="169">
        <f t="shared" si="0"/>
        <v>7829</v>
      </c>
      <c r="I24" s="169"/>
      <c r="J24" s="169">
        <f>H24-I24</f>
        <v>7829</v>
      </c>
      <c r="K24" s="169"/>
      <c r="L24" s="169"/>
      <c r="M24">
        <v>740801046</v>
      </c>
    </row>
    <row r="25" spans="1:15" ht="15.75" x14ac:dyDescent="0.25">
      <c r="A25" s="174" t="s">
        <v>398</v>
      </c>
      <c r="B25" s="186" t="s">
        <v>29</v>
      </c>
      <c r="C25" s="167"/>
      <c r="D25" s="220">
        <f>'NOVEMBER 21'!J25:J57</f>
        <v>0</v>
      </c>
      <c r="E25" s="172"/>
      <c r="F25" s="173">
        <v>561</v>
      </c>
      <c r="G25" s="172">
        <v>200</v>
      </c>
      <c r="H25" s="169">
        <f t="shared" si="0"/>
        <v>761</v>
      </c>
      <c r="I25" s="169"/>
      <c r="J25" s="169">
        <f t="shared" si="1"/>
        <v>761</v>
      </c>
      <c r="K25" s="169"/>
      <c r="L25" s="169"/>
      <c r="M25" t="s">
        <v>169</v>
      </c>
      <c r="N25">
        <v>728342708</v>
      </c>
    </row>
    <row r="26" spans="1:15" ht="15.75" x14ac:dyDescent="0.25">
      <c r="A26" s="165" t="s">
        <v>317</v>
      </c>
      <c r="B26" s="227" t="s">
        <v>30</v>
      </c>
      <c r="C26" s="176"/>
      <c r="D26" s="220">
        <f>'NOVEMBER 21'!J26:J58</f>
        <v>2153</v>
      </c>
      <c r="E26" s="228"/>
      <c r="F26" s="229"/>
      <c r="G26" s="228"/>
      <c r="H26" s="169">
        <f>D26+E26+F26+G26+C26+7000+986+200</f>
        <v>10339</v>
      </c>
      <c r="I26" s="169"/>
      <c r="J26" s="169">
        <f t="shared" si="1"/>
        <v>10339</v>
      </c>
      <c r="K26" s="169"/>
      <c r="L26" s="169"/>
    </row>
    <row r="27" spans="1:15" ht="15.75" x14ac:dyDescent="0.25">
      <c r="A27" s="165" t="s">
        <v>400</v>
      </c>
      <c r="B27" s="186" t="s">
        <v>55</v>
      </c>
      <c r="C27" s="167"/>
      <c r="D27" s="220">
        <f>'NOVEMBER 21'!J27:J59</f>
        <v>500</v>
      </c>
      <c r="E27" s="172">
        <v>7000</v>
      </c>
      <c r="F27" s="173">
        <v>833</v>
      </c>
      <c r="G27" s="172">
        <v>200</v>
      </c>
      <c r="H27" s="169">
        <f t="shared" si="0"/>
        <v>8533</v>
      </c>
      <c r="I27" s="169">
        <v>8040</v>
      </c>
      <c r="J27" s="169">
        <f>H27-I27</f>
        <v>493</v>
      </c>
      <c r="K27" s="169"/>
      <c r="L27" s="169"/>
    </row>
    <row r="28" spans="1:15" ht="15.75" x14ac:dyDescent="0.25">
      <c r="A28" s="165" t="s">
        <v>83</v>
      </c>
      <c r="B28" s="186" t="s">
        <v>56</v>
      </c>
      <c r="C28" s="167"/>
      <c r="D28" s="220">
        <f>'NOVEMBER 21'!J28:J60</f>
        <v>4782</v>
      </c>
      <c r="E28" s="172">
        <v>8500</v>
      </c>
      <c r="F28" s="173">
        <v>323</v>
      </c>
      <c r="G28" s="228">
        <v>200</v>
      </c>
      <c r="H28" s="169">
        <f t="shared" si="0"/>
        <v>13805</v>
      </c>
      <c r="I28" s="169"/>
      <c r="J28" s="169">
        <f t="shared" si="1"/>
        <v>13805</v>
      </c>
      <c r="K28" s="169"/>
      <c r="L28" s="169"/>
    </row>
    <row r="29" spans="1:15" ht="15.75" x14ac:dyDescent="0.25">
      <c r="A29" s="165" t="s">
        <v>181</v>
      </c>
      <c r="B29" s="186" t="s">
        <v>57</v>
      </c>
      <c r="C29" s="167"/>
      <c r="D29" s="220">
        <f>'NOVEMBER 21'!J29:J61</f>
        <v>3590</v>
      </c>
      <c r="E29" s="172">
        <v>7000</v>
      </c>
      <c r="F29" s="173">
        <v>714</v>
      </c>
      <c r="G29" s="172">
        <v>200</v>
      </c>
      <c r="H29" s="169">
        <f t="shared" si="0"/>
        <v>11504</v>
      </c>
      <c r="I29" s="169"/>
      <c r="J29" s="169">
        <f t="shared" si="1"/>
        <v>11504</v>
      </c>
      <c r="K29" s="169"/>
      <c r="L29" s="169"/>
    </row>
    <row r="30" spans="1:15" ht="15.75" x14ac:dyDescent="0.25">
      <c r="A30" s="184" t="s">
        <v>92</v>
      </c>
      <c r="B30" s="185" t="s">
        <v>58</v>
      </c>
      <c r="C30" s="167"/>
      <c r="D30" s="220">
        <f>'NOVEMBER 21'!J30:J62</f>
        <v>19302</v>
      </c>
      <c r="E30" s="172"/>
      <c r="F30" s="173"/>
      <c r="G30" s="228"/>
      <c r="H30" s="169">
        <f>D30+E30+F30+G30+C30+7000+500+200</f>
        <v>27002</v>
      </c>
      <c r="I30" s="169">
        <v>19302</v>
      </c>
      <c r="J30" s="169">
        <f t="shared" si="1"/>
        <v>7700</v>
      </c>
      <c r="K30" s="169"/>
      <c r="L30" s="169"/>
    </row>
    <row r="31" spans="1:15" ht="15.75" x14ac:dyDescent="0.25">
      <c r="A31" s="165" t="s">
        <v>176</v>
      </c>
      <c r="B31" s="186" t="s">
        <v>59</v>
      </c>
      <c r="C31" s="167"/>
      <c r="D31" s="220">
        <f>'NOVEMBER 21'!J31:J63</f>
        <v>712</v>
      </c>
      <c r="E31" s="172">
        <v>7000</v>
      </c>
      <c r="F31" s="173">
        <v>612</v>
      </c>
      <c r="G31" s="172">
        <v>200</v>
      </c>
      <c r="H31" s="169">
        <f t="shared" si="0"/>
        <v>8524</v>
      </c>
      <c r="I31" s="169"/>
      <c r="J31" s="169">
        <f t="shared" si="1"/>
        <v>8524</v>
      </c>
      <c r="K31" s="169"/>
      <c r="L31" s="169"/>
    </row>
    <row r="32" spans="1:15" ht="15.75" x14ac:dyDescent="0.25">
      <c r="A32" s="165" t="s">
        <v>170</v>
      </c>
      <c r="B32" s="186" t="s">
        <v>60</v>
      </c>
      <c r="C32" s="167"/>
      <c r="D32" s="220">
        <f>'NOVEMBER 21'!J32:J64</f>
        <v>0</v>
      </c>
      <c r="E32" s="172">
        <v>7000</v>
      </c>
      <c r="F32" s="173">
        <v>731</v>
      </c>
      <c r="G32" s="228">
        <v>200</v>
      </c>
      <c r="H32" s="169">
        <f t="shared" si="0"/>
        <v>7931</v>
      </c>
      <c r="I32" s="169"/>
      <c r="J32" s="169">
        <f t="shared" si="1"/>
        <v>7931</v>
      </c>
      <c r="K32" s="169"/>
      <c r="L32" s="169"/>
    </row>
    <row r="33" spans="1:14" ht="15.75" x14ac:dyDescent="0.25">
      <c r="A33" s="165" t="s">
        <v>80</v>
      </c>
      <c r="B33" s="186" t="s">
        <v>31</v>
      </c>
      <c r="C33" s="167"/>
      <c r="D33" s="220">
        <f>'NOVEMBER 21'!J33:J65</f>
        <v>0</v>
      </c>
      <c r="E33" s="172">
        <v>9000</v>
      </c>
      <c r="F33" s="173">
        <v>969</v>
      </c>
      <c r="G33" s="172">
        <v>200</v>
      </c>
      <c r="H33" s="169">
        <f t="shared" si="0"/>
        <v>10169</v>
      </c>
      <c r="I33" s="169"/>
      <c r="J33" s="169">
        <f>H33-I33</f>
        <v>10169</v>
      </c>
      <c r="K33" s="169"/>
      <c r="L33" s="169"/>
      <c r="M33">
        <v>3269</v>
      </c>
      <c r="N33" t="s">
        <v>401</v>
      </c>
    </row>
    <row r="34" spans="1:14" ht="15.75" x14ac:dyDescent="0.25">
      <c r="A34" s="165" t="s">
        <v>322</v>
      </c>
      <c r="B34" s="186" t="s">
        <v>32</v>
      </c>
      <c r="C34" s="167"/>
      <c r="D34" s="220">
        <f>'NOVEMBER 21'!J34:J66</f>
        <v>936</v>
      </c>
      <c r="E34" s="173">
        <v>7000</v>
      </c>
      <c r="F34" s="173">
        <v>816</v>
      </c>
      <c r="G34" s="228">
        <v>200</v>
      </c>
      <c r="H34" s="169">
        <f t="shared" si="0"/>
        <v>8952</v>
      </c>
      <c r="I34" s="169"/>
      <c r="J34" s="169">
        <f t="shared" si="1"/>
        <v>8952</v>
      </c>
      <c r="K34" s="169"/>
      <c r="L34" s="169"/>
    </row>
    <row r="35" spans="1:14" ht="15.75" x14ac:dyDescent="0.25">
      <c r="A35" s="165" t="s">
        <v>245</v>
      </c>
      <c r="B35" s="186" t="s">
        <v>33</v>
      </c>
      <c r="C35" s="167"/>
      <c r="D35" s="220">
        <f>'NOVEMBER 21'!J35:J67</f>
        <v>1076</v>
      </c>
      <c r="E35" s="173">
        <v>7000</v>
      </c>
      <c r="F35" s="173">
        <v>527</v>
      </c>
      <c r="G35" s="172">
        <v>200</v>
      </c>
      <c r="H35" s="169">
        <f t="shared" si="0"/>
        <v>8803</v>
      </c>
      <c r="I35" s="169">
        <v>7000</v>
      </c>
      <c r="J35" s="169">
        <f t="shared" si="1"/>
        <v>1803</v>
      </c>
      <c r="K35" s="169"/>
      <c r="L35" s="169"/>
    </row>
    <row r="36" spans="1:14" ht="15.75" x14ac:dyDescent="0.25">
      <c r="A36" s="165" t="s">
        <v>89</v>
      </c>
      <c r="B36" s="186" t="s">
        <v>34</v>
      </c>
      <c r="C36" s="167"/>
      <c r="D36" s="220">
        <f>'NOVEMBER 21'!J36:J68</f>
        <v>34</v>
      </c>
      <c r="E36" s="173">
        <v>7000</v>
      </c>
      <c r="F36" s="173">
        <v>51</v>
      </c>
      <c r="G36" s="228">
        <v>200</v>
      </c>
      <c r="H36" s="169">
        <f t="shared" si="0"/>
        <v>7285</v>
      </c>
      <c r="I36" s="169">
        <v>7200</v>
      </c>
      <c r="J36" s="169">
        <f t="shared" si="1"/>
        <v>85</v>
      </c>
      <c r="K36" s="169"/>
      <c r="L36" s="169"/>
    </row>
    <row r="37" spans="1:14" ht="15.75" x14ac:dyDescent="0.25">
      <c r="A37" s="165" t="s">
        <v>330</v>
      </c>
      <c r="B37" s="186" t="s">
        <v>35</v>
      </c>
      <c r="C37" s="167"/>
      <c r="D37" s="220">
        <f>'NOVEMBER 21'!J37:J69</f>
        <v>1570</v>
      </c>
      <c r="E37" s="173">
        <v>7000</v>
      </c>
      <c r="F37" s="173">
        <v>340</v>
      </c>
      <c r="G37" s="172">
        <v>200</v>
      </c>
      <c r="H37" s="169">
        <f t="shared" si="0"/>
        <v>9110</v>
      </c>
      <c r="I37" s="169"/>
      <c r="J37" s="169">
        <f>H37-I37</f>
        <v>9110</v>
      </c>
      <c r="K37" s="169"/>
      <c r="L37" s="169"/>
    </row>
    <row r="38" spans="1:14" ht="15.75" x14ac:dyDescent="0.25">
      <c r="A38" s="165" t="s">
        <v>138</v>
      </c>
      <c r="B38" s="186" t="s">
        <v>36</v>
      </c>
      <c r="C38" s="167"/>
      <c r="D38" s="220">
        <f>'NOVEMBER 21'!J38:J70</f>
        <v>1300</v>
      </c>
      <c r="E38" s="178">
        <v>8500</v>
      </c>
      <c r="F38" s="178">
        <v>500</v>
      </c>
      <c r="G38" s="228">
        <v>200</v>
      </c>
      <c r="H38" s="169">
        <f t="shared" si="0"/>
        <v>10500</v>
      </c>
      <c r="I38" s="169"/>
      <c r="J38" s="169">
        <f>H38-I38</f>
        <v>10500</v>
      </c>
      <c r="K38" s="169"/>
      <c r="L38" s="169"/>
    </row>
    <row r="39" spans="1:14" ht="15.75" x14ac:dyDescent="0.25">
      <c r="A39" s="165"/>
      <c r="B39" s="186"/>
      <c r="C39" s="167"/>
      <c r="D39" s="220">
        <f>'OCT21'!J39:J72</f>
        <v>0</v>
      </c>
      <c r="E39" s="178"/>
      <c r="F39" s="178"/>
      <c r="G39" s="172"/>
      <c r="H39" s="169">
        <f t="shared" si="0"/>
        <v>0</v>
      </c>
      <c r="I39" s="169"/>
      <c r="J39" s="169">
        <f>H39-I39</f>
        <v>0</v>
      </c>
      <c r="K39" s="169"/>
      <c r="L39" s="169"/>
      <c r="N39">
        <f>9000-6500</f>
        <v>2500</v>
      </c>
    </row>
    <row r="40" spans="1:14" ht="15.75" x14ac:dyDescent="0.25">
      <c r="A40" s="188" t="s">
        <v>10</v>
      </c>
      <c r="B40" s="165"/>
      <c r="C40" s="167">
        <f t="shared" ref="C40:L40" si="2">SUM(C6:C39)</f>
        <v>0</v>
      </c>
      <c r="D40" s="220">
        <f t="shared" ref="D40:J40" si="3">SUM(D6:D39)</f>
        <v>56489</v>
      </c>
      <c r="E40" s="189">
        <f t="shared" si="3"/>
        <v>186500</v>
      </c>
      <c r="F40" s="190">
        <f t="shared" si="3"/>
        <v>12213</v>
      </c>
      <c r="G40" s="191">
        <f t="shared" si="3"/>
        <v>5600</v>
      </c>
      <c r="H40" s="169">
        <f t="shared" si="3"/>
        <v>276688</v>
      </c>
      <c r="I40" s="192">
        <f t="shared" si="3"/>
        <v>82601</v>
      </c>
      <c r="J40" s="192">
        <f t="shared" si="3"/>
        <v>194087</v>
      </c>
      <c r="K40" s="192">
        <f t="shared" si="2"/>
        <v>0</v>
      </c>
      <c r="L40" s="192">
        <f t="shared" si="2"/>
        <v>0</v>
      </c>
      <c r="N40" s="53">
        <f>H33-400</f>
        <v>9769</v>
      </c>
    </row>
    <row r="41" spans="1:14" ht="15.75" x14ac:dyDescent="0.25">
      <c r="A41" s="184"/>
      <c r="B41" s="184"/>
      <c r="C41" s="177"/>
      <c r="D41" s="193"/>
      <c r="E41" s="184"/>
      <c r="F41" s="158"/>
      <c r="G41" s="184"/>
      <c r="H41" s="184"/>
      <c r="I41" s="184"/>
      <c r="J41" s="184"/>
      <c r="K41" s="184"/>
      <c r="L41" s="184"/>
    </row>
    <row r="42" spans="1:14" ht="15.75" x14ac:dyDescent="0.25">
      <c r="A42" s="160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</row>
    <row r="43" spans="1:14" ht="15.75" x14ac:dyDescent="0.25">
      <c r="A43" s="184"/>
      <c r="B43" s="158"/>
      <c r="C43" s="158"/>
      <c r="D43" s="158"/>
      <c r="E43" s="158"/>
      <c r="F43" s="181"/>
      <c r="G43" s="158"/>
      <c r="H43" s="158"/>
      <c r="I43" s="158"/>
      <c r="J43" s="158"/>
      <c r="K43" s="158"/>
      <c r="L43" s="158"/>
    </row>
    <row r="44" spans="1:14" x14ac:dyDescent="0.25">
      <c r="A44" s="18"/>
    </row>
    <row r="45" spans="1:14" ht="18.75" x14ac:dyDescent="0.3">
      <c r="A45" s="195" t="s">
        <v>12</v>
      </c>
      <c r="B45" s="195"/>
      <c r="C45" s="195"/>
      <c r="D45" s="196"/>
      <c r="E45" s="197"/>
      <c r="F45" s="195" t="s">
        <v>8</v>
      </c>
      <c r="G45" s="195"/>
      <c r="H45" s="195"/>
      <c r="I45" s="198"/>
      <c r="J45" s="198"/>
      <c r="K45" s="79"/>
      <c r="L45" s="71"/>
    </row>
    <row r="46" spans="1:14" ht="18.75" x14ac:dyDescent="0.3">
      <c r="A46" s="199" t="s">
        <v>13</v>
      </c>
      <c r="B46" s="199" t="s">
        <v>14</v>
      </c>
      <c r="C46" s="199" t="s">
        <v>15</v>
      </c>
      <c r="D46" s="199" t="s">
        <v>16</v>
      </c>
      <c r="E46" s="199"/>
      <c r="F46" s="199" t="s">
        <v>13</v>
      </c>
      <c r="G46" s="199"/>
      <c r="H46" s="199" t="s">
        <v>265</v>
      </c>
      <c r="I46" s="199" t="s">
        <v>15</v>
      </c>
      <c r="J46" s="199" t="s">
        <v>16</v>
      </c>
      <c r="K46" s="87"/>
      <c r="L46" s="73"/>
    </row>
    <row r="47" spans="1:14" ht="18.75" x14ac:dyDescent="0.3">
      <c r="A47" s="200" t="s">
        <v>17</v>
      </c>
      <c r="B47" s="201">
        <f>E40</f>
        <v>186500</v>
      </c>
      <c r="C47" s="200"/>
      <c r="D47" s="200"/>
      <c r="E47" s="200"/>
      <c r="F47" s="200" t="s">
        <v>17</v>
      </c>
      <c r="G47" s="200"/>
      <c r="H47" s="202">
        <f>I40</f>
        <v>82601</v>
      </c>
      <c r="I47" s="200"/>
      <c r="J47" s="200"/>
      <c r="K47" s="60"/>
      <c r="L47" s="74"/>
    </row>
    <row r="48" spans="1:14" ht="18.75" x14ac:dyDescent="0.3">
      <c r="A48" s="200"/>
      <c r="B48" s="201"/>
      <c r="C48" s="200"/>
      <c r="D48" s="200"/>
      <c r="E48" s="200"/>
      <c r="F48" s="200"/>
      <c r="G48" s="200"/>
      <c r="H48" s="202"/>
      <c r="I48" s="200"/>
      <c r="J48" s="200"/>
      <c r="K48" s="60"/>
      <c r="L48" s="74"/>
    </row>
    <row r="49" spans="1:14" ht="18.75" x14ac:dyDescent="0.3">
      <c r="A49" s="200" t="s">
        <v>18</v>
      </c>
      <c r="B49" s="201">
        <f>'NOVEMBER 21'!D63</f>
        <v>0.25</v>
      </c>
      <c r="C49" s="200"/>
      <c r="D49" s="200"/>
      <c r="E49" s="200"/>
      <c r="F49" s="200" t="s">
        <v>18</v>
      </c>
      <c r="G49" s="200"/>
      <c r="H49" s="201">
        <f>'NOVEMBER 21'!J63</f>
        <v>-82963.75</v>
      </c>
      <c r="I49" s="200"/>
      <c r="J49" s="200"/>
      <c r="K49" s="60"/>
      <c r="L49" s="74"/>
    </row>
    <row r="50" spans="1:14" ht="18.75" x14ac:dyDescent="0.3">
      <c r="A50" s="200" t="s">
        <v>19</v>
      </c>
      <c r="B50" s="201">
        <f>C40</f>
        <v>0</v>
      </c>
      <c r="C50" s="200"/>
      <c r="E50" s="200"/>
      <c r="F50" s="200"/>
      <c r="G50" s="200"/>
      <c r="H50" s="200"/>
      <c r="I50" s="200"/>
      <c r="J50" s="200"/>
      <c r="K50" s="60"/>
      <c r="L50" s="74"/>
    </row>
    <row r="51" spans="1:14" ht="18.75" x14ac:dyDescent="0.3">
      <c r="A51" s="200" t="s">
        <v>63</v>
      </c>
      <c r="B51" s="201">
        <f>F40</f>
        <v>12213</v>
      </c>
      <c r="C51" s="200"/>
      <c r="D51" s="200"/>
      <c r="E51" s="200"/>
      <c r="F51" s="200"/>
      <c r="G51" s="200"/>
      <c r="H51" s="200"/>
      <c r="I51" s="200"/>
      <c r="J51" s="200"/>
      <c r="K51" s="60"/>
      <c r="L51" s="74"/>
    </row>
    <row r="52" spans="1:14" ht="18.75" x14ac:dyDescent="0.3">
      <c r="A52" s="200" t="s">
        <v>62</v>
      </c>
      <c r="B52" s="201">
        <f>K40</f>
        <v>0</v>
      </c>
      <c r="C52" s="200"/>
      <c r="D52" s="200"/>
      <c r="E52" s="200"/>
      <c r="F52" s="200"/>
      <c r="G52" s="200"/>
      <c r="H52" s="200"/>
      <c r="I52" s="200"/>
      <c r="J52" s="200"/>
      <c r="K52" s="60"/>
      <c r="L52" s="74"/>
    </row>
    <row r="53" spans="1:14" ht="18.75" x14ac:dyDescent="0.3">
      <c r="A53" s="200" t="s">
        <v>96</v>
      </c>
      <c r="B53" s="201">
        <f>G40</f>
        <v>5600</v>
      </c>
      <c r="C53" s="200"/>
      <c r="D53" s="200"/>
      <c r="E53" s="200"/>
      <c r="F53" s="200" t="s">
        <v>126</v>
      </c>
      <c r="G53" s="200"/>
      <c r="H53" s="202">
        <f>L40</f>
        <v>0</v>
      </c>
      <c r="I53" s="200"/>
      <c r="J53" s="200"/>
      <c r="K53" s="60"/>
      <c r="L53" s="74"/>
    </row>
    <row r="54" spans="1:14" ht="18.75" x14ac:dyDescent="0.3">
      <c r="A54" s="200" t="s">
        <v>167</v>
      </c>
      <c r="B54" s="201"/>
      <c r="C54" s="200"/>
      <c r="D54" s="200"/>
      <c r="E54" s="200"/>
      <c r="F54" s="200" t="s">
        <v>167</v>
      </c>
      <c r="G54" s="201"/>
      <c r="H54" s="194"/>
      <c r="I54" s="194"/>
      <c r="J54" s="200"/>
      <c r="K54" s="60"/>
      <c r="L54" s="74"/>
    </row>
    <row r="55" spans="1:14" ht="18.75" x14ac:dyDescent="0.3">
      <c r="A55" s="200" t="s">
        <v>126</v>
      </c>
      <c r="B55" s="202">
        <f>L40</f>
        <v>0</v>
      </c>
      <c r="C55" s="201"/>
      <c r="D55" s="200"/>
      <c r="E55" s="200"/>
      <c r="F55" s="200"/>
      <c r="G55" s="200"/>
      <c r="H55" s="200"/>
      <c r="I55" s="201"/>
      <c r="J55" s="201"/>
      <c r="K55" s="88"/>
      <c r="L55" s="75"/>
    </row>
    <row r="56" spans="1:14" ht="18.75" x14ac:dyDescent="0.3">
      <c r="A56" s="199" t="s">
        <v>21</v>
      </c>
      <c r="B56" s="200" t="s">
        <v>22</v>
      </c>
      <c r="C56" s="200"/>
      <c r="D56" s="200"/>
      <c r="E56" s="200"/>
      <c r="F56" s="199" t="s">
        <v>21</v>
      </c>
      <c r="G56" s="199"/>
      <c r="H56" s="199"/>
      <c r="I56" s="200"/>
      <c r="J56" s="200"/>
      <c r="K56" s="60"/>
      <c r="L56" s="74"/>
      <c r="N56">
        <f>150*4</f>
        <v>600</v>
      </c>
    </row>
    <row r="57" spans="1:14" ht="18.75" x14ac:dyDescent="0.3">
      <c r="A57" s="203" t="s">
        <v>111</v>
      </c>
      <c r="B57" s="204">
        <v>0.05</v>
      </c>
      <c r="C57" s="202">
        <f>B57*E40</f>
        <v>9325</v>
      </c>
      <c r="D57" s="200"/>
      <c r="E57" s="200"/>
      <c r="F57" s="203" t="s">
        <v>111</v>
      </c>
      <c r="G57" s="203"/>
      <c r="H57" s="204">
        <v>0.05</v>
      </c>
      <c r="I57" s="202">
        <f>H57*E40</f>
        <v>9325</v>
      </c>
      <c r="J57" s="200"/>
      <c r="K57" s="60"/>
      <c r="L57" s="74"/>
    </row>
    <row r="58" spans="1:14" ht="18.75" x14ac:dyDescent="0.3">
      <c r="A58" s="205"/>
      <c r="B58" s="206"/>
      <c r="C58" s="226"/>
      <c r="D58" s="202"/>
      <c r="E58" s="205"/>
      <c r="F58" s="205"/>
      <c r="G58" s="206"/>
      <c r="H58" s="226"/>
      <c r="I58" s="194"/>
      <c r="J58" s="226"/>
      <c r="K58" s="89"/>
      <c r="L58" s="76"/>
    </row>
    <row r="59" spans="1:14" ht="18.75" x14ac:dyDescent="0.3">
      <c r="A59" s="205" t="s">
        <v>402</v>
      </c>
      <c r="B59" s="204"/>
      <c r="C59" s="202">
        <v>6900</v>
      </c>
      <c r="D59" s="200"/>
      <c r="E59" s="200"/>
      <c r="F59" s="205"/>
      <c r="G59" s="204"/>
      <c r="H59" s="202"/>
      <c r="I59" s="202"/>
      <c r="J59" s="200"/>
      <c r="K59" s="60"/>
      <c r="L59" s="74"/>
    </row>
    <row r="60" spans="1:14" ht="18.75" x14ac:dyDescent="0.3">
      <c r="A60" s="224"/>
      <c r="B60" s="200"/>
      <c r="C60" s="202"/>
      <c r="D60" s="200"/>
      <c r="E60" s="200"/>
      <c r="F60" s="224"/>
      <c r="G60" s="200"/>
      <c r="H60" s="202"/>
      <c r="I60" s="202"/>
      <c r="J60" s="225"/>
      <c r="K60" s="60"/>
      <c r="L60" s="74"/>
    </row>
    <row r="61" spans="1:14" ht="18.75" x14ac:dyDescent="0.3">
      <c r="A61" s="194"/>
      <c r="B61" s="226"/>
      <c r="C61" s="226"/>
      <c r="D61" s="226"/>
      <c r="E61" s="226"/>
      <c r="F61" s="226"/>
      <c r="G61" s="226"/>
      <c r="H61" s="226"/>
      <c r="I61" s="226"/>
      <c r="J61" s="194"/>
      <c r="K61" s="60"/>
      <c r="L61" s="74"/>
    </row>
    <row r="62" spans="1:14" ht="18.75" x14ac:dyDescent="0.3">
      <c r="A62" s="208"/>
      <c r="B62" s="200"/>
      <c r="C62" s="202"/>
      <c r="D62" s="200"/>
      <c r="E62" s="200"/>
      <c r="F62" s="200"/>
      <c r="G62" s="202"/>
      <c r="H62" s="203"/>
      <c r="I62" s="202"/>
      <c r="J62" s="202"/>
      <c r="K62" s="89"/>
      <c r="L62" s="76"/>
    </row>
    <row r="63" spans="1:14" ht="18.75" x14ac:dyDescent="0.3">
      <c r="A63" s="199" t="s">
        <v>23</v>
      </c>
      <c r="B63" s="209">
        <f>B47+B49+B50+B51+B52+B53+B55+B54</f>
        <v>204313.25</v>
      </c>
      <c r="C63" s="209">
        <f>SUM(C57:C62)</f>
        <v>16225</v>
      </c>
      <c r="D63" s="209">
        <f>B63-C63</f>
        <v>188088.25</v>
      </c>
      <c r="E63" s="209"/>
      <c r="F63" s="199"/>
      <c r="G63" s="199"/>
      <c r="H63" s="209">
        <f>H47+H49+H51+H53+H54</f>
        <v>-362.75</v>
      </c>
      <c r="I63" s="209">
        <f>SUM(I57:I62)</f>
        <v>9325</v>
      </c>
      <c r="J63" s="209">
        <f>H63-I63</f>
        <v>-9687.75</v>
      </c>
      <c r="K63" s="96"/>
      <c r="L63" s="77"/>
    </row>
    <row r="64" spans="1:14" ht="18.75" x14ac:dyDescent="0.3">
      <c r="A64" s="198"/>
      <c r="B64" s="198"/>
      <c r="C64" s="207">
        <f>C63-C57</f>
        <v>6900</v>
      </c>
      <c r="D64" s="198"/>
      <c r="E64" s="198"/>
      <c r="F64" s="198"/>
      <c r="G64" s="198"/>
      <c r="H64" s="198"/>
      <c r="I64" s="210">
        <f>I63-I57</f>
        <v>0</v>
      </c>
      <c r="J64" s="198"/>
      <c r="K64" s="79"/>
      <c r="L64" s="71"/>
    </row>
    <row r="65" spans="1:12" ht="18.75" x14ac:dyDescent="0.3">
      <c r="A65" s="211" t="s">
        <v>24</v>
      </c>
      <c r="B65" s="212"/>
      <c r="C65" s="212" t="s">
        <v>25</v>
      </c>
      <c r="D65" s="213"/>
      <c r="E65" s="213"/>
      <c r="F65" s="211"/>
      <c r="G65" s="211"/>
      <c r="H65" s="211" t="s">
        <v>26</v>
      </c>
      <c r="I65" s="198"/>
      <c r="J65" s="198"/>
      <c r="K65" s="79"/>
      <c r="L65" s="71"/>
    </row>
    <row r="66" spans="1:12" ht="18.75" x14ac:dyDescent="0.3">
      <c r="A66" s="198" t="s">
        <v>104</v>
      </c>
      <c r="B66" s="198"/>
      <c r="C66" s="198" t="s">
        <v>105</v>
      </c>
      <c r="D66" s="198"/>
      <c r="E66" s="198"/>
      <c r="F66" s="198"/>
      <c r="G66" s="198"/>
      <c r="H66" s="198" t="s">
        <v>27</v>
      </c>
      <c r="I66" s="198"/>
      <c r="J66" s="198"/>
      <c r="K66" s="119"/>
      <c r="L66" s="71"/>
    </row>
  </sheetData>
  <mergeCells count="3">
    <mergeCell ref="E2:F2"/>
    <mergeCell ref="E3:F3"/>
    <mergeCell ref="D4:G4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opLeftCell="B1" workbookViewId="0">
      <selection activeCell="J7" sqref="J7"/>
    </sheetView>
  </sheetViews>
  <sheetFormatPr defaultRowHeight="15" x14ac:dyDescent="0.25"/>
  <cols>
    <col min="1" max="1" width="1.42578125" hidden="1" customWidth="1"/>
    <col min="2" max="2" width="16.140625" customWidth="1"/>
    <col min="3" max="3" width="7.5703125" customWidth="1"/>
    <col min="4" max="4" width="9" customWidth="1"/>
    <col min="5" max="5" width="9.140625" customWidth="1"/>
    <col min="6" max="6" width="7.5703125" customWidth="1"/>
    <col min="7" max="7" width="9" bestFit="1" customWidth="1"/>
    <col min="8" max="8" width="7.140625" customWidth="1"/>
    <col min="9" max="9" width="8" customWidth="1"/>
    <col min="10" max="10" width="10.140625" customWidth="1"/>
    <col min="11" max="11" width="8.7109375" bestFit="1" customWidth="1"/>
    <col min="12" max="12" width="7.140625" customWidth="1"/>
    <col min="13" max="13" width="8.28515625" customWidth="1"/>
  </cols>
  <sheetData>
    <row r="1" spans="2:16" x14ac:dyDescent="0.25"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2:16" ht="15.75" x14ac:dyDescent="0.25">
      <c r="B2" s="79"/>
      <c r="C2" s="100" t="s">
        <v>27</v>
      </c>
      <c r="D2" s="79"/>
      <c r="E2" s="100"/>
      <c r="F2" s="100"/>
      <c r="G2" s="100"/>
      <c r="H2" s="100"/>
      <c r="I2" s="101"/>
      <c r="J2" s="79"/>
      <c r="K2" s="79"/>
      <c r="L2" s="79"/>
      <c r="M2" s="79"/>
      <c r="N2" s="79"/>
    </row>
    <row r="3" spans="2:16" ht="15.75" x14ac:dyDescent="0.25">
      <c r="B3" s="79"/>
      <c r="C3" s="100" t="s">
        <v>0</v>
      </c>
      <c r="D3" s="100"/>
      <c r="E3" s="100"/>
      <c r="F3" s="100"/>
      <c r="G3" s="100"/>
      <c r="H3" s="100"/>
      <c r="I3" s="102"/>
      <c r="J3" s="79"/>
      <c r="K3" s="79"/>
      <c r="L3" s="79"/>
      <c r="M3" s="79"/>
      <c r="N3" s="79"/>
    </row>
    <row r="4" spans="2:16" ht="18.75" x14ac:dyDescent="0.3">
      <c r="B4" s="103"/>
      <c r="C4" s="100" t="s">
        <v>118</v>
      </c>
      <c r="D4" s="100"/>
      <c r="E4" s="100"/>
      <c r="F4" s="100"/>
      <c r="G4" s="100"/>
      <c r="H4" s="100"/>
      <c r="I4" s="104"/>
      <c r="J4" s="105"/>
      <c r="K4" s="105"/>
      <c r="L4" s="105"/>
      <c r="M4" s="105"/>
      <c r="N4" s="79"/>
    </row>
    <row r="5" spans="2:16" x14ac:dyDescent="0.25">
      <c r="B5" s="106" t="s">
        <v>2</v>
      </c>
      <c r="C5" s="106" t="s">
        <v>3</v>
      </c>
      <c r="D5" s="106" t="s">
        <v>4</v>
      </c>
      <c r="E5" s="107" t="s">
        <v>5</v>
      </c>
      <c r="F5" s="106" t="s">
        <v>6</v>
      </c>
      <c r="G5" s="106" t="s">
        <v>109</v>
      </c>
      <c r="H5" s="106" t="s">
        <v>96</v>
      </c>
      <c r="I5" s="108" t="s">
        <v>7</v>
      </c>
      <c r="J5" s="106" t="s">
        <v>8</v>
      </c>
      <c r="K5" s="106" t="s">
        <v>9</v>
      </c>
      <c r="L5" s="106" t="s">
        <v>91</v>
      </c>
      <c r="M5" s="106" t="s">
        <v>123</v>
      </c>
      <c r="N5" s="79"/>
    </row>
    <row r="6" spans="2:16" x14ac:dyDescent="0.25">
      <c r="B6" s="61" t="s">
        <v>61</v>
      </c>
      <c r="C6" s="68" t="s">
        <v>52</v>
      </c>
      <c r="D6" s="63"/>
      <c r="E6" s="64">
        <f>'JANUARY 20'!K6:K39</f>
        <v>6540</v>
      </c>
      <c r="F6" s="66">
        <v>6000</v>
      </c>
      <c r="G6" s="66">
        <v>170</v>
      </c>
      <c r="H6" s="66">
        <v>200</v>
      </c>
      <c r="I6" s="66">
        <f>D6+E6+F6+G6+H6</f>
        <v>12910</v>
      </c>
      <c r="J6" s="66">
        <f>6370+6540</f>
        <v>12910</v>
      </c>
      <c r="K6" s="66">
        <f>I6-J6</f>
        <v>0</v>
      </c>
      <c r="L6" s="66"/>
      <c r="M6" s="66"/>
      <c r="N6" s="79"/>
    </row>
    <row r="7" spans="2:16" x14ac:dyDescent="0.25">
      <c r="B7" s="59" t="s">
        <v>64</v>
      </c>
      <c r="C7" s="68" t="s">
        <v>51</v>
      </c>
      <c r="D7" s="63"/>
      <c r="E7" s="64">
        <f>'JANUARY 20'!K7:K40</f>
        <v>1360</v>
      </c>
      <c r="F7" s="65">
        <v>6000</v>
      </c>
      <c r="G7" s="65">
        <v>170</v>
      </c>
      <c r="H7" s="65">
        <v>200</v>
      </c>
      <c r="I7" s="66">
        <f t="shared" ref="I7:I38" si="0">D7+E7+F7+G7+H7</f>
        <v>7730</v>
      </c>
      <c r="J7" s="66">
        <v>7700</v>
      </c>
      <c r="K7" s="66">
        <f>I7-J7</f>
        <v>30</v>
      </c>
      <c r="L7" s="66"/>
      <c r="M7" s="66"/>
      <c r="N7" s="79"/>
    </row>
    <row r="8" spans="2:16" x14ac:dyDescent="0.25">
      <c r="B8" s="59" t="s">
        <v>65</v>
      </c>
      <c r="C8" s="68" t="s">
        <v>54</v>
      </c>
      <c r="D8" s="63"/>
      <c r="E8" s="64">
        <f>'JANUARY 20'!K8:K41</f>
        <v>0</v>
      </c>
      <c r="F8" s="65"/>
      <c r="G8" s="65"/>
      <c r="H8" s="65"/>
      <c r="I8" s="66">
        <f t="shared" si="0"/>
        <v>0</v>
      </c>
      <c r="J8" s="66"/>
      <c r="K8" s="66">
        <f>I8-J8</f>
        <v>0</v>
      </c>
      <c r="L8" s="66"/>
      <c r="M8" s="66"/>
      <c r="N8" s="79"/>
    </row>
    <row r="9" spans="2:16" x14ac:dyDescent="0.25">
      <c r="B9" s="60" t="s">
        <v>66</v>
      </c>
      <c r="C9" s="68" t="s">
        <v>50</v>
      </c>
      <c r="D9" s="63"/>
      <c r="E9" s="64">
        <f>'JANUARY 20'!K9:K42</f>
        <v>0</v>
      </c>
      <c r="F9" s="64">
        <v>6000</v>
      </c>
      <c r="G9" s="64">
        <v>170</v>
      </c>
      <c r="H9" s="65">
        <v>200</v>
      </c>
      <c r="I9" s="66">
        <f t="shared" si="0"/>
        <v>6370</v>
      </c>
      <c r="J9" s="66">
        <v>6370</v>
      </c>
      <c r="K9" s="66">
        <f>I9-J9</f>
        <v>0</v>
      </c>
      <c r="L9" s="66"/>
      <c r="M9" s="66"/>
      <c r="N9" s="79"/>
    </row>
    <row r="10" spans="2:16" x14ac:dyDescent="0.25">
      <c r="B10" s="59" t="s">
        <v>151</v>
      </c>
      <c r="C10" s="68" t="s">
        <v>49</v>
      </c>
      <c r="D10" s="63"/>
      <c r="E10" s="64">
        <f>'JANUARY 20'!K10:K43</f>
        <v>0</v>
      </c>
      <c r="F10" s="65">
        <v>6000</v>
      </c>
      <c r="G10" s="65">
        <v>1360</v>
      </c>
      <c r="H10" s="65">
        <v>200</v>
      </c>
      <c r="I10" s="66">
        <f t="shared" si="0"/>
        <v>7560</v>
      </c>
      <c r="J10" s="66">
        <v>7560</v>
      </c>
      <c r="K10" s="66">
        <f>I10-J10</f>
        <v>0</v>
      </c>
      <c r="L10" s="66"/>
      <c r="M10" s="66"/>
      <c r="N10" s="79" t="s">
        <v>97</v>
      </c>
    </row>
    <row r="11" spans="2:16" x14ac:dyDescent="0.25">
      <c r="B11" s="109" t="s">
        <v>117</v>
      </c>
      <c r="C11" s="68" t="s">
        <v>53</v>
      </c>
      <c r="D11" s="63"/>
      <c r="E11" s="64">
        <f>'JANUARY 20'!K11:K44</f>
        <v>0</v>
      </c>
      <c r="F11" s="65">
        <v>6000</v>
      </c>
      <c r="G11" s="65">
        <v>850</v>
      </c>
      <c r="H11" s="65">
        <v>200</v>
      </c>
      <c r="I11" s="66">
        <f t="shared" si="0"/>
        <v>7050</v>
      </c>
      <c r="J11" s="66">
        <v>6710</v>
      </c>
      <c r="K11" s="66">
        <f t="shared" ref="K11:K38" si="1">I11-J11</f>
        <v>340</v>
      </c>
      <c r="L11" s="66"/>
      <c r="M11" s="66"/>
      <c r="N11" s="79"/>
    </row>
    <row r="12" spans="2:16" x14ac:dyDescent="0.25">
      <c r="B12" s="61" t="s">
        <v>68</v>
      </c>
      <c r="C12" s="68" t="s">
        <v>48</v>
      </c>
      <c r="D12" s="63"/>
      <c r="E12" s="64">
        <f>'JANUARY 20'!K12:K45</f>
        <v>22519</v>
      </c>
      <c r="F12" s="65">
        <v>6000</v>
      </c>
      <c r="G12" s="65">
        <v>340</v>
      </c>
      <c r="H12" s="65">
        <v>200</v>
      </c>
      <c r="I12" s="66">
        <f t="shared" si="0"/>
        <v>29059</v>
      </c>
      <c r="J12" s="66">
        <f>20000+5059</f>
        <v>25059</v>
      </c>
      <c r="K12" s="66">
        <f t="shared" si="1"/>
        <v>4000</v>
      </c>
      <c r="L12" s="66">
        <v>9609</v>
      </c>
      <c r="M12" s="66"/>
      <c r="N12" s="94"/>
    </row>
    <row r="13" spans="2:16" x14ac:dyDescent="0.25">
      <c r="B13" s="67" t="s">
        <v>67</v>
      </c>
      <c r="C13" s="68" t="s">
        <v>47</v>
      </c>
      <c r="D13" s="63"/>
      <c r="E13" s="64">
        <f>'JANUARY 20'!K13:K46</f>
        <v>0</v>
      </c>
      <c r="F13" s="65"/>
      <c r="G13" s="65"/>
      <c r="H13" s="65"/>
      <c r="I13" s="66">
        <f t="shared" si="0"/>
        <v>0</v>
      </c>
      <c r="J13" s="66"/>
      <c r="K13" s="66">
        <f t="shared" si="1"/>
        <v>0</v>
      </c>
      <c r="L13" s="66"/>
      <c r="M13" s="66"/>
      <c r="N13" s="79"/>
    </row>
    <row r="14" spans="2:16" x14ac:dyDescent="0.25">
      <c r="B14" s="61" t="s">
        <v>70</v>
      </c>
      <c r="C14" s="68" t="s">
        <v>46</v>
      </c>
      <c r="D14" s="63"/>
      <c r="E14" s="64"/>
      <c r="F14" s="65"/>
      <c r="G14" s="65">
        <v>0</v>
      </c>
      <c r="H14" s="65"/>
      <c r="I14" s="66">
        <f t="shared" si="0"/>
        <v>0</v>
      </c>
      <c r="J14" s="66"/>
      <c r="K14" s="66">
        <f>I14-J14</f>
        <v>0</v>
      </c>
      <c r="L14" s="66"/>
      <c r="M14" s="66"/>
      <c r="N14" s="79"/>
    </row>
    <row r="15" spans="2:16" x14ac:dyDescent="0.25">
      <c r="B15" s="59" t="s">
        <v>156</v>
      </c>
      <c r="C15" s="68" t="s">
        <v>45</v>
      </c>
      <c r="D15" s="63"/>
      <c r="E15" s="64">
        <f>'JANUARY 20'!K15:K48</f>
        <v>0</v>
      </c>
      <c r="F15" s="65">
        <v>6000</v>
      </c>
      <c r="G15" s="65">
        <v>400</v>
      </c>
      <c r="H15" s="65">
        <v>200</v>
      </c>
      <c r="I15" s="66">
        <f t="shared" si="0"/>
        <v>6600</v>
      </c>
      <c r="J15" s="66">
        <v>6600</v>
      </c>
      <c r="K15" s="66">
        <f t="shared" si="1"/>
        <v>0</v>
      </c>
      <c r="L15" s="66"/>
      <c r="M15" s="66"/>
      <c r="N15" s="79">
        <v>1020</v>
      </c>
      <c r="O15">
        <v>400</v>
      </c>
      <c r="P15">
        <f>N15-O15</f>
        <v>620</v>
      </c>
    </row>
    <row r="16" spans="2:16" x14ac:dyDescent="0.25">
      <c r="B16" s="60" t="s">
        <v>71</v>
      </c>
      <c r="C16" s="68" t="s">
        <v>44</v>
      </c>
      <c r="D16" s="63"/>
      <c r="E16" s="64">
        <f>'JANUARY 20'!K16:K49</f>
        <v>0</v>
      </c>
      <c r="F16" s="65">
        <v>5000</v>
      </c>
      <c r="G16" s="65">
        <v>340</v>
      </c>
      <c r="H16" s="65">
        <v>200</v>
      </c>
      <c r="I16" s="66">
        <f t="shared" si="0"/>
        <v>5540</v>
      </c>
      <c r="J16" s="66">
        <f>5000+540</f>
        <v>5540</v>
      </c>
      <c r="K16" s="66">
        <f t="shared" si="1"/>
        <v>0</v>
      </c>
      <c r="L16" s="66"/>
      <c r="M16" s="66"/>
      <c r="N16" s="79"/>
    </row>
    <row r="17" spans="2:18" x14ac:dyDescent="0.25">
      <c r="B17" s="59" t="s">
        <v>72</v>
      </c>
      <c r="C17" s="68" t="s">
        <v>43</v>
      </c>
      <c r="D17" s="63"/>
      <c r="E17" s="64">
        <f>'JANUARY 20'!K17:K50</f>
        <v>0</v>
      </c>
      <c r="F17" s="65">
        <v>6000</v>
      </c>
      <c r="G17" s="65">
        <v>340</v>
      </c>
      <c r="H17" s="65">
        <v>200</v>
      </c>
      <c r="I17" s="66">
        <f t="shared" si="0"/>
        <v>6540</v>
      </c>
      <c r="J17" s="66">
        <v>6540</v>
      </c>
      <c r="K17" s="66">
        <f t="shared" si="1"/>
        <v>0</v>
      </c>
      <c r="L17" s="66"/>
      <c r="M17" s="66"/>
      <c r="N17" s="110"/>
    </row>
    <row r="18" spans="2:18" x14ac:dyDescent="0.25">
      <c r="B18" s="61" t="s">
        <v>73</v>
      </c>
      <c r="C18" s="68" t="s">
        <v>42</v>
      </c>
      <c r="D18" s="63"/>
      <c r="E18" s="64">
        <f>'JANUARY 20'!K18:K51</f>
        <v>0</v>
      </c>
      <c r="F18" s="65">
        <v>6000</v>
      </c>
      <c r="G18" s="65">
        <v>340</v>
      </c>
      <c r="H18" s="65">
        <v>200</v>
      </c>
      <c r="I18" s="66">
        <f t="shared" si="0"/>
        <v>6540</v>
      </c>
      <c r="J18" s="66">
        <v>6540</v>
      </c>
      <c r="K18" s="66">
        <f t="shared" si="1"/>
        <v>0</v>
      </c>
      <c r="L18" s="66"/>
      <c r="M18" s="66"/>
      <c r="N18" s="79"/>
      <c r="O18" s="4"/>
    </row>
    <row r="19" spans="2:18" x14ac:dyDescent="0.25">
      <c r="B19" s="60" t="s">
        <v>67</v>
      </c>
      <c r="C19" s="68" t="s">
        <v>41</v>
      </c>
      <c r="D19" s="63"/>
      <c r="E19" s="64">
        <f>'JANUARY 20'!K19:K52</f>
        <v>0</v>
      </c>
      <c r="F19" s="65"/>
      <c r="G19" s="65"/>
      <c r="H19" s="65"/>
      <c r="I19" s="66">
        <f t="shared" si="0"/>
        <v>0</v>
      </c>
      <c r="J19" s="66"/>
      <c r="K19" s="66">
        <f t="shared" si="1"/>
        <v>0</v>
      </c>
      <c r="L19" s="66"/>
      <c r="M19" s="66"/>
      <c r="N19" s="79"/>
      <c r="O19" s="4">
        <f>T19+S19</f>
        <v>0</v>
      </c>
    </row>
    <row r="20" spans="2:18" x14ac:dyDescent="0.25">
      <c r="B20" s="59" t="s">
        <v>75</v>
      </c>
      <c r="C20" s="68" t="s">
        <v>40</v>
      </c>
      <c r="D20" s="63"/>
      <c r="E20" s="64">
        <f>'JANUARY 20'!K20:K53</f>
        <v>0</v>
      </c>
      <c r="F20" s="65">
        <v>6000</v>
      </c>
      <c r="G20" s="65">
        <v>340</v>
      </c>
      <c r="H20" s="65">
        <v>200</v>
      </c>
      <c r="I20" s="66">
        <f t="shared" si="0"/>
        <v>6540</v>
      </c>
      <c r="J20" s="66">
        <v>6540</v>
      </c>
      <c r="K20" s="66">
        <f t="shared" si="1"/>
        <v>0</v>
      </c>
      <c r="L20" s="66"/>
      <c r="M20" s="66"/>
      <c r="N20" s="79" t="s">
        <v>97</v>
      </c>
    </row>
    <row r="21" spans="2:18" x14ac:dyDescent="0.25">
      <c r="B21" s="61" t="s">
        <v>76</v>
      </c>
      <c r="C21" s="111" t="s">
        <v>39</v>
      </c>
      <c r="D21" s="63"/>
      <c r="E21" s="64">
        <f>'JANUARY 20'!K21:K54+340+200</f>
        <v>625</v>
      </c>
      <c r="F21" s="65">
        <v>6000</v>
      </c>
      <c r="G21" s="65">
        <v>85</v>
      </c>
      <c r="H21" s="65">
        <v>200</v>
      </c>
      <c r="I21" s="66">
        <f>D21+E21+F21+G21+H21</f>
        <v>6910</v>
      </c>
      <c r="J21" s="66">
        <v>6200</v>
      </c>
      <c r="K21" s="66">
        <f t="shared" si="1"/>
        <v>710</v>
      </c>
      <c r="L21" s="66"/>
      <c r="M21" s="66"/>
      <c r="N21" s="79"/>
    </row>
    <row r="22" spans="2:18" x14ac:dyDescent="0.25">
      <c r="B22" s="61" t="s">
        <v>150</v>
      </c>
      <c r="C22" s="68" t="s">
        <v>38</v>
      </c>
      <c r="D22" s="63"/>
      <c r="E22" s="64"/>
      <c r="F22" s="65">
        <v>6000</v>
      </c>
      <c r="G22" s="65"/>
      <c r="H22" s="65">
        <v>200</v>
      </c>
      <c r="I22" s="66">
        <f t="shared" si="0"/>
        <v>6200</v>
      </c>
      <c r="J22" s="66">
        <v>6200</v>
      </c>
      <c r="K22" s="66">
        <f t="shared" si="1"/>
        <v>0</v>
      </c>
      <c r="L22" s="66"/>
      <c r="M22" s="66"/>
      <c r="N22" s="79" t="s">
        <v>152</v>
      </c>
    </row>
    <row r="23" spans="2:18" x14ac:dyDescent="0.25">
      <c r="B23" s="59" t="s">
        <v>78</v>
      </c>
      <c r="C23" s="68" t="s">
        <v>37</v>
      </c>
      <c r="D23" s="63"/>
      <c r="E23" s="64">
        <f>'JANUARY 20'!K23:K56</f>
        <v>0</v>
      </c>
      <c r="F23" s="65">
        <v>6000</v>
      </c>
      <c r="G23" s="65"/>
      <c r="H23" s="65">
        <v>200</v>
      </c>
      <c r="I23" s="66">
        <f t="shared" si="0"/>
        <v>6200</v>
      </c>
      <c r="J23" s="66">
        <v>6200</v>
      </c>
      <c r="K23" s="66">
        <f t="shared" si="1"/>
        <v>0</v>
      </c>
      <c r="L23" s="66"/>
      <c r="M23" s="66"/>
      <c r="N23" s="79" t="s">
        <v>97</v>
      </c>
    </row>
    <row r="24" spans="2:18" x14ac:dyDescent="0.25">
      <c r="B24" s="61" t="s">
        <v>79</v>
      </c>
      <c r="C24" s="62" t="s">
        <v>28</v>
      </c>
      <c r="D24" s="63"/>
      <c r="E24" s="64">
        <f>'JANUARY 20'!K24:K57</f>
        <v>7205</v>
      </c>
      <c r="F24" s="65"/>
      <c r="G24" s="65"/>
      <c r="H24" s="65"/>
      <c r="I24" s="66">
        <f t="shared" si="0"/>
        <v>7205</v>
      </c>
      <c r="J24" s="66">
        <v>6200</v>
      </c>
      <c r="K24" s="66">
        <f>I24-J24</f>
        <v>1005</v>
      </c>
      <c r="L24" s="66"/>
      <c r="M24" s="66"/>
      <c r="N24" s="79"/>
    </row>
    <row r="25" spans="2:18" x14ac:dyDescent="0.25">
      <c r="B25" s="61" t="s">
        <v>80</v>
      </c>
      <c r="C25" s="62" t="s">
        <v>29</v>
      </c>
      <c r="D25" s="63"/>
      <c r="E25" s="64">
        <f>'JANUARY 20'!K25:K58</f>
        <v>0</v>
      </c>
      <c r="F25" s="65">
        <v>6500</v>
      </c>
      <c r="G25" s="65">
        <v>1020</v>
      </c>
      <c r="H25" s="65">
        <v>200</v>
      </c>
      <c r="I25" s="66">
        <f t="shared" si="0"/>
        <v>7720</v>
      </c>
      <c r="J25" s="66">
        <v>7720</v>
      </c>
      <c r="K25" s="66">
        <f t="shared" si="1"/>
        <v>0</v>
      </c>
      <c r="L25" s="66"/>
      <c r="M25" s="66"/>
      <c r="N25" s="79"/>
      <c r="O25" s="53"/>
    </row>
    <row r="26" spans="2:18" x14ac:dyDescent="0.25">
      <c r="B26" s="61" t="s">
        <v>81</v>
      </c>
      <c r="C26" s="62" t="s">
        <v>30</v>
      </c>
      <c r="D26" s="63"/>
      <c r="E26" s="64">
        <f>'JANUARY 20'!K26:K59</f>
        <v>0</v>
      </c>
      <c r="F26" s="65">
        <v>6500</v>
      </c>
      <c r="G26" s="65">
        <v>340</v>
      </c>
      <c r="H26" s="65">
        <v>200</v>
      </c>
      <c r="I26" s="66">
        <f t="shared" si="0"/>
        <v>7040</v>
      </c>
      <c r="J26" s="66">
        <v>7040</v>
      </c>
      <c r="K26" s="66">
        <f t="shared" si="1"/>
        <v>0</v>
      </c>
      <c r="L26" s="66"/>
      <c r="M26" s="66"/>
      <c r="N26" s="112"/>
    </row>
    <row r="27" spans="2:18" x14ac:dyDescent="0.25">
      <c r="B27" s="61" t="s">
        <v>82</v>
      </c>
      <c r="C27" s="62" t="s">
        <v>55</v>
      </c>
      <c r="D27" s="63"/>
      <c r="E27" s="64"/>
      <c r="F27" s="65">
        <v>6500</v>
      </c>
      <c r="G27" s="65">
        <v>510</v>
      </c>
      <c r="H27" s="65">
        <v>200</v>
      </c>
      <c r="I27" s="66">
        <f t="shared" si="0"/>
        <v>7210</v>
      </c>
      <c r="J27" s="66">
        <v>7210</v>
      </c>
      <c r="K27" s="66">
        <f t="shared" si="1"/>
        <v>0</v>
      </c>
      <c r="L27" s="66"/>
      <c r="M27" s="66"/>
      <c r="N27" s="112" t="s">
        <v>97</v>
      </c>
    </row>
    <row r="28" spans="2:18" x14ac:dyDescent="0.25">
      <c r="B28" s="61" t="s">
        <v>83</v>
      </c>
      <c r="C28" s="62" t="s">
        <v>56</v>
      </c>
      <c r="D28" s="63"/>
      <c r="E28" s="64">
        <f>'JANUARY 20'!K28:K61+200</f>
        <v>13160</v>
      </c>
      <c r="F28" s="65">
        <v>8000</v>
      </c>
      <c r="G28" s="65">
        <v>170</v>
      </c>
      <c r="H28" s="65">
        <v>200</v>
      </c>
      <c r="I28" s="66">
        <f t="shared" si="0"/>
        <v>21530</v>
      </c>
      <c r="J28" s="66">
        <v>9080</v>
      </c>
      <c r="K28" s="66">
        <f t="shared" si="1"/>
        <v>12450</v>
      </c>
      <c r="L28" s="66">
        <v>2000</v>
      </c>
      <c r="M28" s="66"/>
      <c r="N28" s="94"/>
      <c r="O28" s="53">
        <f>N28-500</f>
        <v>-500</v>
      </c>
    </row>
    <row r="29" spans="2:18" x14ac:dyDescent="0.25">
      <c r="B29" s="61" t="s">
        <v>128</v>
      </c>
      <c r="C29" s="62" t="s">
        <v>57</v>
      </c>
      <c r="D29" s="63"/>
      <c r="E29" s="64">
        <f>'JANUARY 20'!K29:K62</f>
        <v>0</v>
      </c>
      <c r="F29" s="65">
        <v>6500</v>
      </c>
      <c r="G29" s="65">
        <v>510</v>
      </c>
      <c r="H29" s="65">
        <v>200</v>
      </c>
      <c r="I29" s="66">
        <f t="shared" si="0"/>
        <v>7210</v>
      </c>
      <c r="J29" s="66">
        <v>7210</v>
      </c>
      <c r="K29" s="66">
        <f t="shared" si="1"/>
        <v>0</v>
      </c>
      <c r="L29" s="66"/>
      <c r="M29" s="66"/>
      <c r="N29" s="79" t="s">
        <v>97</v>
      </c>
      <c r="O29" s="53"/>
    </row>
    <row r="30" spans="2:18" x14ac:dyDescent="0.25">
      <c r="B30" s="61" t="s">
        <v>92</v>
      </c>
      <c r="C30" s="62" t="s">
        <v>58</v>
      </c>
      <c r="D30" s="63"/>
      <c r="E30" s="64">
        <f>'JANUARY 20'!K30:K63</f>
        <v>6359</v>
      </c>
      <c r="F30" s="65">
        <v>6500</v>
      </c>
      <c r="G30" s="65">
        <v>0</v>
      </c>
      <c r="H30" s="65">
        <v>200</v>
      </c>
      <c r="I30" s="66">
        <f t="shared" si="0"/>
        <v>13059</v>
      </c>
      <c r="J30" s="66">
        <v>5000</v>
      </c>
      <c r="K30" s="66">
        <f t="shared" si="1"/>
        <v>8059</v>
      </c>
      <c r="L30" s="66"/>
      <c r="M30" s="66"/>
      <c r="N30" s="79"/>
      <c r="R30" s="53">
        <f>N28-507</f>
        <v>-507</v>
      </c>
    </row>
    <row r="31" spans="2:18" x14ac:dyDescent="0.25">
      <c r="B31" s="61" t="s">
        <v>74</v>
      </c>
      <c r="C31" s="62" t="s">
        <v>59</v>
      </c>
      <c r="D31" s="63"/>
      <c r="E31" s="64">
        <f>340</f>
        <v>340</v>
      </c>
      <c r="F31" s="65">
        <v>6500</v>
      </c>
      <c r="G31" s="65">
        <v>510</v>
      </c>
      <c r="H31" s="65">
        <v>200</v>
      </c>
      <c r="I31" s="66">
        <f t="shared" si="0"/>
        <v>7550</v>
      </c>
      <c r="J31" s="66">
        <v>7400</v>
      </c>
      <c r="K31" s="66">
        <f t="shared" si="1"/>
        <v>150</v>
      </c>
      <c r="L31" s="66"/>
      <c r="M31" s="66"/>
      <c r="N31" s="79"/>
      <c r="P31" s="53">
        <f>N28-4753</f>
        <v>-4753</v>
      </c>
      <c r="R31" s="53">
        <f>R30-1950</f>
        <v>-2457</v>
      </c>
    </row>
    <row r="32" spans="2:18" x14ac:dyDescent="0.25">
      <c r="B32" s="61" t="s">
        <v>170</v>
      </c>
      <c r="C32" s="62" t="s">
        <v>60</v>
      </c>
      <c r="D32" s="63"/>
      <c r="E32" s="64">
        <f>'JANUARY 20'!K32:K65</f>
        <v>0</v>
      </c>
      <c r="F32" s="65">
        <v>6500</v>
      </c>
      <c r="G32" s="65">
        <f>680+170</f>
        <v>850</v>
      </c>
      <c r="H32" s="65">
        <v>200</v>
      </c>
      <c r="I32" s="66">
        <f t="shared" si="0"/>
        <v>7550</v>
      </c>
      <c r="J32" s="66">
        <v>7000</v>
      </c>
      <c r="K32" s="66">
        <f t="shared" si="1"/>
        <v>550</v>
      </c>
      <c r="L32" s="66"/>
      <c r="M32" s="66"/>
      <c r="N32" s="79"/>
      <c r="P32" s="53">
        <f>P31-1950</f>
        <v>-6703</v>
      </c>
    </row>
    <row r="33" spans="2:16" x14ac:dyDescent="0.25">
      <c r="B33" s="61" t="s">
        <v>86</v>
      </c>
      <c r="C33" s="62" t="s">
        <v>31</v>
      </c>
      <c r="D33" s="63"/>
      <c r="E33" s="64">
        <f>1030+200</f>
        <v>1230</v>
      </c>
      <c r="F33" s="65">
        <v>8000</v>
      </c>
      <c r="G33" s="65">
        <v>1360</v>
      </c>
      <c r="H33" s="65">
        <v>200</v>
      </c>
      <c r="I33" s="66">
        <f t="shared" si="0"/>
        <v>10790</v>
      </c>
      <c r="J33" s="66">
        <v>9600</v>
      </c>
      <c r="K33" s="66">
        <f>I33-J33</f>
        <v>1190</v>
      </c>
      <c r="L33" s="66"/>
      <c r="M33" s="66"/>
      <c r="N33" s="79"/>
    </row>
    <row r="34" spans="2:16" x14ac:dyDescent="0.25">
      <c r="B34" s="61" t="s">
        <v>121</v>
      </c>
      <c r="C34" s="62" t="s">
        <v>32</v>
      </c>
      <c r="D34" s="63">
        <v>6500</v>
      </c>
      <c r="E34" s="64">
        <f>'JANUARY 20'!K34:K66</f>
        <v>0</v>
      </c>
      <c r="F34" s="113">
        <v>6500</v>
      </c>
      <c r="G34" s="113">
        <v>0</v>
      </c>
      <c r="H34" s="65">
        <v>200</v>
      </c>
      <c r="I34" s="66">
        <f t="shared" si="0"/>
        <v>13200</v>
      </c>
      <c r="J34" s="66">
        <f>6500+6700</f>
        <v>13200</v>
      </c>
      <c r="K34" s="66">
        <f t="shared" si="1"/>
        <v>0</v>
      </c>
      <c r="L34" s="66"/>
      <c r="M34" s="66">
        <v>1000</v>
      </c>
      <c r="N34" s="79"/>
      <c r="P34" s="53"/>
    </row>
    <row r="35" spans="2:16" x14ac:dyDescent="0.25">
      <c r="B35" s="60" t="s">
        <v>99</v>
      </c>
      <c r="C35" s="62" t="s">
        <v>33</v>
      </c>
      <c r="D35" s="63"/>
      <c r="E35" s="64">
        <f>'JANUARY 20'!K35:K67</f>
        <v>8790</v>
      </c>
      <c r="F35" s="113">
        <v>6500</v>
      </c>
      <c r="G35" s="113">
        <v>207</v>
      </c>
      <c r="H35" s="65">
        <v>200</v>
      </c>
      <c r="I35" s="66">
        <f t="shared" si="0"/>
        <v>15697</v>
      </c>
      <c r="J35" s="66"/>
      <c r="K35" s="66">
        <f t="shared" si="1"/>
        <v>15697</v>
      </c>
      <c r="L35" s="66"/>
      <c r="M35" s="66"/>
      <c r="N35" s="79"/>
    </row>
    <row r="36" spans="2:16" x14ac:dyDescent="0.25">
      <c r="B36" s="61" t="s">
        <v>89</v>
      </c>
      <c r="C36" s="62" t="s">
        <v>34</v>
      </c>
      <c r="D36" s="63"/>
      <c r="E36" s="64">
        <f>'JANUARY 20'!K36:K68</f>
        <v>0</v>
      </c>
      <c r="F36" s="113">
        <v>6500</v>
      </c>
      <c r="G36" s="113">
        <v>510</v>
      </c>
      <c r="H36" s="65">
        <v>200</v>
      </c>
      <c r="I36" s="66">
        <f t="shared" si="0"/>
        <v>7210</v>
      </c>
      <c r="J36" s="66">
        <v>7210</v>
      </c>
      <c r="K36" s="66">
        <f t="shared" si="1"/>
        <v>0</v>
      </c>
      <c r="L36" s="66"/>
      <c r="M36" s="66"/>
      <c r="N36" s="79"/>
    </row>
    <row r="37" spans="2:16" x14ac:dyDescent="0.25">
      <c r="B37" s="61" t="s">
        <v>103</v>
      </c>
      <c r="C37" s="62" t="s">
        <v>35</v>
      </c>
      <c r="D37" s="63"/>
      <c r="E37" s="64">
        <f>'JANUARY 20'!K37:K69</f>
        <v>0</v>
      </c>
      <c r="F37" s="113">
        <v>6500</v>
      </c>
      <c r="G37" s="113">
        <v>1500</v>
      </c>
      <c r="H37" s="65">
        <v>200</v>
      </c>
      <c r="I37" s="66">
        <f t="shared" si="0"/>
        <v>8200</v>
      </c>
      <c r="J37" s="66">
        <f>6700+1500</f>
        <v>8200</v>
      </c>
      <c r="K37" s="66">
        <f>I37-J37</f>
        <v>0</v>
      </c>
      <c r="L37" s="66"/>
      <c r="M37" s="66"/>
      <c r="N37" s="79" t="s">
        <v>97</v>
      </c>
    </row>
    <row r="38" spans="2:16" x14ac:dyDescent="0.25">
      <c r="B38" s="61"/>
      <c r="C38" s="62"/>
      <c r="D38" s="63"/>
      <c r="E38" s="64"/>
      <c r="F38" s="113"/>
      <c r="G38" s="113"/>
      <c r="H38" s="65"/>
      <c r="I38" s="66">
        <f t="shared" si="0"/>
        <v>0</v>
      </c>
      <c r="J38" s="66"/>
      <c r="K38" s="66">
        <f t="shared" si="1"/>
        <v>0</v>
      </c>
      <c r="L38" s="66"/>
      <c r="M38" s="66"/>
      <c r="N38" s="79"/>
    </row>
    <row r="39" spans="2:16" x14ac:dyDescent="0.25">
      <c r="B39" s="61" t="s">
        <v>138</v>
      </c>
      <c r="C39" s="114" t="s">
        <v>137</v>
      </c>
      <c r="D39" s="63"/>
      <c r="E39" s="64">
        <f>'JANUARY 20'!K39:K69</f>
        <v>7850</v>
      </c>
      <c r="F39" s="115">
        <v>8000</v>
      </c>
      <c r="G39" s="115">
        <v>680</v>
      </c>
      <c r="H39" s="65">
        <v>200</v>
      </c>
      <c r="I39" s="66">
        <f>D39+E39+F39+G39+H39</f>
        <v>16730</v>
      </c>
      <c r="J39" s="66">
        <f>5000+5000+2500</f>
        <v>12500</v>
      </c>
      <c r="K39" s="66">
        <f>I39-J39</f>
        <v>4230</v>
      </c>
      <c r="L39" s="66"/>
      <c r="M39" s="66"/>
      <c r="N39" s="79"/>
      <c r="O39" s="53"/>
    </row>
    <row r="40" spans="2:16" x14ac:dyDescent="0.25">
      <c r="B40" s="116" t="s">
        <v>10</v>
      </c>
      <c r="C40" s="60"/>
      <c r="D40" s="63">
        <f t="shared" ref="D40:M40" si="2">SUM(D6:D39)</f>
        <v>6500</v>
      </c>
      <c r="E40" s="64">
        <f t="shared" si="2"/>
        <v>75978</v>
      </c>
      <c r="F40" s="117">
        <f t="shared" si="2"/>
        <v>178500</v>
      </c>
      <c r="G40" s="118">
        <f t="shared" si="2"/>
        <v>13072</v>
      </c>
      <c r="H40" s="117">
        <f t="shared" si="2"/>
        <v>5600</v>
      </c>
      <c r="I40" s="66">
        <f t="shared" si="2"/>
        <v>279650</v>
      </c>
      <c r="J40" s="66">
        <f t="shared" si="2"/>
        <v>231239</v>
      </c>
      <c r="K40" s="66">
        <f t="shared" si="2"/>
        <v>48411</v>
      </c>
      <c r="L40" s="66">
        <f t="shared" si="2"/>
        <v>11609</v>
      </c>
      <c r="M40" s="66">
        <f t="shared" si="2"/>
        <v>1000</v>
      </c>
      <c r="N40" s="79"/>
    </row>
    <row r="41" spans="2:16" x14ac:dyDescent="0.25">
      <c r="B41" s="79"/>
      <c r="C41" s="79"/>
      <c r="D41" s="79"/>
      <c r="E41" s="79">
        <v>49030</v>
      </c>
      <c r="F41" s="79"/>
      <c r="G41" s="79">
        <v>15555</v>
      </c>
      <c r="H41" s="79"/>
      <c r="I41" s="79"/>
      <c r="J41" s="79"/>
      <c r="K41" s="79"/>
      <c r="L41" s="79"/>
      <c r="M41" s="79"/>
      <c r="N41" s="79"/>
    </row>
    <row r="42" spans="2:16" x14ac:dyDescent="0.25">
      <c r="B42" s="7"/>
      <c r="C42" s="7"/>
      <c r="D42" s="7"/>
      <c r="E42" s="7"/>
      <c r="F42" s="7"/>
      <c r="G42" s="54"/>
      <c r="H42" s="7"/>
      <c r="I42" s="7"/>
      <c r="J42" s="7"/>
      <c r="K42" s="54"/>
      <c r="L42" s="54"/>
      <c r="M42" s="54">
        <f>K7+K11+K12+K30+K31+K32+K33+F35+G35+H35+K39</f>
        <v>25456</v>
      </c>
      <c r="O42">
        <f>340+200+85</f>
        <v>625</v>
      </c>
    </row>
    <row r="43" spans="2:16" x14ac:dyDescent="0.25">
      <c r="B43" s="7"/>
      <c r="C43" s="7"/>
      <c r="D43" s="7"/>
      <c r="E43" s="54">
        <f>D40+E41+F40+G41+H40+L40</f>
        <v>266794</v>
      </c>
      <c r="F43" s="7"/>
      <c r="G43" s="54"/>
      <c r="H43" s="7"/>
      <c r="I43" s="7"/>
      <c r="J43" s="7"/>
      <c r="K43" s="54"/>
      <c r="L43" s="54"/>
      <c r="M43" s="7"/>
      <c r="O43">
        <f>O42+85</f>
        <v>710</v>
      </c>
    </row>
    <row r="44" spans="2:16" x14ac:dyDescent="0.25">
      <c r="B44" s="7"/>
      <c r="C44" s="7"/>
      <c r="D44" s="7"/>
      <c r="E44" s="54">
        <f>E43-J40</f>
        <v>35555</v>
      </c>
      <c r="F44" s="7"/>
      <c r="G44" s="54"/>
      <c r="H44" s="7"/>
      <c r="I44" s="7"/>
      <c r="J44" s="7"/>
      <c r="K44" s="7"/>
      <c r="L44" s="7"/>
      <c r="M44" s="7"/>
    </row>
    <row r="45" spans="2:16" x14ac:dyDescent="0.25">
      <c r="B45" s="7"/>
      <c r="C45" s="7"/>
      <c r="D45" s="7"/>
      <c r="E45" s="7"/>
      <c r="F45" s="7"/>
      <c r="G45" s="54"/>
      <c r="H45" s="7"/>
      <c r="I45" s="7"/>
      <c r="J45" s="7"/>
      <c r="K45" s="7"/>
      <c r="L45" s="7"/>
      <c r="M45" s="7"/>
    </row>
    <row r="46" spans="2:16" x14ac:dyDescent="0.2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</row>
    <row r="47" spans="2:16" x14ac:dyDescent="0.2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</row>
    <row r="48" spans="2:16" x14ac:dyDescent="0.2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</row>
    <row r="49" spans="2:14" x14ac:dyDescent="0.2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</row>
    <row r="50" spans="2:14" x14ac:dyDescent="0.2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</row>
    <row r="51" spans="2:14" x14ac:dyDescent="0.2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</row>
    <row r="52" spans="2:14" x14ac:dyDescent="0.2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</row>
    <row r="53" spans="2:14" x14ac:dyDescent="0.25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</row>
    <row r="54" spans="2:14" x14ac:dyDescent="0.25">
      <c r="B54" s="79" t="s">
        <v>11</v>
      </c>
      <c r="C54" s="80"/>
      <c r="D54" s="81"/>
      <c r="E54" s="82"/>
      <c r="F54" s="83"/>
      <c r="G54" s="83"/>
      <c r="H54" s="83"/>
      <c r="I54" s="84"/>
      <c r="J54" s="83"/>
      <c r="K54" s="83"/>
      <c r="L54" s="83"/>
      <c r="M54" s="72"/>
    </row>
    <row r="55" spans="2:14" x14ac:dyDescent="0.25">
      <c r="B55" s="85" t="s">
        <v>12</v>
      </c>
      <c r="C55" s="85"/>
      <c r="D55" s="85"/>
      <c r="E55" s="86"/>
      <c r="F55" s="85" t="s">
        <v>8</v>
      </c>
      <c r="G55" s="85"/>
      <c r="H55" s="85"/>
      <c r="I55" s="79"/>
      <c r="J55" s="79"/>
      <c r="K55" s="79"/>
      <c r="L55" s="79"/>
      <c r="M55" s="71"/>
      <c r="N55" s="5"/>
    </row>
    <row r="56" spans="2:14" x14ac:dyDescent="0.25">
      <c r="B56" s="87" t="s">
        <v>13</v>
      </c>
      <c r="C56" s="87" t="s">
        <v>14</v>
      </c>
      <c r="D56" s="87" t="s">
        <v>15</v>
      </c>
      <c r="E56" s="87" t="s">
        <v>16</v>
      </c>
      <c r="F56" s="87" t="s">
        <v>13</v>
      </c>
      <c r="G56" s="87"/>
      <c r="H56" s="87"/>
      <c r="I56" s="87" t="s">
        <v>14</v>
      </c>
      <c r="J56" s="87" t="s">
        <v>15</v>
      </c>
      <c r="K56" s="87" t="s">
        <v>16</v>
      </c>
      <c r="L56" s="87"/>
      <c r="M56" s="73"/>
      <c r="N56" s="5"/>
    </row>
    <row r="57" spans="2:14" x14ac:dyDescent="0.25">
      <c r="B57" s="60" t="s">
        <v>119</v>
      </c>
      <c r="C57" s="88">
        <f>F40</f>
        <v>178500</v>
      </c>
      <c r="D57" s="60"/>
      <c r="E57" s="60"/>
      <c r="F57" s="60" t="s">
        <v>119</v>
      </c>
      <c r="G57" s="60"/>
      <c r="H57" s="60"/>
      <c r="I57" s="88">
        <f>J40</f>
        <v>231239</v>
      </c>
      <c r="J57" s="60"/>
      <c r="K57" s="60"/>
      <c r="L57" s="60"/>
      <c r="M57" s="74"/>
      <c r="N57" s="5"/>
    </row>
    <row r="58" spans="2:14" x14ac:dyDescent="0.25">
      <c r="B58" s="60" t="s">
        <v>18</v>
      </c>
      <c r="C58" s="88">
        <f>'JANUARY 20'!E70</f>
        <v>2267</v>
      </c>
      <c r="D58" s="60"/>
      <c r="E58" s="60"/>
      <c r="F58" s="60" t="s">
        <v>18</v>
      </c>
      <c r="G58" s="60"/>
      <c r="H58" s="60"/>
      <c r="I58" s="88">
        <f>'JANUARY 20'!K70</f>
        <v>-46763</v>
      </c>
      <c r="J58" s="60"/>
      <c r="K58" s="60"/>
      <c r="L58" s="60"/>
      <c r="M58" s="74"/>
      <c r="N58" s="53"/>
    </row>
    <row r="59" spans="2:14" x14ac:dyDescent="0.25">
      <c r="B59" s="60" t="s">
        <v>19</v>
      </c>
      <c r="C59" s="88">
        <v>6500</v>
      </c>
      <c r="D59" s="60"/>
      <c r="E59" s="60"/>
      <c r="F59" s="60"/>
      <c r="G59" s="60"/>
      <c r="H59" s="60"/>
      <c r="I59" s="88"/>
      <c r="J59" s="60"/>
      <c r="K59" s="60"/>
      <c r="L59" s="60"/>
      <c r="M59" s="74"/>
      <c r="N59" s="53"/>
    </row>
    <row r="60" spans="2:14" x14ac:dyDescent="0.25">
      <c r="B60" s="60" t="s">
        <v>63</v>
      </c>
      <c r="C60" s="88">
        <v>15555</v>
      </c>
      <c r="D60" s="60"/>
      <c r="E60" s="60"/>
      <c r="F60" s="60"/>
      <c r="G60" s="60"/>
      <c r="H60" s="60"/>
      <c r="I60" s="88"/>
      <c r="J60" s="60"/>
      <c r="K60" s="60"/>
      <c r="L60" s="60"/>
      <c r="M60" s="74"/>
    </row>
    <row r="61" spans="2:14" x14ac:dyDescent="0.25">
      <c r="B61" s="60" t="s">
        <v>62</v>
      </c>
      <c r="C61" s="88">
        <f>L40</f>
        <v>11609</v>
      </c>
      <c r="D61" s="60"/>
      <c r="E61" s="60"/>
      <c r="F61" s="60"/>
      <c r="G61" s="60"/>
      <c r="H61" s="60"/>
      <c r="I61" s="88"/>
      <c r="J61" s="60"/>
      <c r="K61" s="60"/>
      <c r="L61" s="60"/>
      <c r="M61" s="74"/>
      <c r="N61" s="5"/>
    </row>
    <row r="62" spans="2:14" x14ac:dyDescent="0.25">
      <c r="B62" s="60" t="s">
        <v>96</v>
      </c>
      <c r="C62" s="88">
        <f>H40</f>
        <v>5600</v>
      </c>
      <c r="D62" s="60"/>
      <c r="E62" s="60"/>
      <c r="F62" s="60" t="s">
        <v>126</v>
      </c>
      <c r="G62" s="60"/>
      <c r="H62" s="60"/>
      <c r="I62" s="88">
        <v>1000</v>
      </c>
      <c r="J62" s="60"/>
      <c r="K62" s="60"/>
      <c r="L62" s="60"/>
      <c r="M62" s="74"/>
      <c r="N62" s="5"/>
    </row>
    <row r="63" spans="2:14" x14ac:dyDescent="0.25">
      <c r="B63" s="60" t="s">
        <v>167</v>
      </c>
      <c r="C63" s="88">
        <v>15500</v>
      </c>
      <c r="D63" s="60"/>
      <c r="E63" s="60"/>
      <c r="F63" s="60" t="s">
        <v>167</v>
      </c>
      <c r="G63" s="88"/>
      <c r="H63" s="60"/>
      <c r="I63" s="88">
        <v>15500</v>
      </c>
      <c r="J63" s="60"/>
      <c r="K63" s="60"/>
      <c r="L63" s="60"/>
      <c r="M63" s="74"/>
    </row>
    <row r="64" spans="2:14" x14ac:dyDescent="0.25">
      <c r="B64" s="60" t="s">
        <v>126</v>
      </c>
      <c r="C64" s="89">
        <f>M40</f>
        <v>1000</v>
      </c>
      <c r="D64" s="88"/>
      <c r="E64" s="60"/>
      <c r="F64" s="60"/>
      <c r="G64" s="60"/>
      <c r="H64" s="60"/>
      <c r="I64" s="90"/>
      <c r="J64" s="88"/>
      <c r="K64" s="88"/>
      <c r="L64" s="88"/>
      <c r="M64" s="75"/>
    </row>
    <row r="65" spans="2:16" x14ac:dyDescent="0.25">
      <c r="B65" s="87" t="s">
        <v>21</v>
      </c>
      <c r="C65" s="60" t="s">
        <v>22</v>
      </c>
      <c r="D65" s="60"/>
      <c r="E65" s="60"/>
      <c r="F65" s="87" t="s">
        <v>21</v>
      </c>
      <c r="G65" s="87"/>
      <c r="H65" s="87"/>
      <c r="I65" s="89"/>
      <c r="J65" s="60"/>
      <c r="K65" s="60"/>
      <c r="L65" s="60"/>
      <c r="M65" s="74"/>
      <c r="O65" s="5"/>
      <c r="P65" s="5"/>
    </row>
    <row r="66" spans="2:16" x14ac:dyDescent="0.25">
      <c r="B66" s="91" t="s">
        <v>111</v>
      </c>
      <c r="C66" s="90">
        <v>0.05</v>
      </c>
      <c r="D66" s="60">
        <f>C66*C57</f>
        <v>8925</v>
      </c>
      <c r="E66" s="60"/>
      <c r="F66" s="91" t="s">
        <v>111</v>
      </c>
      <c r="G66" s="91"/>
      <c r="H66" s="91"/>
      <c r="I66" s="90">
        <v>0.05</v>
      </c>
      <c r="J66" s="60">
        <f>I66*C57</f>
        <v>8925</v>
      </c>
      <c r="K66" s="60"/>
      <c r="L66" s="60"/>
      <c r="M66" s="74"/>
      <c r="P66" s="5"/>
    </row>
    <row r="67" spans="2:16" x14ac:dyDescent="0.25">
      <c r="B67" s="92"/>
      <c r="C67" s="93"/>
      <c r="D67" s="90"/>
      <c r="E67" s="89"/>
      <c r="F67" s="92"/>
      <c r="G67" s="92"/>
      <c r="H67" s="92"/>
      <c r="I67" s="90"/>
      <c r="J67" s="89"/>
      <c r="K67" s="89"/>
      <c r="L67" s="89"/>
      <c r="M67" s="76"/>
    </row>
    <row r="68" spans="2:16" x14ac:dyDescent="0.25">
      <c r="B68" s="92"/>
      <c r="C68" s="90"/>
      <c r="D68" s="89"/>
      <c r="E68" s="60"/>
      <c r="F68" s="92" t="s">
        <v>125</v>
      </c>
      <c r="G68" s="90"/>
      <c r="H68" s="60"/>
      <c r="I68" s="90">
        <v>0.3</v>
      </c>
      <c r="J68" s="89"/>
      <c r="K68" s="60"/>
      <c r="L68" s="60"/>
      <c r="M68" s="74"/>
      <c r="O68" s="5"/>
    </row>
    <row r="69" spans="2:16" x14ac:dyDescent="0.25">
      <c r="B69" s="60" t="s">
        <v>98</v>
      </c>
      <c r="C69" s="60"/>
      <c r="D69" s="94">
        <v>7210</v>
      </c>
      <c r="E69" s="60"/>
      <c r="F69" s="60" t="s">
        <v>98</v>
      </c>
      <c r="G69" s="60"/>
      <c r="H69" s="94"/>
      <c r="I69" s="60"/>
      <c r="J69" s="94">
        <f>D69</f>
        <v>7210</v>
      </c>
      <c r="K69" s="60"/>
      <c r="L69" s="60"/>
      <c r="M69" s="74"/>
    </row>
    <row r="70" spans="2:16" x14ac:dyDescent="0.25">
      <c r="B70" s="92" t="s">
        <v>133</v>
      </c>
      <c r="C70" s="60"/>
      <c r="D70" s="89">
        <v>13760</v>
      </c>
      <c r="E70" s="60"/>
      <c r="F70" s="92" t="s">
        <v>133</v>
      </c>
      <c r="G70" s="60"/>
      <c r="H70" s="89"/>
      <c r="I70" s="91"/>
      <c r="J70" s="89">
        <f>I10+I22</f>
        <v>13760</v>
      </c>
      <c r="K70" s="89"/>
      <c r="L70" s="89"/>
      <c r="M70" s="76"/>
      <c r="O70" s="5"/>
    </row>
    <row r="71" spans="2:16" x14ac:dyDescent="0.25">
      <c r="B71" s="92" t="s">
        <v>142</v>
      </c>
      <c r="C71" s="60"/>
      <c r="D71" s="60">
        <v>9609</v>
      </c>
      <c r="E71" s="60"/>
      <c r="F71" s="92" t="s">
        <v>142</v>
      </c>
      <c r="G71" s="60"/>
      <c r="H71" s="60"/>
      <c r="I71" s="60"/>
      <c r="J71" s="60">
        <v>9609</v>
      </c>
      <c r="K71" s="60"/>
      <c r="L71" s="60"/>
      <c r="M71" s="74"/>
    </row>
    <row r="72" spans="2:16" x14ac:dyDescent="0.25">
      <c r="B72" s="95" t="s">
        <v>141</v>
      </c>
      <c r="C72" s="60"/>
      <c r="D72" s="89">
        <v>10391</v>
      </c>
      <c r="E72" s="60"/>
      <c r="F72" s="95" t="s">
        <v>141</v>
      </c>
      <c r="G72" s="60"/>
      <c r="H72" s="89"/>
      <c r="I72" s="60"/>
      <c r="J72" s="89">
        <v>10391</v>
      </c>
      <c r="K72" s="60"/>
      <c r="L72" s="60"/>
      <c r="M72" s="74"/>
    </row>
    <row r="73" spans="2:16" x14ac:dyDescent="0.25">
      <c r="B73" s="95" t="s">
        <v>140</v>
      </c>
      <c r="C73" s="60"/>
      <c r="D73" s="89">
        <v>152300</v>
      </c>
      <c r="E73" s="60"/>
      <c r="F73" s="95" t="s">
        <v>140</v>
      </c>
      <c r="G73" s="60"/>
      <c r="H73" s="89"/>
      <c r="I73" s="60"/>
      <c r="J73" s="89">
        <v>152300</v>
      </c>
      <c r="K73" s="60"/>
      <c r="L73" s="60"/>
      <c r="M73" s="74"/>
      <c r="N73" s="53"/>
      <c r="O73" s="5"/>
    </row>
    <row r="74" spans="2:16" x14ac:dyDescent="0.25">
      <c r="B74" s="95" t="s">
        <v>163</v>
      </c>
      <c r="C74" s="60"/>
      <c r="D74" s="89">
        <v>6540</v>
      </c>
      <c r="E74" s="60"/>
      <c r="F74" s="95" t="s">
        <v>163</v>
      </c>
      <c r="G74" s="60"/>
      <c r="H74" s="79"/>
      <c r="I74" s="60"/>
      <c r="J74" s="89">
        <v>6540</v>
      </c>
      <c r="K74" s="60"/>
      <c r="L74" s="60"/>
      <c r="M74" s="74"/>
    </row>
    <row r="75" spans="2:16" x14ac:dyDescent="0.25">
      <c r="B75" s="95" t="s">
        <v>159</v>
      </c>
      <c r="C75" s="60"/>
      <c r="D75" s="89">
        <v>6600</v>
      </c>
      <c r="E75" s="60"/>
      <c r="F75" s="95" t="s">
        <v>159</v>
      </c>
      <c r="G75" s="60"/>
      <c r="H75" s="79"/>
      <c r="I75" s="60"/>
      <c r="J75" s="89">
        <f>D75</f>
        <v>6600</v>
      </c>
      <c r="K75" s="60"/>
      <c r="L75" s="60"/>
      <c r="M75" s="74"/>
    </row>
    <row r="76" spans="2:16" x14ac:dyDescent="0.25">
      <c r="B76" s="95" t="s">
        <v>160</v>
      </c>
      <c r="C76" s="60"/>
      <c r="D76" s="89">
        <f>I20</f>
        <v>6540</v>
      </c>
      <c r="E76" s="60"/>
      <c r="F76" s="95" t="s">
        <v>160</v>
      </c>
      <c r="G76" s="60"/>
      <c r="H76" s="79"/>
      <c r="I76" s="60"/>
      <c r="J76" s="89">
        <f>D76</f>
        <v>6540</v>
      </c>
      <c r="K76" s="60"/>
      <c r="L76" s="60"/>
      <c r="M76" s="74"/>
    </row>
    <row r="77" spans="2:16" x14ac:dyDescent="0.25">
      <c r="B77" s="95" t="s">
        <v>161</v>
      </c>
      <c r="C77" s="60"/>
      <c r="D77" s="89">
        <f>I23</f>
        <v>6200</v>
      </c>
      <c r="E77" s="60"/>
      <c r="F77" s="95" t="s">
        <v>161</v>
      </c>
      <c r="G77" s="60"/>
      <c r="H77" s="79"/>
      <c r="I77" s="60"/>
      <c r="J77" s="89">
        <f>D77</f>
        <v>6200</v>
      </c>
      <c r="K77" s="60"/>
      <c r="L77" s="60"/>
      <c r="M77" s="74"/>
    </row>
    <row r="78" spans="2:16" x14ac:dyDescent="0.25">
      <c r="B78" s="95" t="s">
        <v>162</v>
      </c>
      <c r="C78" s="60"/>
      <c r="D78" s="89">
        <f>7210</f>
        <v>7210</v>
      </c>
      <c r="E78" s="60"/>
      <c r="F78" s="95" t="s">
        <v>162</v>
      </c>
      <c r="G78" s="60"/>
      <c r="H78" s="79"/>
      <c r="I78" s="60"/>
      <c r="J78" s="89">
        <f>7210</f>
        <v>7210</v>
      </c>
      <c r="K78" s="60"/>
      <c r="L78" s="60"/>
      <c r="M78" s="74"/>
    </row>
    <row r="79" spans="2:16" x14ac:dyDescent="0.25">
      <c r="B79" s="95" t="s">
        <v>120</v>
      </c>
      <c r="C79" s="60"/>
      <c r="D79" s="89">
        <v>6370</v>
      </c>
      <c r="E79" s="60"/>
      <c r="F79" s="95" t="s">
        <v>120</v>
      </c>
      <c r="G79" s="60"/>
      <c r="H79" s="79"/>
      <c r="I79" s="60"/>
      <c r="J79" s="89">
        <v>6370</v>
      </c>
      <c r="K79" s="60"/>
      <c r="L79" s="60"/>
      <c r="M79" s="74"/>
    </row>
    <row r="80" spans="2:16" x14ac:dyDescent="0.25">
      <c r="B80" s="95" t="s">
        <v>165</v>
      </c>
      <c r="C80" s="60"/>
      <c r="D80" s="89">
        <v>6710</v>
      </c>
      <c r="E80" s="60"/>
      <c r="F80" s="95" t="s">
        <v>165</v>
      </c>
      <c r="G80" s="60"/>
      <c r="H80" s="79"/>
      <c r="I80" s="60"/>
      <c r="J80" s="89">
        <v>6710</v>
      </c>
      <c r="K80" s="60"/>
      <c r="L80" s="60"/>
      <c r="M80" s="74"/>
      <c r="O80" s="53"/>
    </row>
    <row r="81" spans="2:16" x14ac:dyDescent="0.25">
      <c r="B81" s="95" t="s">
        <v>166</v>
      </c>
      <c r="C81" s="60"/>
      <c r="D81" s="89">
        <v>5059</v>
      </c>
      <c r="E81" s="60"/>
      <c r="F81" s="95" t="s">
        <v>166</v>
      </c>
      <c r="G81" s="60"/>
      <c r="H81" s="79"/>
      <c r="I81" s="60"/>
      <c r="J81" s="89">
        <v>5059</v>
      </c>
      <c r="K81" s="60"/>
      <c r="L81" s="60"/>
      <c r="M81" s="74"/>
      <c r="O81" s="53"/>
    </row>
    <row r="82" spans="2:16" x14ac:dyDescent="0.25">
      <c r="B82" s="95" t="s">
        <v>164</v>
      </c>
      <c r="C82" s="60"/>
      <c r="D82" s="60">
        <v>8200</v>
      </c>
      <c r="E82" s="60"/>
      <c r="F82" s="95" t="s">
        <v>164</v>
      </c>
      <c r="G82" s="60"/>
      <c r="H82" s="79"/>
      <c r="I82" s="60"/>
      <c r="J82" s="60">
        <v>8200</v>
      </c>
      <c r="K82" s="60"/>
      <c r="L82" s="60"/>
      <c r="M82" s="74"/>
    </row>
    <row r="83" spans="2:16" x14ac:dyDescent="0.25">
      <c r="B83" s="95" t="s">
        <v>172</v>
      </c>
      <c r="C83" s="60"/>
      <c r="D83" s="79">
        <v>540</v>
      </c>
      <c r="E83" s="60"/>
      <c r="F83" s="95" t="s">
        <v>172</v>
      </c>
      <c r="G83" s="60"/>
      <c r="H83" s="79"/>
      <c r="I83" s="60"/>
      <c r="J83" s="60">
        <v>540</v>
      </c>
      <c r="K83" s="60"/>
      <c r="L83" s="60"/>
      <c r="M83" s="74"/>
    </row>
    <row r="84" spans="2:16" x14ac:dyDescent="0.25">
      <c r="B84" s="87" t="s">
        <v>23</v>
      </c>
      <c r="C84" s="96">
        <f>C57+C58+C59+C60+C61+C62+C64+C63</f>
        <v>236531</v>
      </c>
      <c r="D84" s="96">
        <f>SUM(D66:D83)</f>
        <v>262164</v>
      </c>
      <c r="E84" s="96">
        <f>C84-D84</f>
        <v>-25633</v>
      </c>
      <c r="F84" s="87" t="s">
        <v>23</v>
      </c>
      <c r="G84" s="87"/>
      <c r="H84" s="87"/>
      <c r="I84" s="96">
        <f>I57+I58+I60+I62+I63</f>
        <v>200976</v>
      </c>
      <c r="J84" s="96">
        <f>SUM(J66:J83)</f>
        <v>262164</v>
      </c>
      <c r="K84" s="96">
        <f>I84-J84</f>
        <v>-61188</v>
      </c>
      <c r="L84" s="96"/>
      <c r="M84" s="77"/>
    </row>
    <row r="85" spans="2:16" x14ac:dyDescent="0.25">
      <c r="B85" s="79"/>
      <c r="C85" s="79"/>
      <c r="D85" s="79"/>
      <c r="E85" s="79"/>
      <c r="F85" s="79"/>
      <c r="G85" s="79"/>
      <c r="H85" s="79"/>
      <c r="I85" s="79"/>
      <c r="J85" s="119">
        <f>J84-J66</f>
        <v>253239</v>
      </c>
      <c r="K85" s="79"/>
      <c r="L85" s="79"/>
      <c r="M85" s="71"/>
    </row>
    <row r="86" spans="2:16" x14ac:dyDescent="0.25">
      <c r="B86" s="97" t="s">
        <v>24</v>
      </c>
      <c r="C86" s="98"/>
      <c r="D86" s="98" t="s">
        <v>25</v>
      </c>
      <c r="E86" s="99"/>
      <c r="F86" s="97"/>
      <c r="G86" s="97"/>
      <c r="H86" s="97"/>
      <c r="I86" s="97" t="s">
        <v>26</v>
      </c>
      <c r="J86" s="79"/>
      <c r="K86" s="79"/>
      <c r="L86" s="79"/>
      <c r="M86" s="71"/>
    </row>
    <row r="87" spans="2:16" x14ac:dyDescent="0.25">
      <c r="B87" s="79" t="s">
        <v>104</v>
      </c>
      <c r="C87" s="79"/>
      <c r="D87" s="79" t="s">
        <v>105</v>
      </c>
      <c r="E87" s="79"/>
      <c r="F87" s="79"/>
      <c r="G87" s="79"/>
      <c r="H87" s="79"/>
      <c r="I87" s="79" t="s">
        <v>27</v>
      </c>
      <c r="J87" s="79"/>
      <c r="K87" s="79"/>
      <c r="L87" s="79"/>
      <c r="M87" s="71"/>
    </row>
    <row r="88" spans="2:16" x14ac:dyDescent="0.25">
      <c r="F88" s="53"/>
      <c r="O88" s="5"/>
      <c r="P88" s="53"/>
    </row>
    <row r="89" spans="2:16" x14ac:dyDescent="0.25">
      <c r="D89" s="53"/>
    </row>
    <row r="90" spans="2:16" x14ac:dyDescent="0.25">
      <c r="F90" s="53"/>
    </row>
    <row r="92" spans="2:16" x14ac:dyDescent="0.25">
      <c r="I92" s="53"/>
    </row>
    <row r="94" spans="2:16" x14ac:dyDescent="0.25">
      <c r="D94" s="5"/>
    </row>
    <row r="95" spans="2:16" x14ac:dyDescent="0.25">
      <c r="H95" s="5"/>
    </row>
    <row r="97" spans="2:13" ht="15.75" x14ac:dyDescent="0.25">
      <c r="B97" s="7"/>
      <c r="C97" s="8" t="s">
        <v>27</v>
      </c>
      <c r="E97" s="8"/>
      <c r="F97" s="8"/>
      <c r="G97" s="8"/>
      <c r="H97" s="8"/>
      <c r="I97" s="9"/>
      <c r="J97" s="7"/>
      <c r="K97" s="7"/>
      <c r="L97" s="7"/>
      <c r="M97" s="7"/>
    </row>
    <row r="98" spans="2:13" ht="15.75" x14ac:dyDescent="0.25">
      <c r="B98" s="7"/>
      <c r="C98" s="8" t="s">
        <v>0</v>
      </c>
      <c r="D98" s="8"/>
      <c r="E98" s="8"/>
      <c r="F98" s="8"/>
      <c r="G98" s="8"/>
      <c r="H98" s="8"/>
      <c r="I98" s="10"/>
      <c r="J98" s="7"/>
      <c r="K98" s="7"/>
      <c r="L98" s="7"/>
      <c r="M98" s="7"/>
    </row>
    <row r="99" spans="2:13" ht="18.75" x14ac:dyDescent="0.3">
      <c r="B99" s="11"/>
      <c r="C99" s="8" t="s">
        <v>118</v>
      </c>
      <c r="D99" s="8"/>
      <c r="E99" s="8"/>
      <c r="F99" s="8"/>
      <c r="G99" s="8"/>
      <c r="H99" s="8"/>
      <c r="I99" s="12"/>
      <c r="J99" s="13"/>
      <c r="K99" s="13"/>
      <c r="L99" s="13"/>
      <c r="M99" s="13"/>
    </row>
    <row r="100" spans="2:13" x14ac:dyDescent="0.25">
      <c r="B100" s="14" t="s">
        <v>2</v>
      </c>
      <c r="C100" s="14" t="s">
        <v>3</v>
      </c>
      <c r="D100" s="14" t="s">
        <v>4</v>
      </c>
      <c r="E100" s="15" t="s">
        <v>5</v>
      </c>
      <c r="F100" s="14" t="s">
        <v>6</v>
      </c>
      <c r="G100" s="14" t="s">
        <v>109</v>
      </c>
      <c r="H100" s="14" t="s">
        <v>96</v>
      </c>
      <c r="I100" s="16" t="s">
        <v>7</v>
      </c>
      <c r="J100" s="14" t="s">
        <v>8</v>
      </c>
      <c r="K100" s="14" t="s">
        <v>9</v>
      </c>
      <c r="L100" s="14" t="s">
        <v>91</v>
      </c>
      <c r="M100" s="14" t="s">
        <v>123</v>
      </c>
    </row>
    <row r="101" spans="2:13" x14ac:dyDescent="0.25">
      <c r="B101" s="1" t="s">
        <v>61</v>
      </c>
      <c r="C101" s="19" t="s">
        <v>52</v>
      </c>
      <c r="D101" s="20"/>
      <c r="E101" s="21">
        <f>'JANUARY 20'!K87:K120</f>
        <v>0</v>
      </c>
      <c r="F101" s="22">
        <v>6000</v>
      </c>
      <c r="G101" s="22">
        <v>170</v>
      </c>
      <c r="H101" s="22">
        <v>200</v>
      </c>
      <c r="I101" s="22">
        <f>D101+E101+F101+G101+H101</f>
        <v>6370</v>
      </c>
      <c r="J101" s="22"/>
      <c r="K101" s="22">
        <f t="shared" ref="K101:K109" si="3">I101-J101</f>
        <v>6370</v>
      </c>
      <c r="L101" s="22"/>
      <c r="M101" s="22"/>
    </row>
    <row r="102" spans="2:13" x14ac:dyDescent="0.25">
      <c r="B102" s="2" t="s">
        <v>64</v>
      </c>
      <c r="C102" s="19" t="s">
        <v>51</v>
      </c>
      <c r="D102" s="20"/>
      <c r="E102" s="21" t="e">
        <f>'JANUARY 20'!K88:K121</f>
        <v>#VALUE!</v>
      </c>
      <c r="F102" s="25">
        <v>6000</v>
      </c>
      <c r="G102" s="25">
        <v>170</v>
      </c>
      <c r="H102" s="25">
        <v>200</v>
      </c>
      <c r="I102" s="22" t="e">
        <f t="shared" ref="I102:I115" si="4">D102+E102+F102+G102+H102</f>
        <v>#VALUE!</v>
      </c>
      <c r="J102" s="22"/>
      <c r="K102" s="22" t="e">
        <f t="shared" si="3"/>
        <v>#VALUE!</v>
      </c>
      <c r="L102" s="22"/>
      <c r="M102" s="22"/>
    </row>
    <row r="103" spans="2:13" x14ac:dyDescent="0.25">
      <c r="B103" s="2" t="s">
        <v>65</v>
      </c>
      <c r="C103" s="19" t="s">
        <v>54</v>
      </c>
      <c r="D103" s="20"/>
      <c r="E103" s="21" t="e">
        <f>'JANUARY 20'!K89:K122</f>
        <v>#VALUE!</v>
      </c>
      <c r="F103" s="25"/>
      <c r="G103" s="25"/>
      <c r="H103" s="25"/>
      <c r="I103" s="22" t="e">
        <f t="shared" si="4"/>
        <v>#VALUE!</v>
      </c>
      <c r="J103" s="22"/>
      <c r="K103" s="22" t="e">
        <f t="shared" si="3"/>
        <v>#VALUE!</v>
      </c>
      <c r="L103" s="22"/>
      <c r="M103" s="22"/>
    </row>
    <row r="104" spans="2:13" x14ac:dyDescent="0.25">
      <c r="B104" s="18" t="s">
        <v>66</v>
      </c>
      <c r="C104" s="19" t="s">
        <v>50</v>
      </c>
      <c r="D104" s="20"/>
      <c r="E104" s="21" t="e">
        <f>'JANUARY 20'!K90:K123</f>
        <v>#VALUE!</v>
      </c>
      <c r="F104" s="21">
        <v>6000</v>
      </c>
      <c r="G104" s="21">
        <v>170</v>
      </c>
      <c r="H104" s="25">
        <v>200</v>
      </c>
      <c r="I104" s="22" t="e">
        <f t="shared" si="4"/>
        <v>#VALUE!</v>
      </c>
      <c r="J104" s="22">
        <v>6370</v>
      </c>
      <c r="K104" s="22" t="e">
        <f t="shared" si="3"/>
        <v>#VALUE!</v>
      </c>
      <c r="L104" s="22"/>
      <c r="M104" s="22"/>
    </row>
    <row r="105" spans="2:13" x14ac:dyDescent="0.25">
      <c r="B105" s="59" t="s">
        <v>110</v>
      </c>
      <c r="C105" s="19" t="s">
        <v>49</v>
      </c>
      <c r="D105" s="20"/>
      <c r="E105" s="21">
        <f>'JANUARY 20'!K91:K124</f>
        <v>140</v>
      </c>
      <c r="F105" s="25">
        <v>6000</v>
      </c>
      <c r="G105" s="25">
        <v>1360</v>
      </c>
      <c r="H105" s="25">
        <v>200</v>
      </c>
      <c r="I105" s="22">
        <f t="shared" si="4"/>
        <v>7700</v>
      </c>
      <c r="J105" s="22">
        <v>7560</v>
      </c>
      <c r="K105" s="22">
        <f t="shared" si="3"/>
        <v>140</v>
      </c>
      <c r="L105" s="22"/>
      <c r="M105" s="22"/>
    </row>
    <row r="106" spans="2:13" x14ac:dyDescent="0.25">
      <c r="B106" s="26" t="s">
        <v>117</v>
      </c>
      <c r="C106" s="19" t="s">
        <v>53</v>
      </c>
      <c r="D106" s="20"/>
      <c r="E106" s="21">
        <f>'JANUARY 20'!K92:K125</f>
        <v>7205</v>
      </c>
      <c r="F106" s="25">
        <v>6000</v>
      </c>
      <c r="G106" s="25">
        <v>850</v>
      </c>
      <c r="H106" s="25">
        <v>200</v>
      </c>
      <c r="I106" s="22">
        <f t="shared" si="4"/>
        <v>14255</v>
      </c>
      <c r="J106" s="22">
        <v>6710</v>
      </c>
      <c r="K106" s="22">
        <f t="shared" si="3"/>
        <v>7545</v>
      </c>
      <c r="L106" s="22"/>
      <c r="M106" s="22"/>
    </row>
    <row r="107" spans="2:13" x14ac:dyDescent="0.25">
      <c r="B107" s="61" t="s">
        <v>68</v>
      </c>
      <c r="C107" s="68" t="s">
        <v>48</v>
      </c>
      <c r="D107" s="63"/>
      <c r="E107" s="64">
        <f>'JANUARY 20'!K94</f>
        <v>2519</v>
      </c>
      <c r="F107" s="65">
        <v>6000</v>
      </c>
      <c r="G107" s="65">
        <v>340</v>
      </c>
      <c r="H107" s="65">
        <v>200</v>
      </c>
      <c r="I107" s="66">
        <f t="shared" si="4"/>
        <v>9059</v>
      </c>
      <c r="J107" s="66"/>
      <c r="K107" s="66">
        <f t="shared" si="3"/>
        <v>9059</v>
      </c>
      <c r="L107" s="22"/>
      <c r="M107" s="22"/>
    </row>
    <row r="108" spans="2:13" x14ac:dyDescent="0.25">
      <c r="B108" s="67" t="s">
        <v>67</v>
      </c>
      <c r="C108" s="19" t="s">
        <v>47</v>
      </c>
      <c r="D108" s="20"/>
      <c r="E108" s="21" t="e">
        <f>'JANUARY 20'!K94:K127</f>
        <v>#VALUE!</v>
      </c>
      <c r="F108" s="25"/>
      <c r="G108" s="25"/>
      <c r="H108" s="25"/>
      <c r="I108" s="22" t="e">
        <f t="shared" si="4"/>
        <v>#VALUE!</v>
      </c>
      <c r="J108" s="22"/>
      <c r="K108" s="22" t="e">
        <f t="shared" si="3"/>
        <v>#VALUE!</v>
      </c>
      <c r="L108" s="22"/>
      <c r="M108" s="22"/>
    </row>
    <row r="109" spans="2:13" x14ac:dyDescent="0.25">
      <c r="B109" s="1" t="s">
        <v>70</v>
      </c>
      <c r="C109" s="19" t="s">
        <v>46</v>
      </c>
      <c r="D109" s="20"/>
      <c r="E109" s="21"/>
      <c r="F109" s="25"/>
      <c r="G109" s="25">
        <v>0</v>
      </c>
      <c r="H109" s="25"/>
      <c r="I109" s="22">
        <f t="shared" si="4"/>
        <v>0</v>
      </c>
      <c r="J109" s="22"/>
      <c r="K109" s="22">
        <f t="shared" si="3"/>
        <v>0</v>
      </c>
      <c r="L109" s="22"/>
      <c r="M109" s="22"/>
    </row>
    <row r="110" spans="2:13" x14ac:dyDescent="0.25">
      <c r="B110" s="2" t="s">
        <v>110</v>
      </c>
      <c r="C110" s="19" t="s">
        <v>45</v>
      </c>
      <c r="D110" s="20"/>
      <c r="E110" s="21">
        <f>'JANUARY 20'!K96:K129</f>
        <v>12960</v>
      </c>
      <c r="F110" s="25">
        <v>6000</v>
      </c>
      <c r="G110" s="25">
        <v>1020</v>
      </c>
      <c r="H110" s="25">
        <v>200</v>
      </c>
      <c r="I110" s="22">
        <f t="shared" si="4"/>
        <v>20180</v>
      </c>
      <c r="J110" s="22"/>
      <c r="K110" s="22">
        <f t="shared" ref="K110:K118" si="5">I110-J110</f>
        <v>20180</v>
      </c>
      <c r="L110" s="22"/>
      <c r="M110" s="22"/>
    </row>
    <row r="111" spans="2:13" x14ac:dyDescent="0.25">
      <c r="B111" s="18" t="s">
        <v>71</v>
      </c>
      <c r="C111" s="19" t="s">
        <v>44</v>
      </c>
      <c r="D111" s="20"/>
      <c r="E111" s="21" t="e">
        <f>'JANUARY 20'!K97:K130</f>
        <v>#VALUE!</v>
      </c>
      <c r="F111" s="25">
        <v>5000</v>
      </c>
      <c r="G111" s="25">
        <v>340</v>
      </c>
      <c r="H111" s="25">
        <v>200</v>
      </c>
      <c r="I111" s="22" t="e">
        <f t="shared" si="4"/>
        <v>#VALUE!</v>
      </c>
      <c r="J111" s="22"/>
      <c r="K111" s="22" t="e">
        <f t="shared" si="5"/>
        <v>#VALUE!</v>
      </c>
      <c r="L111" s="22"/>
      <c r="M111" s="22"/>
    </row>
    <row r="112" spans="2:13" x14ac:dyDescent="0.25">
      <c r="B112" s="2" t="s">
        <v>72</v>
      </c>
      <c r="C112" s="19" t="s">
        <v>43</v>
      </c>
      <c r="D112" s="20"/>
      <c r="E112" s="21" t="e">
        <f>'JANUARY 20'!K98:K131</f>
        <v>#VALUE!</v>
      </c>
      <c r="F112" s="25">
        <v>6000</v>
      </c>
      <c r="G112" s="25">
        <v>340</v>
      </c>
      <c r="H112" s="25">
        <v>200</v>
      </c>
      <c r="I112" s="22" t="e">
        <f t="shared" si="4"/>
        <v>#VALUE!</v>
      </c>
      <c r="J112" s="22"/>
      <c r="K112" s="22" t="e">
        <f t="shared" si="5"/>
        <v>#VALUE!</v>
      </c>
      <c r="L112" s="22"/>
      <c r="M112" s="22"/>
    </row>
    <row r="113" spans="2:13" x14ac:dyDescent="0.25">
      <c r="B113" s="1" t="s">
        <v>73</v>
      </c>
      <c r="C113" s="19" t="s">
        <v>42</v>
      </c>
      <c r="D113" s="20"/>
      <c r="E113" s="21">
        <f>'JANUARY 20'!K99:K132</f>
        <v>2340</v>
      </c>
      <c r="F113" s="25">
        <v>6000</v>
      </c>
      <c r="G113" s="25">
        <v>340</v>
      </c>
      <c r="H113" s="25">
        <v>200</v>
      </c>
      <c r="I113" s="22">
        <f t="shared" si="4"/>
        <v>8880</v>
      </c>
      <c r="J113" s="22">
        <v>6540</v>
      </c>
      <c r="K113" s="22">
        <f t="shared" si="5"/>
        <v>2340</v>
      </c>
      <c r="L113" s="22"/>
      <c r="M113" s="22"/>
    </row>
    <row r="114" spans="2:13" x14ac:dyDescent="0.25">
      <c r="B114" s="60" t="s">
        <v>67</v>
      </c>
      <c r="C114" s="19" t="s">
        <v>41</v>
      </c>
      <c r="D114" s="20"/>
      <c r="E114" s="21" t="e">
        <f>'JANUARY 20'!K100:K133</f>
        <v>#VALUE!</v>
      </c>
      <c r="F114" s="25"/>
      <c r="G114" s="25"/>
      <c r="H114" s="25"/>
      <c r="I114" s="22" t="e">
        <f t="shared" si="4"/>
        <v>#VALUE!</v>
      </c>
      <c r="J114" s="22"/>
      <c r="K114" s="22" t="e">
        <f t="shared" si="5"/>
        <v>#VALUE!</v>
      </c>
      <c r="L114" s="22"/>
      <c r="M114" s="22"/>
    </row>
    <row r="115" spans="2:13" x14ac:dyDescent="0.25">
      <c r="B115" s="2" t="s">
        <v>75</v>
      </c>
      <c r="C115" s="19" t="s">
        <v>40</v>
      </c>
      <c r="D115" s="20"/>
      <c r="E115" s="21" t="e">
        <f>'JANUARY 20'!K101:K134</f>
        <v>#VALUE!</v>
      </c>
      <c r="F115" s="25">
        <v>6000</v>
      </c>
      <c r="G115" s="25">
        <v>340</v>
      </c>
      <c r="H115" s="25">
        <v>200</v>
      </c>
      <c r="I115" s="22" t="e">
        <f t="shared" si="4"/>
        <v>#VALUE!</v>
      </c>
      <c r="J115" s="22"/>
      <c r="K115" s="22" t="e">
        <f t="shared" si="5"/>
        <v>#VALUE!</v>
      </c>
      <c r="L115" s="22"/>
      <c r="M115" s="22"/>
    </row>
    <row r="116" spans="2:13" x14ac:dyDescent="0.25">
      <c r="B116" s="1" t="s">
        <v>76</v>
      </c>
      <c r="C116" s="27" t="s">
        <v>39</v>
      </c>
      <c r="D116" s="20"/>
      <c r="E116" s="21" t="e">
        <f>'JANUARY 20'!K102:K135+340+200</f>
        <v>#VALUE!</v>
      </c>
      <c r="F116" s="25">
        <v>6000</v>
      </c>
      <c r="G116" s="25">
        <v>510</v>
      </c>
      <c r="H116" s="25">
        <v>200</v>
      </c>
      <c r="I116" s="22" t="e">
        <f>D116+E116+F116+G116+H116</f>
        <v>#VALUE!</v>
      </c>
      <c r="J116" s="22"/>
      <c r="K116" s="22" t="e">
        <f t="shared" si="5"/>
        <v>#VALUE!</v>
      </c>
      <c r="L116" s="22"/>
      <c r="M116" s="22"/>
    </row>
    <row r="117" spans="2:13" x14ac:dyDescent="0.25">
      <c r="B117" s="61" t="s">
        <v>130</v>
      </c>
      <c r="C117" s="19" t="s">
        <v>38</v>
      </c>
      <c r="D117" s="20"/>
      <c r="E117" s="21"/>
      <c r="F117" s="25">
        <v>6000</v>
      </c>
      <c r="G117" s="25"/>
      <c r="H117" s="25">
        <v>200</v>
      </c>
      <c r="I117" s="22">
        <f t="shared" ref="I117:I133" si="6">D117+E117+F117+G117+H117</f>
        <v>6200</v>
      </c>
      <c r="J117" s="22">
        <v>6200</v>
      </c>
      <c r="K117" s="22">
        <f t="shared" si="5"/>
        <v>0</v>
      </c>
      <c r="L117" s="22"/>
      <c r="M117" s="22"/>
    </row>
    <row r="118" spans="2:13" x14ac:dyDescent="0.25">
      <c r="B118" s="2" t="s">
        <v>78</v>
      </c>
      <c r="C118" s="19" t="s">
        <v>37</v>
      </c>
      <c r="D118" s="20"/>
      <c r="E118" s="21" t="e">
        <f>'JANUARY 20'!K104:K137</f>
        <v>#VALUE!</v>
      </c>
      <c r="F118" s="25">
        <v>6000</v>
      </c>
      <c r="G118" s="25"/>
      <c r="H118" s="25">
        <v>200</v>
      </c>
      <c r="I118" s="22" t="e">
        <f t="shared" si="6"/>
        <v>#VALUE!</v>
      </c>
      <c r="J118" s="22"/>
      <c r="K118" s="22" t="e">
        <f t="shared" si="5"/>
        <v>#VALUE!</v>
      </c>
      <c r="L118" s="22"/>
      <c r="M118" s="22"/>
    </row>
    <row r="119" spans="2:13" x14ac:dyDescent="0.25">
      <c r="B119" s="61" t="s">
        <v>79</v>
      </c>
      <c r="C119" s="62" t="s">
        <v>28</v>
      </c>
      <c r="D119" s="63"/>
      <c r="E119" s="64" t="e">
        <f>'JANUARY 20'!K105:K138</f>
        <v>#VALUE!</v>
      </c>
      <c r="F119" s="65"/>
      <c r="G119" s="65"/>
      <c r="H119" s="65"/>
      <c r="I119" s="66" t="e">
        <f t="shared" si="6"/>
        <v>#VALUE!</v>
      </c>
      <c r="J119" s="66"/>
      <c r="K119" s="66" t="e">
        <f>I119-J119</f>
        <v>#VALUE!</v>
      </c>
      <c r="L119" s="58"/>
      <c r="M119" s="22"/>
    </row>
    <row r="120" spans="2:13" x14ac:dyDescent="0.25">
      <c r="B120" s="1" t="s">
        <v>80</v>
      </c>
      <c r="C120" s="28" t="s">
        <v>29</v>
      </c>
      <c r="D120" s="20"/>
      <c r="E120" s="21" t="e">
        <f>'JANUARY 20'!K106:K139</f>
        <v>#VALUE!</v>
      </c>
      <c r="F120" s="25">
        <v>6500</v>
      </c>
      <c r="G120" s="25">
        <v>1020</v>
      </c>
      <c r="H120" s="25">
        <v>200</v>
      </c>
      <c r="I120" s="22" t="e">
        <f t="shared" si="6"/>
        <v>#VALUE!</v>
      </c>
      <c r="J120" s="22">
        <v>7720</v>
      </c>
      <c r="K120" s="22" t="e">
        <f t="shared" ref="K120:K127" si="7">I120-J120</f>
        <v>#VALUE!</v>
      </c>
      <c r="L120" s="22"/>
      <c r="M120" s="22"/>
    </row>
    <row r="121" spans="2:13" x14ac:dyDescent="0.25">
      <c r="B121" s="1" t="s">
        <v>81</v>
      </c>
      <c r="C121" s="28" t="s">
        <v>30</v>
      </c>
      <c r="D121" s="20"/>
      <c r="E121" s="21">
        <f>'JANUARY 20'!K107:K140</f>
        <v>7850</v>
      </c>
      <c r="F121" s="25">
        <v>6500</v>
      </c>
      <c r="G121" s="25">
        <v>340</v>
      </c>
      <c r="H121" s="25">
        <v>200</v>
      </c>
      <c r="I121" s="22">
        <f t="shared" si="6"/>
        <v>14890</v>
      </c>
      <c r="J121" s="22">
        <v>7040</v>
      </c>
      <c r="K121" s="22">
        <f t="shared" si="7"/>
        <v>7850</v>
      </c>
      <c r="L121" s="22"/>
      <c r="M121" s="22"/>
    </row>
    <row r="122" spans="2:13" x14ac:dyDescent="0.25">
      <c r="B122" s="1" t="s">
        <v>82</v>
      </c>
      <c r="C122" s="28" t="s">
        <v>55</v>
      </c>
      <c r="D122" s="20"/>
      <c r="E122" s="21" t="e">
        <f>'JANUARY 20'!K108:K141</f>
        <v>#VALUE!</v>
      </c>
      <c r="F122" s="25">
        <v>6500</v>
      </c>
      <c r="G122" s="25">
        <v>510</v>
      </c>
      <c r="H122" s="25">
        <v>200</v>
      </c>
      <c r="I122" s="22" t="e">
        <f t="shared" si="6"/>
        <v>#VALUE!</v>
      </c>
      <c r="J122" s="22"/>
      <c r="K122" s="22" t="e">
        <f t="shared" si="7"/>
        <v>#VALUE!</v>
      </c>
      <c r="L122" s="22"/>
      <c r="M122" s="22"/>
    </row>
    <row r="123" spans="2:13" x14ac:dyDescent="0.25">
      <c r="B123" s="1" t="s">
        <v>83</v>
      </c>
      <c r="C123" s="28" t="s">
        <v>56</v>
      </c>
      <c r="D123" s="20"/>
      <c r="E123" s="21">
        <f>'JANUARY 20'!K28+200</f>
        <v>13160</v>
      </c>
      <c r="F123" s="25">
        <v>8000</v>
      </c>
      <c r="G123" s="25">
        <v>170</v>
      </c>
      <c r="H123" s="25">
        <v>200</v>
      </c>
      <c r="I123" s="22">
        <f t="shared" si="6"/>
        <v>21530</v>
      </c>
      <c r="J123" s="22">
        <v>9080</v>
      </c>
      <c r="K123" s="22">
        <f t="shared" si="7"/>
        <v>12450</v>
      </c>
      <c r="L123" s="22">
        <v>2000</v>
      </c>
      <c r="M123" s="22"/>
    </row>
    <row r="124" spans="2:13" x14ac:dyDescent="0.25">
      <c r="B124" s="1" t="s">
        <v>128</v>
      </c>
      <c r="C124" s="28" t="s">
        <v>57</v>
      </c>
      <c r="D124" s="20"/>
      <c r="E124" s="21">
        <f>'JANUARY 20'!K110:K143</f>
        <v>0</v>
      </c>
      <c r="F124" s="25">
        <v>6500</v>
      </c>
      <c r="G124" s="25">
        <v>510</v>
      </c>
      <c r="H124" s="25">
        <v>200</v>
      </c>
      <c r="I124" s="22">
        <f t="shared" si="6"/>
        <v>7210</v>
      </c>
      <c r="J124" s="22">
        <v>7210</v>
      </c>
      <c r="K124" s="22">
        <f t="shared" si="7"/>
        <v>0</v>
      </c>
      <c r="L124" s="22"/>
      <c r="M124" s="22"/>
    </row>
    <row r="125" spans="2:13" x14ac:dyDescent="0.25">
      <c r="B125" s="1" t="s">
        <v>92</v>
      </c>
      <c r="C125" s="28" t="s">
        <v>58</v>
      </c>
      <c r="D125" s="20"/>
      <c r="E125" s="21">
        <f>'JANUARY 20'!K111:K144</f>
        <v>0</v>
      </c>
      <c r="F125" s="25">
        <v>6500</v>
      </c>
      <c r="G125" s="25">
        <v>0</v>
      </c>
      <c r="H125" s="25">
        <v>200</v>
      </c>
      <c r="I125" s="22">
        <f t="shared" si="6"/>
        <v>6700</v>
      </c>
      <c r="J125" s="22"/>
      <c r="K125" s="22">
        <f t="shared" si="7"/>
        <v>6700</v>
      </c>
      <c r="L125" s="22"/>
      <c r="M125" s="22"/>
    </row>
    <row r="126" spans="2:13" x14ac:dyDescent="0.25">
      <c r="B126" s="1" t="s">
        <v>74</v>
      </c>
      <c r="C126" s="28" t="s">
        <v>59</v>
      </c>
      <c r="D126" s="20"/>
      <c r="E126" s="21">
        <v>340</v>
      </c>
      <c r="F126" s="25">
        <v>6500</v>
      </c>
      <c r="G126" s="25">
        <v>510</v>
      </c>
      <c r="H126" s="25">
        <v>200</v>
      </c>
      <c r="I126" s="22">
        <f t="shared" si="6"/>
        <v>7550</v>
      </c>
      <c r="J126" s="22"/>
      <c r="K126" s="22">
        <f t="shared" si="7"/>
        <v>7550</v>
      </c>
      <c r="L126" s="22"/>
      <c r="M126" s="22"/>
    </row>
    <row r="127" spans="2:13" x14ac:dyDescent="0.25">
      <c r="B127" s="1" t="s">
        <v>127</v>
      </c>
      <c r="C127" s="28" t="s">
        <v>60</v>
      </c>
      <c r="D127" s="20"/>
      <c r="E127" s="21">
        <f>'JANUARY 20'!K113:K146</f>
        <v>0</v>
      </c>
      <c r="F127" s="25">
        <v>6500</v>
      </c>
      <c r="G127" s="25">
        <f>680+170</f>
        <v>850</v>
      </c>
      <c r="H127" s="25">
        <v>200</v>
      </c>
      <c r="I127" s="22">
        <f t="shared" si="6"/>
        <v>7550</v>
      </c>
      <c r="J127" s="22">
        <v>7000</v>
      </c>
      <c r="K127" s="22">
        <f t="shared" si="7"/>
        <v>550</v>
      </c>
      <c r="L127" s="22"/>
      <c r="M127" s="22"/>
    </row>
    <row r="128" spans="2:13" x14ac:dyDescent="0.25">
      <c r="B128" s="1" t="s">
        <v>86</v>
      </c>
      <c r="C128" s="28" t="s">
        <v>31</v>
      </c>
      <c r="D128" s="20"/>
      <c r="E128" s="21">
        <f>'JANUARY 20'!K114:K147</f>
        <v>0</v>
      </c>
      <c r="F128" s="25">
        <v>8000</v>
      </c>
      <c r="G128" s="25">
        <v>1360</v>
      </c>
      <c r="H128" s="25">
        <v>200</v>
      </c>
      <c r="I128" s="22">
        <f t="shared" si="6"/>
        <v>9560</v>
      </c>
      <c r="J128" s="22"/>
      <c r="K128" s="22">
        <f t="shared" ref="K128:K134" si="8">I128-J128</f>
        <v>9560</v>
      </c>
      <c r="L128" s="22"/>
      <c r="M128" s="22"/>
    </row>
    <row r="129" spans="2:13" x14ac:dyDescent="0.25">
      <c r="B129" s="1" t="s">
        <v>121</v>
      </c>
      <c r="C129" s="28" t="s">
        <v>32</v>
      </c>
      <c r="D129" s="20">
        <v>6500</v>
      </c>
      <c r="E129" s="21">
        <f>'JANUARY 20'!K115:K148</f>
        <v>0</v>
      </c>
      <c r="F129" s="29">
        <v>6500</v>
      </c>
      <c r="G129" s="29">
        <v>0</v>
      </c>
      <c r="H129" s="25">
        <v>200</v>
      </c>
      <c r="I129" s="22">
        <f t="shared" si="6"/>
        <v>13200</v>
      </c>
      <c r="J129" s="22">
        <f>6500+6700</f>
        <v>13200</v>
      </c>
      <c r="K129" s="22">
        <f t="shared" si="8"/>
        <v>0</v>
      </c>
      <c r="L129" s="22"/>
      <c r="M129" s="22">
        <v>1000</v>
      </c>
    </row>
    <row r="130" spans="2:13" x14ac:dyDescent="0.25">
      <c r="B130" s="18" t="s">
        <v>99</v>
      </c>
      <c r="C130" s="28" t="s">
        <v>33</v>
      </c>
      <c r="D130" s="20"/>
      <c r="E130" s="21">
        <f>'JANUARY 20'!K116:K150</f>
        <v>0</v>
      </c>
      <c r="F130" s="29">
        <v>6500</v>
      </c>
      <c r="G130" s="29">
        <v>0</v>
      </c>
      <c r="H130" s="25">
        <v>200</v>
      </c>
      <c r="I130" s="22">
        <f t="shared" si="6"/>
        <v>6700</v>
      </c>
      <c r="J130" s="22"/>
      <c r="K130" s="22">
        <f t="shared" si="8"/>
        <v>6700</v>
      </c>
      <c r="L130" s="22"/>
      <c r="M130" s="22"/>
    </row>
    <row r="131" spans="2:13" x14ac:dyDescent="0.25">
      <c r="B131" s="1" t="s">
        <v>89</v>
      </c>
      <c r="C131" s="28" t="s">
        <v>34</v>
      </c>
      <c r="D131" s="20"/>
      <c r="E131" s="21">
        <f>'JANUARY 20'!K117:K151</f>
        <v>0</v>
      </c>
      <c r="F131" s="29">
        <v>6500</v>
      </c>
      <c r="G131" s="29">
        <v>510</v>
      </c>
      <c r="H131" s="25">
        <v>200</v>
      </c>
      <c r="I131" s="22">
        <f t="shared" si="6"/>
        <v>7210</v>
      </c>
      <c r="J131" s="22">
        <v>7210</v>
      </c>
      <c r="K131" s="22">
        <f t="shared" si="8"/>
        <v>0</v>
      </c>
      <c r="L131" s="22"/>
      <c r="M131" s="22"/>
    </row>
    <row r="132" spans="2:13" x14ac:dyDescent="0.25">
      <c r="B132" s="1" t="s">
        <v>103</v>
      </c>
      <c r="C132" s="28" t="s">
        <v>35</v>
      </c>
      <c r="D132" s="20"/>
      <c r="E132" s="21">
        <f>'JANUARY 20'!K118:K154</f>
        <v>0</v>
      </c>
      <c r="F132" s="29">
        <v>6500</v>
      </c>
      <c r="G132" s="29"/>
      <c r="H132" s="25">
        <v>200</v>
      </c>
      <c r="I132" s="22">
        <f t="shared" si="6"/>
        <v>6700</v>
      </c>
      <c r="J132" s="22"/>
      <c r="K132" s="22">
        <f t="shared" si="8"/>
        <v>6700</v>
      </c>
      <c r="L132" s="22"/>
      <c r="M132" s="22"/>
    </row>
    <row r="133" spans="2:13" x14ac:dyDescent="0.25">
      <c r="B133" s="1"/>
      <c r="C133" s="28"/>
      <c r="D133" s="20"/>
      <c r="E133" s="21"/>
      <c r="F133" s="29"/>
      <c r="G133" s="29"/>
      <c r="H133" s="25"/>
      <c r="I133" s="22">
        <f t="shared" si="6"/>
        <v>0</v>
      </c>
      <c r="J133" s="22"/>
      <c r="K133" s="22">
        <f t="shared" si="8"/>
        <v>0</v>
      </c>
      <c r="L133" s="22"/>
      <c r="M133" s="22"/>
    </row>
    <row r="134" spans="2:13" x14ac:dyDescent="0.25">
      <c r="B134" s="1" t="s">
        <v>138</v>
      </c>
      <c r="C134" s="30" t="s">
        <v>137</v>
      </c>
      <c r="D134" s="20"/>
      <c r="E134" s="21">
        <f>'JANUARY 20'!K120:K154</f>
        <v>0</v>
      </c>
      <c r="F134" s="31">
        <v>8000</v>
      </c>
      <c r="G134" s="31">
        <v>680</v>
      </c>
      <c r="H134" s="25">
        <v>200</v>
      </c>
      <c r="I134" s="22">
        <f>D134+E134+F134+G134+H134</f>
        <v>8880</v>
      </c>
      <c r="J134" s="22">
        <v>5000</v>
      </c>
      <c r="K134" s="22">
        <f t="shared" si="8"/>
        <v>3880</v>
      </c>
      <c r="L134" s="22"/>
      <c r="M134" s="22"/>
    </row>
    <row r="135" spans="2:13" x14ac:dyDescent="0.25">
      <c r="B135" s="32" t="s">
        <v>10</v>
      </c>
      <c r="C135" s="18"/>
      <c r="D135" s="20">
        <f t="shared" ref="D135:M135" si="9">SUM(D101:D134)</f>
        <v>6500</v>
      </c>
      <c r="E135" s="21" t="e">
        <f t="shared" si="9"/>
        <v>#VALUE!</v>
      </c>
      <c r="F135" s="33">
        <f t="shared" si="9"/>
        <v>178500</v>
      </c>
      <c r="G135" s="57">
        <f t="shared" si="9"/>
        <v>12410</v>
      </c>
      <c r="H135" s="33">
        <f t="shared" si="9"/>
        <v>5600</v>
      </c>
      <c r="I135" s="22" t="e">
        <f t="shared" si="9"/>
        <v>#VALUE!</v>
      </c>
      <c r="J135" s="22">
        <f t="shared" si="9"/>
        <v>96840</v>
      </c>
      <c r="K135" s="22" t="e">
        <f t="shared" si="9"/>
        <v>#VALUE!</v>
      </c>
      <c r="L135" s="22">
        <f t="shared" si="9"/>
        <v>2000</v>
      </c>
      <c r="M135" s="22">
        <f t="shared" si="9"/>
        <v>1000</v>
      </c>
    </row>
    <row r="136" spans="2:13" x14ac:dyDescent="0.25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</row>
    <row r="137" spans="2:13" x14ac:dyDescent="0.25">
      <c r="B137" s="7"/>
      <c r="C137" s="7"/>
      <c r="D137" s="7"/>
      <c r="E137" s="7"/>
      <c r="F137" s="7"/>
      <c r="G137" s="54"/>
      <c r="H137" s="7"/>
      <c r="I137" s="7"/>
      <c r="J137" s="7"/>
      <c r="K137" s="54"/>
      <c r="L137" s="54"/>
      <c r="M137" s="7"/>
    </row>
    <row r="138" spans="2:13" x14ac:dyDescent="0.25">
      <c r="B138" s="7"/>
      <c r="C138" s="7"/>
      <c r="D138" s="7"/>
      <c r="E138" s="7"/>
      <c r="F138" s="7"/>
      <c r="G138" s="54"/>
      <c r="H138" s="7"/>
      <c r="I138" s="7"/>
      <c r="J138" s="7"/>
      <c r="K138" s="54"/>
      <c r="L138" s="54"/>
      <c r="M138" s="7"/>
    </row>
    <row r="139" spans="2:13" x14ac:dyDescent="0.25">
      <c r="B139" s="7"/>
      <c r="C139" s="7"/>
      <c r="D139" s="7"/>
      <c r="E139" s="7"/>
      <c r="F139" s="7"/>
      <c r="G139" s="54"/>
      <c r="H139" s="7"/>
      <c r="I139" s="7"/>
      <c r="J139" s="7"/>
      <c r="K139" s="7"/>
      <c r="L139" s="7"/>
      <c r="M139" s="7"/>
    </row>
    <row r="140" spans="2:13" x14ac:dyDescent="0.25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</row>
    <row r="141" spans="2:13" x14ac:dyDescent="0.25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</row>
    <row r="142" spans="2:13" x14ac:dyDescent="0.25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</row>
    <row r="143" spans="2:13" x14ac:dyDescent="0.25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</row>
    <row r="144" spans="2:13" x14ac:dyDescent="0.25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</row>
    <row r="145" spans="2:13" x14ac:dyDescent="0.25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</row>
    <row r="146" spans="2:13" x14ac:dyDescent="0.25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</row>
    <row r="147" spans="2:13" x14ac:dyDescent="0.25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</row>
    <row r="148" spans="2:13" x14ac:dyDescent="0.25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</row>
    <row r="149" spans="2:13" x14ac:dyDescent="0.25">
      <c r="B149" s="7" t="s">
        <v>11</v>
      </c>
      <c r="C149" s="34"/>
      <c r="D149" s="35"/>
      <c r="E149" s="36"/>
      <c r="F149" s="37"/>
      <c r="G149" s="37"/>
      <c r="H149" s="37"/>
      <c r="I149" s="38"/>
      <c r="J149" s="37"/>
      <c r="K149" s="37"/>
      <c r="L149" s="37"/>
      <c r="M149" s="37"/>
    </row>
    <row r="150" spans="2:13" x14ac:dyDescent="0.25">
      <c r="B150" s="39" t="s">
        <v>12</v>
      </c>
      <c r="C150" s="39"/>
      <c r="D150" s="39"/>
      <c r="E150" s="40"/>
      <c r="F150" s="39" t="s">
        <v>8</v>
      </c>
      <c r="G150" s="39"/>
      <c r="H150" s="39"/>
      <c r="I150" s="7"/>
      <c r="J150" s="7"/>
      <c r="K150" s="7"/>
      <c r="L150" s="7"/>
      <c r="M150" s="7"/>
    </row>
    <row r="151" spans="2:13" x14ac:dyDescent="0.25">
      <c r="B151" s="41" t="s">
        <v>13</v>
      </c>
      <c r="C151" s="41" t="s">
        <v>14</v>
      </c>
      <c r="D151" s="41" t="s">
        <v>15</v>
      </c>
      <c r="E151" s="41" t="s">
        <v>16</v>
      </c>
      <c r="F151" s="41" t="s">
        <v>13</v>
      </c>
      <c r="G151" s="41"/>
      <c r="H151" s="41"/>
      <c r="I151" s="41" t="s">
        <v>14</v>
      </c>
      <c r="J151" s="41" t="s">
        <v>15</v>
      </c>
      <c r="K151" s="41" t="s">
        <v>16</v>
      </c>
      <c r="L151" s="41"/>
      <c r="M151" s="41"/>
    </row>
    <row r="152" spans="2:13" x14ac:dyDescent="0.25">
      <c r="B152" s="18" t="s">
        <v>119</v>
      </c>
      <c r="C152" s="42">
        <f>F135</f>
        <v>178500</v>
      </c>
      <c r="D152" s="18"/>
      <c r="E152" s="18"/>
      <c r="F152" s="18" t="s">
        <v>119</v>
      </c>
      <c r="G152" s="18"/>
      <c r="H152" s="18"/>
      <c r="I152" s="42">
        <f>J135</f>
        <v>96840</v>
      </c>
      <c r="J152" s="18"/>
      <c r="K152" s="18"/>
      <c r="L152" s="18"/>
      <c r="M152" s="18"/>
    </row>
    <row r="153" spans="2:13" x14ac:dyDescent="0.25">
      <c r="B153" s="18" t="s">
        <v>18</v>
      </c>
      <c r="C153" s="42">
        <f>'JANUARY 20'!E155</f>
        <v>-10813</v>
      </c>
      <c r="D153" s="18"/>
      <c r="E153" s="18"/>
      <c r="F153" s="18" t="s">
        <v>18</v>
      </c>
      <c r="G153" s="18"/>
      <c r="H153" s="18"/>
      <c r="I153" s="42">
        <f>'JANUARY 20'!K155</f>
        <v>-39893</v>
      </c>
      <c r="J153" s="18"/>
      <c r="K153" s="18"/>
      <c r="L153" s="18"/>
      <c r="M153" s="18"/>
    </row>
    <row r="154" spans="2:13" x14ac:dyDescent="0.25">
      <c r="B154" s="18" t="s">
        <v>19</v>
      </c>
      <c r="C154" s="42">
        <v>6500</v>
      </c>
      <c r="D154" s="18"/>
      <c r="E154" s="18"/>
      <c r="F154" s="18"/>
      <c r="G154" s="18"/>
      <c r="H154" s="18"/>
      <c r="I154" s="42"/>
      <c r="J154" s="18"/>
      <c r="K154" s="18"/>
      <c r="L154" s="18"/>
      <c r="M154" s="18"/>
    </row>
    <row r="155" spans="2:13" x14ac:dyDescent="0.25">
      <c r="B155" s="18" t="s">
        <v>63</v>
      </c>
      <c r="C155" s="42">
        <f>G135</f>
        <v>12410</v>
      </c>
      <c r="D155" s="18"/>
      <c r="E155" s="18"/>
      <c r="F155" s="18"/>
      <c r="G155" s="18"/>
      <c r="H155" s="18"/>
      <c r="I155" s="42"/>
      <c r="J155" s="18"/>
      <c r="K155" s="18"/>
      <c r="L155" s="18"/>
      <c r="M155" s="18"/>
    </row>
    <row r="156" spans="2:13" x14ac:dyDescent="0.25">
      <c r="B156" s="18" t="s">
        <v>62</v>
      </c>
      <c r="C156" s="42">
        <f>L135</f>
        <v>2000</v>
      </c>
      <c r="D156" s="18"/>
      <c r="E156" s="18"/>
      <c r="F156" s="18"/>
      <c r="G156" s="18"/>
      <c r="H156" s="18"/>
      <c r="I156" s="42"/>
      <c r="J156" s="18"/>
      <c r="K156" s="18"/>
      <c r="L156" s="18"/>
      <c r="M156" s="18"/>
    </row>
    <row r="157" spans="2:13" x14ac:dyDescent="0.25">
      <c r="B157" s="18" t="s">
        <v>96</v>
      </c>
      <c r="C157" s="42">
        <f>H135</f>
        <v>5600</v>
      </c>
      <c r="D157" s="18"/>
      <c r="E157" s="18"/>
      <c r="F157" s="18" t="s">
        <v>126</v>
      </c>
      <c r="G157" s="18"/>
      <c r="H157" s="18"/>
      <c r="I157" s="42">
        <v>1000</v>
      </c>
      <c r="J157" s="18"/>
      <c r="K157" s="18"/>
      <c r="L157" s="18"/>
      <c r="M157" s="18"/>
    </row>
    <row r="158" spans="2:13" x14ac:dyDescent="0.25">
      <c r="B158" s="18" t="s">
        <v>126</v>
      </c>
      <c r="C158" s="47">
        <f>M135</f>
        <v>1000</v>
      </c>
      <c r="D158" s="18"/>
      <c r="E158" s="18"/>
      <c r="F158" s="18" t="s">
        <v>144</v>
      </c>
      <c r="G158" s="47"/>
      <c r="H158" s="18"/>
      <c r="I158" s="42">
        <v>4753</v>
      </c>
      <c r="J158" s="18"/>
      <c r="K158" s="18"/>
      <c r="L158" s="18"/>
      <c r="M158" s="18"/>
    </row>
    <row r="159" spans="2:13" x14ac:dyDescent="0.25">
      <c r="B159" s="18" t="s">
        <v>144</v>
      </c>
      <c r="C159" s="47">
        <v>3145</v>
      </c>
      <c r="D159" s="42"/>
      <c r="E159" s="18"/>
      <c r="F159" s="18"/>
      <c r="G159" s="47"/>
      <c r="H159" s="18"/>
      <c r="I159" s="44"/>
      <c r="J159" s="42"/>
      <c r="K159" s="42"/>
      <c r="L159" s="42"/>
      <c r="M159" s="42"/>
    </row>
    <row r="160" spans="2:13" x14ac:dyDescent="0.25">
      <c r="B160" s="41" t="s">
        <v>21</v>
      </c>
      <c r="C160" s="18" t="s">
        <v>22</v>
      </c>
      <c r="D160" s="18"/>
      <c r="E160" s="18"/>
      <c r="F160" s="41" t="s">
        <v>21</v>
      </c>
      <c r="G160" s="41"/>
      <c r="H160" s="41"/>
      <c r="I160" s="47"/>
      <c r="J160" s="18"/>
      <c r="K160" s="18"/>
      <c r="L160" s="18"/>
      <c r="M160" s="18"/>
    </row>
    <row r="161" spans="2:14" x14ac:dyDescent="0.25">
      <c r="B161" s="46" t="s">
        <v>111</v>
      </c>
      <c r="C161" s="44">
        <v>0.05</v>
      </c>
      <c r="D161" s="18">
        <f>C161*C152</f>
        <v>8925</v>
      </c>
      <c r="E161" s="18"/>
      <c r="F161" s="46" t="s">
        <v>111</v>
      </c>
      <c r="G161" s="46"/>
      <c r="H161" s="46"/>
      <c r="I161" s="44">
        <v>0.05</v>
      </c>
      <c r="J161" s="18">
        <f>I161*C152</f>
        <v>8925</v>
      </c>
      <c r="K161" s="18"/>
      <c r="L161" s="18"/>
      <c r="M161" s="18"/>
    </row>
    <row r="162" spans="2:14" x14ac:dyDescent="0.25">
      <c r="B162" s="46" t="s">
        <v>154</v>
      </c>
      <c r="C162" s="44"/>
      <c r="D162" s="18">
        <v>13080</v>
      </c>
      <c r="E162" s="18"/>
      <c r="F162" s="46"/>
      <c r="G162" s="46"/>
      <c r="H162" s="46"/>
      <c r="I162" s="44"/>
      <c r="J162" s="18"/>
      <c r="K162" s="18"/>
      <c r="L162" s="18"/>
      <c r="M162" s="18"/>
    </row>
    <row r="163" spans="2:14" x14ac:dyDescent="0.25">
      <c r="B163" s="46" t="s">
        <v>155</v>
      </c>
      <c r="C163" s="44"/>
      <c r="D163" s="18">
        <v>7210</v>
      </c>
      <c r="E163" s="18"/>
      <c r="F163" s="46"/>
      <c r="G163" s="46"/>
      <c r="H163" s="46"/>
      <c r="I163" s="44"/>
      <c r="J163" s="18"/>
      <c r="K163" s="18"/>
      <c r="L163" s="18"/>
      <c r="M163" s="18"/>
      <c r="N163">
        <f>15555-12410</f>
        <v>3145</v>
      </c>
    </row>
    <row r="164" spans="2:14" x14ac:dyDescent="0.25">
      <c r="B164" s="46" t="s">
        <v>157</v>
      </c>
      <c r="C164" s="44"/>
      <c r="D164" s="18"/>
      <c r="E164" s="18"/>
      <c r="F164" s="46"/>
      <c r="G164" s="46"/>
      <c r="H164" s="46"/>
      <c r="I164" s="44"/>
      <c r="J164" s="18"/>
      <c r="K164" s="18"/>
      <c r="L164" s="18"/>
      <c r="M164" s="18"/>
    </row>
    <row r="165" spans="2:14" x14ac:dyDescent="0.25">
      <c r="B165" s="48" t="s">
        <v>140</v>
      </c>
      <c r="C165" s="18"/>
      <c r="D165" s="47">
        <v>152300</v>
      </c>
      <c r="E165" s="18"/>
      <c r="F165" s="48" t="s">
        <v>140</v>
      </c>
      <c r="G165" s="18"/>
      <c r="H165" s="47"/>
      <c r="I165" s="18"/>
      <c r="J165" s="47">
        <v>152300</v>
      </c>
      <c r="K165" s="47"/>
      <c r="L165" s="47"/>
      <c r="M165" s="47"/>
    </row>
    <row r="166" spans="2:14" x14ac:dyDescent="0.25">
      <c r="B166" s="45"/>
      <c r="C166" s="44"/>
      <c r="D166" s="47"/>
      <c r="E166" s="18"/>
      <c r="F166" s="45"/>
      <c r="G166" s="44"/>
      <c r="H166" s="47"/>
      <c r="I166" s="44"/>
      <c r="J166" s="47"/>
      <c r="K166" s="18"/>
      <c r="L166" s="18"/>
      <c r="M166" s="18"/>
    </row>
    <row r="167" spans="2:14" x14ac:dyDescent="0.25">
      <c r="B167" s="48" t="s">
        <v>143</v>
      </c>
      <c r="C167" s="18"/>
      <c r="D167" s="47"/>
      <c r="E167" s="18"/>
      <c r="F167" s="48" t="s">
        <v>132</v>
      </c>
      <c r="G167" s="18"/>
      <c r="H167" s="47"/>
      <c r="I167" s="18"/>
      <c r="J167" s="47">
        <v>4755</v>
      </c>
      <c r="K167" s="18"/>
      <c r="L167" s="18"/>
      <c r="M167" s="18"/>
    </row>
    <row r="168" spans="2:14" x14ac:dyDescent="0.25">
      <c r="B168" s="41" t="s">
        <v>23</v>
      </c>
      <c r="C168" s="49">
        <f>C152+C153+C154+C155+C156+C157+C159+C158</f>
        <v>198342</v>
      </c>
      <c r="D168" s="49">
        <f>SUM(D161:D167)</f>
        <v>181515</v>
      </c>
      <c r="E168" s="49">
        <f>C168-D168</f>
        <v>16827</v>
      </c>
      <c r="F168" s="41" t="s">
        <v>23</v>
      </c>
      <c r="G168" s="41"/>
      <c r="H168" s="41"/>
      <c r="I168" s="49">
        <f>I152+I153+I155+I157+I158</f>
        <v>62700</v>
      </c>
      <c r="J168" s="49">
        <f>SUM(J161:J167)</f>
        <v>165980</v>
      </c>
      <c r="K168" s="49">
        <f>I168-J168</f>
        <v>-103280</v>
      </c>
      <c r="L168" s="49"/>
      <c r="M168" s="49"/>
    </row>
    <row r="169" spans="2:14" x14ac:dyDescent="0.25"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</row>
    <row r="170" spans="2:14" x14ac:dyDescent="0.25">
      <c r="B170" s="50" t="s">
        <v>24</v>
      </c>
      <c r="C170" s="51"/>
      <c r="D170" s="51" t="s">
        <v>25</v>
      </c>
      <c r="E170" s="52"/>
      <c r="F170" s="50"/>
      <c r="G170" s="50"/>
      <c r="H170" s="50"/>
      <c r="I170" s="50" t="s">
        <v>26</v>
      </c>
      <c r="J170" s="7"/>
      <c r="K170" s="7"/>
      <c r="L170" s="7"/>
      <c r="M170" s="7"/>
    </row>
    <row r="171" spans="2:14" x14ac:dyDescent="0.25">
      <c r="B171" s="7" t="s">
        <v>104</v>
      </c>
      <c r="C171" s="7"/>
      <c r="D171" s="7" t="s">
        <v>105</v>
      </c>
      <c r="E171" s="7"/>
      <c r="F171" s="7"/>
      <c r="G171" s="7"/>
      <c r="H171" s="7"/>
      <c r="I171" s="7" t="s">
        <v>27</v>
      </c>
      <c r="J171" s="7"/>
      <c r="K171" s="7"/>
      <c r="L171" s="7"/>
      <c r="M171" s="7"/>
    </row>
    <row r="172" spans="2:14" x14ac:dyDescent="0.25">
      <c r="B172" t="s">
        <v>148</v>
      </c>
      <c r="C172" s="53">
        <f>I10+I22+I29+I37+I23+I20+7210</f>
        <v>49120</v>
      </c>
    </row>
    <row r="174" spans="2:14" x14ac:dyDescent="0.25">
      <c r="B174" t="s">
        <v>153</v>
      </c>
      <c r="C174" s="53">
        <f>C172+'JANUARY 20'!C162</f>
        <v>84140</v>
      </c>
    </row>
    <row r="175" spans="2:14" x14ac:dyDescent="0.25">
      <c r="B175" s="53"/>
    </row>
    <row r="177" spans="5:5" x14ac:dyDescent="0.25">
      <c r="E177" s="5">
        <f>15555-C155</f>
        <v>3145</v>
      </c>
    </row>
  </sheetData>
  <pageMargins left="0" right="0" top="0.75" bottom="0.75" header="0.3" footer="0.3"/>
  <pageSetup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workbookViewId="0">
      <selection activeCell="G38" sqref="G38"/>
    </sheetView>
  </sheetViews>
  <sheetFormatPr defaultRowHeight="15" x14ac:dyDescent="0.25"/>
  <cols>
    <col min="1" max="1" width="16.42578125" customWidth="1"/>
    <col min="2" max="2" width="9" customWidth="1"/>
    <col min="3" max="3" width="10.140625" customWidth="1"/>
    <col min="4" max="4" width="9" bestFit="1" customWidth="1"/>
    <col min="5" max="5" width="7.5703125" customWidth="1"/>
    <col min="6" max="6" width="7.7109375" customWidth="1"/>
    <col min="7" max="7" width="9" bestFit="1" customWidth="1"/>
    <col min="8" max="8" width="9.42578125" customWidth="1"/>
    <col min="9" max="9" width="9" bestFit="1" customWidth="1"/>
    <col min="10" max="10" width="9.85546875" customWidth="1"/>
  </cols>
  <sheetData>
    <row r="1" spans="1:13" x14ac:dyDescent="0.2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</row>
    <row r="2" spans="1:13" ht="15.75" x14ac:dyDescent="0.25">
      <c r="A2" s="79"/>
      <c r="B2" s="100" t="s">
        <v>27</v>
      </c>
      <c r="C2" s="79"/>
      <c r="D2" s="100"/>
      <c r="E2" s="100"/>
      <c r="F2" s="100"/>
      <c r="G2" s="100"/>
      <c r="H2" s="101"/>
      <c r="I2" s="79"/>
      <c r="J2" s="79"/>
      <c r="K2" s="79"/>
      <c r="L2" s="79"/>
      <c r="M2" s="79"/>
    </row>
    <row r="3" spans="1:13" ht="15.75" x14ac:dyDescent="0.25">
      <c r="A3" s="79"/>
      <c r="B3" s="100" t="s">
        <v>0</v>
      </c>
      <c r="C3" s="100"/>
      <c r="D3" s="100"/>
      <c r="E3" s="100"/>
      <c r="F3" s="100"/>
      <c r="G3" s="100"/>
      <c r="H3" s="102"/>
      <c r="I3" s="79"/>
      <c r="J3" s="79"/>
      <c r="K3" s="79"/>
      <c r="L3" s="79"/>
      <c r="M3" s="79"/>
    </row>
    <row r="4" spans="1:13" ht="18.75" x14ac:dyDescent="0.3">
      <c r="A4" s="103"/>
      <c r="B4" s="100" t="s">
        <v>168</v>
      </c>
      <c r="C4" s="100"/>
      <c r="D4" s="100"/>
      <c r="E4" s="100"/>
      <c r="F4" s="100"/>
      <c r="G4" s="100"/>
      <c r="H4" s="104"/>
      <c r="I4" s="105"/>
      <c r="J4" s="105"/>
      <c r="K4" s="105"/>
      <c r="L4" s="105"/>
      <c r="M4" s="79"/>
    </row>
    <row r="5" spans="1:13" x14ac:dyDescent="0.25">
      <c r="A5" s="106" t="s">
        <v>2</v>
      </c>
      <c r="B5" s="106" t="s">
        <v>3</v>
      </c>
      <c r="C5" s="106" t="s">
        <v>4</v>
      </c>
      <c r="D5" s="107" t="s">
        <v>5</v>
      </c>
      <c r="E5" s="106" t="s">
        <v>6</v>
      </c>
      <c r="F5" s="106" t="s">
        <v>109</v>
      </c>
      <c r="G5" s="106" t="s">
        <v>96</v>
      </c>
      <c r="H5" s="108" t="s">
        <v>7</v>
      </c>
      <c r="I5" s="106" t="s">
        <v>8</v>
      </c>
      <c r="J5" s="106" t="s">
        <v>9</v>
      </c>
      <c r="K5" s="106" t="s">
        <v>91</v>
      </c>
      <c r="L5" s="106" t="s">
        <v>123</v>
      </c>
      <c r="M5" s="79"/>
    </row>
    <row r="6" spans="1:13" x14ac:dyDescent="0.25">
      <c r="A6" s="61" t="s">
        <v>61</v>
      </c>
      <c r="B6" s="68" t="s">
        <v>52</v>
      </c>
      <c r="C6" s="63"/>
      <c r="D6" s="64">
        <f>'FEBRUARY 20'!K6:K39</f>
        <v>0</v>
      </c>
      <c r="E6" s="66">
        <v>6000</v>
      </c>
      <c r="F6" s="66">
        <v>425</v>
      </c>
      <c r="G6" s="66">
        <v>200</v>
      </c>
      <c r="H6" s="66">
        <f>C6+D6+E6+F6+G6</f>
        <v>6625</v>
      </c>
      <c r="I6" s="66"/>
      <c r="J6" s="66">
        <f>H6-I6</f>
        <v>6625</v>
      </c>
      <c r="K6" s="66"/>
      <c r="L6" s="66"/>
      <c r="M6" s="79"/>
    </row>
    <row r="7" spans="1:13" x14ac:dyDescent="0.25">
      <c r="A7" s="59" t="s">
        <v>64</v>
      </c>
      <c r="B7" s="68" t="s">
        <v>51</v>
      </c>
      <c r="C7" s="63"/>
      <c r="D7" s="64">
        <f>30+51</f>
        <v>81</v>
      </c>
      <c r="E7" s="65">
        <v>6000</v>
      </c>
      <c r="F7" s="65">
        <v>612</v>
      </c>
      <c r="G7" s="65">
        <v>200</v>
      </c>
      <c r="H7" s="66">
        <f t="shared" ref="H7:H38" si="0">C7+D7+E7+F7+G7</f>
        <v>6893</v>
      </c>
      <c r="I7" s="66">
        <v>6500</v>
      </c>
      <c r="J7" s="66">
        <f>H7-I7</f>
        <v>393</v>
      </c>
      <c r="K7" s="66"/>
      <c r="L7" s="66"/>
      <c r="M7" s="79"/>
    </row>
    <row r="8" spans="1:13" x14ac:dyDescent="0.25">
      <c r="A8" s="59" t="s">
        <v>65</v>
      </c>
      <c r="B8" s="68" t="s">
        <v>54</v>
      </c>
      <c r="C8" s="63"/>
      <c r="D8" s="64">
        <f>'FEBRUARY 20'!K8:K41</f>
        <v>0</v>
      </c>
      <c r="E8" s="65"/>
      <c r="F8" s="65"/>
      <c r="G8" s="65"/>
      <c r="H8" s="66">
        <f t="shared" si="0"/>
        <v>0</v>
      </c>
      <c r="I8" s="66"/>
      <c r="J8" s="66">
        <f>H8-I8</f>
        <v>0</v>
      </c>
      <c r="K8" s="66"/>
      <c r="L8" s="66"/>
      <c r="M8" s="79"/>
    </row>
    <row r="9" spans="1:13" x14ac:dyDescent="0.25">
      <c r="A9" s="60" t="s">
        <v>66</v>
      </c>
      <c r="B9" s="68" t="s">
        <v>50</v>
      </c>
      <c r="C9" s="63"/>
      <c r="D9" s="64">
        <v>85</v>
      </c>
      <c r="E9" s="64">
        <v>6000</v>
      </c>
      <c r="F9" s="64">
        <v>714</v>
      </c>
      <c r="G9" s="65">
        <v>200</v>
      </c>
      <c r="H9" s="66">
        <f t="shared" si="0"/>
        <v>6999</v>
      </c>
      <c r="I9" s="66">
        <v>6999</v>
      </c>
      <c r="J9" s="66">
        <f>H9-I9</f>
        <v>0</v>
      </c>
      <c r="K9" s="66"/>
      <c r="L9" s="66"/>
      <c r="M9" s="79"/>
    </row>
    <row r="10" spans="1:13" x14ac:dyDescent="0.25">
      <c r="A10" s="59" t="s">
        <v>151</v>
      </c>
      <c r="B10" s="68" t="s">
        <v>49</v>
      </c>
      <c r="C10" s="63"/>
      <c r="D10" s="64">
        <v>68</v>
      </c>
      <c r="E10" s="65">
        <v>6000</v>
      </c>
      <c r="F10" s="65">
        <v>357</v>
      </c>
      <c r="G10" s="65">
        <v>200</v>
      </c>
      <c r="H10" s="66">
        <f t="shared" si="0"/>
        <v>6625</v>
      </c>
      <c r="I10" s="66">
        <v>6625</v>
      </c>
      <c r="J10" s="66">
        <f>H10-I10</f>
        <v>0</v>
      </c>
      <c r="K10" s="66"/>
      <c r="L10" s="66"/>
      <c r="M10" s="79"/>
    </row>
    <row r="11" spans="1:13" x14ac:dyDescent="0.25">
      <c r="A11" s="109" t="s">
        <v>117</v>
      </c>
      <c r="B11" s="68" t="s">
        <v>53</v>
      </c>
      <c r="C11" s="63"/>
      <c r="D11" s="64">
        <f>272+340</f>
        <v>612</v>
      </c>
      <c r="E11" s="65">
        <v>6000</v>
      </c>
      <c r="F11" s="65">
        <v>833</v>
      </c>
      <c r="G11" s="65">
        <v>200</v>
      </c>
      <c r="H11" s="66">
        <f t="shared" si="0"/>
        <v>7645</v>
      </c>
      <c r="I11" s="66">
        <v>6600</v>
      </c>
      <c r="J11" s="66">
        <f t="shared" ref="J11:J38" si="1">H11-I11</f>
        <v>1045</v>
      </c>
      <c r="K11" s="66"/>
      <c r="L11" s="66"/>
      <c r="M11" s="79"/>
    </row>
    <row r="12" spans="1:13" x14ac:dyDescent="0.25">
      <c r="A12" s="61" t="s">
        <v>68</v>
      </c>
      <c r="B12" s="68" t="s">
        <v>48</v>
      </c>
      <c r="C12" s="63"/>
      <c r="D12" s="64">
        <f>153+4000</f>
        <v>4153</v>
      </c>
      <c r="E12" s="65">
        <v>6000</v>
      </c>
      <c r="F12" s="65">
        <v>289</v>
      </c>
      <c r="G12" s="65"/>
      <c r="H12" s="66">
        <f t="shared" si="0"/>
        <v>10442</v>
      </c>
      <c r="I12" s="66"/>
      <c r="J12" s="66">
        <f t="shared" si="1"/>
        <v>10442</v>
      </c>
      <c r="K12" s="66"/>
      <c r="L12" s="66"/>
      <c r="M12" s="94">
        <f>J12-5059</f>
        <v>5383</v>
      </c>
    </row>
    <row r="13" spans="1:13" x14ac:dyDescent="0.25">
      <c r="A13" s="67" t="s">
        <v>67</v>
      </c>
      <c r="B13" s="68" t="s">
        <v>47</v>
      </c>
      <c r="C13" s="63"/>
      <c r="D13" s="64">
        <f>'FEBRUARY 20'!K13:K46</f>
        <v>0</v>
      </c>
      <c r="E13" s="65"/>
      <c r="F13" s="65"/>
      <c r="G13" s="65"/>
      <c r="H13" s="66">
        <f t="shared" si="0"/>
        <v>0</v>
      </c>
      <c r="I13" s="66"/>
      <c r="J13" s="66">
        <f t="shared" si="1"/>
        <v>0</v>
      </c>
      <c r="K13" s="66"/>
      <c r="L13" s="66"/>
      <c r="M13" s="79"/>
    </row>
    <row r="14" spans="1:13" x14ac:dyDescent="0.25">
      <c r="A14" s="61" t="s">
        <v>67</v>
      </c>
      <c r="B14" s="68" t="s">
        <v>46</v>
      </c>
      <c r="C14" s="63"/>
      <c r="D14" s="64">
        <f>'FEBRUARY 20'!K14:K47</f>
        <v>0</v>
      </c>
      <c r="E14" s="65"/>
      <c r="F14" s="65"/>
      <c r="G14" s="65"/>
      <c r="H14" s="66">
        <f t="shared" si="0"/>
        <v>0</v>
      </c>
      <c r="I14" s="66"/>
      <c r="J14" s="66">
        <f>H14-I14</f>
        <v>0</v>
      </c>
      <c r="K14" s="66"/>
      <c r="L14" s="66"/>
      <c r="M14" s="79"/>
    </row>
    <row r="15" spans="1:13" x14ac:dyDescent="0.25">
      <c r="A15" s="59" t="s">
        <v>156</v>
      </c>
      <c r="B15" s="68" t="s">
        <v>45</v>
      </c>
      <c r="C15" s="63"/>
      <c r="D15" s="64">
        <v>306</v>
      </c>
      <c r="E15" s="65">
        <v>6000</v>
      </c>
      <c r="F15" s="65">
        <v>1003</v>
      </c>
      <c r="G15" s="65">
        <v>200</v>
      </c>
      <c r="H15" s="66">
        <f t="shared" si="0"/>
        <v>7509</v>
      </c>
      <c r="I15" s="66">
        <v>6000</v>
      </c>
      <c r="J15" s="66">
        <f t="shared" si="1"/>
        <v>1509</v>
      </c>
      <c r="K15" s="66"/>
      <c r="L15" s="66"/>
      <c r="M15" s="79"/>
    </row>
    <row r="16" spans="1:13" x14ac:dyDescent="0.25">
      <c r="A16" s="60" t="s">
        <v>71</v>
      </c>
      <c r="B16" s="68" t="s">
        <v>44</v>
      </c>
      <c r="C16" s="63"/>
      <c r="D16" s="64">
        <f>187</f>
        <v>187</v>
      </c>
      <c r="E16" s="65">
        <v>5000</v>
      </c>
      <c r="F16" s="65">
        <v>476</v>
      </c>
      <c r="G16" s="65">
        <v>200</v>
      </c>
      <c r="H16" s="66">
        <f t="shared" si="0"/>
        <v>5863</v>
      </c>
      <c r="I16" s="66">
        <v>5600</v>
      </c>
      <c r="J16" s="66"/>
      <c r="K16" s="66"/>
      <c r="L16" s="66"/>
      <c r="M16" s="79"/>
    </row>
    <row r="17" spans="1:14" x14ac:dyDescent="0.25">
      <c r="A17" s="59" t="s">
        <v>72</v>
      </c>
      <c r="B17" s="68" t="s">
        <v>43</v>
      </c>
      <c r="C17" s="63"/>
      <c r="D17" s="64">
        <v>0</v>
      </c>
      <c r="E17" s="65">
        <v>6000</v>
      </c>
      <c r="F17" s="65">
        <v>340</v>
      </c>
      <c r="G17" s="65">
        <v>200</v>
      </c>
      <c r="H17" s="66">
        <f t="shared" si="0"/>
        <v>6540</v>
      </c>
      <c r="I17" s="66">
        <v>6340</v>
      </c>
      <c r="J17" s="66">
        <f t="shared" si="1"/>
        <v>200</v>
      </c>
      <c r="K17" s="66"/>
      <c r="L17" s="66"/>
      <c r="M17" s="110">
        <f>F12+153</f>
        <v>442</v>
      </c>
    </row>
    <row r="18" spans="1:14" x14ac:dyDescent="0.25">
      <c r="A18" s="61" t="s">
        <v>73</v>
      </c>
      <c r="B18" s="68" t="s">
        <v>42</v>
      </c>
      <c r="C18" s="63"/>
      <c r="D18" s="64">
        <v>284</v>
      </c>
      <c r="E18" s="65">
        <v>6000</v>
      </c>
      <c r="F18" s="65">
        <v>493</v>
      </c>
      <c r="G18" s="65">
        <v>200</v>
      </c>
      <c r="H18" s="66">
        <f t="shared" si="0"/>
        <v>6977</v>
      </c>
      <c r="I18" s="66">
        <v>6370</v>
      </c>
      <c r="J18" s="66">
        <f t="shared" si="1"/>
        <v>607</v>
      </c>
      <c r="K18" s="66"/>
      <c r="L18" s="66"/>
      <c r="M18" s="79"/>
      <c r="N18" s="4"/>
    </row>
    <row r="19" spans="1:14" x14ac:dyDescent="0.25">
      <c r="A19" s="60" t="s">
        <v>67</v>
      </c>
      <c r="B19" s="68" t="s">
        <v>41</v>
      </c>
      <c r="C19" s="63"/>
      <c r="D19" s="64"/>
      <c r="E19" s="65"/>
      <c r="F19" s="65"/>
      <c r="G19" s="65"/>
      <c r="H19" s="66">
        <f t="shared" si="0"/>
        <v>0</v>
      </c>
      <c r="I19" s="66"/>
      <c r="J19" s="66">
        <f t="shared" si="1"/>
        <v>0</v>
      </c>
      <c r="K19" s="66"/>
      <c r="L19" s="66"/>
      <c r="M19" s="79"/>
      <c r="N19" s="4"/>
    </row>
    <row r="20" spans="1:14" x14ac:dyDescent="0.25">
      <c r="A20" s="59" t="s">
        <v>75</v>
      </c>
      <c r="B20" s="68" t="s">
        <v>40</v>
      </c>
      <c r="C20" s="63"/>
      <c r="D20" s="64">
        <v>238</v>
      </c>
      <c r="E20" s="65">
        <v>6000</v>
      </c>
      <c r="F20" s="65">
        <v>748</v>
      </c>
      <c r="G20" s="65">
        <v>200</v>
      </c>
      <c r="H20" s="66">
        <f t="shared" si="0"/>
        <v>7186</v>
      </c>
      <c r="I20" s="66">
        <f>6948+238</f>
        <v>7186</v>
      </c>
      <c r="J20" s="66">
        <f t="shared" si="1"/>
        <v>0</v>
      </c>
      <c r="K20" s="66"/>
      <c r="L20" s="66"/>
      <c r="M20" s="79"/>
    </row>
    <row r="21" spans="1:14" x14ac:dyDescent="0.25">
      <c r="A21" s="61" t="s">
        <v>76</v>
      </c>
      <c r="B21" s="111" t="s">
        <v>39</v>
      </c>
      <c r="C21" s="63"/>
      <c r="D21" s="64">
        <f>'FEBRUARY 20'!K21</f>
        <v>710</v>
      </c>
      <c r="E21" s="65">
        <v>6000</v>
      </c>
      <c r="F21" s="65">
        <v>136</v>
      </c>
      <c r="G21" s="65">
        <v>200</v>
      </c>
      <c r="H21" s="66">
        <f>C21+D21+E21+F21+G21</f>
        <v>7046</v>
      </c>
      <c r="I21" s="66">
        <v>6400</v>
      </c>
      <c r="J21" s="66">
        <f t="shared" si="1"/>
        <v>646</v>
      </c>
      <c r="K21" s="66"/>
      <c r="L21" s="66"/>
      <c r="M21" s="79"/>
    </row>
    <row r="22" spans="1:14" x14ac:dyDescent="0.25">
      <c r="A22" s="61" t="s">
        <v>150</v>
      </c>
      <c r="B22" s="68" t="s">
        <v>38</v>
      </c>
      <c r="C22" s="63"/>
      <c r="D22" s="64">
        <f>'FEBRUARY 20'!K22:K55</f>
        <v>0</v>
      </c>
      <c r="E22" s="65">
        <v>6000</v>
      </c>
      <c r="F22" s="65">
        <v>510</v>
      </c>
      <c r="G22" s="65">
        <v>200</v>
      </c>
      <c r="H22" s="66">
        <f t="shared" si="0"/>
        <v>6710</v>
      </c>
      <c r="I22" s="66">
        <v>6710</v>
      </c>
      <c r="J22" s="66">
        <f t="shared" si="1"/>
        <v>0</v>
      </c>
      <c r="K22" s="66"/>
      <c r="L22" s="66"/>
      <c r="M22" s="79"/>
      <c r="N22" s="53">
        <f>E21+F21+G21</f>
        <v>6336</v>
      </c>
    </row>
    <row r="23" spans="1:14" x14ac:dyDescent="0.25">
      <c r="A23" s="59" t="s">
        <v>78</v>
      </c>
      <c r="B23" s="68" t="s">
        <v>37</v>
      </c>
      <c r="C23" s="63"/>
      <c r="D23" s="64">
        <f>'FEBRUARY 20'!K23:K56</f>
        <v>0</v>
      </c>
      <c r="E23" s="65">
        <v>6000</v>
      </c>
      <c r="F23" s="65">
        <v>170</v>
      </c>
      <c r="G23" s="65">
        <v>200</v>
      </c>
      <c r="H23" s="66">
        <f t="shared" si="0"/>
        <v>6370</v>
      </c>
      <c r="I23" s="66">
        <v>6370</v>
      </c>
      <c r="J23" s="66">
        <f t="shared" si="1"/>
        <v>0</v>
      </c>
      <c r="K23" s="66"/>
      <c r="L23" s="66"/>
      <c r="M23" s="79"/>
      <c r="N23" s="53">
        <f>6400-N22</f>
        <v>64</v>
      </c>
    </row>
    <row r="24" spans="1:14" x14ac:dyDescent="0.25">
      <c r="A24" s="61" t="s">
        <v>79</v>
      </c>
      <c r="B24" s="62" t="s">
        <v>28</v>
      </c>
      <c r="C24" s="63"/>
      <c r="D24" s="64">
        <f>'FEBRUARY 20'!K24:K57</f>
        <v>1005</v>
      </c>
      <c r="E24" s="65">
        <v>6500</v>
      </c>
      <c r="F24" s="65"/>
      <c r="G24" s="65"/>
      <c r="H24" s="66">
        <f t="shared" si="0"/>
        <v>7505</v>
      </c>
      <c r="I24" s="66">
        <v>6500</v>
      </c>
      <c r="J24" s="66">
        <f>H24-I24</f>
        <v>1005</v>
      </c>
      <c r="K24" s="66"/>
      <c r="L24" s="66"/>
      <c r="M24" s="79"/>
    </row>
    <row r="25" spans="1:14" x14ac:dyDescent="0.25">
      <c r="A25" s="61" t="s">
        <v>80</v>
      </c>
      <c r="B25" s="62" t="s">
        <v>29</v>
      </c>
      <c r="C25" s="63"/>
      <c r="D25" s="64">
        <f>'FEBRUARY 20'!K25:K58+241</f>
        <v>241</v>
      </c>
      <c r="E25" s="65">
        <v>6500</v>
      </c>
      <c r="F25" s="65">
        <v>544</v>
      </c>
      <c r="G25" s="65">
        <v>200</v>
      </c>
      <c r="H25" s="66">
        <f t="shared" si="0"/>
        <v>7485</v>
      </c>
      <c r="I25" s="66">
        <v>7336</v>
      </c>
      <c r="J25" s="66">
        <f t="shared" si="1"/>
        <v>149</v>
      </c>
      <c r="K25" s="66"/>
      <c r="L25" s="66"/>
      <c r="M25" s="79"/>
      <c r="N25" s="53"/>
    </row>
    <row r="26" spans="1:14" x14ac:dyDescent="0.25">
      <c r="A26" s="61" t="s">
        <v>81</v>
      </c>
      <c r="B26" s="62" t="s">
        <v>30</v>
      </c>
      <c r="C26" s="63"/>
      <c r="D26" s="64">
        <f>'FEBRUARY 20'!K26:K59+221</f>
        <v>221</v>
      </c>
      <c r="E26" s="65">
        <v>6500</v>
      </c>
      <c r="F26" s="65">
        <v>1139</v>
      </c>
      <c r="G26" s="65">
        <v>200</v>
      </c>
      <c r="H26" s="66">
        <f t="shared" si="0"/>
        <v>8060</v>
      </c>
      <c r="I26" s="66">
        <v>6700</v>
      </c>
      <c r="J26" s="66">
        <f t="shared" si="1"/>
        <v>1360</v>
      </c>
      <c r="K26" s="66"/>
      <c r="L26" s="66"/>
      <c r="M26" s="112"/>
    </row>
    <row r="27" spans="1:14" x14ac:dyDescent="0.25">
      <c r="A27" s="61" t="s">
        <v>82</v>
      </c>
      <c r="B27" s="62" t="s">
        <v>55</v>
      </c>
      <c r="C27" s="63"/>
      <c r="D27" s="64">
        <f>'FEBRUARY 20'!K27:K60</f>
        <v>0</v>
      </c>
      <c r="E27" s="65">
        <v>6500</v>
      </c>
      <c r="F27" s="65">
        <v>510</v>
      </c>
      <c r="G27" s="65">
        <v>200</v>
      </c>
      <c r="H27" s="66">
        <f t="shared" si="0"/>
        <v>7210</v>
      </c>
      <c r="I27" s="66">
        <v>7210</v>
      </c>
      <c r="J27" s="66">
        <f t="shared" si="1"/>
        <v>0</v>
      </c>
      <c r="K27" s="66"/>
      <c r="L27" s="66"/>
      <c r="M27" s="112"/>
    </row>
    <row r="28" spans="1:14" x14ac:dyDescent="0.25">
      <c r="A28" s="61" t="s">
        <v>83</v>
      </c>
      <c r="B28" s="62" t="s">
        <v>56</v>
      </c>
      <c r="C28" s="63"/>
      <c r="D28" s="64">
        <f>'FEBRUARY 20'!K28:K61+476</f>
        <v>12926</v>
      </c>
      <c r="E28" s="65">
        <v>8000</v>
      </c>
      <c r="F28" s="65">
        <v>425</v>
      </c>
      <c r="G28" s="65">
        <v>200</v>
      </c>
      <c r="H28" s="66">
        <f t="shared" si="0"/>
        <v>21551</v>
      </c>
      <c r="I28" s="66">
        <v>8000</v>
      </c>
      <c r="J28" s="66">
        <f t="shared" si="1"/>
        <v>13551</v>
      </c>
      <c r="K28" s="66"/>
      <c r="L28" s="66"/>
      <c r="M28" s="94"/>
      <c r="N28" s="53">
        <f>M28-500</f>
        <v>-500</v>
      </c>
    </row>
    <row r="29" spans="1:14" x14ac:dyDescent="0.25">
      <c r="A29" s="61" t="s">
        <v>128</v>
      </c>
      <c r="B29" s="62" t="s">
        <v>57</v>
      </c>
      <c r="C29" s="63"/>
      <c r="D29" s="64">
        <v>119</v>
      </c>
      <c r="E29" s="65">
        <v>6500</v>
      </c>
      <c r="F29" s="65">
        <v>408</v>
      </c>
      <c r="G29" s="65">
        <v>200</v>
      </c>
      <c r="H29" s="66">
        <f t="shared" si="0"/>
        <v>7227</v>
      </c>
      <c r="I29" s="66">
        <v>7110</v>
      </c>
      <c r="J29" s="66">
        <f t="shared" si="1"/>
        <v>117</v>
      </c>
      <c r="K29" s="66"/>
      <c r="L29" s="66"/>
      <c r="M29" s="79"/>
      <c r="N29" s="53"/>
    </row>
    <row r="30" spans="1:14" x14ac:dyDescent="0.25">
      <c r="A30" s="61" t="s">
        <v>92</v>
      </c>
      <c r="B30" s="62" t="s">
        <v>58</v>
      </c>
      <c r="C30" s="63"/>
      <c r="D30" s="64">
        <f>'FEBRUARY 20'!K30:K63+170</f>
        <v>8229</v>
      </c>
      <c r="E30" s="65">
        <v>6500</v>
      </c>
      <c r="F30" s="65">
        <v>969</v>
      </c>
      <c r="G30" s="65">
        <v>200</v>
      </c>
      <c r="H30" s="66">
        <f>C30+D30+E30+F30+G30</f>
        <v>15898</v>
      </c>
      <c r="I30" s="66">
        <v>15898</v>
      </c>
      <c r="J30" s="66">
        <f t="shared" si="1"/>
        <v>0</v>
      </c>
      <c r="K30" s="66"/>
      <c r="L30" s="66"/>
      <c r="M30" s="79"/>
    </row>
    <row r="31" spans="1:14" x14ac:dyDescent="0.25">
      <c r="A31" s="61" t="s">
        <v>74</v>
      </c>
      <c r="B31" s="62" t="s">
        <v>59</v>
      </c>
      <c r="C31" s="63"/>
      <c r="D31" s="64">
        <f>'FEBRUARY 20'!K31:K64+170</f>
        <v>320</v>
      </c>
      <c r="E31" s="65">
        <v>6500</v>
      </c>
      <c r="F31" s="65">
        <v>476</v>
      </c>
      <c r="G31" s="65">
        <v>200</v>
      </c>
      <c r="H31" s="66">
        <f t="shared" si="0"/>
        <v>7496</v>
      </c>
      <c r="I31" s="66">
        <f>7200+296</f>
        <v>7496</v>
      </c>
      <c r="J31" s="66">
        <f t="shared" si="1"/>
        <v>0</v>
      </c>
      <c r="K31" s="66"/>
      <c r="L31" s="66"/>
      <c r="M31" s="79"/>
    </row>
    <row r="32" spans="1:14" x14ac:dyDescent="0.25">
      <c r="A32" s="61" t="s">
        <v>170</v>
      </c>
      <c r="B32" s="62" t="s">
        <v>60</v>
      </c>
      <c r="C32" s="63"/>
      <c r="D32" s="64">
        <f>'FEBRUARY 20'!K32:K65+153</f>
        <v>703</v>
      </c>
      <c r="E32" s="65">
        <v>6500</v>
      </c>
      <c r="F32" s="65">
        <v>663</v>
      </c>
      <c r="G32" s="65">
        <v>200</v>
      </c>
      <c r="H32" s="66">
        <f t="shared" si="0"/>
        <v>8066</v>
      </c>
      <c r="I32" s="66">
        <f>7350+200</f>
        <v>7550</v>
      </c>
      <c r="J32" s="66">
        <f t="shared" si="1"/>
        <v>516</v>
      </c>
      <c r="K32" s="66"/>
      <c r="L32" s="66"/>
      <c r="M32" s="79"/>
    </row>
    <row r="33" spans="1:14" x14ac:dyDescent="0.25">
      <c r="A33" s="61" t="s">
        <v>86</v>
      </c>
      <c r="B33" s="62" t="s">
        <v>31</v>
      </c>
      <c r="C33" s="63"/>
      <c r="D33" s="64">
        <f>'FEBRUARY 20'!K33:K66+323</f>
        <v>1513</v>
      </c>
      <c r="E33" s="65">
        <v>8000</v>
      </c>
      <c r="F33" s="65">
        <v>1156</v>
      </c>
      <c r="G33" s="65">
        <v>200</v>
      </c>
      <c r="H33" s="66">
        <f t="shared" si="0"/>
        <v>10869</v>
      </c>
      <c r="I33" s="66">
        <v>10869</v>
      </c>
      <c r="J33" s="66">
        <f>H33-I33</f>
        <v>0</v>
      </c>
      <c r="K33" s="66"/>
      <c r="L33" s="66"/>
      <c r="M33" s="79"/>
    </row>
    <row r="34" spans="1:14" x14ac:dyDescent="0.25">
      <c r="A34" s="61" t="s">
        <v>121</v>
      </c>
      <c r="B34" s="62" t="s">
        <v>32</v>
      </c>
      <c r="C34" s="63"/>
      <c r="D34" s="64">
        <f>'FEBRUARY 20'!K34:K67</f>
        <v>0</v>
      </c>
      <c r="E34" s="113">
        <v>6500</v>
      </c>
      <c r="F34" s="113">
        <v>255</v>
      </c>
      <c r="G34" s="65">
        <v>200</v>
      </c>
      <c r="H34" s="66">
        <f t="shared" si="0"/>
        <v>6955</v>
      </c>
      <c r="I34" s="66">
        <v>6955</v>
      </c>
      <c r="J34" s="66">
        <f t="shared" si="1"/>
        <v>0</v>
      </c>
      <c r="K34" s="66"/>
      <c r="L34" s="66"/>
      <c r="M34" s="79"/>
    </row>
    <row r="35" spans="1:14" x14ac:dyDescent="0.25">
      <c r="A35" s="60" t="s">
        <v>99</v>
      </c>
      <c r="B35" s="62" t="s">
        <v>33</v>
      </c>
      <c r="C35" s="63"/>
      <c r="D35" s="64">
        <f>'FEBRUARY 20'!K35:K68</f>
        <v>15697</v>
      </c>
      <c r="E35" s="113"/>
      <c r="F35" s="113"/>
      <c r="G35" s="65"/>
      <c r="H35" s="66">
        <f>C35+D35+E35+F35+G35</f>
        <v>15697</v>
      </c>
      <c r="I35" s="66"/>
      <c r="J35" s="66">
        <f t="shared" si="1"/>
        <v>15697</v>
      </c>
      <c r="K35" s="66"/>
      <c r="L35" s="66"/>
      <c r="M35" s="79">
        <v>357</v>
      </c>
    </row>
    <row r="36" spans="1:14" x14ac:dyDescent="0.25">
      <c r="A36" s="61" t="s">
        <v>89</v>
      </c>
      <c r="B36" s="62" t="s">
        <v>34</v>
      </c>
      <c r="C36" s="63"/>
      <c r="D36" s="64">
        <f>'FEBRUARY 20'!K36:K69+221</f>
        <v>221</v>
      </c>
      <c r="E36" s="113">
        <v>6500</v>
      </c>
      <c r="F36" s="113">
        <v>663</v>
      </c>
      <c r="G36" s="65">
        <v>200</v>
      </c>
      <c r="H36" s="66">
        <f t="shared" si="0"/>
        <v>7584</v>
      </c>
      <c r="I36" s="66">
        <v>7363</v>
      </c>
      <c r="J36" s="66">
        <f t="shared" si="1"/>
        <v>221</v>
      </c>
      <c r="K36" s="66"/>
      <c r="L36" s="66"/>
      <c r="M36" s="79"/>
      <c r="N36" s="53">
        <f>710-N23</f>
        <v>646</v>
      </c>
    </row>
    <row r="37" spans="1:14" x14ac:dyDescent="0.25">
      <c r="A37" s="61" t="s">
        <v>103</v>
      </c>
      <c r="B37" s="62" t="s">
        <v>35</v>
      </c>
      <c r="C37" s="63"/>
      <c r="D37" s="64">
        <f>'FEBRUARY 20'!K37:K70</f>
        <v>0</v>
      </c>
      <c r="E37" s="113">
        <v>6500</v>
      </c>
      <c r="F37" s="113">
        <v>510</v>
      </c>
      <c r="G37" s="65">
        <v>200</v>
      </c>
      <c r="H37" s="66">
        <f t="shared" si="0"/>
        <v>7210</v>
      </c>
      <c r="I37" s="66">
        <v>7210</v>
      </c>
      <c r="J37" s="66">
        <f>H37-I37</f>
        <v>0</v>
      </c>
      <c r="K37" s="66"/>
      <c r="L37" s="66"/>
      <c r="M37" s="79" t="s">
        <v>97</v>
      </c>
    </row>
    <row r="38" spans="1:14" x14ac:dyDescent="0.25">
      <c r="A38" s="61"/>
      <c r="B38" s="62"/>
      <c r="C38" s="63"/>
      <c r="D38" s="64">
        <f>'FEBRUARY 20'!K38:K71</f>
        <v>0</v>
      </c>
      <c r="E38" s="113"/>
      <c r="F38" s="113"/>
      <c r="G38" s="65"/>
      <c r="H38" s="66">
        <f t="shared" si="0"/>
        <v>0</v>
      </c>
      <c r="I38" s="66"/>
      <c r="J38" s="66">
        <f t="shared" si="1"/>
        <v>0</v>
      </c>
      <c r="K38" s="66"/>
      <c r="L38" s="66"/>
      <c r="M38" s="79"/>
    </row>
    <row r="39" spans="1:14" x14ac:dyDescent="0.25">
      <c r="A39" s="61" t="s">
        <v>138</v>
      </c>
      <c r="B39" s="114" t="s">
        <v>137</v>
      </c>
      <c r="C39" s="63"/>
      <c r="D39" s="64">
        <f>'FEBRUARY 20'!K39:K72</f>
        <v>4230</v>
      </c>
      <c r="E39" s="115">
        <v>8000</v>
      </c>
      <c r="F39" s="115">
        <v>680</v>
      </c>
      <c r="G39" s="65">
        <v>200</v>
      </c>
      <c r="H39" s="66">
        <f>C39+D39+E39+F39+G39</f>
        <v>13110</v>
      </c>
      <c r="I39" s="66">
        <f>3000+7000</f>
        <v>10000</v>
      </c>
      <c r="J39" s="66">
        <f>H39-I39</f>
        <v>3110</v>
      </c>
      <c r="K39" s="66"/>
      <c r="L39" s="66"/>
      <c r="M39" s="79"/>
      <c r="N39" s="53"/>
    </row>
    <row r="40" spans="1:14" x14ac:dyDescent="0.25">
      <c r="A40" s="116" t="s">
        <v>10</v>
      </c>
      <c r="B40" s="60"/>
      <c r="C40" s="63">
        <f t="shared" ref="C40:L40" si="2">SUM(C6:C39)</f>
        <v>0</v>
      </c>
      <c r="D40" s="64">
        <f t="shared" si="2"/>
        <v>52149</v>
      </c>
      <c r="E40" s="117">
        <f t="shared" si="2"/>
        <v>178500</v>
      </c>
      <c r="F40" s="118">
        <f t="shared" si="2"/>
        <v>15504</v>
      </c>
      <c r="G40" s="117">
        <f t="shared" si="2"/>
        <v>5200</v>
      </c>
      <c r="H40" s="66">
        <f t="shared" si="2"/>
        <v>251353</v>
      </c>
      <c r="I40" s="66">
        <f t="shared" si="2"/>
        <v>193897</v>
      </c>
      <c r="J40" s="66">
        <f t="shared" si="2"/>
        <v>57193</v>
      </c>
      <c r="K40" s="66">
        <f t="shared" si="2"/>
        <v>0</v>
      </c>
      <c r="L40" s="66">
        <f t="shared" si="2"/>
        <v>0</v>
      </c>
      <c r="M40" s="79"/>
    </row>
    <row r="41" spans="1:14" x14ac:dyDescent="0.25">
      <c r="A41" s="79"/>
      <c r="B41" s="79"/>
      <c r="C41" s="79"/>
      <c r="D41" s="79">
        <v>40620</v>
      </c>
      <c r="E41" s="79"/>
      <c r="F41" s="79"/>
      <c r="G41" s="79"/>
      <c r="H41" s="79"/>
      <c r="I41" s="94"/>
      <c r="J41" s="79"/>
      <c r="K41" s="79"/>
      <c r="L41" s="79"/>
      <c r="M41" s="79"/>
    </row>
    <row r="42" spans="1:14" x14ac:dyDescent="0.25">
      <c r="A42" s="7"/>
      <c r="B42" s="7"/>
      <c r="C42" s="7"/>
      <c r="D42" s="7"/>
      <c r="E42" s="7"/>
      <c r="F42" s="54"/>
      <c r="G42" s="7"/>
      <c r="H42" s="7"/>
      <c r="I42" s="7"/>
      <c r="J42" s="54"/>
      <c r="K42" s="54"/>
      <c r="L42" s="7"/>
    </row>
    <row r="43" spans="1:14" x14ac:dyDescent="0.25">
      <c r="A43" s="7"/>
      <c r="B43" s="7"/>
      <c r="C43" s="7"/>
      <c r="D43" s="54">
        <f>D41+E40+F40+G40</f>
        <v>239824</v>
      </c>
      <c r="E43" s="7"/>
      <c r="F43" s="54"/>
      <c r="G43" s="7"/>
      <c r="H43" s="7"/>
      <c r="I43" s="7"/>
      <c r="J43" s="54"/>
      <c r="K43" s="54"/>
      <c r="L43" s="7"/>
      <c r="M43" s="53"/>
    </row>
    <row r="44" spans="1:14" x14ac:dyDescent="0.25">
      <c r="A44" s="7"/>
      <c r="B44" s="7"/>
      <c r="C44" s="7"/>
      <c r="D44" s="54">
        <f>D43-I40</f>
        <v>45927</v>
      </c>
      <c r="E44" s="7"/>
      <c r="F44" s="54"/>
      <c r="G44" s="7"/>
      <c r="H44" s="7"/>
      <c r="I44" s="7"/>
      <c r="J44" s="7"/>
      <c r="K44" s="7"/>
      <c r="L44" s="7"/>
      <c r="M44" s="53"/>
    </row>
    <row r="45" spans="1:14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</row>
    <row r="46" spans="1:14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</row>
    <row r="47" spans="1:14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</row>
    <row r="48" spans="1:14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</row>
    <row r="49" spans="1:13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</row>
    <row r="50" spans="1:13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</row>
    <row r="51" spans="1:13" x14ac:dyDescent="0.25">
      <c r="A51" s="7"/>
      <c r="B51" s="7"/>
      <c r="C51" s="7"/>
      <c r="D51" s="7"/>
      <c r="E51" s="43"/>
      <c r="F51" s="7"/>
      <c r="G51" s="7"/>
      <c r="H51" s="7"/>
      <c r="I51" s="7"/>
      <c r="J51" s="7"/>
      <c r="K51" s="7"/>
      <c r="L51" s="7"/>
    </row>
    <row r="52" spans="1:13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</row>
    <row r="53" spans="1:13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</row>
    <row r="54" spans="1:13" x14ac:dyDescent="0.25">
      <c r="A54" s="79" t="s">
        <v>11</v>
      </c>
      <c r="B54" s="80"/>
      <c r="C54" s="81"/>
      <c r="D54" s="82"/>
      <c r="E54" s="83"/>
      <c r="F54" s="83"/>
      <c r="G54" s="83"/>
      <c r="H54" s="84"/>
      <c r="I54" s="83"/>
      <c r="J54" s="83"/>
      <c r="K54" s="83"/>
      <c r="L54" s="72"/>
    </row>
    <row r="55" spans="1:13" x14ac:dyDescent="0.25">
      <c r="A55" s="85" t="s">
        <v>12</v>
      </c>
      <c r="B55" s="85"/>
      <c r="C55" s="85"/>
      <c r="D55" s="86"/>
      <c r="E55" s="85" t="s">
        <v>8</v>
      </c>
      <c r="F55" s="85"/>
      <c r="G55" s="85"/>
      <c r="H55" s="79"/>
      <c r="I55" s="79"/>
      <c r="J55" s="79"/>
      <c r="K55" s="79"/>
      <c r="L55" s="71"/>
      <c r="M55" s="5"/>
    </row>
    <row r="56" spans="1:13" x14ac:dyDescent="0.25">
      <c r="A56" s="87" t="s">
        <v>13</v>
      </c>
      <c r="B56" s="87" t="s">
        <v>14</v>
      </c>
      <c r="C56" s="87" t="s">
        <v>15</v>
      </c>
      <c r="D56" s="87" t="s">
        <v>16</v>
      </c>
      <c r="E56" s="87" t="s">
        <v>13</v>
      </c>
      <c r="F56" s="87"/>
      <c r="G56" s="87"/>
      <c r="H56" s="87" t="s">
        <v>14</v>
      </c>
      <c r="I56" s="87" t="s">
        <v>15</v>
      </c>
      <c r="J56" s="87" t="s">
        <v>16</v>
      </c>
      <c r="K56" s="87"/>
      <c r="L56" s="73"/>
      <c r="M56" s="5"/>
    </row>
    <row r="57" spans="1:13" x14ac:dyDescent="0.25">
      <c r="A57" s="60" t="s">
        <v>169</v>
      </c>
      <c r="B57" s="88">
        <f>E40</f>
        <v>178500</v>
      </c>
      <c r="C57" s="60"/>
      <c r="D57" s="60"/>
      <c r="E57" s="60" t="s">
        <v>169</v>
      </c>
      <c r="F57" s="60"/>
      <c r="G57" s="60"/>
      <c r="H57" s="88">
        <f>I40</f>
        <v>193897</v>
      </c>
      <c r="I57" s="60"/>
      <c r="J57" s="60"/>
      <c r="K57" s="60"/>
      <c r="L57" s="74"/>
      <c r="M57" s="5"/>
    </row>
    <row r="58" spans="1:13" x14ac:dyDescent="0.25">
      <c r="A58" s="60" t="s">
        <v>18</v>
      </c>
      <c r="B58" s="88">
        <f>'FEBRUARY 20'!E84</f>
        <v>-25633</v>
      </c>
      <c r="C58" s="60"/>
      <c r="D58" s="60"/>
      <c r="E58" s="60" t="s">
        <v>18</v>
      </c>
      <c r="F58" s="60"/>
      <c r="G58" s="60"/>
      <c r="H58" s="88">
        <f>'FEBRUARY 20'!K84</f>
        <v>-61188</v>
      </c>
      <c r="I58" s="60"/>
      <c r="J58" s="60"/>
      <c r="K58" s="60"/>
      <c r="L58" s="74"/>
      <c r="M58" s="53"/>
    </row>
    <row r="59" spans="1:13" x14ac:dyDescent="0.25">
      <c r="A59" s="60" t="s">
        <v>19</v>
      </c>
      <c r="B59" s="88"/>
      <c r="C59" s="60"/>
      <c r="D59" s="60"/>
      <c r="E59" s="60"/>
      <c r="F59" s="60"/>
      <c r="G59" s="60"/>
      <c r="H59" s="88"/>
      <c r="I59" s="60"/>
      <c r="J59" s="60"/>
      <c r="K59" s="60"/>
      <c r="L59" s="74"/>
      <c r="M59" s="53"/>
    </row>
    <row r="60" spans="1:13" x14ac:dyDescent="0.25">
      <c r="A60" s="60" t="s">
        <v>63</v>
      </c>
      <c r="B60" s="88">
        <f>F40</f>
        <v>15504</v>
      </c>
      <c r="C60" s="60"/>
      <c r="D60" s="60"/>
      <c r="E60" s="60"/>
      <c r="F60" s="60"/>
      <c r="G60" s="60"/>
      <c r="H60" s="88"/>
      <c r="I60" s="60"/>
      <c r="J60" s="60"/>
      <c r="K60" s="60"/>
      <c r="L60" s="74"/>
    </row>
    <row r="61" spans="1:13" x14ac:dyDescent="0.25">
      <c r="A61" s="60" t="s">
        <v>62</v>
      </c>
      <c r="B61" s="88">
        <f>K40</f>
        <v>0</v>
      </c>
      <c r="C61" s="60"/>
      <c r="D61" s="60"/>
      <c r="E61" s="60"/>
      <c r="F61" s="60"/>
      <c r="G61" s="60"/>
      <c r="H61" s="88"/>
      <c r="I61" s="60"/>
      <c r="J61" s="60"/>
      <c r="K61" s="60"/>
      <c r="L61" s="74"/>
      <c r="M61" s="5"/>
    </row>
    <row r="62" spans="1:13" x14ac:dyDescent="0.25">
      <c r="A62" s="60" t="s">
        <v>96</v>
      </c>
      <c r="B62" s="88">
        <f>G40</f>
        <v>5200</v>
      </c>
      <c r="C62" s="60"/>
      <c r="D62" s="60"/>
      <c r="E62" s="60" t="s">
        <v>126</v>
      </c>
      <c r="F62" s="60"/>
      <c r="G62" s="60"/>
      <c r="H62" s="88"/>
      <c r="I62" s="60"/>
      <c r="J62" s="60"/>
      <c r="K62" s="60"/>
      <c r="L62" s="74"/>
      <c r="M62" s="5"/>
    </row>
    <row r="63" spans="1:13" x14ac:dyDescent="0.25">
      <c r="A63" s="60" t="s">
        <v>167</v>
      </c>
      <c r="B63" s="88">
        <f>20000+5629</f>
        <v>25629</v>
      </c>
      <c r="C63" s="60"/>
      <c r="D63" s="60"/>
      <c r="E63" s="60" t="s">
        <v>167</v>
      </c>
      <c r="F63" s="88"/>
      <c r="G63" s="60"/>
      <c r="H63" s="88">
        <f>B63</f>
        <v>25629</v>
      </c>
      <c r="I63" s="60"/>
      <c r="J63" s="60"/>
      <c r="K63" s="60"/>
      <c r="L63" s="74"/>
    </row>
    <row r="64" spans="1:13" x14ac:dyDescent="0.25">
      <c r="A64" s="60" t="s">
        <v>126</v>
      </c>
      <c r="B64" s="89"/>
      <c r="C64" s="88"/>
      <c r="D64" s="60"/>
      <c r="E64" s="60"/>
      <c r="F64" s="60"/>
      <c r="G64" s="60"/>
      <c r="H64" s="90"/>
      <c r="I64" s="88"/>
      <c r="J64" s="88"/>
      <c r="K64" s="88"/>
      <c r="L64" s="75"/>
    </row>
    <row r="65" spans="1:14" x14ac:dyDescent="0.25">
      <c r="A65" s="87" t="s">
        <v>21</v>
      </c>
      <c r="B65" s="60" t="s">
        <v>22</v>
      </c>
      <c r="C65" s="60"/>
      <c r="D65" s="60"/>
      <c r="E65" s="87" t="s">
        <v>21</v>
      </c>
      <c r="F65" s="87"/>
      <c r="G65" s="87"/>
      <c r="H65" s="89"/>
      <c r="I65" s="60"/>
      <c r="J65" s="60"/>
      <c r="K65" s="60"/>
      <c r="L65" s="74"/>
      <c r="N65" s="5"/>
    </row>
    <row r="66" spans="1:14" x14ac:dyDescent="0.25">
      <c r="A66" s="91" t="s">
        <v>111</v>
      </c>
      <c r="B66" s="90">
        <v>0.05</v>
      </c>
      <c r="C66" s="60">
        <f>B66*B57</f>
        <v>8925</v>
      </c>
      <c r="D66" s="60"/>
      <c r="E66" s="91" t="s">
        <v>111</v>
      </c>
      <c r="F66" s="91"/>
      <c r="G66" s="91"/>
      <c r="H66" s="90">
        <v>0.05</v>
      </c>
      <c r="I66" s="60">
        <f>H66*B57</f>
        <v>8925</v>
      </c>
      <c r="J66" s="60"/>
      <c r="K66" s="60"/>
      <c r="L66" s="74"/>
    </row>
    <row r="67" spans="1:14" x14ac:dyDescent="0.25">
      <c r="A67" s="92"/>
      <c r="B67" s="93"/>
      <c r="C67" s="90"/>
      <c r="D67" s="89"/>
      <c r="E67" s="92"/>
      <c r="F67" s="92"/>
      <c r="G67" s="92"/>
      <c r="H67" s="90"/>
      <c r="I67" s="89"/>
      <c r="J67" s="89"/>
      <c r="K67" s="89"/>
      <c r="L67" s="76"/>
    </row>
    <row r="68" spans="1:14" x14ac:dyDescent="0.25">
      <c r="A68" s="92" t="s">
        <v>171</v>
      </c>
      <c r="B68" s="90"/>
      <c r="C68" s="89">
        <v>184100</v>
      </c>
      <c r="D68" s="60"/>
      <c r="E68" s="92" t="s">
        <v>171</v>
      </c>
      <c r="F68" s="90"/>
      <c r="H68" s="90"/>
      <c r="I68" s="89">
        <v>184100</v>
      </c>
      <c r="J68" s="60"/>
      <c r="K68" s="60"/>
      <c r="L68" s="74"/>
      <c r="N68" s="5"/>
    </row>
    <row r="69" spans="1:14" x14ac:dyDescent="0.25">
      <c r="A69" s="60"/>
      <c r="B69" s="60"/>
      <c r="C69" s="94"/>
      <c r="D69" s="60"/>
      <c r="E69" s="60"/>
      <c r="F69" s="60"/>
      <c r="G69" s="94"/>
      <c r="H69" s="60"/>
      <c r="I69" s="94"/>
      <c r="J69" s="60"/>
      <c r="K69" s="60"/>
      <c r="L69" s="74"/>
    </row>
    <row r="70" spans="1:14" x14ac:dyDescent="0.25">
      <c r="A70" s="92"/>
      <c r="B70" s="60"/>
      <c r="C70" s="89"/>
      <c r="D70" s="60"/>
      <c r="E70" s="92"/>
      <c r="F70" s="60"/>
      <c r="G70" s="89"/>
      <c r="H70" s="91"/>
      <c r="I70" s="89"/>
      <c r="J70" s="89"/>
      <c r="K70" s="89"/>
      <c r="L70" s="76"/>
      <c r="N70" s="5"/>
    </row>
    <row r="71" spans="1:14" x14ac:dyDescent="0.25">
      <c r="A71" s="87" t="s">
        <v>23</v>
      </c>
      <c r="B71" s="96">
        <f>B57+B58+B59+B60+B61+B62+B64+B63</f>
        <v>199200</v>
      </c>
      <c r="C71" s="96">
        <f>SUM(C66:C70)</f>
        <v>193025</v>
      </c>
      <c r="D71" s="96">
        <f>B71-C71</f>
        <v>6175</v>
      </c>
      <c r="E71" s="87" t="s">
        <v>23</v>
      </c>
      <c r="F71" s="87"/>
      <c r="G71" s="87"/>
      <c r="H71" s="96">
        <f>H57+H58+H60+H62+H63</f>
        <v>158338</v>
      </c>
      <c r="I71" s="96">
        <f>SUM(I66:I70)</f>
        <v>193025</v>
      </c>
      <c r="J71" s="96">
        <f>H71-I71</f>
        <v>-34687</v>
      </c>
      <c r="K71" s="96"/>
      <c r="L71" s="77"/>
    </row>
    <row r="72" spans="1:14" x14ac:dyDescent="0.25">
      <c r="A72" s="79"/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1"/>
    </row>
    <row r="73" spans="1:14" x14ac:dyDescent="0.25">
      <c r="A73" s="97" t="s">
        <v>24</v>
      </c>
      <c r="B73" s="98"/>
      <c r="C73" s="98" t="s">
        <v>25</v>
      </c>
      <c r="D73" s="99"/>
      <c r="E73" s="97"/>
      <c r="F73" s="97"/>
      <c r="G73" s="97"/>
      <c r="H73" s="97" t="s">
        <v>26</v>
      </c>
      <c r="I73" s="79"/>
      <c r="J73" s="79"/>
      <c r="K73" s="79"/>
      <c r="L73" s="71"/>
    </row>
    <row r="74" spans="1:14" x14ac:dyDescent="0.25">
      <c r="A74" s="79" t="s">
        <v>104</v>
      </c>
      <c r="B74" s="79"/>
      <c r="C74" s="79" t="s">
        <v>105</v>
      </c>
      <c r="D74" s="79"/>
      <c r="E74" s="79"/>
      <c r="F74" s="79"/>
      <c r="G74" s="79"/>
      <c r="H74" s="79" t="s">
        <v>27</v>
      </c>
      <c r="I74" s="79"/>
      <c r="J74" s="79"/>
      <c r="K74" s="79"/>
      <c r="L74" s="71"/>
    </row>
    <row r="75" spans="1:14" x14ac:dyDescent="0.25">
      <c r="E75" s="53"/>
      <c r="N75" s="5"/>
    </row>
    <row r="76" spans="1:14" x14ac:dyDescent="0.25">
      <c r="C76" s="53"/>
    </row>
    <row r="77" spans="1:14" x14ac:dyDescent="0.25">
      <c r="E77" s="53"/>
    </row>
  </sheetData>
  <pageMargins left="0" right="0" top="0" bottom="0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workbookViewId="0">
      <selection activeCell="N9" sqref="N9"/>
    </sheetView>
  </sheetViews>
  <sheetFormatPr defaultRowHeight="15" x14ac:dyDescent="0.25"/>
  <cols>
    <col min="1" max="1" width="16.42578125" customWidth="1"/>
    <col min="3" max="3" width="9.5703125" bestFit="1" customWidth="1"/>
    <col min="4" max="4" width="9.5703125" customWidth="1"/>
    <col min="5" max="5" width="8.140625" customWidth="1"/>
    <col min="6" max="6" width="8" bestFit="1" customWidth="1"/>
    <col min="7" max="7" width="21.7109375" customWidth="1"/>
    <col min="8" max="8" width="11" customWidth="1"/>
    <col min="9" max="9" width="10.5703125" customWidth="1"/>
  </cols>
  <sheetData>
    <row r="1" spans="1:14" x14ac:dyDescent="0.2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</row>
    <row r="2" spans="1:14" ht="15.75" x14ac:dyDescent="0.25">
      <c r="A2" s="79"/>
      <c r="B2" s="100" t="s">
        <v>27</v>
      </c>
      <c r="C2" s="79"/>
      <c r="D2" s="100"/>
      <c r="E2" s="100"/>
      <c r="F2" s="100"/>
      <c r="G2" s="100"/>
      <c r="H2" s="101"/>
      <c r="I2" s="79"/>
      <c r="J2" s="79"/>
      <c r="K2" s="79"/>
      <c r="L2" s="79"/>
      <c r="M2" s="79"/>
    </row>
    <row r="3" spans="1:14" ht="15.75" x14ac:dyDescent="0.25">
      <c r="A3" s="79"/>
      <c r="B3" s="100" t="s">
        <v>0</v>
      </c>
      <c r="C3" s="100"/>
      <c r="D3" s="100"/>
      <c r="E3" s="100"/>
      <c r="F3" s="100"/>
      <c r="G3" s="100"/>
      <c r="H3" s="102"/>
      <c r="I3" s="79"/>
      <c r="J3" s="79"/>
      <c r="K3" s="79"/>
      <c r="L3" s="79"/>
      <c r="M3" s="79"/>
    </row>
    <row r="4" spans="1:14" ht="18.75" x14ac:dyDescent="0.3">
      <c r="A4" s="103"/>
      <c r="B4" s="100" t="s">
        <v>175</v>
      </c>
      <c r="C4" s="100"/>
      <c r="D4" s="100"/>
      <c r="E4" s="100"/>
      <c r="F4" s="100"/>
      <c r="G4" s="100"/>
      <c r="H4" s="104"/>
      <c r="I4" s="105"/>
      <c r="J4" s="105"/>
      <c r="K4" s="105"/>
      <c r="L4" s="105"/>
      <c r="M4" s="79"/>
    </row>
    <row r="5" spans="1:14" x14ac:dyDescent="0.25">
      <c r="A5" s="106" t="s">
        <v>2</v>
      </c>
      <c r="B5" s="106" t="s">
        <v>3</v>
      </c>
      <c r="C5" s="106" t="s">
        <v>4</v>
      </c>
      <c r="D5" s="107" t="s">
        <v>5</v>
      </c>
      <c r="E5" s="106" t="s">
        <v>6</v>
      </c>
      <c r="F5" s="106" t="s">
        <v>109</v>
      </c>
      <c r="G5" s="106" t="s">
        <v>96</v>
      </c>
      <c r="H5" s="108" t="s">
        <v>7</v>
      </c>
      <c r="I5" s="106" t="s">
        <v>8</v>
      </c>
      <c r="J5" s="106" t="s">
        <v>9</v>
      </c>
      <c r="K5" s="106" t="s">
        <v>91</v>
      </c>
      <c r="L5" s="106" t="s">
        <v>123</v>
      </c>
      <c r="M5" s="79"/>
    </row>
    <row r="6" spans="1:14" x14ac:dyDescent="0.25">
      <c r="A6" s="61" t="s">
        <v>61</v>
      </c>
      <c r="B6" s="68" t="s">
        <v>52</v>
      </c>
      <c r="C6" s="63"/>
      <c r="D6" s="64">
        <f>'MARCH 20'!J6:J39</f>
        <v>6625</v>
      </c>
      <c r="E6" s="66">
        <v>6000</v>
      </c>
      <c r="F6" s="66">
        <v>408</v>
      </c>
      <c r="G6" s="66">
        <v>200</v>
      </c>
      <c r="H6" s="66">
        <f>C6+D6+E6+F6+G6</f>
        <v>13233</v>
      </c>
      <c r="I6" s="66"/>
      <c r="J6" s="66">
        <f>H6-I6</f>
        <v>13233</v>
      </c>
      <c r="K6" s="66"/>
      <c r="L6" s="66"/>
      <c r="M6" s="79"/>
    </row>
    <row r="7" spans="1:14" x14ac:dyDescent="0.25">
      <c r="A7" s="59" t="s">
        <v>64</v>
      </c>
      <c r="B7" s="68" t="s">
        <v>51</v>
      </c>
      <c r="C7" s="63"/>
      <c r="D7" s="64">
        <f>'MARCH 20'!J7:J40</f>
        <v>393</v>
      </c>
      <c r="E7" s="65">
        <v>6000</v>
      </c>
      <c r="F7" s="65">
        <v>357</v>
      </c>
      <c r="G7" s="65">
        <v>200</v>
      </c>
      <c r="H7" s="66">
        <f t="shared" ref="H7:H38" si="0">C7+D7+E7+F7+G7</f>
        <v>6950</v>
      </c>
      <c r="I7" s="66">
        <v>4000</v>
      </c>
      <c r="J7" s="66">
        <f>H7-I7</f>
        <v>2950</v>
      </c>
      <c r="K7" s="66"/>
      <c r="L7" s="66"/>
      <c r="M7" s="79"/>
      <c r="N7" s="53">
        <f>E6+F6+G6</f>
        <v>6608</v>
      </c>
    </row>
    <row r="8" spans="1:14" x14ac:dyDescent="0.25">
      <c r="A8" s="59" t="s">
        <v>65</v>
      </c>
      <c r="B8" s="68" t="s">
        <v>54</v>
      </c>
      <c r="C8" s="63"/>
      <c r="D8" s="64">
        <f>'MARCH 20'!J8:J41</f>
        <v>0</v>
      </c>
      <c r="E8" s="65"/>
      <c r="F8" s="65"/>
      <c r="G8" s="65"/>
      <c r="H8" s="66">
        <f t="shared" si="0"/>
        <v>0</v>
      </c>
      <c r="I8" s="66"/>
      <c r="J8" s="66">
        <f>H8-I8</f>
        <v>0</v>
      </c>
      <c r="K8" s="66"/>
      <c r="L8" s="66"/>
      <c r="M8" s="79"/>
      <c r="N8" s="53">
        <f>N7+D6</f>
        <v>13233</v>
      </c>
    </row>
    <row r="9" spans="1:14" x14ac:dyDescent="0.25">
      <c r="A9" s="60" t="s">
        <v>66</v>
      </c>
      <c r="B9" s="68" t="s">
        <v>50</v>
      </c>
      <c r="C9" s="63"/>
      <c r="D9" s="64">
        <f>'MARCH 20'!J9:J42</f>
        <v>0</v>
      </c>
      <c r="E9" s="64">
        <v>6000</v>
      </c>
      <c r="F9" s="64">
        <v>102</v>
      </c>
      <c r="G9" s="65">
        <v>200</v>
      </c>
      <c r="H9" s="66">
        <f t="shared" si="0"/>
        <v>6302</v>
      </c>
      <c r="I9" s="66">
        <v>6302</v>
      </c>
      <c r="J9" s="66">
        <f>H9-I9</f>
        <v>0</v>
      </c>
      <c r="K9" s="66"/>
      <c r="L9" s="66"/>
      <c r="M9" s="79"/>
    </row>
    <row r="10" spans="1:14" x14ac:dyDescent="0.25">
      <c r="A10" s="59" t="s">
        <v>151</v>
      </c>
      <c r="B10" s="68" t="s">
        <v>49</v>
      </c>
      <c r="C10" s="63"/>
      <c r="D10" s="64">
        <f>'MARCH 20'!J10:J43</f>
        <v>0</v>
      </c>
      <c r="E10" s="65">
        <v>6000</v>
      </c>
      <c r="F10" s="65">
        <v>85</v>
      </c>
      <c r="G10" s="65">
        <v>200</v>
      </c>
      <c r="H10" s="66">
        <f t="shared" si="0"/>
        <v>6285</v>
      </c>
      <c r="I10" s="66">
        <v>6285</v>
      </c>
      <c r="J10" s="66">
        <f>H10-I10</f>
        <v>0</v>
      </c>
      <c r="K10" s="66"/>
      <c r="L10" s="66"/>
      <c r="M10" s="79"/>
    </row>
    <row r="11" spans="1:14" x14ac:dyDescent="0.25">
      <c r="A11" s="109" t="s">
        <v>117</v>
      </c>
      <c r="B11" s="68" t="s">
        <v>53</v>
      </c>
      <c r="C11" s="63"/>
      <c r="D11" s="64">
        <f>'MARCH 20'!J11:J44</f>
        <v>1045</v>
      </c>
      <c r="E11" s="65">
        <v>6000</v>
      </c>
      <c r="F11" s="65">
        <v>646</v>
      </c>
      <c r="G11" s="65">
        <v>200</v>
      </c>
      <c r="H11" s="66">
        <f t="shared" si="0"/>
        <v>7891</v>
      </c>
      <c r="I11" s="66">
        <v>6500</v>
      </c>
      <c r="J11" s="66">
        <f t="shared" ref="J11:J38" si="1">H11-I11</f>
        <v>1391</v>
      </c>
      <c r="K11" s="66"/>
      <c r="L11" s="66"/>
      <c r="M11" s="79"/>
      <c r="N11">
        <v>102</v>
      </c>
    </row>
    <row r="12" spans="1:14" x14ac:dyDescent="0.25">
      <c r="A12" s="61" t="s">
        <v>68</v>
      </c>
      <c r="B12" s="68" t="s">
        <v>48</v>
      </c>
      <c r="C12" s="63"/>
      <c r="D12" s="64">
        <f>'MARCH 20'!J12:J45</f>
        <v>10442</v>
      </c>
      <c r="E12" s="65">
        <v>6000</v>
      </c>
      <c r="F12" s="65">
        <v>102</v>
      </c>
      <c r="G12" s="65">
        <v>200</v>
      </c>
      <c r="H12" s="66">
        <f t="shared" si="0"/>
        <v>16744</v>
      </c>
      <c r="I12" s="66"/>
      <c r="J12" s="66">
        <f t="shared" si="1"/>
        <v>16744</v>
      </c>
      <c r="K12" s="66"/>
      <c r="L12" s="66"/>
      <c r="M12" s="94"/>
    </row>
    <row r="13" spans="1:14" x14ac:dyDescent="0.25">
      <c r="A13" s="67" t="s">
        <v>179</v>
      </c>
      <c r="B13" s="68" t="s">
        <v>47</v>
      </c>
      <c r="C13" s="63"/>
      <c r="D13" s="64">
        <f>'MARCH 20'!J13:J46</f>
        <v>0</v>
      </c>
      <c r="E13" s="65">
        <v>6000</v>
      </c>
      <c r="F13" s="65">
        <v>204</v>
      </c>
      <c r="G13" s="65">
        <v>200</v>
      </c>
      <c r="H13" s="66">
        <f t="shared" si="0"/>
        <v>6404</v>
      </c>
      <c r="I13" s="66">
        <v>6204</v>
      </c>
      <c r="J13" s="66">
        <f t="shared" si="1"/>
        <v>200</v>
      </c>
      <c r="K13" s="66"/>
      <c r="L13" s="66"/>
      <c r="M13" s="79"/>
    </row>
    <row r="14" spans="1:14" x14ac:dyDescent="0.25">
      <c r="A14" s="61" t="s">
        <v>67</v>
      </c>
      <c r="B14" s="68" t="s">
        <v>46</v>
      </c>
      <c r="C14" s="63"/>
      <c r="D14" s="64">
        <f>'MARCH 20'!J14:J47</f>
        <v>0</v>
      </c>
      <c r="E14" s="65"/>
      <c r="F14" s="65"/>
      <c r="G14" s="65"/>
      <c r="H14" s="66">
        <f t="shared" si="0"/>
        <v>0</v>
      </c>
      <c r="I14" s="66"/>
      <c r="J14" s="66">
        <f>H14-I14</f>
        <v>0</v>
      </c>
      <c r="K14" s="66"/>
      <c r="L14" s="66"/>
      <c r="M14" s="79"/>
    </row>
    <row r="15" spans="1:14" x14ac:dyDescent="0.25">
      <c r="A15" s="59" t="s">
        <v>156</v>
      </c>
      <c r="B15" s="68" t="s">
        <v>45</v>
      </c>
      <c r="C15" s="63"/>
      <c r="D15" s="64">
        <f>'MARCH 20'!J15:J48</f>
        <v>1509</v>
      </c>
      <c r="E15" s="65">
        <v>6000</v>
      </c>
      <c r="F15" s="65">
        <v>561</v>
      </c>
      <c r="G15" s="65">
        <v>200</v>
      </c>
      <c r="H15" s="66">
        <f t="shared" si="0"/>
        <v>8270</v>
      </c>
      <c r="I15" s="66">
        <f>3500+2600+661</f>
        <v>6761</v>
      </c>
      <c r="J15" s="66">
        <f t="shared" si="1"/>
        <v>1509</v>
      </c>
      <c r="K15" s="66"/>
      <c r="L15" s="66"/>
      <c r="M15" s="79"/>
    </row>
    <row r="16" spans="1:14" x14ac:dyDescent="0.25">
      <c r="A16" s="60" t="s">
        <v>173</v>
      </c>
      <c r="B16" s="68" t="s">
        <v>44</v>
      </c>
      <c r="C16" s="63"/>
      <c r="D16" s="64">
        <f>'MARCH 20'!J16:J49</f>
        <v>0</v>
      </c>
      <c r="E16" s="65"/>
      <c r="F16" s="65"/>
      <c r="G16" s="65"/>
      <c r="H16" s="66">
        <f t="shared" si="0"/>
        <v>0</v>
      </c>
      <c r="I16" s="66"/>
      <c r="J16" s="66"/>
      <c r="K16" s="66"/>
      <c r="L16" s="66"/>
      <c r="M16" s="79"/>
    </row>
    <row r="17" spans="1:14" x14ac:dyDescent="0.25">
      <c r="A17" s="59" t="s">
        <v>72</v>
      </c>
      <c r="B17" s="68" t="s">
        <v>43</v>
      </c>
      <c r="C17" s="63"/>
      <c r="D17" s="64">
        <f>'MARCH 20'!J17:J50</f>
        <v>200</v>
      </c>
      <c r="E17" s="65">
        <v>6000</v>
      </c>
      <c r="F17" s="65">
        <v>238</v>
      </c>
      <c r="G17" s="65">
        <v>200</v>
      </c>
      <c r="H17" s="66">
        <f t="shared" si="0"/>
        <v>6638</v>
      </c>
      <c r="I17" s="66">
        <f>2539+2000+1000+200</f>
        <v>5739</v>
      </c>
      <c r="J17" s="66">
        <f t="shared" si="1"/>
        <v>899</v>
      </c>
      <c r="K17" s="66"/>
      <c r="L17" s="66"/>
      <c r="M17" s="110"/>
    </row>
    <row r="18" spans="1:14" x14ac:dyDescent="0.25">
      <c r="A18" s="61" t="s">
        <v>73</v>
      </c>
      <c r="B18" s="68" t="s">
        <v>42</v>
      </c>
      <c r="C18" s="63"/>
      <c r="D18" s="64"/>
      <c r="E18" s="65">
        <v>6000</v>
      </c>
      <c r="F18" s="65">
        <v>323</v>
      </c>
      <c r="G18" s="65">
        <v>200</v>
      </c>
      <c r="H18" s="66">
        <f t="shared" si="0"/>
        <v>6523</v>
      </c>
      <c r="I18" s="66">
        <v>6523</v>
      </c>
      <c r="J18" s="66">
        <f t="shared" si="1"/>
        <v>0</v>
      </c>
      <c r="K18" s="66"/>
      <c r="L18" s="66"/>
      <c r="M18" s="79"/>
    </row>
    <row r="19" spans="1:14" x14ac:dyDescent="0.25">
      <c r="A19" s="60" t="s">
        <v>178</v>
      </c>
      <c r="B19" s="68" t="s">
        <v>41</v>
      </c>
      <c r="C19" s="63"/>
      <c r="D19" s="64">
        <f>'MARCH 20'!J19:J52</f>
        <v>0</v>
      </c>
      <c r="E19" s="65">
        <v>6000</v>
      </c>
      <c r="F19" s="65">
        <v>221</v>
      </c>
      <c r="G19" s="65">
        <v>200</v>
      </c>
      <c r="H19" s="66">
        <f t="shared" si="0"/>
        <v>6421</v>
      </c>
      <c r="I19" s="66">
        <f>3500+520</f>
        <v>4020</v>
      </c>
      <c r="J19" s="66">
        <f t="shared" si="1"/>
        <v>2401</v>
      </c>
      <c r="K19" s="66"/>
      <c r="L19" s="66"/>
      <c r="M19" s="79"/>
    </row>
    <row r="20" spans="1:14" x14ac:dyDescent="0.25">
      <c r="A20" s="59" t="s">
        <v>75</v>
      </c>
      <c r="B20" s="68" t="s">
        <v>40</v>
      </c>
      <c r="C20" s="63"/>
      <c r="D20" s="64">
        <f>'MARCH 20'!J20:J53</f>
        <v>0</v>
      </c>
      <c r="E20" s="65">
        <v>6000</v>
      </c>
      <c r="F20" s="65">
        <v>221</v>
      </c>
      <c r="G20" s="65">
        <v>200</v>
      </c>
      <c r="H20" s="66">
        <f t="shared" si="0"/>
        <v>6421</v>
      </c>
      <c r="I20" s="66">
        <v>6421</v>
      </c>
      <c r="J20" s="66">
        <f t="shared" si="1"/>
        <v>0</v>
      </c>
      <c r="K20" s="66"/>
      <c r="L20" s="66"/>
      <c r="M20" s="79"/>
    </row>
    <row r="21" spans="1:14" x14ac:dyDescent="0.25">
      <c r="A21" s="61" t="s">
        <v>76</v>
      </c>
      <c r="B21" s="111" t="s">
        <v>39</v>
      </c>
      <c r="C21" s="63"/>
      <c r="D21" s="64">
        <f>'MARCH 20'!J21:J54</f>
        <v>646</v>
      </c>
      <c r="E21" s="65">
        <v>6000</v>
      </c>
      <c r="F21" s="65">
        <v>119</v>
      </c>
      <c r="G21" s="65">
        <v>200</v>
      </c>
      <c r="H21" s="66">
        <f>C21+D21+E21+F21+G21</f>
        <v>6965</v>
      </c>
      <c r="I21" s="66">
        <v>5500</v>
      </c>
      <c r="J21" s="66">
        <f t="shared" si="1"/>
        <v>1465</v>
      </c>
      <c r="K21" s="66"/>
      <c r="L21" s="66"/>
      <c r="M21" s="79"/>
    </row>
    <row r="22" spans="1:14" x14ac:dyDescent="0.25">
      <c r="A22" s="61" t="s">
        <v>150</v>
      </c>
      <c r="B22" s="68" t="s">
        <v>38</v>
      </c>
      <c r="C22" s="63"/>
      <c r="D22" s="64">
        <f>'MARCH 20'!J22:J55</f>
        <v>0</v>
      </c>
      <c r="E22" s="65">
        <v>6000</v>
      </c>
      <c r="F22" s="65">
        <v>510</v>
      </c>
      <c r="G22" s="65">
        <v>200</v>
      </c>
      <c r="H22" s="66">
        <f t="shared" si="0"/>
        <v>6710</v>
      </c>
      <c r="I22" s="66">
        <v>6710</v>
      </c>
      <c r="J22" s="66">
        <f t="shared" si="1"/>
        <v>0</v>
      </c>
      <c r="K22" s="66"/>
      <c r="L22" s="66"/>
      <c r="M22" s="94">
        <f>6000-I21</f>
        <v>500</v>
      </c>
    </row>
    <row r="23" spans="1:14" x14ac:dyDescent="0.25">
      <c r="A23" s="59" t="s">
        <v>78</v>
      </c>
      <c r="B23" s="68" t="s">
        <v>37</v>
      </c>
      <c r="C23" s="63"/>
      <c r="D23" s="64">
        <f>'MARCH 20'!J23:J56</f>
        <v>0</v>
      </c>
      <c r="E23" s="65">
        <v>6000</v>
      </c>
      <c r="F23" s="65">
        <v>0</v>
      </c>
      <c r="G23" s="65">
        <v>200</v>
      </c>
      <c r="H23" s="66">
        <f t="shared" si="0"/>
        <v>6200</v>
      </c>
      <c r="I23" s="66">
        <v>6200</v>
      </c>
      <c r="J23" s="66">
        <f t="shared" si="1"/>
        <v>0</v>
      </c>
      <c r="K23" s="66"/>
      <c r="L23" s="66"/>
      <c r="M23" s="94">
        <f>M22+F21+G21</f>
        <v>819</v>
      </c>
    </row>
    <row r="24" spans="1:14" x14ac:dyDescent="0.25">
      <c r="A24" s="61" t="s">
        <v>79</v>
      </c>
      <c r="B24" s="62" t="s">
        <v>28</v>
      </c>
      <c r="C24" s="63"/>
      <c r="D24" s="64">
        <f>'MARCH 20'!J24:J57</f>
        <v>1005</v>
      </c>
      <c r="E24" s="65">
        <v>6500</v>
      </c>
      <c r="F24" s="65">
        <v>272</v>
      </c>
      <c r="G24" s="65">
        <v>200</v>
      </c>
      <c r="H24" s="66">
        <f t="shared" si="0"/>
        <v>7977</v>
      </c>
      <c r="I24" s="66">
        <f>7000</f>
        <v>7000</v>
      </c>
      <c r="J24" s="66">
        <f>H24-I24</f>
        <v>977</v>
      </c>
      <c r="K24" s="66"/>
      <c r="L24" s="66"/>
      <c r="M24" s="94">
        <f>M23+D21</f>
        <v>1465</v>
      </c>
    </row>
    <row r="25" spans="1:14" x14ac:dyDescent="0.25">
      <c r="A25" s="61" t="s">
        <v>80</v>
      </c>
      <c r="B25" s="62" t="s">
        <v>29</v>
      </c>
      <c r="C25" s="63"/>
      <c r="D25" s="64">
        <f>'MARCH 20'!J25:J58</f>
        <v>149</v>
      </c>
      <c r="E25" s="65">
        <v>6500</v>
      </c>
      <c r="F25" s="65">
        <v>1088</v>
      </c>
      <c r="G25" s="65">
        <v>200</v>
      </c>
      <c r="H25" s="66">
        <f t="shared" si="0"/>
        <v>7937</v>
      </c>
      <c r="I25" s="66">
        <v>7490</v>
      </c>
      <c r="J25" s="66">
        <f t="shared" si="1"/>
        <v>447</v>
      </c>
      <c r="K25" s="66"/>
      <c r="L25" s="66"/>
      <c r="M25" s="79"/>
    </row>
    <row r="26" spans="1:14" x14ac:dyDescent="0.25">
      <c r="A26" s="61" t="s">
        <v>81</v>
      </c>
      <c r="B26" s="62" t="s">
        <v>30</v>
      </c>
      <c r="C26" s="63"/>
      <c r="D26" s="64">
        <f>'MARCH 20'!J26:J59</f>
        <v>1360</v>
      </c>
      <c r="E26" s="65">
        <v>6500</v>
      </c>
      <c r="F26" s="65">
        <v>357</v>
      </c>
      <c r="G26" s="65">
        <v>200</v>
      </c>
      <c r="H26" s="66">
        <f t="shared" si="0"/>
        <v>8417</v>
      </c>
      <c r="I26" s="66">
        <f>8367+50</f>
        <v>8417</v>
      </c>
      <c r="J26" s="66">
        <f t="shared" si="1"/>
        <v>0</v>
      </c>
      <c r="K26" s="66"/>
      <c r="L26" s="66"/>
      <c r="M26" s="112"/>
    </row>
    <row r="27" spans="1:14" x14ac:dyDescent="0.25">
      <c r="A27" s="61" t="s">
        <v>82</v>
      </c>
      <c r="B27" s="62" t="s">
        <v>55</v>
      </c>
      <c r="C27" s="63"/>
      <c r="D27" s="64">
        <f>'MARCH 20'!J27:J60</f>
        <v>0</v>
      </c>
      <c r="E27" s="65">
        <v>6500</v>
      </c>
      <c r="F27" s="65">
        <v>442</v>
      </c>
      <c r="G27" s="65">
        <v>200</v>
      </c>
      <c r="H27" s="66">
        <f t="shared" si="0"/>
        <v>7142</v>
      </c>
      <c r="I27" s="66"/>
      <c r="J27" s="66">
        <f t="shared" si="1"/>
        <v>7142</v>
      </c>
      <c r="K27" s="66"/>
      <c r="L27" s="66"/>
      <c r="M27" s="112"/>
      <c r="N27" s="53">
        <f>H25-D25</f>
        <v>7788</v>
      </c>
    </row>
    <row r="28" spans="1:14" x14ac:dyDescent="0.25">
      <c r="A28" s="61" t="s">
        <v>83</v>
      </c>
      <c r="B28" s="62" t="s">
        <v>56</v>
      </c>
      <c r="C28" s="63"/>
      <c r="D28" s="64">
        <f>'MARCH 20'!J28:J61</f>
        <v>13551</v>
      </c>
      <c r="E28" s="65">
        <v>8000</v>
      </c>
      <c r="F28" s="65">
        <v>272</v>
      </c>
      <c r="G28" s="65">
        <v>200</v>
      </c>
      <c r="H28" s="66">
        <f t="shared" si="0"/>
        <v>22023</v>
      </c>
      <c r="I28" s="66">
        <v>9000</v>
      </c>
      <c r="J28" s="66">
        <f t="shared" si="1"/>
        <v>13023</v>
      </c>
      <c r="K28" s="66">
        <v>2000</v>
      </c>
      <c r="L28" s="66"/>
      <c r="M28" s="94"/>
    </row>
    <row r="29" spans="1:14" x14ac:dyDescent="0.25">
      <c r="A29" s="61" t="s">
        <v>128</v>
      </c>
      <c r="B29" s="62" t="s">
        <v>57</v>
      </c>
      <c r="C29" s="63"/>
      <c r="D29" s="64">
        <f>'MARCH 20'!J29:J62</f>
        <v>117</v>
      </c>
      <c r="E29" s="65">
        <v>6500</v>
      </c>
      <c r="F29" s="65">
        <v>323</v>
      </c>
      <c r="G29" s="65">
        <v>200</v>
      </c>
      <c r="H29" s="66">
        <f t="shared" si="0"/>
        <v>7140</v>
      </c>
      <c r="I29" s="66">
        <v>7140</v>
      </c>
      <c r="J29" s="66">
        <f t="shared" si="1"/>
        <v>0</v>
      </c>
      <c r="K29" s="66"/>
      <c r="L29" s="66"/>
      <c r="M29" s="79"/>
    </row>
    <row r="30" spans="1:14" x14ac:dyDescent="0.25">
      <c r="A30" s="61" t="s">
        <v>92</v>
      </c>
      <c r="B30" s="62" t="s">
        <v>58</v>
      </c>
      <c r="C30" s="63"/>
      <c r="D30" s="64">
        <f>'MARCH 20'!J30:J63</f>
        <v>0</v>
      </c>
      <c r="E30" s="65">
        <v>6500</v>
      </c>
      <c r="F30" s="65">
        <v>119</v>
      </c>
      <c r="G30" s="65">
        <v>200</v>
      </c>
      <c r="H30" s="66">
        <f t="shared" si="0"/>
        <v>6819</v>
      </c>
      <c r="I30" s="66">
        <v>6819</v>
      </c>
      <c r="J30" s="66">
        <f t="shared" si="1"/>
        <v>0</v>
      </c>
      <c r="K30" s="66"/>
      <c r="L30" s="66"/>
      <c r="M30" s="79"/>
    </row>
    <row r="31" spans="1:14" x14ac:dyDescent="0.25">
      <c r="A31" s="61" t="s">
        <v>176</v>
      </c>
      <c r="B31" s="62" t="s">
        <v>59</v>
      </c>
      <c r="C31" s="63"/>
      <c r="D31" s="64">
        <f>'MARCH 20'!J31:J64</f>
        <v>0</v>
      </c>
      <c r="E31" s="65">
        <v>6500</v>
      </c>
      <c r="F31" s="65">
        <v>595</v>
      </c>
      <c r="G31" s="65">
        <v>200</v>
      </c>
      <c r="H31" s="66">
        <f t="shared" si="0"/>
        <v>7295</v>
      </c>
      <c r="I31" s="66">
        <v>7000</v>
      </c>
      <c r="J31" s="66">
        <f t="shared" si="1"/>
        <v>295</v>
      </c>
      <c r="K31" s="66"/>
      <c r="L31" s="66"/>
      <c r="M31" s="79"/>
    </row>
    <row r="32" spans="1:14" x14ac:dyDescent="0.25">
      <c r="A32" s="61" t="s">
        <v>170</v>
      </c>
      <c r="B32" s="62" t="s">
        <v>60</v>
      </c>
      <c r="C32" s="63"/>
      <c r="D32" s="64">
        <f>'MARCH 20'!J32:J65</f>
        <v>516</v>
      </c>
      <c r="E32" s="65">
        <v>6500</v>
      </c>
      <c r="F32" s="65">
        <v>493</v>
      </c>
      <c r="G32" s="65">
        <v>200</v>
      </c>
      <c r="H32" s="66">
        <f t="shared" si="0"/>
        <v>7709</v>
      </c>
      <c r="I32" s="66">
        <v>7000</v>
      </c>
      <c r="J32" s="66">
        <f t="shared" si="1"/>
        <v>709</v>
      </c>
      <c r="K32" s="66"/>
      <c r="L32" s="66"/>
      <c r="M32" s="79"/>
    </row>
    <row r="33" spans="1:13" x14ac:dyDescent="0.25">
      <c r="A33" s="61" t="s">
        <v>86</v>
      </c>
      <c r="B33" s="62" t="s">
        <v>31</v>
      </c>
      <c r="C33" s="63"/>
      <c r="D33" s="64">
        <f>'MARCH 20'!J33:J66</f>
        <v>0</v>
      </c>
      <c r="E33" s="65">
        <v>8000</v>
      </c>
      <c r="F33" s="65">
        <v>1207</v>
      </c>
      <c r="G33" s="65">
        <v>200</v>
      </c>
      <c r="H33" s="66">
        <f t="shared" si="0"/>
        <v>9407</v>
      </c>
      <c r="I33" s="66">
        <f>8000+1407</f>
        <v>9407</v>
      </c>
      <c r="J33" s="66">
        <f>H33-I33</f>
        <v>0</v>
      </c>
      <c r="K33" s="66"/>
      <c r="L33" s="66"/>
      <c r="M33" s="79"/>
    </row>
    <row r="34" spans="1:13" x14ac:dyDescent="0.25">
      <c r="A34" s="61" t="s">
        <v>121</v>
      </c>
      <c r="B34" s="62" t="s">
        <v>32</v>
      </c>
      <c r="C34" s="63"/>
      <c r="D34" s="64">
        <f>'MARCH 20'!J34:J67</f>
        <v>0</v>
      </c>
      <c r="E34" s="113">
        <v>6500</v>
      </c>
      <c r="F34" s="113">
        <v>119</v>
      </c>
      <c r="G34" s="65">
        <v>200</v>
      </c>
      <c r="H34" s="66">
        <f t="shared" si="0"/>
        <v>6819</v>
      </c>
      <c r="I34" s="66">
        <f>4000</f>
        <v>4000</v>
      </c>
      <c r="J34" s="66">
        <f t="shared" si="1"/>
        <v>2819</v>
      </c>
      <c r="K34" s="66"/>
      <c r="L34" s="66"/>
      <c r="M34" s="79"/>
    </row>
    <row r="35" spans="1:13" x14ac:dyDescent="0.25">
      <c r="A35" s="120" t="s">
        <v>99</v>
      </c>
      <c r="B35" s="121" t="s">
        <v>33</v>
      </c>
      <c r="C35" s="63"/>
      <c r="D35" s="122">
        <f>'MARCH 20'!J35:J68+357</f>
        <v>16054</v>
      </c>
      <c r="E35" s="113">
        <v>6500</v>
      </c>
      <c r="F35" s="113">
        <v>0</v>
      </c>
      <c r="G35" s="65">
        <v>200</v>
      </c>
      <c r="H35" s="58">
        <f t="shared" si="0"/>
        <v>22754</v>
      </c>
      <c r="I35" s="66">
        <f>12500+6000</f>
        <v>18500</v>
      </c>
      <c r="J35" s="58">
        <f t="shared" si="1"/>
        <v>4254</v>
      </c>
      <c r="K35" s="66"/>
      <c r="L35" s="66"/>
      <c r="M35" s="79">
        <v>357</v>
      </c>
    </row>
    <row r="36" spans="1:13" x14ac:dyDescent="0.25">
      <c r="A36" s="61" t="s">
        <v>89</v>
      </c>
      <c r="B36" s="62" t="s">
        <v>34</v>
      </c>
      <c r="C36" s="63"/>
      <c r="D36" s="64">
        <f>'MARCH 20'!J36:J69</f>
        <v>221</v>
      </c>
      <c r="E36" s="113">
        <v>6500</v>
      </c>
      <c r="F36" s="113">
        <v>459</v>
      </c>
      <c r="G36" s="65">
        <v>200</v>
      </c>
      <c r="H36" s="66">
        <f t="shared" si="0"/>
        <v>7380</v>
      </c>
      <c r="I36" s="66">
        <v>7159</v>
      </c>
      <c r="J36" s="66">
        <f t="shared" si="1"/>
        <v>221</v>
      </c>
      <c r="K36" s="66"/>
      <c r="L36" s="66"/>
      <c r="M36" s="79"/>
    </row>
    <row r="37" spans="1:13" x14ac:dyDescent="0.25">
      <c r="A37" s="61" t="s">
        <v>103</v>
      </c>
      <c r="B37" s="62" t="s">
        <v>35</v>
      </c>
      <c r="C37" s="63"/>
      <c r="D37" s="64">
        <f>'MARCH 20'!J37:J70</f>
        <v>0</v>
      </c>
      <c r="E37" s="113">
        <v>6500</v>
      </c>
      <c r="F37" s="113">
        <v>680</v>
      </c>
      <c r="G37" s="65">
        <v>200</v>
      </c>
      <c r="H37" s="66">
        <f t="shared" si="0"/>
        <v>7380</v>
      </c>
      <c r="I37" s="66">
        <v>7380</v>
      </c>
      <c r="J37" s="66">
        <f>H37-I37</f>
        <v>0</v>
      </c>
      <c r="K37" s="66"/>
      <c r="L37" s="66"/>
      <c r="M37" s="79"/>
    </row>
    <row r="38" spans="1:13" x14ac:dyDescent="0.25">
      <c r="A38" s="61" t="s">
        <v>138</v>
      </c>
      <c r="B38" s="114" t="s">
        <v>137</v>
      </c>
      <c r="C38" s="63"/>
      <c r="D38" s="64">
        <f>'MARCH 20'!J39</f>
        <v>3110</v>
      </c>
      <c r="E38" s="115">
        <v>8000</v>
      </c>
      <c r="F38" s="115">
        <v>680</v>
      </c>
      <c r="G38" s="65">
        <v>200</v>
      </c>
      <c r="H38" s="66">
        <f t="shared" si="0"/>
        <v>11990</v>
      </c>
      <c r="I38" s="66">
        <f>5000+4000</f>
        <v>9000</v>
      </c>
      <c r="J38" s="66">
        <f t="shared" si="1"/>
        <v>2990</v>
      </c>
      <c r="K38" s="66"/>
      <c r="L38" s="66"/>
      <c r="M38" s="79"/>
    </row>
    <row r="39" spans="1:13" x14ac:dyDescent="0.25">
      <c r="A39" s="61"/>
      <c r="B39" s="114"/>
      <c r="C39" s="63"/>
      <c r="D39" s="64"/>
      <c r="E39" s="115"/>
      <c r="F39" s="115"/>
      <c r="G39" s="65"/>
      <c r="H39" s="66">
        <f>C39+D39+E39+F39+G39</f>
        <v>0</v>
      </c>
      <c r="I39" s="66"/>
      <c r="J39" s="66">
        <f>H39-I39</f>
        <v>0</v>
      </c>
      <c r="K39" s="66"/>
      <c r="L39" s="66"/>
      <c r="M39" s="94">
        <f>E36+F36+G36</f>
        <v>7159</v>
      </c>
    </row>
    <row r="40" spans="1:13" x14ac:dyDescent="0.25">
      <c r="A40" s="116" t="s">
        <v>10</v>
      </c>
      <c r="B40" s="60"/>
      <c r="C40" s="63">
        <f t="shared" ref="C40:L40" si="2">SUM(C6:C39)</f>
        <v>0</v>
      </c>
      <c r="D40" s="64">
        <f>SUM(D6:D39)</f>
        <v>56943</v>
      </c>
      <c r="E40" s="117">
        <f>SUM(E6:E39)</f>
        <v>192000</v>
      </c>
      <c r="F40" s="118">
        <f t="shared" si="2"/>
        <v>11203</v>
      </c>
      <c r="G40" s="117">
        <f t="shared" si="2"/>
        <v>6000</v>
      </c>
      <c r="H40" s="66">
        <f t="shared" si="2"/>
        <v>266146</v>
      </c>
      <c r="I40" s="66">
        <f t="shared" si="2"/>
        <v>192477</v>
      </c>
      <c r="J40" s="66">
        <f t="shared" si="2"/>
        <v>73669</v>
      </c>
      <c r="K40" s="66">
        <f t="shared" si="2"/>
        <v>2000</v>
      </c>
      <c r="L40" s="66">
        <f t="shared" si="2"/>
        <v>0</v>
      </c>
      <c r="M40" s="79"/>
    </row>
    <row r="41" spans="1:13" x14ac:dyDescent="0.25">
      <c r="A41" s="79"/>
      <c r="B41" s="79"/>
      <c r="D41" s="79">
        <v>45927</v>
      </c>
      <c r="E41" s="79"/>
      <c r="F41" s="79"/>
      <c r="G41" s="79"/>
      <c r="H41" s="79"/>
      <c r="I41" s="94"/>
      <c r="J41" s="79"/>
      <c r="K41" s="79"/>
      <c r="L41" s="79"/>
      <c r="M41" s="79"/>
    </row>
    <row r="42" spans="1:13" x14ac:dyDescent="0.25">
      <c r="A42" s="7"/>
      <c r="B42" s="7"/>
      <c r="C42" s="7"/>
      <c r="D42" s="7"/>
      <c r="E42" s="7"/>
      <c r="F42" s="54"/>
      <c r="G42" s="7"/>
      <c r="H42" s="7"/>
      <c r="I42" s="7"/>
      <c r="J42" s="54"/>
      <c r="K42" s="54"/>
      <c r="L42" s="7"/>
    </row>
    <row r="43" spans="1:13" x14ac:dyDescent="0.25">
      <c r="A43" s="7"/>
      <c r="B43" s="7"/>
      <c r="C43" s="7"/>
      <c r="D43" s="54">
        <f>D41+E40+F40+G40+K40</f>
        <v>257130</v>
      </c>
      <c r="E43" s="7"/>
      <c r="F43" s="54"/>
      <c r="G43" s="7"/>
      <c r="H43" s="7"/>
      <c r="I43" s="7"/>
      <c r="J43" s="54"/>
      <c r="K43" s="54"/>
      <c r="L43" s="7"/>
    </row>
    <row r="44" spans="1:13" x14ac:dyDescent="0.25">
      <c r="A44" s="7"/>
      <c r="B44" s="7"/>
      <c r="C44" s="7"/>
      <c r="D44" s="54">
        <f>D43-I40</f>
        <v>64653</v>
      </c>
      <c r="E44" s="7"/>
      <c r="F44" s="54"/>
      <c r="G44" s="7"/>
      <c r="H44" s="7"/>
      <c r="I44" s="7"/>
      <c r="J44" s="7"/>
      <c r="K44" s="7"/>
      <c r="L44" s="7"/>
    </row>
    <row r="45" spans="1:13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</row>
    <row r="46" spans="1:13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</row>
    <row r="47" spans="1:13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</row>
    <row r="48" spans="1:13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</row>
    <row r="49" spans="1:13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</row>
    <row r="50" spans="1:13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</row>
    <row r="51" spans="1:13" x14ac:dyDescent="0.25">
      <c r="A51" s="7"/>
      <c r="B51" s="7"/>
      <c r="C51" s="7"/>
      <c r="D51" s="7"/>
      <c r="E51" s="43"/>
      <c r="F51" s="7"/>
      <c r="G51" s="7"/>
      <c r="H51" s="7"/>
      <c r="I51" s="7"/>
      <c r="J51" s="7"/>
      <c r="K51" s="7"/>
      <c r="L51" s="7"/>
    </row>
    <row r="52" spans="1:13" x14ac:dyDescent="0.25">
      <c r="A52" s="7"/>
      <c r="B52" s="7"/>
      <c r="C52" s="79"/>
      <c r="D52" s="7"/>
      <c r="E52" s="7"/>
      <c r="F52" s="7"/>
      <c r="G52" s="7"/>
      <c r="H52" s="7"/>
      <c r="I52" s="7"/>
      <c r="J52" s="7"/>
      <c r="K52" s="7"/>
      <c r="L52" s="7"/>
    </row>
    <row r="53" spans="1:13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</row>
    <row r="54" spans="1:13" x14ac:dyDescent="0.25">
      <c r="A54" s="79" t="s">
        <v>11</v>
      </c>
      <c r="B54" s="80"/>
      <c r="C54" s="81"/>
      <c r="D54" s="82"/>
      <c r="E54" s="83"/>
      <c r="F54" s="83"/>
      <c r="G54" s="83"/>
      <c r="H54" s="84"/>
      <c r="I54" s="83"/>
      <c r="J54" s="83"/>
      <c r="K54" s="83"/>
      <c r="L54" s="72"/>
    </row>
    <row r="55" spans="1:13" x14ac:dyDescent="0.25">
      <c r="A55" s="85" t="s">
        <v>12</v>
      </c>
      <c r="B55" s="85"/>
      <c r="C55" s="85"/>
      <c r="D55" s="86"/>
      <c r="E55" s="85" t="s">
        <v>8</v>
      </c>
      <c r="F55" s="85"/>
      <c r="G55" s="85"/>
      <c r="H55" s="79"/>
      <c r="I55" s="79"/>
      <c r="J55" s="79"/>
      <c r="K55" s="79"/>
      <c r="L55" s="71"/>
      <c r="M55" s="5"/>
    </row>
    <row r="56" spans="1:13" x14ac:dyDescent="0.25">
      <c r="A56" s="87" t="s">
        <v>13</v>
      </c>
      <c r="B56" s="87" t="s">
        <v>14</v>
      </c>
      <c r="C56" s="87" t="s">
        <v>15</v>
      </c>
      <c r="D56" s="87" t="s">
        <v>16</v>
      </c>
      <c r="E56" s="87" t="s">
        <v>13</v>
      </c>
      <c r="F56" s="87"/>
      <c r="G56" s="87"/>
      <c r="H56" s="87" t="s">
        <v>14</v>
      </c>
      <c r="I56" s="87" t="s">
        <v>15</v>
      </c>
      <c r="J56" s="87" t="s">
        <v>16</v>
      </c>
      <c r="K56" s="87"/>
      <c r="L56" s="73"/>
      <c r="M56" s="5"/>
    </row>
    <row r="57" spans="1:13" x14ac:dyDescent="0.25">
      <c r="A57" s="60" t="s">
        <v>174</v>
      </c>
      <c r="B57" s="88">
        <f>E40</f>
        <v>192000</v>
      </c>
      <c r="C57" s="60"/>
      <c r="D57" s="60"/>
      <c r="E57" s="60" t="s">
        <v>174</v>
      </c>
      <c r="F57" s="60"/>
      <c r="G57" s="60"/>
      <c r="H57" s="88">
        <f>I40</f>
        <v>192477</v>
      </c>
      <c r="I57" s="60"/>
      <c r="J57" s="60"/>
      <c r="K57" s="60"/>
      <c r="L57" s="74"/>
      <c r="M57" s="5"/>
    </row>
    <row r="58" spans="1:13" x14ac:dyDescent="0.25">
      <c r="A58" s="60" t="s">
        <v>18</v>
      </c>
      <c r="B58" s="88">
        <f>'MARCH 20'!D71</f>
        <v>6175</v>
      </c>
      <c r="C58" s="60"/>
      <c r="D58" s="60"/>
      <c r="E58" s="60" t="s">
        <v>18</v>
      </c>
      <c r="F58" s="60"/>
      <c r="G58" s="60"/>
      <c r="H58" s="88">
        <f>'MARCH 20'!J71</f>
        <v>-34687</v>
      </c>
      <c r="I58" s="60"/>
      <c r="J58" s="60"/>
      <c r="K58" s="60"/>
      <c r="L58" s="74"/>
      <c r="M58" s="53"/>
    </row>
    <row r="59" spans="1:13" x14ac:dyDescent="0.25">
      <c r="A59" s="60" t="s">
        <v>19</v>
      </c>
      <c r="B59" s="88"/>
      <c r="C59" s="60"/>
      <c r="D59" s="60"/>
      <c r="E59" s="60"/>
      <c r="F59" s="60"/>
      <c r="G59" s="60"/>
      <c r="H59" s="88"/>
      <c r="I59" s="60"/>
      <c r="J59" s="60"/>
      <c r="K59" s="60"/>
      <c r="L59" s="74"/>
      <c r="M59" s="53"/>
    </row>
    <row r="60" spans="1:13" x14ac:dyDescent="0.25">
      <c r="A60" s="60" t="s">
        <v>63</v>
      </c>
      <c r="B60" s="88">
        <f>F40</f>
        <v>11203</v>
      </c>
      <c r="C60" s="60"/>
      <c r="D60" s="60"/>
      <c r="E60" s="60"/>
      <c r="F60" s="60"/>
      <c r="G60" s="60"/>
      <c r="H60" s="88"/>
      <c r="I60" s="60"/>
      <c r="J60" s="60"/>
      <c r="K60" s="60"/>
      <c r="L60" s="74"/>
    </row>
    <row r="61" spans="1:13" x14ac:dyDescent="0.25">
      <c r="A61" s="60" t="s">
        <v>62</v>
      </c>
      <c r="B61" s="88">
        <f>K40</f>
        <v>2000</v>
      </c>
      <c r="C61" s="60"/>
      <c r="D61" s="60"/>
      <c r="E61" s="60"/>
      <c r="F61" s="60"/>
      <c r="G61" s="60"/>
      <c r="H61" s="88"/>
      <c r="I61" s="60"/>
      <c r="J61" s="60"/>
      <c r="K61" s="60"/>
      <c r="L61" s="74"/>
      <c r="M61" s="5"/>
    </row>
    <row r="62" spans="1:13" x14ac:dyDescent="0.25">
      <c r="A62" s="60" t="s">
        <v>96</v>
      </c>
      <c r="B62" s="88">
        <f>G40</f>
        <v>6000</v>
      </c>
      <c r="C62" s="60"/>
      <c r="D62" s="60"/>
      <c r="E62" s="60" t="s">
        <v>126</v>
      </c>
      <c r="F62" s="60"/>
      <c r="G62" s="60"/>
      <c r="H62" s="88"/>
      <c r="I62" s="60"/>
      <c r="J62" s="60"/>
      <c r="K62" s="60"/>
      <c r="L62" s="74"/>
      <c r="M62" s="5"/>
    </row>
    <row r="63" spans="1:13" x14ac:dyDescent="0.25">
      <c r="A63" s="60" t="s">
        <v>167</v>
      </c>
      <c r="B63" s="88"/>
      <c r="C63" s="60"/>
      <c r="D63" s="60"/>
      <c r="E63" s="60"/>
      <c r="F63" s="60"/>
      <c r="G63" s="60"/>
      <c r="H63" s="88"/>
      <c r="I63" s="60"/>
      <c r="J63" s="60"/>
      <c r="K63" s="60"/>
      <c r="L63" s="74"/>
    </row>
    <row r="64" spans="1:13" x14ac:dyDescent="0.25">
      <c r="A64" s="60" t="s">
        <v>126</v>
      </c>
      <c r="B64" s="89"/>
      <c r="C64" s="88"/>
      <c r="D64" s="60"/>
      <c r="E64" s="60"/>
      <c r="F64" s="60"/>
      <c r="G64" s="60"/>
      <c r="H64" s="90"/>
      <c r="I64" s="88"/>
      <c r="J64" s="88"/>
      <c r="K64" s="88"/>
      <c r="L64" s="75"/>
    </row>
    <row r="65" spans="1:12" x14ac:dyDescent="0.25">
      <c r="A65" s="87" t="s">
        <v>21</v>
      </c>
      <c r="B65" s="60" t="s">
        <v>22</v>
      </c>
      <c r="C65" s="60"/>
      <c r="D65" s="60"/>
      <c r="E65" s="87" t="s">
        <v>21</v>
      </c>
      <c r="F65" s="87"/>
      <c r="G65" s="87"/>
      <c r="H65" s="89"/>
      <c r="I65" s="60"/>
      <c r="J65" s="60"/>
      <c r="K65" s="60"/>
      <c r="L65" s="74"/>
    </row>
    <row r="66" spans="1:12" x14ac:dyDescent="0.25">
      <c r="A66" s="91" t="s">
        <v>111</v>
      </c>
      <c r="B66" s="90">
        <v>0.05</v>
      </c>
      <c r="C66" s="60">
        <f>B66*B57</f>
        <v>9600</v>
      </c>
      <c r="D66" s="60"/>
      <c r="E66" s="91" t="s">
        <v>111</v>
      </c>
      <c r="F66" s="91"/>
      <c r="G66" s="91"/>
      <c r="H66" s="90">
        <v>0.05</v>
      </c>
      <c r="I66" s="60">
        <f>H66*B57</f>
        <v>9600</v>
      </c>
      <c r="J66" s="60"/>
      <c r="K66" s="60"/>
      <c r="L66" s="74"/>
    </row>
    <row r="67" spans="1:12" x14ac:dyDescent="0.25">
      <c r="A67" s="92"/>
      <c r="B67" s="93"/>
      <c r="C67" s="90"/>
      <c r="D67" s="89"/>
      <c r="E67" s="92"/>
      <c r="F67" s="92"/>
      <c r="G67" s="92"/>
      <c r="H67" s="90"/>
      <c r="I67" s="89"/>
      <c r="J67" s="89"/>
      <c r="K67" s="89"/>
      <c r="L67" s="76"/>
    </row>
    <row r="68" spans="1:12" x14ac:dyDescent="0.25">
      <c r="A68" s="92" t="s">
        <v>177</v>
      </c>
      <c r="B68" s="90"/>
      <c r="C68" s="89">
        <v>207778</v>
      </c>
      <c r="D68" s="60"/>
      <c r="E68" s="92" t="s">
        <v>177</v>
      </c>
      <c r="F68" s="90"/>
      <c r="H68" s="90"/>
      <c r="I68" s="89">
        <v>207778</v>
      </c>
      <c r="J68" s="60"/>
      <c r="K68" s="60"/>
      <c r="L68" s="74"/>
    </row>
    <row r="69" spans="1:12" x14ac:dyDescent="0.25">
      <c r="A69" s="60"/>
      <c r="B69" s="60"/>
      <c r="C69" s="94"/>
      <c r="D69" s="60"/>
      <c r="E69" s="60"/>
      <c r="F69" s="60"/>
      <c r="G69" s="94"/>
      <c r="H69" s="60"/>
      <c r="I69" s="94"/>
      <c r="J69" s="60"/>
      <c r="K69" s="60"/>
      <c r="L69" s="74"/>
    </row>
    <row r="70" spans="1:12" x14ac:dyDescent="0.25">
      <c r="A70" s="92"/>
      <c r="B70" s="60"/>
      <c r="C70" s="89"/>
      <c r="D70" s="60"/>
      <c r="E70" s="92"/>
      <c r="F70" s="60"/>
      <c r="G70" s="89"/>
      <c r="H70" s="91"/>
      <c r="I70" s="89"/>
      <c r="J70" s="89"/>
      <c r="K70" s="89"/>
      <c r="L70" s="76"/>
    </row>
    <row r="71" spans="1:12" x14ac:dyDescent="0.25">
      <c r="A71" s="87" t="s">
        <v>23</v>
      </c>
      <c r="B71" s="96">
        <f>B57+B58+B59+B60+B61+B62+B64+B63</f>
        <v>217378</v>
      </c>
      <c r="C71" s="96">
        <f>SUM(C66:C70)</f>
        <v>217378</v>
      </c>
      <c r="D71" s="96">
        <f>B71-C71</f>
        <v>0</v>
      </c>
      <c r="E71" s="87" t="s">
        <v>23</v>
      </c>
      <c r="F71" s="87"/>
      <c r="G71" s="87"/>
      <c r="H71" s="96">
        <f>H57+H58+H60+H62</f>
        <v>157790</v>
      </c>
      <c r="I71" s="96">
        <f>SUM(I66:I70)</f>
        <v>217378</v>
      </c>
      <c r="J71" s="96">
        <f>H71-I71</f>
        <v>-59588</v>
      </c>
      <c r="K71" s="96"/>
      <c r="L71" s="77"/>
    </row>
    <row r="72" spans="1:12" x14ac:dyDescent="0.25">
      <c r="A72" s="79"/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1"/>
    </row>
    <row r="73" spans="1:12" x14ac:dyDescent="0.25">
      <c r="A73" s="97" t="s">
        <v>24</v>
      </c>
      <c r="B73" s="98"/>
      <c r="C73" s="98" t="s">
        <v>25</v>
      </c>
      <c r="D73" s="99"/>
      <c r="E73" s="97"/>
      <c r="F73" s="97"/>
      <c r="G73" s="97"/>
      <c r="H73" s="97" t="s">
        <v>26</v>
      </c>
      <c r="I73" s="79"/>
      <c r="J73" s="79"/>
      <c r="K73" s="79"/>
      <c r="L73" s="71"/>
    </row>
    <row r="74" spans="1:12" x14ac:dyDescent="0.25">
      <c r="A74" s="79" t="s">
        <v>104</v>
      </c>
      <c r="B74" s="79"/>
      <c r="C74" s="79" t="s">
        <v>105</v>
      </c>
      <c r="D74" s="79"/>
      <c r="E74" s="79"/>
      <c r="F74" s="79"/>
      <c r="G74" s="79"/>
      <c r="H74" s="79" t="s">
        <v>27</v>
      </c>
      <c r="I74" s="79"/>
      <c r="J74" s="79"/>
      <c r="K74" s="79"/>
      <c r="L74" s="71"/>
    </row>
    <row r="75" spans="1:12" x14ac:dyDescent="0.25">
      <c r="E75" s="53"/>
    </row>
    <row r="76" spans="1:12" x14ac:dyDescent="0.25">
      <c r="C76" s="53"/>
    </row>
    <row r="77" spans="1:12" x14ac:dyDescent="0.25">
      <c r="E77" s="53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8"/>
  <sheetViews>
    <sheetView workbookViewId="0">
      <selection activeCell="O10" sqref="O10"/>
    </sheetView>
  </sheetViews>
  <sheetFormatPr defaultRowHeight="15" x14ac:dyDescent="0.25"/>
  <cols>
    <col min="1" max="1" width="15.5703125" customWidth="1"/>
    <col min="2" max="2" width="11" customWidth="1"/>
    <col min="3" max="3" width="9.42578125" customWidth="1"/>
    <col min="4" max="4" width="9.7109375" customWidth="1"/>
    <col min="5" max="5" width="8.5703125" customWidth="1"/>
    <col min="6" max="6" width="7.7109375" customWidth="1"/>
    <col min="7" max="7" width="9.5703125" customWidth="1"/>
    <col min="8" max="8" width="8.140625" customWidth="1"/>
    <col min="9" max="9" width="12.42578125" customWidth="1"/>
    <col min="10" max="10" width="8.42578125" customWidth="1"/>
    <col min="11" max="11" width="11.5703125" customWidth="1"/>
    <col min="12" max="12" width="8.28515625" bestFit="1" customWidth="1"/>
    <col min="13" max="13" width="12.85546875" bestFit="1" customWidth="1"/>
    <col min="14" max="14" width="14.42578125" customWidth="1"/>
    <col min="15" max="15" width="8.5703125" customWidth="1"/>
  </cols>
  <sheetData>
    <row r="1" spans="1:18" x14ac:dyDescent="0.2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</row>
    <row r="2" spans="1:18" ht="15.75" x14ac:dyDescent="0.25">
      <c r="A2" s="79"/>
      <c r="B2" s="100" t="s">
        <v>27</v>
      </c>
      <c r="C2" s="79"/>
      <c r="D2" s="100"/>
      <c r="E2" s="100"/>
      <c r="F2" s="100"/>
      <c r="G2" s="100"/>
      <c r="H2" s="100"/>
      <c r="I2" s="100"/>
      <c r="J2" s="101"/>
      <c r="K2" s="79"/>
      <c r="L2" s="79"/>
      <c r="M2" s="79"/>
      <c r="N2" s="79"/>
      <c r="O2" s="79"/>
    </row>
    <row r="3" spans="1:18" ht="15.75" x14ac:dyDescent="0.25">
      <c r="A3" s="79"/>
      <c r="B3" s="100" t="s">
        <v>0</v>
      </c>
      <c r="C3" s="100"/>
      <c r="D3" s="100"/>
      <c r="E3" s="100"/>
      <c r="F3" s="100"/>
      <c r="G3" s="100"/>
      <c r="H3" s="100"/>
      <c r="I3" s="100"/>
      <c r="J3" s="102"/>
      <c r="K3" s="79"/>
      <c r="L3" s="79"/>
      <c r="M3" s="79"/>
      <c r="N3" s="79"/>
      <c r="O3" s="79"/>
    </row>
    <row r="4" spans="1:18" ht="18.75" x14ac:dyDescent="0.3">
      <c r="A4" s="103"/>
      <c r="B4" s="100" t="s">
        <v>200</v>
      </c>
      <c r="C4" s="100"/>
      <c r="D4" s="100"/>
      <c r="E4" s="100"/>
      <c r="F4" s="100"/>
      <c r="G4" s="100"/>
      <c r="H4" s="100"/>
      <c r="I4" s="100"/>
      <c r="J4" s="104"/>
      <c r="K4" s="105"/>
      <c r="L4" s="105"/>
      <c r="M4" s="105"/>
      <c r="N4" s="105"/>
      <c r="O4" s="79"/>
    </row>
    <row r="5" spans="1:18" x14ac:dyDescent="0.25">
      <c r="A5" s="106" t="s">
        <v>2</v>
      </c>
      <c r="B5" s="106" t="s">
        <v>3</v>
      </c>
      <c r="C5" s="106" t="s">
        <v>4</v>
      </c>
      <c r="D5" s="107" t="s">
        <v>5</v>
      </c>
      <c r="E5" s="106" t="s">
        <v>6</v>
      </c>
      <c r="F5" s="125"/>
      <c r="G5" s="125"/>
      <c r="H5" s="123" t="s">
        <v>109</v>
      </c>
      <c r="I5" s="106" t="s">
        <v>96</v>
      </c>
      <c r="J5" s="108" t="s">
        <v>7</v>
      </c>
      <c r="K5" s="106" t="s">
        <v>8</v>
      </c>
      <c r="L5" s="106" t="s">
        <v>9</v>
      </c>
      <c r="M5" s="106" t="s">
        <v>91</v>
      </c>
      <c r="N5" s="106" t="s">
        <v>123</v>
      </c>
      <c r="O5" s="79"/>
    </row>
    <row r="6" spans="1:18" x14ac:dyDescent="0.25">
      <c r="A6" s="61" t="s">
        <v>61</v>
      </c>
      <c r="B6" s="68" t="s">
        <v>52</v>
      </c>
      <c r="C6" s="63"/>
      <c r="D6" s="64">
        <f>'APRIL 20'!J6:J39</f>
        <v>13233</v>
      </c>
      <c r="E6" s="66">
        <v>6000</v>
      </c>
      <c r="F6" s="126">
        <v>0.6</v>
      </c>
      <c r="G6" s="128">
        <f>E6*F6</f>
        <v>3600</v>
      </c>
      <c r="H6" s="124">
        <v>527</v>
      </c>
      <c r="I6" s="66">
        <v>200</v>
      </c>
      <c r="J6" s="66">
        <f>D6+G6+H6+I6</f>
        <v>17560</v>
      </c>
      <c r="K6" s="66">
        <v>13000</v>
      </c>
      <c r="L6" s="66">
        <f>J6-K6</f>
        <v>4560</v>
      </c>
      <c r="M6" s="66"/>
      <c r="N6" s="66"/>
      <c r="O6" s="79"/>
    </row>
    <row r="7" spans="1:18" x14ac:dyDescent="0.25">
      <c r="A7" s="59" t="s">
        <v>64</v>
      </c>
      <c r="B7" s="68" t="s">
        <v>51</v>
      </c>
      <c r="C7" s="63"/>
      <c r="D7" s="64">
        <f>'APRIL 20'!J7:J40</f>
        <v>2950</v>
      </c>
      <c r="E7" s="65">
        <v>6000</v>
      </c>
      <c r="F7" s="126">
        <v>0.6</v>
      </c>
      <c r="G7" s="128">
        <f>E7*F6</f>
        <v>3600</v>
      </c>
      <c r="H7" s="113">
        <v>459</v>
      </c>
      <c r="I7" s="65">
        <v>200</v>
      </c>
      <c r="J7" s="66">
        <f>D7+G7+H7+I7</f>
        <v>7209</v>
      </c>
      <c r="K7" s="66">
        <f>4000</f>
        <v>4000</v>
      </c>
      <c r="L7" s="66">
        <f>J7-K7</f>
        <v>3209</v>
      </c>
      <c r="M7" s="66"/>
      <c r="N7" s="66"/>
      <c r="O7" s="79"/>
    </row>
    <row r="8" spans="1:18" x14ac:dyDescent="0.25">
      <c r="A8" s="59" t="s">
        <v>65</v>
      </c>
      <c r="B8" s="68" t="s">
        <v>54</v>
      </c>
      <c r="C8" s="63"/>
      <c r="D8" s="64">
        <f>'APRIL 20'!J8:J41</f>
        <v>0</v>
      </c>
      <c r="E8" s="65"/>
      <c r="F8" s="126">
        <v>0.6</v>
      </c>
      <c r="G8" s="128">
        <f t="shared" ref="G8:G39" si="0">E8*F7</f>
        <v>0</v>
      </c>
      <c r="H8" s="113"/>
      <c r="I8" s="65"/>
      <c r="J8" s="66">
        <f t="shared" ref="J8:J39" si="1">D8+G8+H8+I8</f>
        <v>0</v>
      </c>
      <c r="K8" s="66"/>
      <c r="L8" s="66">
        <f>J8-K8</f>
        <v>0</v>
      </c>
      <c r="M8" s="66"/>
      <c r="N8" s="66"/>
      <c r="O8" s="94">
        <f>G6+H6+I6</f>
        <v>4327</v>
      </c>
    </row>
    <row r="9" spans="1:18" x14ac:dyDescent="0.25">
      <c r="A9" s="60" t="s">
        <v>66</v>
      </c>
      <c r="B9" s="68" t="s">
        <v>50</v>
      </c>
      <c r="C9" s="63"/>
      <c r="D9" s="64">
        <f>'APRIL 20'!J9:J42</f>
        <v>0</v>
      </c>
      <c r="E9" s="64">
        <v>6000</v>
      </c>
      <c r="F9" s="126">
        <v>0.6</v>
      </c>
      <c r="G9" s="128">
        <f t="shared" si="0"/>
        <v>3600</v>
      </c>
      <c r="H9" s="115">
        <v>102</v>
      </c>
      <c r="I9" s="65">
        <v>200</v>
      </c>
      <c r="J9" s="66">
        <f t="shared" si="1"/>
        <v>3902</v>
      </c>
      <c r="K9" s="66">
        <v>6301</v>
      </c>
      <c r="L9" s="66">
        <f>J9-K9</f>
        <v>-2399</v>
      </c>
      <c r="M9" s="66"/>
      <c r="N9" s="66"/>
      <c r="O9" s="94">
        <f>O8+D6</f>
        <v>17560</v>
      </c>
    </row>
    <row r="10" spans="1:18" x14ac:dyDescent="0.25">
      <c r="A10" s="59" t="s">
        <v>151</v>
      </c>
      <c r="B10" s="68" t="s">
        <v>49</v>
      </c>
      <c r="C10" s="63"/>
      <c r="D10" s="64">
        <f>'APRIL 20'!J10:J43</f>
        <v>0</v>
      </c>
      <c r="E10" s="65">
        <v>6000</v>
      </c>
      <c r="F10" s="126">
        <v>0.6</v>
      </c>
      <c r="G10" s="128">
        <f t="shared" si="0"/>
        <v>3600</v>
      </c>
      <c r="H10" s="113">
        <v>68</v>
      </c>
      <c r="I10" s="65">
        <v>200</v>
      </c>
      <c r="J10" s="66">
        <f t="shared" si="1"/>
        <v>3868</v>
      </c>
      <c r="K10" s="66">
        <v>3868</v>
      </c>
      <c r="L10" s="66">
        <f>J10-K10</f>
        <v>0</v>
      </c>
      <c r="M10" s="66"/>
      <c r="N10" s="66"/>
      <c r="O10" s="79"/>
    </row>
    <row r="11" spans="1:18" x14ac:dyDescent="0.25">
      <c r="A11" s="109" t="s">
        <v>117</v>
      </c>
      <c r="B11" s="68" t="s">
        <v>53</v>
      </c>
      <c r="C11" s="63"/>
      <c r="D11" s="64">
        <f>'APRIL 20'!J11:J44</f>
        <v>1391</v>
      </c>
      <c r="E11" s="65">
        <v>6000</v>
      </c>
      <c r="F11" s="126">
        <v>0.6</v>
      </c>
      <c r="G11" s="128">
        <f t="shared" si="0"/>
        <v>3600</v>
      </c>
      <c r="H11" s="113">
        <v>561</v>
      </c>
      <c r="I11" s="65">
        <v>200</v>
      </c>
      <c r="J11" s="66">
        <f t="shared" si="1"/>
        <v>5752</v>
      </c>
      <c r="K11" s="66">
        <v>4360</v>
      </c>
      <c r="L11" s="66">
        <f t="shared" ref="L11:L38" si="2">J11-K11</f>
        <v>1392</v>
      </c>
      <c r="M11" s="66"/>
      <c r="N11" s="66"/>
      <c r="O11" s="79"/>
    </row>
    <row r="12" spans="1:18" x14ac:dyDescent="0.25">
      <c r="A12" s="61" t="s">
        <v>68</v>
      </c>
      <c r="B12" s="68" t="s">
        <v>48</v>
      </c>
      <c r="C12" s="63"/>
      <c r="D12" s="64">
        <f>'APRIL 20'!J12:J45</f>
        <v>16744</v>
      </c>
      <c r="E12" s="65"/>
      <c r="F12" s="126">
        <v>0.6</v>
      </c>
      <c r="G12" s="128">
        <f t="shared" si="0"/>
        <v>0</v>
      </c>
      <c r="H12" s="113">
        <v>0</v>
      </c>
      <c r="I12" s="65"/>
      <c r="J12" s="66">
        <f t="shared" si="1"/>
        <v>16744</v>
      </c>
      <c r="K12" s="66">
        <v>3500</v>
      </c>
      <c r="L12" s="66">
        <f t="shared" si="2"/>
        <v>13244</v>
      </c>
      <c r="M12" s="66"/>
      <c r="N12" s="66"/>
    </row>
    <row r="13" spans="1:18" x14ac:dyDescent="0.25">
      <c r="A13" s="67" t="s">
        <v>181</v>
      </c>
      <c r="B13" s="68" t="s">
        <v>47</v>
      </c>
      <c r="C13" s="63"/>
      <c r="D13" s="64">
        <f>'APRIL 20'!J13:J46</f>
        <v>200</v>
      </c>
      <c r="E13" s="65">
        <v>6000</v>
      </c>
      <c r="F13" s="126">
        <v>0.6</v>
      </c>
      <c r="G13" s="128">
        <f t="shared" si="0"/>
        <v>3600</v>
      </c>
      <c r="H13" s="113">
        <v>204</v>
      </c>
      <c r="I13" s="65">
        <v>200</v>
      </c>
      <c r="J13" s="66">
        <f t="shared" si="1"/>
        <v>4204</v>
      </c>
      <c r="K13" s="66">
        <v>6000</v>
      </c>
      <c r="L13" s="66">
        <f t="shared" si="2"/>
        <v>-1796</v>
      </c>
      <c r="M13" s="66"/>
      <c r="N13" s="66"/>
      <c r="O13" s="79"/>
      <c r="Q13" s="94">
        <f>L12-5059</f>
        <v>8185</v>
      </c>
    </row>
    <row r="14" spans="1:18" x14ac:dyDescent="0.25">
      <c r="A14" s="61" t="s">
        <v>67</v>
      </c>
      <c r="B14" s="68" t="s">
        <v>46</v>
      </c>
      <c r="C14" s="63"/>
      <c r="D14" s="64">
        <f>'APRIL 20'!J14:J47</f>
        <v>0</v>
      </c>
      <c r="E14" s="65"/>
      <c r="F14" s="126">
        <v>0.6</v>
      </c>
      <c r="G14" s="128">
        <f t="shared" si="0"/>
        <v>0</v>
      </c>
      <c r="H14" s="113"/>
      <c r="I14" s="65"/>
      <c r="J14" s="66">
        <f t="shared" si="1"/>
        <v>0</v>
      </c>
      <c r="K14" s="66"/>
      <c r="L14" s="66">
        <f>J14-K14</f>
        <v>0</v>
      </c>
      <c r="M14" s="66"/>
      <c r="N14" s="66"/>
      <c r="O14" s="79"/>
    </row>
    <row r="15" spans="1:18" x14ac:dyDescent="0.25">
      <c r="A15" s="59" t="s">
        <v>156</v>
      </c>
      <c r="B15" s="68" t="s">
        <v>45</v>
      </c>
      <c r="C15" s="63"/>
      <c r="D15" s="64">
        <f>'APRIL 20'!J15:J48</f>
        <v>1509</v>
      </c>
      <c r="E15" s="65">
        <v>6000</v>
      </c>
      <c r="F15" s="126">
        <v>0.6</v>
      </c>
      <c r="G15" s="128">
        <f t="shared" si="0"/>
        <v>3600</v>
      </c>
      <c r="H15" s="113">
        <v>204</v>
      </c>
      <c r="I15" s="65">
        <v>200</v>
      </c>
      <c r="J15" s="66">
        <f t="shared" si="1"/>
        <v>5513</v>
      </c>
      <c r="K15" s="66">
        <v>4050</v>
      </c>
      <c r="L15" s="66">
        <f t="shared" si="2"/>
        <v>1463</v>
      </c>
      <c r="M15" s="66"/>
      <c r="N15" s="66"/>
      <c r="O15" s="79"/>
    </row>
    <row r="16" spans="1:18" x14ac:dyDescent="0.25">
      <c r="A16" s="60" t="s">
        <v>173</v>
      </c>
      <c r="B16" s="68" t="s">
        <v>44</v>
      </c>
      <c r="C16" s="63"/>
      <c r="D16" s="64">
        <f>'APRIL 20'!J16:J49</f>
        <v>0</v>
      </c>
      <c r="E16" s="65"/>
      <c r="F16" s="126">
        <v>0.6</v>
      </c>
      <c r="G16" s="128">
        <f t="shared" si="0"/>
        <v>0</v>
      </c>
      <c r="H16" s="113"/>
      <c r="I16" s="65"/>
      <c r="J16" s="66">
        <f t="shared" si="1"/>
        <v>0</v>
      </c>
      <c r="K16" s="66"/>
      <c r="L16" s="66"/>
      <c r="M16" s="66"/>
      <c r="N16" s="66"/>
      <c r="O16" s="79"/>
      <c r="Q16" t="s">
        <v>182</v>
      </c>
      <c r="R16" s="129"/>
    </row>
    <row r="17" spans="1:18" x14ac:dyDescent="0.25">
      <c r="A17" s="59" t="s">
        <v>72</v>
      </c>
      <c r="B17" s="68" t="s">
        <v>43</v>
      </c>
      <c r="C17" s="63"/>
      <c r="D17" s="64">
        <f>'APRIL 20'!J17:J50</f>
        <v>899</v>
      </c>
      <c r="E17" s="65">
        <v>6000</v>
      </c>
      <c r="F17" s="126">
        <v>0.6</v>
      </c>
      <c r="G17" s="128">
        <f t="shared" si="0"/>
        <v>3600</v>
      </c>
      <c r="H17" s="113">
        <v>289</v>
      </c>
      <c r="I17" s="65">
        <v>200</v>
      </c>
      <c r="J17" s="66">
        <f t="shared" si="1"/>
        <v>4988</v>
      </c>
      <c r="K17" s="66">
        <f>3000+1000+1200+700</f>
        <v>5900</v>
      </c>
      <c r="L17" s="66">
        <f t="shared" si="2"/>
        <v>-912</v>
      </c>
      <c r="M17" s="66"/>
      <c r="N17" s="66"/>
      <c r="O17" s="110"/>
    </row>
    <row r="18" spans="1:18" x14ac:dyDescent="0.25">
      <c r="A18" s="61" t="s">
        <v>73</v>
      </c>
      <c r="B18" s="68" t="s">
        <v>42</v>
      </c>
      <c r="C18" s="63"/>
      <c r="D18" s="64">
        <f>'APRIL 20'!J18:J51</f>
        <v>0</v>
      </c>
      <c r="E18" s="65">
        <v>6000</v>
      </c>
      <c r="F18" s="126">
        <v>0.6</v>
      </c>
      <c r="G18" s="128">
        <f>E18*F17</f>
        <v>3600</v>
      </c>
      <c r="H18" s="113">
        <v>289</v>
      </c>
      <c r="I18" s="65">
        <v>200</v>
      </c>
      <c r="J18" s="66">
        <f t="shared" si="1"/>
        <v>4089</v>
      </c>
      <c r="K18" s="66">
        <v>4089</v>
      </c>
      <c r="L18" s="66">
        <f t="shared" si="2"/>
        <v>0</v>
      </c>
      <c r="M18" s="66"/>
      <c r="N18" s="66"/>
      <c r="O18" s="94"/>
      <c r="R18" s="127"/>
    </row>
    <row r="19" spans="1:18" x14ac:dyDescent="0.25">
      <c r="A19" s="60" t="s">
        <v>180</v>
      </c>
      <c r="B19" s="68" t="s">
        <v>41</v>
      </c>
      <c r="C19" s="63"/>
      <c r="D19" s="64">
        <f>'APRIL 20'!J19:J52</f>
        <v>2401</v>
      </c>
      <c r="E19" s="65">
        <v>6000</v>
      </c>
      <c r="F19" s="126">
        <v>0.6</v>
      </c>
      <c r="G19" s="128">
        <f t="shared" si="0"/>
        <v>3600</v>
      </c>
      <c r="H19" s="113">
        <v>204</v>
      </c>
      <c r="I19" s="65">
        <v>200</v>
      </c>
      <c r="J19" s="66">
        <f t="shared" si="1"/>
        <v>6405</v>
      </c>
      <c r="K19" s="66">
        <f>3600+2400</f>
        <v>6000</v>
      </c>
      <c r="L19" s="66">
        <f t="shared" si="2"/>
        <v>405</v>
      </c>
      <c r="M19" s="66"/>
      <c r="N19" s="66"/>
      <c r="O19" s="94"/>
    </row>
    <row r="20" spans="1:18" x14ac:dyDescent="0.25">
      <c r="A20" s="59" t="s">
        <v>75</v>
      </c>
      <c r="B20" s="68" t="s">
        <v>40</v>
      </c>
      <c r="C20" s="63"/>
      <c r="D20" s="64">
        <f>'APRIL 20'!J20:J53</f>
        <v>0</v>
      </c>
      <c r="E20" s="65">
        <v>6000</v>
      </c>
      <c r="F20" s="126">
        <v>0.6</v>
      </c>
      <c r="G20" s="128">
        <f t="shared" si="0"/>
        <v>3600</v>
      </c>
      <c r="H20" s="113">
        <v>102</v>
      </c>
      <c r="I20" s="65">
        <v>200</v>
      </c>
      <c r="J20" s="66">
        <f t="shared" si="1"/>
        <v>3902</v>
      </c>
      <c r="K20" s="66">
        <v>3902</v>
      </c>
      <c r="L20" s="66">
        <f t="shared" si="2"/>
        <v>0</v>
      </c>
      <c r="M20" s="66"/>
      <c r="N20" s="66"/>
      <c r="O20" s="79"/>
    </row>
    <row r="21" spans="1:18" x14ac:dyDescent="0.25">
      <c r="A21" s="61" t="s">
        <v>76</v>
      </c>
      <c r="B21" s="111" t="s">
        <v>39</v>
      </c>
      <c r="C21" s="63"/>
      <c r="D21" s="64">
        <f>'APRIL 20'!J21:J54</f>
        <v>1465</v>
      </c>
      <c r="E21" s="65">
        <v>6000</v>
      </c>
      <c r="F21" s="126">
        <v>0.6</v>
      </c>
      <c r="G21" s="128">
        <f t="shared" si="0"/>
        <v>3600</v>
      </c>
      <c r="H21" s="113">
        <v>68</v>
      </c>
      <c r="I21" s="65">
        <v>200</v>
      </c>
      <c r="J21" s="66">
        <f t="shared" si="1"/>
        <v>5333</v>
      </c>
      <c r="K21" s="66">
        <f>4000</f>
        <v>4000</v>
      </c>
      <c r="L21" s="66">
        <f t="shared" si="2"/>
        <v>1333</v>
      </c>
      <c r="M21" s="66"/>
      <c r="N21" s="66"/>
      <c r="O21" s="79"/>
      <c r="Q21">
        <v>8000</v>
      </c>
    </row>
    <row r="22" spans="1:18" x14ac:dyDescent="0.25">
      <c r="A22" s="61" t="s">
        <v>150</v>
      </c>
      <c r="B22" s="68" t="s">
        <v>38</v>
      </c>
      <c r="C22" s="63"/>
      <c r="D22" s="64">
        <f>'APRIL 20'!J22:J55</f>
        <v>0</v>
      </c>
      <c r="E22" s="65">
        <v>6000</v>
      </c>
      <c r="F22" s="126">
        <v>0.6</v>
      </c>
      <c r="G22" s="128">
        <f t="shared" si="0"/>
        <v>3600</v>
      </c>
      <c r="H22" s="113">
        <v>510</v>
      </c>
      <c r="I22" s="65">
        <v>200</v>
      </c>
      <c r="J22" s="66">
        <f t="shared" si="1"/>
        <v>4310</v>
      </c>
      <c r="K22" s="66">
        <v>4310</v>
      </c>
      <c r="L22" s="66">
        <f t="shared" si="2"/>
        <v>0</v>
      </c>
      <c r="M22" s="66"/>
      <c r="N22" s="66"/>
      <c r="O22" s="79"/>
      <c r="Q22">
        <v>5000</v>
      </c>
    </row>
    <row r="23" spans="1:18" x14ac:dyDescent="0.25">
      <c r="A23" s="59" t="s">
        <v>78</v>
      </c>
      <c r="B23" s="68" t="s">
        <v>37</v>
      </c>
      <c r="C23" s="63"/>
      <c r="D23" s="64">
        <f>'APRIL 20'!J23:J56</f>
        <v>0</v>
      </c>
      <c r="E23" s="65">
        <v>6000</v>
      </c>
      <c r="F23" s="126">
        <v>0.6</v>
      </c>
      <c r="G23" s="128">
        <f t="shared" si="0"/>
        <v>3600</v>
      </c>
      <c r="H23" s="113">
        <v>170</v>
      </c>
      <c r="I23" s="65">
        <v>200</v>
      </c>
      <c r="J23" s="66">
        <f t="shared" si="1"/>
        <v>3970</v>
      </c>
      <c r="K23" s="66">
        <v>3970</v>
      </c>
      <c r="L23" s="66">
        <f t="shared" si="2"/>
        <v>0</v>
      </c>
      <c r="M23" s="66"/>
      <c r="N23" s="66"/>
      <c r="O23" s="94">
        <f>G21+H21+I21</f>
        <v>3868</v>
      </c>
      <c r="Q23">
        <v>2000</v>
      </c>
    </row>
    <row r="24" spans="1:18" x14ac:dyDescent="0.25">
      <c r="A24" s="61" t="s">
        <v>79</v>
      </c>
      <c r="B24" s="62" t="s">
        <v>28</v>
      </c>
      <c r="C24" s="63"/>
      <c r="D24" s="64">
        <f>'APRIL 20'!J24:J57</f>
        <v>977</v>
      </c>
      <c r="E24" s="65">
        <v>6500</v>
      </c>
      <c r="F24" s="126">
        <v>0.6</v>
      </c>
      <c r="G24" s="128">
        <f t="shared" si="0"/>
        <v>3900</v>
      </c>
      <c r="H24" s="113">
        <v>442</v>
      </c>
      <c r="I24" s="65">
        <v>200</v>
      </c>
      <c r="J24" s="66">
        <f t="shared" si="1"/>
        <v>5519</v>
      </c>
      <c r="K24" s="66"/>
      <c r="L24" s="66">
        <f>J24-K24</f>
        <v>5519</v>
      </c>
      <c r="M24" s="66"/>
      <c r="N24" s="66"/>
      <c r="O24" s="94">
        <f>4000-O23</f>
        <v>132</v>
      </c>
      <c r="Q24">
        <v>0</v>
      </c>
    </row>
    <row r="25" spans="1:18" x14ac:dyDescent="0.25">
      <c r="A25" s="61" t="s">
        <v>80</v>
      </c>
      <c r="B25" s="62" t="s">
        <v>29</v>
      </c>
      <c r="C25" s="63"/>
      <c r="D25" s="64">
        <f>'APRIL 20'!J25:J58</f>
        <v>447</v>
      </c>
      <c r="E25" s="65">
        <v>6500</v>
      </c>
      <c r="F25" s="126">
        <v>0.6</v>
      </c>
      <c r="G25" s="128">
        <f t="shared" si="0"/>
        <v>3900</v>
      </c>
      <c r="H25" s="113">
        <v>1394</v>
      </c>
      <c r="I25" s="65">
        <v>200</v>
      </c>
      <c r="J25" s="66">
        <f t="shared" si="1"/>
        <v>5941</v>
      </c>
      <c r="K25" s="66">
        <v>5494</v>
      </c>
      <c r="L25" s="66">
        <f t="shared" si="2"/>
        <v>447</v>
      </c>
      <c r="M25" s="66"/>
      <c r="N25" s="66"/>
      <c r="O25" s="94">
        <f>D21-O24</f>
        <v>1333</v>
      </c>
      <c r="P25" s="53"/>
      <c r="Q25">
        <v>2000</v>
      </c>
    </row>
    <row r="26" spans="1:18" x14ac:dyDescent="0.25">
      <c r="A26" s="61" t="s">
        <v>81</v>
      </c>
      <c r="B26" s="62" t="s">
        <v>30</v>
      </c>
      <c r="C26" s="63"/>
      <c r="D26" s="64">
        <f>'APRIL 20'!J26:J59</f>
        <v>0</v>
      </c>
      <c r="E26" s="65">
        <v>6500</v>
      </c>
      <c r="F26" s="126">
        <v>0.6</v>
      </c>
      <c r="G26" s="128">
        <f t="shared" si="0"/>
        <v>3900</v>
      </c>
      <c r="H26" s="113">
        <v>340</v>
      </c>
      <c r="I26" s="65">
        <v>200</v>
      </c>
      <c r="J26" s="66">
        <f t="shared" si="1"/>
        <v>4440</v>
      </c>
      <c r="K26" s="66">
        <v>4440</v>
      </c>
      <c r="L26" s="66">
        <f t="shared" si="2"/>
        <v>0</v>
      </c>
      <c r="M26" s="66"/>
      <c r="N26" s="66"/>
      <c r="O26" s="112"/>
      <c r="Q26">
        <v>2000</v>
      </c>
    </row>
    <row r="27" spans="1:18" x14ac:dyDescent="0.25">
      <c r="A27" s="61" t="s">
        <v>82</v>
      </c>
      <c r="B27" s="62" t="s">
        <v>55</v>
      </c>
      <c r="C27" s="63"/>
      <c r="D27" s="64">
        <f>'APRIL 20'!J27:J60</f>
        <v>7142</v>
      </c>
      <c r="E27" s="65"/>
      <c r="F27" s="126">
        <v>0.6</v>
      </c>
      <c r="G27" s="128"/>
      <c r="H27" s="113">
        <v>170</v>
      </c>
      <c r="I27" s="65"/>
      <c r="J27" s="66">
        <f>D27+G27+H27+I27</f>
        <v>7312</v>
      </c>
      <c r="K27" s="66"/>
      <c r="L27" s="66">
        <f t="shared" si="2"/>
        <v>7312</v>
      </c>
      <c r="M27" s="66"/>
      <c r="N27" s="66"/>
      <c r="O27" s="112"/>
      <c r="P27">
        <v>22240</v>
      </c>
      <c r="Q27">
        <f>SUM(Q21:Q26)</f>
        <v>19000</v>
      </c>
    </row>
    <row r="28" spans="1:18" x14ac:dyDescent="0.25">
      <c r="A28" s="61" t="s">
        <v>83</v>
      </c>
      <c r="B28" s="62" t="s">
        <v>56</v>
      </c>
      <c r="C28" s="63"/>
      <c r="D28" s="64">
        <f>'APRIL 20'!J28:J61</f>
        <v>13023</v>
      </c>
      <c r="E28" s="65">
        <v>8000</v>
      </c>
      <c r="F28" s="126">
        <v>0.6</v>
      </c>
      <c r="G28" s="128">
        <f t="shared" si="0"/>
        <v>4800</v>
      </c>
      <c r="H28" s="113">
        <v>442</v>
      </c>
      <c r="I28" s="65">
        <v>200</v>
      </c>
      <c r="J28" s="66">
        <f t="shared" si="1"/>
        <v>18465</v>
      </c>
      <c r="K28" s="66">
        <v>8000</v>
      </c>
      <c r="L28" s="66">
        <f t="shared" si="2"/>
        <v>10465</v>
      </c>
      <c r="M28" s="66">
        <v>2000</v>
      </c>
      <c r="N28" s="66"/>
      <c r="O28" s="94"/>
      <c r="Q28">
        <f>P27-Q27</f>
        <v>3240</v>
      </c>
    </row>
    <row r="29" spans="1:18" x14ac:dyDescent="0.25">
      <c r="A29" s="61" t="s">
        <v>128</v>
      </c>
      <c r="B29" s="62" t="s">
        <v>57</v>
      </c>
      <c r="C29" s="63"/>
      <c r="D29" s="64">
        <f>'APRIL 20'!J29:J62</f>
        <v>0</v>
      </c>
      <c r="E29" s="65">
        <v>6500</v>
      </c>
      <c r="F29" s="126">
        <v>0.6</v>
      </c>
      <c r="G29" s="128">
        <f t="shared" si="0"/>
        <v>3900</v>
      </c>
      <c r="H29" s="113">
        <v>544</v>
      </c>
      <c r="I29" s="65">
        <v>200</v>
      </c>
      <c r="J29" s="66">
        <f t="shared" si="1"/>
        <v>4644</v>
      </c>
      <c r="K29" s="66">
        <v>4644</v>
      </c>
      <c r="L29" s="66">
        <f t="shared" si="2"/>
        <v>0</v>
      </c>
      <c r="M29" s="66"/>
      <c r="N29" s="66"/>
      <c r="O29" s="79"/>
    </row>
    <row r="30" spans="1:18" x14ac:dyDescent="0.25">
      <c r="A30" s="61" t="s">
        <v>92</v>
      </c>
      <c r="B30" s="62" t="s">
        <v>58</v>
      </c>
      <c r="C30" s="63"/>
      <c r="D30" s="64">
        <f>'APRIL 20'!J30:J63</f>
        <v>0</v>
      </c>
      <c r="E30" s="65">
        <v>6500</v>
      </c>
      <c r="F30" s="126">
        <v>0.6</v>
      </c>
      <c r="G30" s="128">
        <f t="shared" si="0"/>
        <v>3900</v>
      </c>
      <c r="H30" s="113">
        <v>374</v>
      </c>
      <c r="I30" s="65">
        <v>200</v>
      </c>
      <c r="J30" s="66">
        <f t="shared" si="1"/>
        <v>4474</v>
      </c>
      <c r="K30" s="66"/>
      <c r="L30" s="66">
        <f t="shared" si="2"/>
        <v>4474</v>
      </c>
      <c r="M30" s="66"/>
      <c r="N30" s="66"/>
      <c r="O30" s="79"/>
    </row>
    <row r="31" spans="1:18" x14ac:dyDescent="0.25">
      <c r="A31" s="61" t="s">
        <v>176</v>
      </c>
      <c r="B31" s="62" t="s">
        <v>59</v>
      </c>
      <c r="C31" s="63"/>
      <c r="D31" s="64">
        <f>'APRIL 20'!J31:J64</f>
        <v>295</v>
      </c>
      <c r="E31" s="65">
        <v>6500</v>
      </c>
      <c r="F31" s="126">
        <v>0.6</v>
      </c>
      <c r="G31" s="128">
        <f t="shared" si="0"/>
        <v>3900</v>
      </c>
      <c r="H31" s="113">
        <v>612</v>
      </c>
      <c r="I31" s="65">
        <v>200</v>
      </c>
      <c r="J31" s="66">
        <f t="shared" si="1"/>
        <v>5007</v>
      </c>
      <c r="K31" s="66">
        <f>2500</f>
        <v>2500</v>
      </c>
      <c r="L31" s="66">
        <f t="shared" si="2"/>
        <v>2507</v>
      </c>
      <c r="M31" s="66"/>
      <c r="N31" s="66"/>
      <c r="O31" s="79"/>
      <c r="P31" s="53"/>
    </row>
    <row r="32" spans="1:18" x14ac:dyDescent="0.25">
      <c r="A32" s="61" t="s">
        <v>170</v>
      </c>
      <c r="B32" s="62" t="s">
        <v>60</v>
      </c>
      <c r="C32" s="63"/>
      <c r="D32" s="64">
        <f>'APRIL 20'!J32:J65</f>
        <v>709</v>
      </c>
      <c r="E32" s="65">
        <v>6500</v>
      </c>
      <c r="F32" s="126">
        <v>0.6</v>
      </c>
      <c r="G32" s="128">
        <f t="shared" si="0"/>
        <v>3900</v>
      </c>
      <c r="H32" s="113">
        <v>714</v>
      </c>
      <c r="I32" s="65">
        <v>200</v>
      </c>
      <c r="J32" s="66">
        <f t="shared" si="1"/>
        <v>5523</v>
      </c>
      <c r="K32" s="66">
        <v>4814</v>
      </c>
      <c r="L32" s="66">
        <f t="shared" si="2"/>
        <v>709</v>
      </c>
      <c r="M32" s="66"/>
      <c r="N32" s="66"/>
      <c r="O32" s="79"/>
    </row>
    <row r="33" spans="1:28" x14ac:dyDescent="0.25">
      <c r="A33" s="61" t="s">
        <v>86</v>
      </c>
      <c r="B33" s="62" t="s">
        <v>31</v>
      </c>
      <c r="C33" s="63"/>
      <c r="D33" s="64">
        <f>'APRIL 20'!J33:J66</f>
        <v>0</v>
      </c>
      <c r="E33" s="65">
        <v>8000</v>
      </c>
      <c r="F33" s="126">
        <v>0.6</v>
      </c>
      <c r="G33" s="128">
        <f t="shared" si="0"/>
        <v>4800</v>
      </c>
      <c r="H33" s="113">
        <v>612</v>
      </c>
      <c r="I33" s="65">
        <v>200</v>
      </c>
      <c r="J33" s="66">
        <f t="shared" si="1"/>
        <v>5612</v>
      </c>
      <c r="K33" s="66">
        <v>5612</v>
      </c>
      <c r="L33" s="66">
        <f>J33-K33</f>
        <v>0</v>
      </c>
      <c r="M33" s="66"/>
      <c r="N33" s="66"/>
      <c r="O33" s="79"/>
    </row>
    <row r="34" spans="1:28" x14ac:dyDescent="0.25">
      <c r="A34" s="61" t="s">
        <v>121</v>
      </c>
      <c r="B34" s="62" t="s">
        <v>32</v>
      </c>
      <c r="C34" s="63"/>
      <c r="D34" s="64">
        <f>'APRIL 20'!J34:J67</f>
        <v>2819</v>
      </c>
      <c r="E34" s="113">
        <v>6500</v>
      </c>
      <c r="F34" s="126">
        <v>0.6</v>
      </c>
      <c r="G34" s="128">
        <f t="shared" si="0"/>
        <v>3900</v>
      </c>
      <c r="H34" s="113">
        <v>272</v>
      </c>
      <c r="I34" s="65">
        <v>200</v>
      </c>
      <c r="J34" s="66">
        <f t="shared" si="1"/>
        <v>7191</v>
      </c>
      <c r="K34" s="66">
        <f>3000</f>
        <v>3000</v>
      </c>
      <c r="L34" s="66">
        <f t="shared" si="2"/>
        <v>4191</v>
      </c>
      <c r="M34" s="66"/>
      <c r="N34" s="66"/>
      <c r="O34" s="79"/>
    </row>
    <row r="35" spans="1:28" x14ac:dyDescent="0.25">
      <c r="A35" s="120" t="s">
        <v>99</v>
      </c>
      <c r="B35" s="121" t="s">
        <v>33</v>
      </c>
      <c r="C35" s="63"/>
      <c r="D35" s="64">
        <f>'APRIL 20'!J35:J68</f>
        <v>4254</v>
      </c>
      <c r="E35" s="113">
        <v>6500</v>
      </c>
      <c r="F35" s="126">
        <v>0.6</v>
      </c>
      <c r="G35" s="128">
        <f t="shared" si="0"/>
        <v>3900</v>
      </c>
      <c r="H35" s="113">
        <v>153</v>
      </c>
      <c r="I35" s="65">
        <v>200</v>
      </c>
      <c r="J35" s="66">
        <f t="shared" si="1"/>
        <v>8507</v>
      </c>
      <c r="K35" s="66">
        <f>2770+1200</f>
        <v>3970</v>
      </c>
      <c r="L35" s="58">
        <f t="shared" si="2"/>
        <v>4537</v>
      </c>
      <c r="M35" s="66"/>
      <c r="N35" s="66"/>
      <c r="O35" s="79"/>
    </row>
    <row r="36" spans="1:28" x14ac:dyDescent="0.25">
      <c r="A36" s="61" t="s">
        <v>89</v>
      </c>
      <c r="B36" s="62" t="s">
        <v>34</v>
      </c>
      <c r="C36" s="63"/>
      <c r="D36" s="64">
        <f>'APRIL 20'!J36:J69</f>
        <v>221</v>
      </c>
      <c r="E36" s="113">
        <v>6500</v>
      </c>
      <c r="F36" s="126">
        <v>0.6</v>
      </c>
      <c r="G36" s="128">
        <f t="shared" si="0"/>
        <v>3900</v>
      </c>
      <c r="H36" s="113">
        <v>425</v>
      </c>
      <c r="I36" s="65">
        <v>200</v>
      </c>
      <c r="J36" s="66">
        <f t="shared" si="1"/>
        <v>4746</v>
      </c>
      <c r="K36" s="66">
        <v>4525</v>
      </c>
      <c r="L36" s="66">
        <f t="shared" si="2"/>
        <v>221</v>
      </c>
      <c r="M36" s="66"/>
      <c r="N36" s="66"/>
      <c r="O36" s="94"/>
      <c r="P36" s="53">
        <f>J35-D35</f>
        <v>4253</v>
      </c>
    </row>
    <row r="37" spans="1:28" x14ac:dyDescent="0.25">
      <c r="A37" s="61" t="s">
        <v>103</v>
      </c>
      <c r="B37" s="62" t="s">
        <v>35</v>
      </c>
      <c r="C37" s="63"/>
      <c r="D37" s="64">
        <f>'APRIL 20'!J37:J70</f>
        <v>0</v>
      </c>
      <c r="E37" s="113">
        <v>6500</v>
      </c>
      <c r="F37" s="126">
        <v>0.6</v>
      </c>
      <c r="G37" s="128">
        <f t="shared" si="0"/>
        <v>3900</v>
      </c>
      <c r="H37" s="113">
        <v>680</v>
      </c>
      <c r="I37" s="65">
        <v>200</v>
      </c>
      <c r="J37" s="66">
        <f t="shared" si="1"/>
        <v>4780</v>
      </c>
      <c r="K37" s="66">
        <v>4780</v>
      </c>
      <c r="L37" s="66">
        <f>J37-K37</f>
        <v>0</v>
      </c>
      <c r="M37" s="66"/>
      <c r="N37" s="66"/>
      <c r="O37" s="79"/>
    </row>
    <row r="38" spans="1:28" x14ac:dyDescent="0.25">
      <c r="A38" s="61" t="s">
        <v>138</v>
      </c>
      <c r="B38" s="62" t="s">
        <v>207</v>
      </c>
      <c r="C38" s="63"/>
      <c r="D38" s="64">
        <f>'APRIL 20'!J38:J71</f>
        <v>2990</v>
      </c>
      <c r="E38" s="115">
        <v>8000</v>
      </c>
      <c r="F38" s="126">
        <v>0.6</v>
      </c>
      <c r="G38" s="128">
        <f t="shared" si="0"/>
        <v>4800</v>
      </c>
      <c r="H38" s="115">
        <v>850</v>
      </c>
      <c r="I38" s="65">
        <v>200</v>
      </c>
      <c r="J38" s="66">
        <f t="shared" si="1"/>
        <v>8840</v>
      </c>
      <c r="K38" s="66">
        <f>4500+1350</f>
        <v>5850</v>
      </c>
      <c r="L38" s="66">
        <f t="shared" si="2"/>
        <v>2990</v>
      </c>
      <c r="M38" s="66"/>
      <c r="N38" s="66"/>
      <c r="O38" s="79"/>
      <c r="P38" s="94"/>
    </row>
    <row r="39" spans="1:28" x14ac:dyDescent="0.25">
      <c r="A39" s="61"/>
      <c r="B39" s="114"/>
      <c r="C39" s="63"/>
      <c r="D39" s="64"/>
      <c r="E39" s="115"/>
      <c r="F39" s="126">
        <v>0.6</v>
      </c>
      <c r="G39" s="128">
        <f t="shared" si="0"/>
        <v>0</v>
      </c>
      <c r="H39" s="115"/>
      <c r="I39" s="65"/>
      <c r="J39" s="66">
        <f t="shared" si="1"/>
        <v>0</v>
      </c>
      <c r="K39" s="66"/>
      <c r="L39" s="66">
        <f>J39-K39</f>
        <v>0</v>
      </c>
      <c r="M39" s="66"/>
      <c r="N39" s="66"/>
      <c r="O39" s="79"/>
    </row>
    <row r="40" spans="1:28" x14ac:dyDescent="0.25">
      <c r="A40" s="116" t="s">
        <v>10</v>
      </c>
      <c r="B40" s="60"/>
      <c r="C40" s="63">
        <f t="shared" ref="C40:N40" si="3">SUM(C6:C39)</f>
        <v>0</v>
      </c>
      <c r="D40" s="64">
        <f>SUM(D6:D39)</f>
        <v>73669</v>
      </c>
      <c r="E40" s="117">
        <f>SUM(E6:E39)</f>
        <v>179500</v>
      </c>
      <c r="F40" s="126"/>
      <c r="G40" s="128">
        <f>SUM(G6:G39)</f>
        <v>107700</v>
      </c>
      <c r="H40" s="118">
        <f>SUM(H6:H39)</f>
        <v>11781</v>
      </c>
      <c r="I40" s="139">
        <f t="shared" si="3"/>
        <v>5600</v>
      </c>
      <c r="J40" s="66">
        <f>SUM(J6:J39)</f>
        <v>198750</v>
      </c>
      <c r="K40" s="66">
        <f t="shared" si="3"/>
        <v>134879</v>
      </c>
      <c r="L40" s="66">
        <f t="shared" si="3"/>
        <v>63871</v>
      </c>
      <c r="M40" s="66">
        <f t="shared" si="3"/>
        <v>2000</v>
      </c>
      <c r="N40" s="66">
        <f t="shared" si="3"/>
        <v>0</v>
      </c>
      <c r="O40" s="79"/>
    </row>
    <row r="41" spans="1:28" x14ac:dyDescent="0.25">
      <c r="A41" s="79"/>
      <c r="B41" s="79"/>
      <c r="D41" s="79">
        <v>64653</v>
      </c>
      <c r="E41" s="79"/>
      <c r="F41" s="79"/>
      <c r="G41" s="79"/>
      <c r="R41" s="53">
        <f>Z47-2401</f>
        <v>-1</v>
      </c>
    </row>
    <row r="42" spans="1:28" x14ac:dyDescent="0.25">
      <c r="A42" s="79"/>
      <c r="B42" s="79"/>
      <c r="D42" s="79"/>
      <c r="E42" s="79"/>
      <c r="F42" s="79"/>
      <c r="G42" s="79"/>
    </row>
    <row r="43" spans="1:28" x14ac:dyDescent="0.25">
      <c r="A43" s="79"/>
      <c r="B43" s="79"/>
      <c r="D43" s="79"/>
      <c r="E43" s="79"/>
      <c r="F43" s="94"/>
      <c r="G43" s="79"/>
      <c r="R43">
        <v>1330</v>
      </c>
    </row>
    <row r="44" spans="1:28" x14ac:dyDescent="0.25">
      <c r="A44" s="7"/>
      <c r="B44" s="7"/>
      <c r="C44" s="7"/>
      <c r="D44" s="54">
        <f>D41+G40+H40+I40+M40</f>
        <v>191734</v>
      </c>
      <c r="E44" s="7"/>
      <c r="F44" s="54"/>
      <c r="G44" s="7"/>
      <c r="R44">
        <v>1700</v>
      </c>
      <c r="S44" s="79"/>
      <c r="T44" s="18"/>
      <c r="U44" s="18"/>
      <c r="V44" s="18"/>
      <c r="W44" s="18"/>
      <c r="X44" s="18" t="s">
        <v>148</v>
      </c>
      <c r="Y44" s="18"/>
      <c r="Z44" s="18"/>
      <c r="AA44" s="18"/>
      <c r="AB44" s="18"/>
    </row>
    <row r="45" spans="1:28" x14ac:dyDescent="0.25">
      <c r="A45" s="7"/>
      <c r="B45" s="7"/>
      <c r="C45" s="7" t="s">
        <v>210</v>
      </c>
      <c r="D45" s="54">
        <f>D44-K40</f>
        <v>56855</v>
      </c>
      <c r="E45" s="7"/>
      <c r="F45" s="7"/>
      <c r="G45" s="7"/>
      <c r="R45" s="7">
        <f>SUM(R43:R44)</f>
        <v>3030</v>
      </c>
      <c r="S45" s="79"/>
      <c r="T45" s="18"/>
      <c r="U45" s="18"/>
      <c r="V45" s="18"/>
      <c r="W45" s="18"/>
      <c r="X45" s="18" t="s">
        <v>201</v>
      </c>
      <c r="Y45" s="18"/>
      <c r="Z45" s="18">
        <v>1130</v>
      </c>
      <c r="AA45" s="18" t="s">
        <v>202</v>
      </c>
      <c r="AB45" s="18"/>
    </row>
    <row r="46" spans="1:28" x14ac:dyDescent="0.25">
      <c r="A46" s="7"/>
      <c r="B46" s="7"/>
      <c r="C46" s="7"/>
      <c r="D46" s="7"/>
      <c r="E46" s="7"/>
      <c r="F46" s="7"/>
      <c r="G46" s="7"/>
      <c r="S46" s="79"/>
      <c r="T46" s="18"/>
      <c r="U46" s="18"/>
      <c r="V46" s="18"/>
      <c r="W46" s="18"/>
      <c r="X46" s="18" t="s">
        <v>201</v>
      </c>
      <c r="Y46" s="18"/>
      <c r="Z46" s="18">
        <v>1700</v>
      </c>
      <c r="AA46" s="18" t="s">
        <v>203</v>
      </c>
      <c r="AB46" s="18"/>
    </row>
    <row r="47" spans="1:28" x14ac:dyDescent="0.25">
      <c r="A47" s="7"/>
      <c r="B47" s="7"/>
      <c r="C47" s="7"/>
      <c r="D47" s="7"/>
      <c r="E47" s="7"/>
      <c r="F47" s="7"/>
      <c r="G47" s="7"/>
      <c r="S47" s="54"/>
      <c r="T47" s="18" t="s">
        <v>198</v>
      </c>
      <c r="U47" s="18"/>
      <c r="V47" s="18"/>
      <c r="W47" s="18" t="s">
        <v>174</v>
      </c>
      <c r="X47" s="18" t="s">
        <v>195</v>
      </c>
      <c r="Y47" s="41" t="s">
        <v>190</v>
      </c>
      <c r="Z47" s="132">
        <v>2400</v>
      </c>
      <c r="AA47" s="18"/>
      <c r="AB47" s="18"/>
    </row>
    <row r="48" spans="1:28" x14ac:dyDescent="0.25">
      <c r="A48" s="7"/>
      <c r="B48" s="7"/>
      <c r="C48" s="7"/>
      <c r="D48" s="7"/>
      <c r="E48" s="7"/>
      <c r="F48" s="7"/>
      <c r="G48" s="7"/>
      <c r="S48" s="54"/>
      <c r="T48" s="18"/>
      <c r="U48" s="18"/>
      <c r="V48" s="18"/>
      <c r="W48" s="18" t="s">
        <v>205</v>
      </c>
      <c r="X48" s="41" t="s">
        <v>204</v>
      </c>
      <c r="Y48" s="41"/>
      <c r="Z48" s="132">
        <v>13000</v>
      </c>
      <c r="AA48" s="18"/>
      <c r="AB48" s="47"/>
    </row>
    <row r="49" spans="1:28" x14ac:dyDescent="0.25">
      <c r="A49" s="7"/>
      <c r="B49" s="7"/>
      <c r="C49" s="7"/>
      <c r="D49" s="7"/>
      <c r="E49" s="7"/>
      <c r="F49" s="7"/>
      <c r="G49" s="7"/>
      <c r="S49" s="7"/>
      <c r="T49" s="18"/>
      <c r="U49" s="18"/>
      <c r="V49" s="18"/>
      <c r="W49" s="47"/>
      <c r="X49" s="41" t="s">
        <v>196</v>
      </c>
      <c r="Y49" s="41" t="s">
        <v>193</v>
      </c>
      <c r="Z49" s="132">
        <f>J37</f>
        <v>4780</v>
      </c>
      <c r="AA49" s="18"/>
      <c r="AB49" s="18"/>
    </row>
    <row r="50" spans="1:28" x14ac:dyDescent="0.25">
      <c r="A50" s="7"/>
      <c r="B50" s="7"/>
      <c r="C50" s="7"/>
      <c r="D50" s="7"/>
      <c r="E50" s="7"/>
      <c r="F50" s="7"/>
      <c r="G50" s="7"/>
      <c r="S50" s="7"/>
      <c r="T50" s="18"/>
      <c r="U50" s="18"/>
      <c r="V50" s="18"/>
      <c r="W50" s="18"/>
      <c r="X50" s="41" t="s">
        <v>197</v>
      </c>
      <c r="Y50" s="41" t="s">
        <v>192</v>
      </c>
      <c r="Z50" s="132">
        <f>J33</f>
        <v>5612</v>
      </c>
      <c r="AA50" s="18"/>
      <c r="AB50" s="18"/>
    </row>
    <row r="51" spans="1:28" x14ac:dyDescent="0.25">
      <c r="A51" s="7"/>
      <c r="B51" s="7"/>
      <c r="C51" s="7"/>
      <c r="D51" s="7"/>
      <c r="E51" s="7"/>
      <c r="F51" s="7"/>
      <c r="G51" s="7"/>
      <c r="S51" s="7" t="s">
        <v>206</v>
      </c>
      <c r="T51" s="18">
        <f>20370+28676</f>
        <v>49046</v>
      </c>
      <c r="U51" s="18"/>
      <c r="V51" s="18"/>
      <c r="W51" s="18"/>
      <c r="X51" s="41" t="s">
        <v>189</v>
      </c>
      <c r="Y51" s="41" t="s">
        <v>183</v>
      </c>
      <c r="Z51" s="132">
        <v>4440</v>
      </c>
      <c r="AA51" s="18"/>
      <c r="AB51" s="18"/>
    </row>
    <row r="52" spans="1:28" x14ac:dyDescent="0.25">
      <c r="A52" s="7"/>
      <c r="B52" s="7"/>
      <c r="C52" s="7"/>
      <c r="D52" s="7"/>
      <c r="E52" s="7"/>
      <c r="F52" s="43"/>
      <c r="G52" s="43"/>
      <c r="S52" s="7"/>
      <c r="T52" s="47">
        <f>T51-Z57</f>
        <v>2</v>
      </c>
      <c r="U52" s="18"/>
      <c r="V52" s="18"/>
      <c r="W52" s="18"/>
      <c r="X52" s="41" t="s">
        <v>128</v>
      </c>
      <c r="Y52" s="41" t="s">
        <v>184</v>
      </c>
      <c r="Z52" s="132">
        <f>J29</f>
        <v>4644</v>
      </c>
      <c r="AA52" s="18"/>
      <c r="AB52" s="18"/>
    </row>
    <row r="53" spans="1:28" x14ac:dyDescent="0.25">
      <c r="A53" s="7"/>
      <c r="B53" s="7"/>
      <c r="C53" s="79"/>
      <c r="D53" s="7"/>
      <c r="E53" s="7"/>
      <c r="F53" s="7"/>
      <c r="G53" s="7"/>
      <c r="S53" s="7"/>
      <c r="T53" s="18"/>
      <c r="U53" s="18"/>
      <c r="V53" s="18"/>
      <c r="W53" s="18"/>
      <c r="X53" s="41" t="s">
        <v>188</v>
      </c>
      <c r="Y53" s="41" t="s">
        <v>185</v>
      </c>
      <c r="Z53" s="132">
        <f>J10</f>
        <v>3868</v>
      </c>
      <c r="AA53" s="18"/>
      <c r="AB53" s="18"/>
    </row>
    <row r="54" spans="1:28" x14ac:dyDescent="0.25">
      <c r="A54" s="7"/>
      <c r="B54" s="7"/>
      <c r="C54" s="43"/>
      <c r="D54" s="7"/>
      <c r="E54" s="7"/>
      <c r="F54" s="7"/>
      <c r="G54" s="7"/>
      <c r="S54" s="7"/>
      <c r="T54" s="18"/>
      <c r="U54" s="18"/>
      <c r="V54" s="18"/>
      <c r="W54" s="18"/>
      <c r="X54" s="41"/>
      <c r="Y54" s="41"/>
      <c r="Z54" s="132"/>
      <c r="AA54" s="18"/>
      <c r="AB54" s="18"/>
    </row>
    <row r="55" spans="1:28" x14ac:dyDescent="0.25">
      <c r="A55" s="79" t="s">
        <v>11</v>
      </c>
      <c r="B55" s="80"/>
      <c r="C55" s="81"/>
      <c r="D55" s="82"/>
      <c r="E55" s="82"/>
      <c r="F55" s="83"/>
      <c r="G55" s="83"/>
      <c r="S55" s="7"/>
      <c r="T55" s="18"/>
      <c r="U55" s="18"/>
      <c r="V55" s="18"/>
      <c r="W55" s="18"/>
      <c r="X55" s="41" t="s">
        <v>187</v>
      </c>
      <c r="Y55" s="41" t="s">
        <v>186</v>
      </c>
      <c r="Z55" s="132">
        <f>J23</f>
        <v>3970</v>
      </c>
      <c r="AA55" s="18"/>
      <c r="AB55" s="18"/>
    </row>
    <row r="56" spans="1:28" x14ac:dyDescent="0.25">
      <c r="A56" s="85" t="s">
        <v>12</v>
      </c>
      <c r="B56" s="85"/>
      <c r="C56" s="85"/>
      <c r="D56" s="86"/>
      <c r="E56" s="82"/>
      <c r="F56" s="85" t="s">
        <v>8</v>
      </c>
      <c r="G56" s="85"/>
      <c r="H56" s="85"/>
      <c r="I56" s="85"/>
      <c r="J56" s="79"/>
      <c r="K56" s="79"/>
      <c r="L56" s="79"/>
      <c r="M56" s="79"/>
      <c r="N56" s="71"/>
      <c r="O56" s="5"/>
      <c r="S56" s="7"/>
      <c r="T56" s="18"/>
      <c r="U56" s="18"/>
      <c r="V56" s="18"/>
      <c r="W56" s="18"/>
      <c r="X56" s="41" t="s">
        <v>166</v>
      </c>
      <c r="Y56" s="41" t="s">
        <v>194</v>
      </c>
      <c r="Z56" s="41">
        <v>3500</v>
      </c>
      <c r="AA56" s="18"/>
      <c r="AB56" s="18"/>
    </row>
    <row r="57" spans="1:28" x14ac:dyDescent="0.25">
      <c r="A57" s="87" t="s">
        <v>13</v>
      </c>
      <c r="B57" s="87" t="s">
        <v>14</v>
      </c>
      <c r="C57" s="87" t="s">
        <v>15</v>
      </c>
      <c r="D57" s="87" t="s">
        <v>16</v>
      </c>
      <c r="E57" s="87"/>
      <c r="F57" s="87" t="s">
        <v>13</v>
      </c>
      <c r="G57" s="87"/>
      <c r="H57" s="87"/>
      <c r="I57" s="87"/>
      <c r="J57" s="87" t="s">
        <v>14</v>
      </c>
      <c r="K57" s="87" t="s">
        <v>15</v>
      </c>
      <c r="L57" s="87" t="s">
        <v>16</v>
      </c>
      <c r="M57" s="87"/>
      <c r="N57" s="73"/>
      <c r="O57" s="5"/>
      <c r="S57" s="7"/>
      <c r="T57" s="18"/>
      <c r="U57" s="18"/>
      <c r="V57" s="18"/>
      <c r="W57" s="18"/>
      <c r="X57" s="41" t="s">
        <v>23</v>
      </c>
      <c r="Y57" s="41"/>
      <c r="Z57" s="132">
        <f>SUM(Z44:Z56)</f>
        <v>49044</v>
      </c>
      <c r="AA57" s="18"/>
      <c r="AB57" s="18"/>
    </row>
    <row r="58" spans="1:28" x14ac:dyDescent="0.25">
      <c r="A58" s="60" t="s">
        <v>199</v>
      </c>
      <c r="B58" s="88">
        <f>G40</f>
        <v>107700</v>
      </c>
      <c r="C58" s="60"/>
      <c r="D58" s="60"/>
      <c r="E58" s="60"/>
      <c r="F58" s="60" t="s">
        <v>199</v>
      </c>
      <c r="G58" s="60"/>
      <c r="H58" s="60"/>
      <c r="I58" s="60"/>
      <c r="J58" s="88">
        <f>K40</f>
        <v>134879</v>
      </c>
      <c r="K58" s="60"/>
      <c r="L58" s="60"/>
      <c r="M58" s="60"/>
      <c r="N58" s="74"/>
      <c r="O58" s="5"/>
      <c r="S58" s="83"/>
      <c r="T58" s="133"/>
      <c r="U58" s="134"/>
      <c r="V58" s="133"/>
      <c r="W58" s="133"/>
      <c r="X58" s="18" t="s">
        <v>167</v>
      </c>
      <c r="Y58" s="18"/>
      <c r="Z58" s="18"/>
      <c r="AA58" s="18"/>
      <c r="AB58" s="18"/>
    </row>
    <row r="59" spans="1:28" x14ac:dyDescent="0.25">
      <c r="A59" s="60" t="s">
        <v>18</v>
      </c>
      <c r="B59" s="88">
        <f>'APRIL 20'!D71</f>
        <v>0</v>
      </c>
      <c r="C59" s="60"/>
      <c r="D59" s="60"/>
      <c r="E59" s="60"/>
      <c r="F59" s="60" t="s">
        <v>18</v>
      </c>
      <c r="G59" s="60"/>
      <c r="H59" s="60"/>
      <c r="I59" s="60"/>
      <c r="J59" s="88">
        <f>'APRIL 20'!J71</f>
        <v>-59588</v>
      </c>
      <c r="K59" s="60"/>
      <c r="L59" s="60"/>
      <c r="M59" s="60"/>
      <c r="N59" s="74"/>
      <c r="O59" s="53"/>
    </row>
    <row r="60" spans="1:28" x14ac:dyDescent="0.25">
      <c r="A60" s="60" t="s">
        <v>19</v>
      </c>
      <c r="B60" s="88"/>
      <c r="C60" s="60"/>
      <c r="D60" s="60"/>
      <c r="E60" s="60"/>
      <c r="F60" s="60"/>
      <c r="G60" s="60"/>
      <c r="H60" s="60"/>
      <c r="I60" s="60"/>
      <c r="J60" s="88"/>
      <c r="K60" s="60"/>
      <c r="L60" s="60"/>
      <c r="M60" s="60"/>
      <c r="N60" s="74"/>
      <c r="O60" s="53"/>
      <c r="P60" s="53"/>
    </row>
    <row r="61" spans="1:28" x14ac:dyDescent="0.25">
      <c r="A61" s="60" t="s">
        <v>63</v>
      </c>
      <c r="B61" s="88">
        <f>H40</f>
        <v>11781</v>
      </c>
      <c r="C61" s="60"/>
      <c r="D61" s="60"/>
      <c r="E61" s="60"/>
      <c r="F61" s="60"/>
      <c r="G61" s="60"/>
      <c r="H61" s="60"/>
      <c r="I61" s="60"/>
      <c r="J61" s="88"/>
      <c r="K61" s="60"/>
      <c r="L61" s="60"/>
      <c r="M61" s="60"/>
      <c r="N61" s="74"/>
    </row>
    <row r="62" spans="1:28" x14ac:dyDescent="0.25">
      <c r="A62" s="60" t="s">
        <v>62</v>
      </c>
      <c r="B62" s="88">
        <f>M40</f>
        <v>2000</v>
      </c>
      <c r="C62" s="60"/>
      <c r="D62" s="60"/>
      <c r="E62" s="60"/>
      <c r="F62" s="60"/>
      <c r="G62" s="60"/>
      <c r="H62" s="60"/>
      <c r="I62" s="60"/>
      <c r="J62" s="88"/>
      <c r="K62" s="60"/>
      <c r="L62" s="60"/>
      <c r="M62" s="60"/>
      <c r="N62" s="74"/>
      <c r="O62" s="5"/>
    </row>
    <row r="63" spans="1:28" x14ac:dyDescent="0.25">
      <c r="A63" s="60" t="s">
        <v>96</v>
      </c>
      <c r="B63" s="88">
        <f>I40</f>
        <v>5600</v>
      </c>
      <c r="C63" s="60"/>
      <c r="D63" s="60"/>
      <c r="E63" s="60"/>
      <c r="F63" s="60" t="s">
        <v>126</v>
      </c>
      <c r="G63" s="60"/>
      <c r="H63" s="60"/>
      <c r="I63" s="60"/>
      <c r="J63" s="88"/>
      <c r="K63" s="60"/>
      <c r="L63" s="60"/>
      <c r="M63" s="60"/>
      <c r="N63" s="74"/>
      <c r="O63" s="5"/>
    </row>
    <row r="64" spans="1:28" x14ac:dyDescent="0.25">
      <c r="A64" s="60" t="s">
        <v>167</v>
      </c>
      <c r="B64" s="88"/>
      <c r="C64" s="60"/>
      <c r="D64" s="60"/>
      <c r="E64" s="60"/>
      <c r="F64" s="60"/>
      <c r="I64" s="60"/>
      <c r="J64" s="60"/>
      <c r="L64" s="60"/>
      <c r="M64" s="60"/>
      <c r="N64" s="74"/>
    </row>
    <row r="65" spans="1:16" x14ac:dyDescent="0.25">
      <c r="A65" s="60" t="s">
        <v>126</v>
      </c>
      <c r="B65" s="89"/>
      <c r="C65" s="88"/>
      <c r="D65" s="60"/>
      <c r="E65" s="60"/>
      <c r="F65" s="60"/>
      <c r="G65" s="60"/>
      <c r="H65" s="60"/>
      <c r="I65" s="60"/>
      <c r="J65" s="90"/>
      <c r="K65" s="88"/>
      <c r="L65" s="88"/>
      <c r="M65" s="88"/>
      <c r="N65" s="75"/>
      <c r="P65" s="5"/>
    </row>
    <row r="66" spans="1:16" x14ac:dyDescent="0.25">
      <c r="A66" s="87" t="s">
        <v>21</v>
      </c>
      <c r="B66" s="60" t="s">
        <v>22</v>
      </c>
      <c r="C66" s="60"/>
      <c r="D66" s="60"/>
      <c r="E66" s="60"/>
      <c r="F66" s="87" t="s">
        <v>21</v>
      </c>
      <c r="G66" s="87"/>
      <c r="H66" s="87"/>
      <c r="I66" s="87"/>
      <c r="J66" s="89"/>
      <c r="K66" s="60"/>
      <c r="L66" s="60"/>
      <c r="M66" s="60"/>
      <c r="N66" s="74"/>
    </row>
    <row r="67" spans="1:16" x14ac:dyDescent="0.25">
      <c r="A67" s="91" t="s">
        <v>111</v>
      </c>
      <c r="B67" s="90">
        <v>0.05</v>
      </c>
      <c r="C67" s="89">
        <f>B67*E40</f>
        <v>8975</v>
      </c>
      <c r="D67" s="60"/>
      <c r="E67" s="60"/>
      <c r="F67" s="91" t="s">
        <v>111</v>
      </c>
      <c r="G67" s="91"/>
      <c r="H67" s="91"/>
      <c r="I67" s="91"/>
      <c r="J67" s="90">
        <v>0.05</v>
      </c>
      <c r="K67" s="89">
        <f>J67*E40</f>
        <v>8975</v>
      </c>
      <c r="L67" s="60"/>
      <c r="M67" s="60"/>
      <c r="N67" s="74"/>
    </row>
    <row r="68" spans="1:16" x14ac:dyDescent="0.25">
      <c r="A68" s="92"/>
      <c r="B68" s="93"/>
      <c r="C68" s="90"/>
      <c r="D68" s="89"/>
      <c r="E68" s="89"/>
      <c r="F68" s="92" t="s">
        <v>191</v>
      </c>
      <c r="G68" s="90"/>
      <c r="H68" s="89"/>
      <c r="I68" s="60"/>
      <c r="J68" s="90"/>
      <c r="K68" s="89">
        <v>118000</v>
      </c>
      <c r="L68" s="89"/>
      <c r="M68" s="89"/>
      <c r="N68" s="76"/>
    </row>
    <row r="69" spans="1:16" x14ac:dyDescent="0.25">
      <c r="A69" s="92" t="s">
        <v>191</v>
      </c>
      <c r="B69" s="90"/>
      <c r="C69" s="89">
        <v>118000</v>
      </c>
      <c r="D69" s="60"/>
      <c r="E69" s="60"/>
      <c r="F69" s="92"/>
      <c r="G69" s="92"/>
      <c r="H69" s="90"/>
      <c r="J69" s="90"/>
      <c r="K69" s="89"/>
      <c r="L69" s="60"/>
      <c r="M69" s="60"/>
      <c r="N69" s="74"/>
    </row>
    <row r="70" spans="1:16" x14ac:dyDescent="0.25">
      <c r="A70" s="60"/>
      <c r="B70" s="60"/>
      <c r="C70" s="94"/>
      <c r="D70" s="60"/>
      <c r="E70" s="60"/>
      <c r="F70" s="60"/>
      <c r="G70" s="60"/>
      <c r="H70" s="60"/>
      <c r="I70" s="94"/>
      <c r="J70" s="60"/>
      <c r="K70" s="94"/>
      <c r="L70" s="60"/>
      <c r="M70" s="60"/>
      <c r="N70" s="74"/>
    </row>
    <row r="71" spans="1:16" x14ac:dyDescent="0.25">
      <c r="A71" s="92"/>
      <c r="B71" s="60"/>
      <c r="C71" s="89"/>
      <c r="D71" s="60"/>
      <c r="E71" s="60"/>
      <c r="F71" s="92"/>
      <c r="G71" s="92"/>
      <c r="H71" s="60"/>
      <c r="I71" s="89"/>
      <c r="J71" s="91"/>
      <c r="K71" s="89"/>
      <c r="L71" s="89"/>
      <c r="M71" s="89"/>
      <c r="N71" s="76"/>
    </row>
    <row r="72" spans="1:16" x14ac:dyDescent="0.25">
      <c r="A72" s="87" t="s">
        <v>23</v>
      </c>
      <c r="B72" s="96">
        <f>B58+B59+B60+B61+B62+B63+B65+B64</f>
        <v>127081</v>
      </c>
      <c r="C72" s="96">
        <f>SUM(C67:C71)</f>
        <v>126975</v>
      </c>
      <c r="D72" s="96">
        <f>B72-C72</f>
        <v>106</v>
      </c>
      <c r="E72" s="96"/>
      <c r="F72" s="87" t="s">
        <v>23</v>
      </c>
      <c r="G72" s="87"/>
      <c r="H72" s="87"/>
      <c r="I72" s="87"/>
      <c r="J72" s="96">
        <f>J58+J59+J61+J63</f>
        <v>75291</v>
      </c>
      <c r="K72" s="96">
        <f>SUM(K67:K71)</f>
        <v>126975</v>
      </c>
      <c r="L72" s="96">
        <f>J72-K72</f>
        <v>-51684</v>
      </c>
      <c r="M72" s="96"/>
      <c r="N72" s="77"/>
    </row>
    <row r="73" spans="1:16" x14ac:dyDescent="0.25">
      <c r="A73" s="79"/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1"/>
    </row>
    <row r="74" spans="1:16" x14ac:dyDescent="0.25">
      <c r="A74" s="97" t="s">
        <v>24</v>
      </c>
      <c r="B74" s="98"/>
      <c r="C74" s="98" t="s">
        <v>25</v>
      </c>
      <c r="D74" s="99"/>
      <c r="E74" s="99"/>
      <c r="F74" s="97"/>
      <c r="G74" s="97"/>
      <c r="H74" s="97"/>
      <c r="I74" s="97"/>
      <c r="J74" s="97" t="s">
        <v>26</v>
      </c>
      <c r="K74" s="79"/>
      <c r="L74" s="79"/>
      <c r="M74" s="79"/>
      <c r="N74" s="71"/>
    </row>
    <row r="75" spans="1:16" x14ac:dyDescent="0.25">
      <c r="A75" s="79" t="s">
        <v>104</v>
      </c>
      <c r="B75" s="79"/>
      <c r="C75" s="79" t="s">
        <v>105</v>
      </c>
      <c r="D75" s="79"/>
      <c r="E75" s="79"/>
      <c r="F75" s="79"/>
      <c r="G75" s="79"/>
      <c r="H75" s="79"/>
      <c r="I75" s="79"/>
      <c r="J75" s="79" t="s">
        <v>27</v>
      </c>
      <c r="K75" s="79"/>
      <c r="L75" s="79"/>
      <c r="M75" s="79"/>
      <c r="N75" s="71"/>
    </row>
    <row r="76" spans="1:16" x14ac:dyDescent="0.25">
      <c r="F76" s="53"/>
      <c r="G76" s="53"/>
    </row>
    <row r="77" spans="1:16" x14ac:dyDescent="0.25">
      <c r="C77" s="53"/>
    </row>
    <row r="78" spans="1:16" x14ac:dyDescent="0.25">
      <c r="F78" s="53"/>
      <c r="G78" s="53"/>
    </row>
  </sheetData>
  <pageMargins left="0" right="0" top="0" bottom="0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8"/>
  <sheetViews>
    <sheetView workbookViewId="0">
      <selection activeCell="O25" sqref="O25"/>
    </sheetView>
  </sheetViews>
  <sheetFormatPr defaultRowHeight="15" x14ac:dyDescent="0.25"/>
  <cols>
    <col min="1" max="1" width="17.7109375" customWidth="1"/>
    <col min="9" max="9" width="9" bestFit="1" customWidth="1"/>
    <col min="13" max="13" width="14.7109375" customWidth="1"/>
    <col min="14" max="14" width="14.28515625" customWidth="1"/>
  </cols>
  <sheetData>
    <row r="1" spans="1:18" x14ac:dyDescent="0.2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</row>
    <row r="2" spans="1:18" ht="15.75" x14ac:dyDescent="0.25">
      <c r="A2" s="79"/>
      <c r="D2" s="100"/>
      <c r="E2" s="100"/>
      <c r="F2" s="100"/>
      <c r="G2" s="100" t="s">
        <v>27</v>
      </c>
      <c r="H2" s="79"/>
      <c r="I2" s="100"/>
      <c r="J2" s="101"/>
      <c r="K2" s="79"/>
      <c r="L2" s="79"/>
      <c r="M2" s="79"/>
      <c r="N2" s="79"/>
      <c r="O2" s="79"/>
    </row>
    <row r="3" spans="1:18" ht="15.75" x14ac:dyDescent="0.25">
      <c r="A3" s="79"/>
      <c r="D3" s="100"/>
      <c r="E3" s="100"/>
      <c r="F3" s="100"/>
      <c r="G3" s="100" t="s">
        <v>0</v>
      </c>
      <c r="H3" s="100"/>
      <c r="I3" s="100"/>
      <c r="J3" s="102"/>
      <c r="K3" s="79"/>
      <c r="L3" s="79"/>
      <c r="M3" s="79"/>
      <c r="N3" s="79"/>
      <c r="O3" s="79"/>
    </row>
    <row r="4" spans="1:18" ht="18.75" x14ac:dyDescent="0.3">
      <c r="A4" s="103"/>
      <c r="F4" s="100" t="s">
        <v>208</v>
      </c>
      <c r="G4" s="100"/>
      <c r="H4" s="100"/>
      <c r="I4" s="100"/>
      <c r="J4" s="104"/>
      <c r="K4" s="105"/>
      <c r="L4" s="105"/>
      <c r="M4" s="105"/>
      <c r="N4" s="105"/>
      <c r="O4" s="79"/>
    </row>
    <row r="5" spans="1:18" x14ac:dyDescent="0.25">
      <c r="A5" s="106" t="s">
        <v>2</v>
      </c>
      <c r="B5" s="106" t="s">
        <v>3</v>
      </c>
      <c r="C5" s="106" t="s">
        <v>4</v>
      </c>
      <c r="D5" s="107" t="s">
        <v>5</v>
      </c>
      <c r="E5" s="106" t="s">
        <v>6</v>
      </c>
      <c r="F5" s="125"/>
      <c r="G5" s="125"/>
      <c r="H5" s="123" t="s">
        <v>63</v>
      </c>
      <c r="I5" s="106" t="s">
        <v>96</v>
      </c>
      <c r="J5" s="108" t="s">
        <v>7</v>
      </c>
      <c r="K5" s="106" t="s">
        <v>8</v>
      </c>
      <c r="L5" s="106" t="s">
        <v>9</v>
      </c>
      <c r="M5" s="106" t="s">
        <v>91</v>
      </c>
      <c r="N5" s="106" t="s">
        <v>123</v>
      </c>
      <c r="O5" s="79"/>
    </row>
    <row r="6" spans="1:18" x14ac:dyDescent="0.25">
      <c r="A6" s="61" t="s">
        <v>61</v>
      </c>
      <c r="B6" s="68" t="s">
        <v>52</v>
      </c>
      <c r="C6" s="63"/>
      <c r="D6" s="64">
        <f>'MAY 20'!L6:L39</f>
        <v>4560</v>
      </c>
      <c r="E6" s="66">
        <v>6000</v>
      </c>
      <c r="F6" s="126">
        <v>0.6</v>
      </c>
      <c r="G6" s="128">
        <f>E6*F6</f>
        <v>3600</v>
      </c>
      <c r="H6" s="124">
        <v>612</v>
      </c>
      <c r="I6" s="66">
        <v>200</v>
      </c>
      <c r="J6" s="66">
        <f>D6+G6+H6+I6</f>
        <v>8972</v>
      </c>
      <c r="K6" s="66">
        <f>6000</f>
        <v>6000</v>
      </c>
      <c r="L6" s="66">
        <f>J6-K6</f>
        <v>2972</v>
      </c>
      <c r="M6" s="66"/>
      <c r="N6" s="66"/>
      <c r="O6" s="79"/>
    </row>
    <row r="7" spans="1:18" x14ac:dyDescent="0.25">
      <c r="A7" s="59" t="s">
        <v>64</v>
      </c>
      <c r="B7" s="68" t="s">
        <v>51</v>
      </c>
      <c r="C7" s="63"/>
      <c r="D7" s="64">
        <f>'MAY 20'!L7:L40</f>
        <v>3209</v>
      </c>
      <c r="E7" s="65">
        <v>6000</v>
      </c>
      <c r="F7" s="126">
        <v>0.6</v>
      </c>
      <c r="G7" s="128">
        <f>E7*F6</f>
        <v>3600</v>
      </c>
      <c r="H7" s="113">
        <v>442</v>
      </c>
      <c r="I7" s="65">
        <v>200</v>
      </c>
      <c r="J7" s="66">
        <f>D7+G7+H7+I7</f>
        <v>7451</v>
      </c>
      <c r="K7" s="66">
        <f>4500</f>
        <v>4500</v>
      </c>
      <c r="L7" s="66">
        <f>J7-K7</f>
        <v>2951</v>
      </c>
      <c r="M7" s="66"/>
      <c r="N7" s="66"/>
      <c r="O7" s="94">
        <f>D6+G6+H6+I6</f>
        <v>8972</v>
      </c>
    </row>
    <row r="8" spans="1:18" x14ac:dyDescent="0.25">
      <c r="A8" s="59" t="s">
        <v>65</v>
      </c>
      <c r="B8" s="68" t="s">
        <v>54</v>
      </c>
      <c r="C8" s="63"/>
      <c r="D8" s="64">
        <f>'MAY 20'!L8:L41</f>
        <v>0</v>
      </c>
      <c r="E8" s="65"/>
      <c r="F8" s="126">
        <v>0.6</v>
      </c>
      <c r="G8" s="128">
        <f t="shared" ref="G8:G39" si="0">E8*F7</f>
        <v>0</v>
      </c>
      <c r="H8" s="113">
        <v>0</v>
      </c>
      <c r="I8" s="65"/>
      <c r="J8" s="66">
        <f t="shared" ref="J8:J39" si="1">D8+G8+H8+I8</f>
        <v>0</v>
      </c>
      <c r="K8" s="66"/>
      <c r="L8" s="66">
        <f>J8-K8</f>
        <v>0</v>
      </c>
      <c r="M8" s="66"/>
      <c r="N8" s="66"/>
      <c r="O8" s="79"/>
    </row>
    <row r="9" spans="1:18" x14ac:dyDescent="0.25">
      <c r="A9" s="60" t="s">
        <v>66</v>
      </c>
      <c r="B9" s="68" t="s">
        <v>50</v>
      </c>
      <c r="C9" s="63"/>
      <c r="D9" s="64">
        <f>'MAY 20'!L9:L42</f>
        <v>-2399</v>
      </c>
      <c r="E9" s="64">
        <v>6000</v>
      </c>
      <c r="F9" s="126">
        <v>0.6</v>
      </c>
      <c r="G9" s="128">
        <f t="shared" si="0"/>
        <v>3600</v>
      </c>
      <c r="H9" s="115">
        <v>170</v>
      </c>
      <c r="I9" s="65">
        <v>200</v>
      </c>
      <c r="J9" s="66">
        <f t="shared" si="1"/>
        <v>1571</v>
      </c>
      <c r="K9" s="66">
        <v>3970</v>
      </c>
      <c r="L9" s="66">
        <f>J9-K9</f>
        <v>-2399</v>
      </c>
      <c r="M9" s="66"/>
      <c r="N9" s="66"/>
      <c r="O9" s="79"/>
    </row>
    <row r="10" spans="1:18" x14ac:dyDescent="0.25">
      <c r="A10" s="59" t="s">
        <v>151</v>
      </c>
      <c r="B10" s="68" t="s">
        <v>49</v>
      </c>
      <c r="C10" s="63"/>
      <c r="D10" s="64">
        <f>'MAY 20'!L10:L43</f>
        <v>0</v>
      </c>
      <c r="E10" s="65">
        <v>6000</v>
      </c>
      <c r="F10" s="126">
        <v>0.6</v>
      </c>
      <c r="G10" s="128">
        <f t="shared" si="0"/>
        <v>3600</v>
      </c>
      <c r="H10" s="113">
        <v>493</v>
      </c>
      <c r="I10" s="65">
        <v>200</v>
      </c>
      <c r="J10" s="66">
        <f t="shared" si="1"/>
        <v>4293</v>
      </c>
      <c r="K10" s="66">
        <v>4293</v>
      </c>
      <c r="L10" s="66">
        <f>J10-K10</f>
        <v>0</v>
      </c>
      <c r="M10" s="66"/>
      <c r="N10" s="66"/>
      <c r="O10" s="79"/>
    </row>
    <row r="11" spans="1:18" x14ac:dyDescent="0.25">
      <c r="A11" s="109" t="s">
        <v>117</v>
      </c>
      <c r="B11" s="68" t="s">
        <v>53</v>
      </c>
      <c r="C11" s="63"/>
      <c r="D11" s="64">
        <f>'MAY 20'!L11:L44</f>
        <v>1392</v>
      </c>
      <c r="E11" s="65">
        <v>6000</v>
      </c>
      <c r="F11" s="126">
        <v>0.6</v>
      </c>
      <c r="G11" s="128">
        <f t="shared" si="0"/>
        <v>3600</v>
      </c>
      <c r="H11" s="113">
        <v>833</v>
      </c>
      <c r="I11" s="65">
        <v>200</v>
      </c>
      <c r="J11" s="66">
        <f t="shared" si="1"/>
        <v>6025</v>
      </c>
      <c r="K11" s="66">
        <v>4600</v>
      </c>
      <c r="L11" s="66">
        <f t="shared" ref="L11:L38" si="2">J11-K11</f>
        <v>1425</v>
      </c>
      <c r="M11" s="66"/>
      <c r="N11" s="66"/>
      <c r="O11" s="94">
        <f>G11+H11+I11</f>
        <v>4633</v>
      </c>
    </row>
    <row r="12" spans="1:18" x14ac:dyDescent="0.25">
      <c r="A12" s="61" t="s">
        <v>68</v>
      </c>
      <c r="B12" s="68" t="s">
        <v>48</v>
      </c>
      <c r="C12" s="63"/>
      <c r="D12" s="64">
        <f>'MAY 20'!L12:L45</f>
        <v>13244</v>
      </c>
      <c r="E12" s="65">
        <v>12000</v>
      </c>
      <c r="F12" s="126">
        <v>0.6</v>
      </c>
      <c r="G12" s="128">
        <f t="shared" si="0"/>
        <v>7200</v>
      </c>
      <c r="H12" s="113"/>
      <c r="I12" s="65"/>
      <c r="J12" s="66">
        <f t="shared" si="1"/>
        <v>20444</v>
      </c>
      <c r="K12" s="66"/>
      <c r="L12" s="66">
        <f t="shared" si="2"/>
        <v>20444</v>
      </c>
      <c r="M12" s="66"/>
      <c r="N12" s="66"/>
      <c r="P12" s="53"/>
    </row>
    <row r="13" spans="1:18" x14ac:dyDescent="0.25">
      <c r="A13" s="67" t="s">
        <v>181</v>
      </c>
      <c r="B13" s="68" t="s">
        <v>47</v>
      </c>
      <c r="C13" s="63"/>
      <c r="D13" s="64">
        <f>'MAY 20'!L13:L46</f>
        <v>-1796</v>
      </c>
      <c r="E13" s="65">
        <v>6000</v>
      </c>
      <c r="F13" s="126">
        <v>0.6</v>
      </c>
      <c r="G13" s="128">
        <f t="shared" si="0"/>
        <v>3600</v>
      </c>
      <c r="H13" s="113">
        <v>102</v>
      </c>
      <c r="I13" s="65">
        <v>200</v>
      </c>
      <c r="J13" s="66">
        <f t="shared" si="1"/>
        <v>2106</v>
      </c>
      <c r="K13" s="66">
        <f>2050</f>
        <v>2050</v>
      </c>
      <c r="L13" s="66">
        <f t="shared" si="2"/>
        <v>56</v>
      </c>
      <c r="M13" s="66"/>
      <c r="N13" s="66"/>
      <c r="O13" s="79"/>
      <c r="P13">
        <f>278+33</f>
        <v>311</v>
      </c>
      <c r="Q13" s="94"/>
    </row>
    <row r="14" spans="1:18" x14ac:dyDescent="0.25">
      <c r="A14" s="61" t="s">
        <v>67</v>
      </c>
      <c r="B14" s="68" t="s">
        <v>46</v>
      </c>
      <c r="C14" s="63"/>
      <c r="D14" s="64">
        <f>'MAY 20'!L14:L47</f>
        <v>0</v>
      </c>
      <c r="E14" s="65"/>
      <c r="F14" s="126">
        <v>0.6</v>
      </c>
      <c r="G14" s="128">
        <f t="shared" si="0"/>
        <v>0</v>
      </c>
      <c r="H14" s="113"/>
      <c r="I14" s="65"/>
      <c r="J14" s="66">
        <f t="shared" si="1"/>
        <v>0</v>
      </c>
      <c r="K14" s="66"/>
      <c r="L14" s="66">
        <f>J14-K14</f>
        <v>0</v>
      </c>
      <c r="M14" s="66"/>
      <c r="N14" s="66"/>
      <c r="O14" s="79"/>
    </row>
    <row r="15" spans="1:18" x14ac:dyDescent="0.25">
      <c r="A15" s="59" t="s">
        <v>156</v>
      </c>
      <c r="B15" s="68" t="s">
        <v>45</v>
      </c>
      <c r="C15" s="63"/>
      <c r="D15" s="64">
        <f>'MAY 20'!L15:L48</f>
        <v>1463</v>
      </c>
      <c r="E15" s="65">
        <v>6000</v>
      </c>
      <c r="F15" s="126">
        <v>0.6</v>
      </c>
      <c r="G15" s="128">
        <f t="shared" si="0"/>
        <v>3600</v>
      </c>
      <c r="H15" s="113">
        <v>187</v>
      </c>
      <c r="I15" s="65">
        <v>200</v>
      </c>
      <c r="J15" s="66">
        <f t="shared" si="1"/>
        <v>5450</v>
      </c>
      <c r="K15" s="66">
        <v>3987</v>
      </c>
      <c r="L15" s="66">
        <f t="shared" si="2"/>
        <v>1463</v>
      </c>
      <c r="M15" s="66"/>
      <c r="N15" s="66"/>
      <c r="O15" s="94"/>
    </row>
    <row r="16" spans="1:18" x14ac:dyDescent="0.25">
      <c r="A16" s="60" t="s">
        <v>173</v>
      </c>
      <c r="B16" s="68" t="s">
        <v>44</v>
      </c>
      <c r="C16" s="63"/>
      <c r="D16" s="64">
        <f>'MAY 20'!L16:L49</f>
        <v>0</v>
      </c>
      <c r="E16" s="65"/>
      <c r="F16" s="126">
        <v>0.6</v>
      </c>
      <c r="G16" s="128">
        <f t="shared" si="0"/>
        <v>0</v>
      </c>
      <c r="H16" s="113"/>
      <c r="I16" s="65"/>
      <c r="J16" s="66">
        <f t="shared" si="1"/>
        <v>0</v>
      </c>
      <c r="K16" s="66"/>
      <c r="L16" s="66"/>
      <c r="M16" s="66"/>
      <c r="N16" s="66"/>
      <c r="O16" s="79"/>
      <c r="R16" s="129"/>
    </row>
    <row r="17" spans="1:18" x14ac:dyDescent="0.25">
      <c r="A17" s="59" t="s">
        <v>72</v>
      </c>
      <c r="B17" s="68" t="s">
        <v>43</v>
      </c>
      <c r="C17" s="63"/>
      <c r="D17" s="64">
        <f>'MAY 20'!L17:L50</f>
        <v>-912</v>
      </c>
      <c r="E17" s="65">
        <v>6000</v>
      </c>
      <c r="F17" s="126">
        <v>0.6</v>
      </c>
      <c r="G17" s="128">
        <f t="shared" si="0"/>
        <v>3600</v>
      </c>
      <c r="H17" s="113">
        <v>442</v>
      </c>
      <c r="I17" s="65">
        <v>200</v>
      </c>
      <c r="J17" s="66">
        <f>D17+G17+H17+I17</f>
        <v>3330</v>
      </c>
      <c r="K17" s="66">
        <f>587+2743</f>
        <v>3330</v>
      </c>
      <c r="L17" s="66">
        <f t="shared" si="2"/>
        <v>0</v>
      </c>
      <c r="M17" s="66"/>
      <c r="N17" s="66"/>
      <c r="O17" s="110"/>
    </row>
    <row r="18" spans="1:18" x14ac:dyDescent="0.25">
      <c r="A18" s="61" t="s">
        <v>73</v>
      </c>
      <c r="B18" s="68" t="s">
        <v>42</v>
      </c>
      <c r="C18" s="63"/>
      <c r="D18" s="64">
        <f>'MAY 20'!L18:L51</f>
        <v>0</v>
      </c>
      <c r="E18" s="65">
        <v>6000</v>
      </c>
      <c r="F18" s="126">
        <v>0.6</v>
      </c>
      <c r="G18" s="128">
        <f>E18*F17</f>
        <v>3600</v>
      </c>
      <c r="H18" s="113">
        <v>374</v>
      </c>
      <c r="I18" s="65">
        <v>200</v>
      </c>
      <c r="J18" s="66">
        <f t="shared" si="1"/>
        <v>4174</v>
      </c>
      <c r="K18" s="66">
        <f>2400+6550</f>
        <v>8950</v>
      </c>
      <c r="L18" s="66">
        <f t="shared" si="2"/>
        <v>-4776</v>
      </c>
      <c r="M18" s="66"/>
      <c r="N18" s="66"/>
      <c r="O18" s="79"/>
      <c r="R18" s="127"/>
    </row>
    <row r="19" spans="1:18" x14ac:dyDescent="0.25">
      <c r="A19" s="60" t="s">
        <v>180</v>
      </c>
      <c r="B19" s="68" t="s">
        <v>41</v>
      </c>
      <c r="C19" s="63"/>
      <c r="D19" s="64">
        <f>'MAY 20'!L19:L52</f>
        <v>405</v>
      </c>
      <c r="E19" s="65">
        <v>6000</v>
      </c>
      <c r="F19" s="126">
        <v>0.6</v>
      </c>
      <c r="G19" s="128">
        <f t="shared" si="0"/>
        <v>3600</v>
      </c>
      <c r="H19" s="113">
        <v>34</v>
      </c>
      <c r="I19" s="65">
        <v>200</v>
      </c>
      <c r="J19" s="66">
        <f t="shared" si="1"/>
        <v>4239</v>
      </c>
      <c r="K19" s="66">
        <v>4239</v>
      </c>
      <c r="L19" s="66">
        <f t="shared" si="2"/>
        <v>0</v>
      </c>
      <c r="M19" s="66"/>
      <c r="N19" s="66"/>
      <c r="O19" s="79"/>
    </row>
    <row r="20" spans="1:18" x14ac:dyDescent="0.25">
      <c r="A20" s="59" t="s">
        <v>75</v>
      </c>
      <c r="B20" s="68" t="s">
        <v>40</v>
      </c>
      <c r="C20" s="63"/>
      <c r="D20" s="64">
        <f>'MAY 20'!L20:L53</f>
        <v>0</v>
      </c>
      <c r="E20" s="65">
        <v>6000</v>
      </c>
      <c r="F20" s="126">
        <v>0.6</v>
      </c>
      <c r="G20" s="128">
        <f t="shared" si="0"/>
        <v>3600</v>
      </c>
      <c r="H20" s="113">
        <v>204</v>
      </c>
      <c r="I20" s="65">
        <v>200</v>
      </c>
      <c r="J20" s="66">
        <f t="shared" si="1"/>
        <v>4004</v>
      </c>
      <c r="K20" s="66">
        <v>4000</v>
      </c>
      <c r="L20" s="66">
        <f t="shared" si="2"/>
        <v>4</v>
      </c>
      <c r="M20" s="66"/>
      <c r="N20" s="66"/>
      <c r="O20" s="79"/>
    </row>
    <row r="21" spans="1:18" x14ac:dyDescent="0.25">
      <c r="A21" s="61" t="s">
        <v>76</v>
      </c>
      <c r="B21" s="111" t="s">
        <v>39</v>
      </c>
      <c r="C21" s="63"/>
      <c r="D21" s="64">
        <f>'MAY 20'!L21:L54</f>
        <v>1333</v>
      </c>
      <c r="E21" s="65">
        <v>6000</v>
      </c>
      <c r="F21" s="126">
        <v>0.6</v>
      </c>
      <c r="G21" s="128">
        <f t="shared" si="0"/>
        <v>3600</v>
      </c>
      <c r="H21" s="113">
        <v>68</v>
      </c>
      <c r="I21" s="65">
        <v>200</v>
      </c>
      <c r="J21" s="66">
        <f t="shared" si="1"/>
        <v>5201</v>
      </c>
      <c r="K21" s="66">
        <f>3500</f>
        <v>3500</v>
      </c>
      <c r="L21" s="66">
        <f t="shared" si="2"/>
        <v>1701</v>
      </c>
      <c r="M21" s="66"/>
      <c r="N21" s="66"/>
      <c r="O21" s="79">
        <f>340+119+68</f>
        <v>527</v>
      </c>
    </row>
    <row r="22" spans="1:18" x14ac:dyDescent="0.25">
      <c r="A22" s="61" t="s">
        <v>150</v>
      </c>
      <c r="B22" s="68" t="s">
        <v>38</v>
      </c>
      <c r="C22" s="63"/>
      <c r="D22" s="64">
        <f>'MAY 20'!L22:L55</f>
        <v>0</v>
      </c>
      <c r="E22" s="65">
        <v>6000</v>
      </c>
      <c r="F22" s="126">
        <v>0.6</v>
      </c>
      <c r="G22" s="128">
        <f t="shared" si="0"/>
        <v>3600</v>
      </c>
      <c r="H22" s="113">
        <v>680</v>
      </c>
      <c r="I22" s="65">
        <v>200</v>
      </c>
      <c r="J22" s="66">
        <f t="shared" si="1"/>
        <v>4480</v>
      </c>
      <c r="K22" s="66">
        <v>4480</v>
      </c>
      <c r="L22" s="66">
        <f t="shared" si="2"/>
        <v>0</v>
      </c>
      <c r="M22" s="66"/>
      <c r="N22" s="66"/>
      <c r="O22" s="79"/>
    </row>
    <row r="23" spans="1:18" x14ac:dyDescent="0.25">
      <c r="A23" s="59" t="s">
        <v>78</v>
      </c>
      <c r="B23" s="68" t="s">
        <v>37</v>
      </c>
      <c r="C23" s="63"/>
      <c r="D23" s="64">
        <f>'MAY 20'!L23:L56</f>
        <v>0</v>
      </c>
      <c r="E23" s="65">
        <v>6000</v>
      </c>
      <c r="F23" s="126">
        <v>0.6</v>
      </c>
      <c r="G23" s="128">
        <f t="shared" si="0"/>
        <v>3600</v>
      </c>
      <c r="H23" s="113">
        <v>0</v>
      </c>
      <c r="I23" s="65">
        <v>200</v>
      </c>
      <c r="J23" s="66">
        <f t="shared" si="1"/>
        <v>3800</v>
      </c>
      <c r="K23" s="66">
        <v>3800</v>
      </c>
      <c r="L23" s="66">
        <f t="shared" si="2"/>
        <v>0</v>
      </c>
      <c r="M23" s="66"/>
      <c r="N23" s="66"/>
      <c r="O23" s="79"/>
    </row>
    <row r="24" spans="1:18" x14ac:dyDescent="0.25">
      <c r="A24" s="61" t="s">
        <v>79</v>
      </c>
      <c r="B24" s="62" t="s">
        <v>28</v>
      </c>
      <c r="C24" s="63"/>
      <c r="D24" s="64">
        <f>'MAY 20'!L24:L57</f>
        <v>5519</v>
      </c>
      <c r="E24" s="65">
        <v>6500</v>
      </c>
      <c r="F24" s="126">
        <v>0.6</v>
      </c>
      <c r="G24" s="128"/>
      <c r="H24" s="113"/>
      <c r="I24" s="65"/>
      <c r="J24" s="66">
        <f t="shared" si="1"/>
        <v>5519</v>
      </c>
      <c r="K24" s="66"/>
      <c r="L24" s="66">
        <f>J24-K24</f>
        <v>5519</v>
      </c>
      <c r="M24" s="66"/>
      <c r="N24" s="66"/>
      <c r="O24" s="79">
        <f>200+68+100</f>
        <v>368</v>
      </c>
    </row>
    <row r="25" spans="1:18" x14ac:dyDescent="0.25">
      <c r="A25" s="61" t="s">
        <v>80</v>
      </c>
      <c r="B25" s="62" t="s">
        <v>29</v>
      </c>
      <c r="C25" s="63"/>
      <c r="D25" s="64">
        <f>'MAY 20'!L25:L58</f>
        <v>447</v>
      </c>
      <c r="E25" s="65">
        <v>6500</v>
      </c>
      <c r="F25" s="126">
        <v>0.6</v>
      </c>
      <c r="G25" s="128">
        <f t="shared" si="0"/>
        <v>3900</v>
      </c>
      <c r="H25" s="113">
        <v>1275</v>
      </c>
      <c r="I25" s="65">
        <v>200</v>
      </c>
      <c r="J25" s="66">
        <f>D25+G25+H25+I25</f>
        <v>5822</v>
      </c>
      <c r="K25" s="66">
        <v>5822</v>
      </c>
      <c r="L25" s="66">
        <f t="shared" si="2"/>
        <v>0</v>
      </c>
      <c r="M25" s="66"/>
      <c r="N25" s="66"/>
      <c r="O25" s="79">
        <f>1333+O24</f>
        <v>1701</v>
      </c>
      <c r="P25" s="53"/>
    </row>
    <row r="26" spans="1:18" x14ac:dyDescent="0.25">
      <c r="A26" s="61" t="s">
        <v>81</v>
      </c>
      <c r="B26" s="62" t="s">
        <v>30</v>
      </c>
      <c r="C26" s="63"/>
      <c r="D26" s="64">
        <v>50</v>
      </c>
      <c r="E26" s="65">
        <v>6500</v>
      </c>
      <c r="F26" s="126">
        <v>0.6</v>
      </c>
      <c r="G26" s="128">
        <f t="shared" si="0"/>
        <v>3900</v>
      </c>
      <c r="H26" s="113">
        <v>357</v>
      </c>
      <c r="I26" s="65">
        <v>200</v>
      </c>
      <c r="J26" s="66">
        <f t="shared" si="1"/>
        <v>4507</v>
      </c>
      <c r="K26" s="66">
        <v>4457</v>
      </c>
      <c r="L26" s="66">
        <f t="shared" si="2"/>
        <v>50</v>
      </c>
      <c r="M26" s="66"/>
      <c r="N26" s="66"/>
      <c r="O26" s="112"/>
    </row>
    <row r="27" spans="1:18" x14ac:dyDescent="0.25">
      <c r="A27" s="61" t="s">
        <v>82</v>
      </c>
      <c r="B27" s="62" t="s">
        <v>55</v>
      </c>
      <c r="C27" s="63"/>
      <c r="D27" s="64">
        <f>'MAY 20'!L27:L60</f>
        <v>7312</v>
      </c>
      <c r="E27" s="65"/>
      <c r="F27" s="126">
        <v>0.6</v>
      </c>
      <c r="G27" s="128">
        <f t="shared" si="0"/>
        <v>0</v>
      </c>
      <c r="H27" s="113"/>
      <c r="I27" s="65"/>
      <c r="J27" s="66">
        <f t="shared" si="1"/>
        <v>7312</v>
      </c>
      <c r="K27" s="66"/>
      <c r="L27" s="66">
        <f t="shared" si="2"/>
        <v>7312</v>
      </c>
      <c r="M27" s="66"/>
      <c r="N27" s="66"/>
      <c r="O27" s="112"/>
    </row>
    <row r="28" spans="1:18" x14ac:dyDescent="0.25">
      <c r="A28" s="61" t="s">
        <v>83</v>
      </c>
      <c r="B28" s="62" t="s">
        <v>56</v>
      </c>
      <c r="C28" s="63"/>
      <c r="D28" s="64">
        <f>'MAY 20'!L28:L61</f>
        <v>10465</v>
      </c>
      <c r="E28" s="65">
        <v>8000</v>
      </c>
      <c r="F28" s="126">
        <v>0.6</v>
      </c>
      <c r="G28" s="128">
        <f t="shared" si="0"/>
        <v>4800</v>
      </c>
      <c r="H28" s="113">
        <v>170</v>
      </c>
      <c r="I28" s="65">
        <v>200</v>
      </c>
      <c r="J28" s="66">
        <f t="shared" si="1"/>
        <v>15635</v>
      </c>
      <c r="K28" s="66">
        <v>8370</v>
      </c>
      <c r="L28" s="66">
        <f t="shared" si="2"/>
        <v>7265</v>
      </c>
      <c r="M28" s="66">
        <v>2000</v>
      </c>
      <c r="N28" s="66"/>
      <c r="O28" s="94"/>
    </row>
    <row r="29" spans="1:18" x14ac:dyDescent="0.25">
      <c r="A29" s="61" t="s">
        <v>128</v>
      </c>
      <c r="B29" s="62" t="s">
        <v>57</v>
      </c>
      <c r="C29" s="63"/>
      <c r="D29" s="64">
        <f>'MAY 20'!L29:L62</f>
        <v>0</v>
      </c>
      <c r="E29" s="65">
        <v>6500</v>
      </c>
      <c r="F29" s="126">
        <v>0.6</v>
      </c>
      <c r="G29" s="128">
        <f t="shared" si="0"/>
        <v>3900</v>
      </c>
      <c r="H29" s="113">
        <v>578</v>
      </c>
      <c r="I29" s="65">
        <v>200</v>
      </c>
      <c r="J29" s="66">
        <f t="shared" si="1"/>
        <v>4678</v>
      </c>
      <c r="K29" s="66">
        <v>4678</v>
      </c>
      <c r="L29" s="66">
        <f t="shared" si="2"/>
        <v>0</v>
      </c>
      <c r="M29" s="66"/>
      <c r="N29" s="66"/>
      <c r="O29" s="79">
        <f>D27+6500+6500+170+187</f>
        <v>20669</v>
      </c>
    </row>
    <row r="30" spans="1:18" x14ac:dyDescent="0.25">
      <c r="A30" s="61" t="s">
        <v>92</v>
      </c>
      <c r="B30" s="62" t="s">
        <v>58</v>
      </c>
      <c r="C30" s="63"/>
      <c r="D30" s="64">
        <f>'MAY 20'!L30:L63</f>
        <v>4474</v>
      </c>
      <c r="E30" s="65">
        <v>6500</v>
      </c>
      <c r="F30" s="126">
        <v>0.6</v>
      </c>
      <c r="G30" s="128">
        <f t="shared" si="0"/>
        <v>3900</v>
      </c>
      <c r="H30" s="113">
        <v>238</v>
      </c>
      <c r="I30" s="65">
        <v>200</v>
      </c>
      <c r="J30" s="66">
        <f t="shared" si="1"/>
        <v>8812</v>
      </c>
      <c r="K30" s="66">
        <f>3000</f>
        <v>3000</v>
      </c>
      <c r="L30" s="66">
        <f>J30-K30</f>
        <v>5812</v>
      </c>
      <c r="M30" s="66"/>
      <c r="N30" s="66"/>
      <c r="O30" s="79"/>
    </row>
    <row r="31" spans="1:18" x14ac:dyDescent="0.25">
      <c r="A31" s="61" t="s">
        <v>176</v>
      </c>
      <c r="B31" s="62" t="s">
        <v>59</v>
      </c>
      <c r="C31" s="63"/>
      <c r="D31" s="64">
        <f>'MAY 20'!L31:L64</f>
        <v>2507</v>
      </c>
      <c r="E31" s="65">
        <v>6500</v>
      </c>
      <c r="F31" s="126">
        <v>0.6</v>
      </c>
      <c r="G31" s="128">
        <f t="shared" si="0"/>
        <v>3900</v>
      </c>
      <c r="H31" s="113">
        <v>595</v>
      </c>
      <c r="I31" s="65">
        <v>200</v>
      </c>
      <c r="J31" s="66">
        <f t="shared" si="1"/>
        <v>7202</v>
      </c>
      <c r="K31" s="66">
        <f>2500+2300+2402</f>
        <v>7202</v>
      </c>
      <c r="L31" s="66">
        <f t="shared" si="2"/>
        <v>0</v>
      </c>
      <c r="M31" s="66"/>
      <c r="N31" s="66"/>
      <c r="O31" s="79"/>
      <c r="P31" s="53"/>
    </row>
    <row r="32" spans="1:18" x14ac:dyDescent="0.25">
      <c r="A32" s="61" t="s">
        <v>170</v>
      </c>
      <c r="B32" s="62" t="s">
        <v>60</v>
      </c>
      <c r="C32" s="63"/>
      <c r="D32" s="64">
        <f>'MAY 20'!L32:L65</f>
        <v>709</v>
      </c>
      <c r="E32" s="65">
        <v>6500</v>
      </c>
      <c r="F32" s="126">
        <v>0.6</v>
      </c>
      <c r="G32" s="128">
        <f t="shared" si="0"/>
        <v>3900</v>
      </c>
      <c r="H32" s="113">
        <v>663</v>
      </c>
      <c r="I32" s="65">
        <v>200</v>
      </c>
      <c r="J32" s="66">
        <f t="shared" si="1"/>
        <v>5472</v>
      </c>
      <c r="K32" s="66">
        <v>4763</v>
      </c>
      <c r="L32" s="66">
        <f t="shared" si="2"/>
        <v>709</v>
      </c>
      <c r="M32" s="66"/>
      <c r="N32" s="66"/>
      <c r="O32" s="94">
        <f>G31+H31+I31+7</f>
        <v>4702</v>
      </c>
    </row>
    <row r="33" spans="1:18" x14ac:dyDescent="0.25">
      <c r="A33" s="61" t="s">
        <v>86</v>
      </c>
      <c r="B33" s="62" t="s">
        <v>31</v>
      </c>
      <c r="C33" s="63"/>
      <c r="D33" s="64">
        <f>'MAY 20'!L33:L66</f>
        <v>0</v>
      </c>
      <c r="E33" s="65">
        <v>8000</v>
      </c>
      <c r="F33" s="126">
        <v>0.6</v>
      </c>
      <c r="G33" s="128">
        <f t="shared" si="0"/>
        <v>4800</v>
      </c>
      <c r="H33" s="113">
        <v>1326</v>
      </c>
      <c r="I33" s="65">
        <v>200</v>
      </c>
      <c r="J33" s="66">
        <f t="shared" si="1"/>
        <v>6326</v>
      </c>
      <c r="K33" s="66">
        <v>6326</v>
      </c>
      <c r="L33" s="66">
        <f>J33-K33</f>
        <v>0</v>
      </c>
      <c r="M33" s="66"/>
      <c r="N33" s="66"/>
      <c r="O33" s="94">
        <f>O32-2300</f>
        <v>2402</v>
      </c>
      <c r="Q33" s="53">
        <f>L26+O38</f>
        <v>5730</v>
      </c>
    </row>
    <row r="34" spans="1:18" x14ac:dyDescent="0.25">
      <c r="A34" s="61" t="s">
        <v>121</v>
      </c>
      <c r="B34" s="62" t="s">
        <v>32</v>
      </c>
      <c r="C34" s="63"/>
      <c r="D34" s="64">
        <f>'MAY 20'!L34:L67</f>
        <v>4191</v>
      </c>
      <c r="E34" s="113">
        <v>6500</v>
      </c>
      <c r="F34" s="126">
        <v>0.6</v>
      </c>
      <c r="G34" s="128">
        <f t="shared" si="0"/>
        <v>3900</v>
      </c>
      <c r="H34" s="113">
        <v>221</v>
      </c>
      <c r="I34" s="65">
        <v>200</v>
      </c>
      <c r="J34" s="66">
        <f t="shared" si="1"/>
        <v>8512</v>
      </c>
      <c r="K34" s="66">
        <f>5000</f>
        <v>5000</v>
      </c>
      <c r="L34" s="66">
        <f t="shared" si="2"/>
        <v>3512</v>
      </c>
      <c r="M34" s="66"/>
      <c r="N34" s="66"/>
      <c r="O34" s="79"/>
      <c r="Q34" s="53">
        <f>10146-Q33</f>
        <v>4416</v>
      </c>
    </row>
    <row r="35" spans="1:18" x14ac:dyDescent="0.25">
      <c r="A35" s="120" t="s">
        <v>99</v>
      </c>
      <c r="B35" s="121" t="s">
        <v>33</v>
      </c>
      <c r="C35" s="63"/>
      <c r="D35" s="64">
        <f>'MAY 20'!L35:L68</f>
        <v>4537</v>
      </c>
      <c r="E35" s="113">
        <v>6500</v>
      </c>
      <c r="F35" s="126">
        <v>0.6</v>
      </c>
      <c r="G35" s="128">
        <f t="shared" si="0"/>
        <v>3900</v>
      </c>
      <c r="H35" s="113">
        <v>272</v>
      </c>
      <c r="I35" s="65">
        <v>200</v>
      </c>
      <c r="J35" s="66">
        <f t="shared" si="1"/>
        <v>8909</v>
      </c>
      <c r="K35" s="66"/>
      <c r="L35" s="58">
        <f t="shared" si="2"/>
        <v>8909</v>
      </c>
      <c r="M35" s="66"/>
      <c r="N35" s="66"/>
      <c r="O35" s="79"/>
    </row>
    <row r="36" spans="1:18" x14ac:dyDescent="0.25">
      <c r="A36" s="61" t="s">
        <v>89</v>
      </c>
      <c r="B36" s="62" t="s">
        <v>34</v>
      </c>
      <c r="C36" s="63"/>
      <c r="D36" s="64">
        <f>'MAY 20'!L36:L69</f>
        <v>221</v>
      </c>
      <c r="E36" s="113">
        <v>6500</v>
      </c>
      <c r="F36" s="126">
        <v>0.6</v>
      </c>
      <c r="G36" s="128">
        <f t="shared" si="0"/>
        <v>3900</v>
      </c>
      <c r="H36" s="113">
        <v>357</v>
      </c>
      <c r="I36" s="65">
        <v>200</v>
      </c>
      <c r="J36" s="66">
        <f t="shared" si="1"/>
        <v>4678</v>
      </c>
      <c r="K36" s="66">
        <v>4678</v>
      </c>
      <c r="L36" s="66">
        <f t="shared" si="2"/>
        <v>0</v>
      </c>
      <c r="M36" s="66"/>
      <c r="N36" s="66"/>
      <c r="O36" s="79"/>
      <c r="P36" s="53"/>
    </row>
    <row r="37" spans="1:18" x14ac:dyDescent="0.25">
      <c r="A37" s="61" t="s">
        <v>103</v>
      </c>
      <c r="B37" s="62" t="s">
        <v>35</v>
      </c>
      <c r="C37" s="63"/>
      <c r="D37" s="64">
        <f>'MAY 20'!L37:L70</f>
        <v>0</v>
      </c>
      <c r="E37" s="113">
        <v>6500</v>
      </c>
      <c r="F37" s="126">
        <v>0.6</v>
      </c>
      <c r="G37" s="128">
        <f t="shared" si="0"/>
        <v>3900</v>
      </c>
      <c r="H37" s="113">
        <v>680</v>
      </c>
      <c r="I37" s="65">
        <v>200</v>
      </c>
      <c r="J37" s="66">
        <f t="shared" si="1"/>
        <v>4780</v>
      </c>
      <c r="K37" s="66">
        <v>4780</v>
      </c>
      <c r="L37" s="66">
        <f>J37-K37</f>
        <v>0</v>
      </c>
      <c r="M37" s="66"/>
      <c r="N37" s="66"/>
      <c r="O37" s="79"/>
    </row>
    <row r="38" spans="1:18" x14ac:dyDescent="0.25">
      <c r="A38" s="61" t="s">
        <v>138</v>
      </c>
      <c r="B38" s="62" t="s">
        <v>207</v>
      </c>
      <c r="C38" s="63"/>
      <c r="D38" s="64">
        <f>'MAY 20'!L38:L71</f>
        <v>2990</v>
      </c>
      <c r="E38" s="115">
        <v>8000</v>
      </c>
      <c r="F38" s="126">
        <v>0.6</v>
      </c>
      <c r="G38" s="128">
        <f t="shared" si="0"/>
        <v>4800</v>
      </c>
      <c r="H38" s="115">
        <v>680</v>
      </c>
      <c r="I38" s="65">
        <v>200</v>
      </c>
      <c r="J38" s="66">
        <f>D38+G38+H38+I38</f>
        <v>8670</v>
      </c>
      <c r="K38" s="66">
        <f>2000+5680</f>
        <v>7680</v>
      </c>
      <c r="L38" s="66">
        <f t="shared" si="2"/>
        <v>990</v>
      </c>
      <c r="M38" s="66"/>
      <c r="N38" s="66"/>
      <c r="O38" s="94">
        <f>G38+H38+I38</f>
        <v>5680</v>
      </c>
      <c r="P38" s="94"/>
    </row>
    <row r="39" spans="1:18" x14ac:dyDescent="0.25">
      <c r="A39" s="61"/>
      <c r="B39" s="114"/>
      <c r="C39" s="63"/>
      <c r="D39" s="64"/>
      <c r="E39" s="115"/>
      <c r="F39" s="126">
        <v>0.6</v>
      </c>
      <c r="G39" s="128">
        <f t="shared" si="0"/>
        <v>0</v>
      </c>
      <c r="H39" s="115"/>
      <c r="I39" s="65"/>
      <c r="J39" s="66">
        <f t="shared" si="1"/>
        <v>0</v>
      </c>
      <c r="K39" s="66"/>
      <c r="L39" s="66">
        <f>J39-K39</f>
        <v>0</v>
      </c>
      <c r="M39" s="66"/>
      <c r="N39" s="66"/>
      <c r="O39" s="79"/>
    </row>
    <row r="40" spans="1:18" x14ac:dyDescent="0.25">
      <c r="A40" s="116" t="s">
        <v>10</v>
      </c>
      <c r="B40" s="60"/>
      <c r="C40" s="63">
        <f t="shared" ref="C40:N40" si="3">SUM(C6:C39)</f>
        <v>0</v>
      </c>
      <c r="D40" s="64">
        <f>SUM(D6:D39)</f>
        <v>63921</v>
      </c>
      <c r="E40" s="117">
        <f>SUM(E6:E39)</f>
        <v>191500</v>
      </c>
      <c r="F40" s="126"/>
      <c r="G40" s="128">
        <f>SUM(G6:G39)</f>
        <v>111000</v>
      </c>
      <c r="H40" s="118">
        <f>SUM(H6:H39)</f>
        <v>12053</v>
      </c>
      <c r="I40" s="139">
        <f t="shared" si="3"/>
        <v>5400</v>
      </c>
      <c r="J40" s="66">
        <f>SUM(J6:J39)</f>
        <v>192374</v>
      </c>
      <c r="K40" s="66">
        <f t="shared" si="3"/>
        <v>128455</v>
      </c>
      <c r="L40" s="66">
        <f t="shared" si="3"/>
        <v>63919</v>
      </c>
      <c r="M40" s="66">
        <f t="shared" si="3"/>
        <v>2000</v>
      </c>
      <c r="N40" s="131">
        <f t="shared" si="3"/>
        <v>0</v>
      </c>
      <c r="O40" s="79"/>
    </row>
    <row r="41" spans="1:18" x14ac:dyDescent="0.25">
      <c r="A41" s="79"/>
      <c r="B41" s="79"/>
      <c r="D41" s="79">
        <f>'MAY 20'!D45</f>
        <v>56855</v>
      </c>
      <c r="E41" s="79"/>
      <c r="F41" s="79"/>
      <c r="G41" s="79"/>
      <c r="H41" s="79"/>
      <c r="I41" s="18"/>
      <c r="J41" s="18"/>
      <c r="K41" s="18"/>
      <c r="L41" s="18"/>
      <c r="M41" s="18"/>
      <c r="N41" s="18"/>
      <c r="O41" s="18"/>
      <c r="P41" s="18"/>
      <c r="Q41" s="18"/>
      <c r="R41" s="53"/>
    </row>
    <row r="42" spans="1:18" x14ac:dyDescent="0.25">
      <c r="A42" s="79"/>
      <c r="B42" s="79"/>
      <c r="D42" s="79"/>
      <c r="E42" s="79"/>
      <c r="F42" s="79"/>
      <c r="G42" s="79"/>
      <c r="H42" s="79"/>
      <c r="J42" s="18"/>
      <c r="K42" s="18"/>
      <c r="L42" s="18"/>
      <c r="M42" s="41" t="s">
        <v>213</v>
      </c>
      <c r="N42" s="18"/>
      <c r="O42" s="18"/>
      <c r="P42" s="18"/>
      <c r="Q42" s="18"/>
    </row>
    <row r="43" spans="1:18" x14ac:dyDescent="0.25">
      <c r="A43" s="79"/>
      <c r="B43" s="79"/>
      <c r="D43" s="79"/>
      <c r="E43" s="94">
        <f>D41+G40+H40+I40+M40</f>
        <v>187308</v>
      </c>
      <c r="F43" s="79"/>
      <c r="G43" s="94"/>
      <c r="H43" s="79"/>
      <c r="I43" s="18"/>
      <c r="J43" s="41" t="s">
        <v>226</v>
      </c>
      <c r="K43" s="41" t="s">
        <v>137</v>
      </c>
      <c r="L43" s="41">
        <v>5680</v>
      </c>
      <c r="M43" s="41" t="s">
        <v>211</v>
      </c>
      <c r="N43" s="41"/>
      <c r="O43" s="41">
        <v>2200</v>
      </c>
      <c r="P43" s="41" t="s">
        <v>212</v>
      </c>
      <c r="Q43" s="18"/>
    </row>
    <row r="44" spans="1:18" x14ac:dyDescent="0.25">
      <c r="A44" s="7"/>
      <c r="B44" s="7"/>
      <c r="C44" s="7"/>
      <c r="D44" s="7"/>
      <c r="E44" s="54">
        <f>E43-K40</f>
        <v>58853</v>
      </c>
      <c r="F44" s="7"/>
      <c r="G44" s="7"/>
      <c r="H44" s="54"/>
      <c r="I44" s="18"/>
      <c r="J44" s="41" t="s">
        <v>227</v>
      </c>
      <c r="K44" s="41"/>
      <c r="L44" s="41">
        <v>4457</v>
      </c>
      <c r="M44" s="18" t="s">
        <v>216</v>
      </c>
      <c r="N44" s="41"/>
      <c r="O44" s="132">
        <f>J25</f>
        <v>5822</v>
      </c>
      <c r="P44" s="18"/>
      <c r="Q44" s="18"/>
    </row>
    <row r="45" spans="1:18" x14ac:dyDescent="0.25">
      <c r="A45" s="7"/>
      <c r="B45" s="7"/>
      <c r="C45" s="7"/>
      <c r="D45" s="7"/>
      <c r="E45" s="54"/>
      <c r="F45" s="7"/>
      <c r="G45" s="7"/>
      <c r="H45" s="54"/>
      <c r="I45" s="18"/>
      <c r="J45" s="41"/>
      <c r="K45" s="41"/>
      <c r="L45" s="41">
        <f>SUM(L43:L44)</f>
        <v>10137</v>
      </c>
      <c r="M45" s="41" t="s">
        <v>217</v>
      </c>
      <c r="N45" s="41"/>
      <c r="O45" s="132">
        <f>J10</f>
        <v>4293</v>
      </c>
      <c r="P45" s="18"/>
      <c r="Q45" s="47"/>
      <c r="R45" s="7"/>
    </row>
    <row r="46" spans="1:18" x14ac:dyDescent="0.25">
      <c r="A46" s="7"/>
      <c r="B46" s="7"/>
      <c r="C46" s="7"/>
      <c r="D46" s="7"/>
      <c r="E46" s="7"/>
      <c r="F46" s="7"/>
      <c r="G46" s="7"/>
      <c r="H46" s="7"/>
      <c r="I46" s="18"/>
      <c r="J46" s="18"/>
      <c r="K46" s="18"/>
      <c r="L46" s="47"/>
      <c r="M46" s="41" t="s">
        <v>218</v>
      </c>
      <c r="N46" s="41"/>
      <c r="O46" s="132">
        <f>J33</f>
        <v>6326</v>
      </c>
      <c r="P46" s="18"/>
      <c r="Q46" s="18"/>
    </row>
    <row r="47" spans="1:18" x14ac:dyDescent="0.25">
      <c r="A47" s="7"/>
      <c r="B47" s="7"/>
      <c r="C47" s="7"/>
      <c r="D47" s="7"/>
      <c r="E47" s="7"/>
      <c r="F47" s="7"/>
      <c r="G47" s="7"/>
      <c r="H47" s="7"/>
      <c r="I47" s="18"/>
      <c r="J47" s="18"/>
      <c r="K47" s="18"/>
      <c r="L47" s="18"/>
      <c r="M47" s="41" t="s">
        <v>164</v>
      </c>
      <c r="N47" s="41"/>
      <c r="O47" s="132">
        <f>J37</f>
        <v>4780</v>
      </c>
      <c r="P47" s="18"/>
      <c r="Q47" s="18"/>
    </row>
    <row r="48" spans="1:18" x14ac:dyDescent="0.25">
      <c r="A48" s="7"/>
      <c r="B48" s="7"/>
      <c r="C48" s="7"/>
      <c r="D48" s="7"/>
      <c r="E48" s="7"/>
      <c r="F48" s="7"/>
      <c r="G48" s="7"/>
      <c r="H48" s="7"/>
      <c r="I48" s="18"/>
      <c r="J48" s="18"/>
      <c r="K48" s="18"/>
      <c r="L48" s="18"/>
      <c r="M48" s="41" t="s">
        <v>219</v>
      </c>
      <c r="N48" s="41"/>
      <c r="O48" s="132">
        <f>J22</f>
        <v>4480</v>
      </c>
      <c r="P48" s="18"/>
      <c r="Q48" s="18"/>
    </row>
    <row r="49" spans="1:17" x14ac:dyDescent="0.25">
      <c r="A49" s="7"/>
      <c r="B49" s="7"/>
      <c r="C49" s="7"/>
      <c r="D49" s="7"/>
      <c r="E49" s="7"/>
      <c r="F49" s="7"/>
      <c r="G49" s="7"/>
      <c r="H49" s="7"/>
      <c r="I49" s="47"/>
      <c r="J49" s="18"/>
      <c r="K49" s="18"/>
      <c r="L49" s="18"/>
      <c r="M49" s="41" t="s">
        <v>220</v>
      </c>
      <c r="N49" s="41"/>
      <c r="O49" s="132">
        <f>J19</f>
        <v>4239</v>
      </c>
      <c r="P49" s="18"/>
      <c r="Q49" s="18"/>
    </row>
    <row r="50" spans="1:17" x14ac:dyDescent="0.25">
      <c r="A50" s="7"/>
      <c r="B50" s="7"/>
      <c r="C50" s="7"/>
      <c r="D50" s="7"/>
      <c r="E50" s="7"/>
      <c r="F50" s="7"/>
      <c r="G50" s="7"/>
      <c r="H50" s="7"/>
      <c r="I50" s="18"/>
      <c r="J50" s="18"/>
      <c r="K50" s="18"/>
      <c r="L50" s="18"/>
      <c r="M50" s="41" t="s">
        <v>221</v>
      </c>
      <c r="N50" s="41"/>
      <c r="P50" s="132">
        <v>14300</v>
      </c>
      <c r="Q50" s="18"/>
    </row>
    <row r="51" spans="1:17" x14ac:dyDescent="0.25">
      <c r="A51" s="7"/>
      <c r="B51" s="7"/>
      <c r="C51" s="7"/>
      <c r="D51" s="7"/>
      <c r="E51" s="7"/>
      <c r="F51" s="7"/>
      <c r="G51" s="7"/>
      <c r="H51" s="7"/>
      <c r="I51" s="18"/>
      <c r="J51" s="18"/>
      <c r="K51" s="18"/>
      <c r="L51" s="18"/>
      <c r="M51" s="41" t="s">
        <v>160</v>
      </c>
      <c r="N51" s="41"/>
      <c r="O51" s="132">
        <v>4000</v>
      </c>
      <c r="P51" s="18"/>
      <c r="Q51" s="18"/>
    </row>
    <row r="52" spans="1:17" x14ac:dyDescent="0.25">
      <c r="A52" s="7"/>
      <c r="B52" s="7"/>
      <c r="C52" s="7"/>
      <c r="D52" s="7"/>
      <c r="E52" s="7"/>
      <c r="F52" s="43"/>
      <c r="G52" s="43"/>
      <c r="H52" s="7"/>
      <c r="I52" s="18"/>
      <c r="J52" s="18"/>
      <c r="K52" s="18"/>
      <c r="L52" s="18"/>
      <c r="M52" s="41" t="s">
        <v>161</v>
      </c>
      <c r="N52" s="41"/>
      <c r="O52" s="132">
        <f>J23</f>
        <v>3800</v>
      </c>
      <c r="P52" s="18"/>
      <c r="Q52" s="18"/>
    </row>
    <row r="53" spans="1:17" x14ac:dyDescent="0.25">
      <c r="A53" s="7"/>
      <c r="B53" s="7"/>
      <c r="C53" s="79"/>
      <c r="D53" s="7"/>
      <c r="E53" s="7"/>
      <c r="F53" s="7"/>
      <c r="G53" s="7"/>
      <c r="H53" s="7"/>
      <c r="I53" s="18"/>
      <c r="J53" s="18"/>
      <c r="K53" s="18"/>
      <c r="L53" s="18"/>
      <c r="M53" s="41" t="s">
        <v>222</v>
      </c>
      <c r="N53" s="41"/>
      <c r="O53" s="132">
        <f>J29</f>
        <v>4678</v>
      </c>
      <c r="P53" s="47"/>
      <c r="Q53" s="18"/>
    </row>
    <row r="54" spans="1:17" x14ac:dyDescent="0.25">
      <c r="A54" s="7"/>
      <c r="B54" s="7"/>
      <c r="C54" s="7"/>
      <c r="D54" s="7"/>
      <c r="E54" s="7"/>
      <c r="F54" s="7"/>
      <c r="G54" s="7"/>
      <c r="H54" s="7"/>
      <c r="I54" s="18"/>
      <c r="J54" s="18"/>
      <c r="K54" s="18"/>
      <c r="L54" s="18"/>
      <c r="M54" s="41" t="s">
        <v>23</v>
      </c>
      <c r="N54" s="41"/>
      <c r="O54" s="132">
        <f>SUM(O43:O53)</f>
        <v>44618</v>
      </c>
      <c r="P54" s="18"/>
      <c r="Q54" s="18"/>
    </row>
    <row r="55" spans="1:17" x14ac:dyDescent="0.25">
      <c r="B55" s="80"/>
      <c r="C55" s="81"/>
      <c r="D55" s="82"/>
      <c r="E55" s="82"/>
      <c r="F55" s="85" t="s">
        <v>11</v>
      </c>
      <c r="G55" s="83"/>
      <c r="H55" s="83"/>
      <c r="I55" s="133"/>
      <c r="J55" s="134"/>
      <c r="K55" s="133"/>
      <c r="L55" s="133"/>
      <c r="M55" s="18"/>
      <c r="N55" s="18"/>
      <c r="O55" s="18"/>
      <c r="P55" s="18"/>
      <c r="Q55" s="18"/>
    </row>
    <row r="56" spans="1:17" x14ac:dyDescent="0.25">
      <c r="A56" s="85" t="s">
        <v>12</v>
      </c>
      <c r="B56" s="85"/>
      <c r="C56" s="85"/>
      <c r="D56" s="86"/>
      <c r="E56" s="82"/>
      <c r="F56" s="85" t="s">
        <v>8</v>
      </c>
      <c r="G56" s="85"/>
      <c r="H56" s="85"/>
      <c r="I56" s="85"/>
      <c r="J56" s="79"/>
      <c r="K56" s="79"/>
      <c r="L56" s="79"/>
      <c r="M56" s="79"/>
      <c r="N56" s="71"/>
      <c r="O56" s="5"/>
    </row>
    <row r="57" spans="1:17" x14ac:dyDescent="0.25">
      <c r="A57" s="87" t="s">
        <v>13</v>
      </c>
      <c r="B57" s="87" t="s">
        <v>14</v>
      </c>
      <c r="C57" s="87" t="s">
        <v>15</v>
      </c>
      <c r="D57" s="87" t="s">
        <v>16</v>
      </c>
      <c r="E57" s="87"/>
      <c r="F57" s="87" t="s">
        <v>13</v>
      </c>
      <c r="G57" s="87"/>
      <c r="H57" s="87"/>
      <c r="I57" s="87"/>
      <c r="J57" s="87" t="s">
        <v>14</v>
      </c>
      <c r="K57" s="87" t="s">
        <v>15</v>
      </c>
      <c r="L57" s="87" t="s">
        <v>16</v>
      </c>
      <c r="M57" s="87"/>
      <c r="N57" s="73"/>
      <c r="O57" s="5"/>
    </row>
    <row r="58" spans="1:17" x14ac:dyDescent="0.25">
      <c r="A58" s="60" t="s">
        <v>209</v>
      </c>
      <c r="B58" s="88">
        <f>G40</f>
        <v>111000</v>
      </c>
      <c r="C58" s="60"/>
      <c r="D58" s="60"/>
      <c r="E58" s="60"/>
      <c r="F58" s="60" t="s">
        <v>209</v>
      </c>
      <c r="G58" s="60"/>
      <c r="H58" s="60"/>
      <c r="I58" s="60"/>
      <c r="J58" s="88">
        <f>K40</f>
        <v>128455</v>
      </c>
      <c r="K58" s="60"/>
      <c r="L58" s="60"/>
      <c r="M58" s="60"/>
      <c r="N58" s="74"/>
      <c r="O58" s="5"/>
    </row>
    <row r="59" spans="1:17" x14ac:dyDescent="0.25">
      <c r="A59" s="60" t="s">
        <v>18</v>
      </c>
      <c r="B59" s="88">
        <f>'MAY 20'!D72</f>
        <v>106</v>
      </c>
      <c r="C59" s="60"/>
      <c r="D59" s="60"/>
      <c r="E59" s="60"/>
      <c r="F59" s="60" t="s">
        <v>18</v>
      </c>
      <c r="G59" s="60"/>
      <c r="H59" s="60"/>
      <c r="I59" s="60"/>
      <c r="J59" s="88">
        <f>'MAY 20'!L72</f>
        <v>-51684</v>
      </c>
      <c r="K59" s="60"/>
      <c r="L59" s="60"/>
      <c r="M59" s="60"/>
      <c r="N59" s="74"/>
      <c r="O59" s="53"/>
    </row>
    <row r="60" spans="1:17" x14ac:dyDescent="0.25">
      <c r="A60" s="60" t="s">
        <v>19</v>
      </c>
      <c r="B60" s="88"/>
      <c r="C60" s="60"/>
      <c r="D60" s="60"/>
      <c r="E60" s="60"/>
      <c r="F60" s="60"/>
      <c r="G60" s="60"/>
      <c r="H60" s="60"/>
      <c r="I60" s="60"/>
      <c r="J60" s="88"/>
      <c r="K60" s="60"/>
      <c r="L60" s="60"/>
      <c r="M60" s="60"/>
      <c r="N60" s="74"/>
      <c r="O60" s="53"/>
      <c r="P60" s="53"/>
    </row>
    <row r="61" spans="1:17" x14ac:dyDescent="0.25">
      <c r="A61" s="60" t="s">
        <v>63</v>
      </c>
      <c r="B61" s="88">
        <f>H40</f>
        <v>12053</v>
      </c>
      <c r="C61" s="60"/>
      <c r="D61" s="60"/>
      <c r="E61" s="60"/>
      <c r="F61" s="60"/>
      <c r="G61" s="60"/>
      <c r="H61" s="60"/>
      <c r="I61" s="60"/>
      <c r="J61" s="88"/>
      <c r="K61" s="60"/>
      <c r="L61" s="60"/>
      <c r="M61" s="60"/>
      <c r="N61" s="74"/>
    </row>
    <row r="62" spans="1:17" x14ac:dyDescent="0.25">
      <c r="A62" s="60" t="s">
        <v>62</v>
      </c>
      <c r="B62" s="88">
        <f>M40</f>
        <v>2000</v>
      </c>
      <c r="C62" s="60"/>
      <c r="D62" s="60"/>
      <c r="E62" s="60"/>
      <c r="F62" s="60"/>
      <c r="G62" s="60"/>
      <c r="H62" s="60"/>
      <c r="I62" s="60"/>
      <c r="J62" s="88"/>
      <c r="K62" s="60"/>
      <c r="L62" s="60"/>
      <c r="M62" s="60"/>
      <c r="N62" s="74"/>
      <c r="O62" s="5"/>
    </row>
    <row r="63" spans="1:17" x14ac:dyDescent="0.25">
      <c r="A63" s="60" t="s">
        <v>96</v>
      </c>
      <c r="B63" s="88">
        <f>I40</f>
        <v>5400</v>
      </c>
      <c r="C63" s="60"/>
      <c r="D63" s="60"/>
      <c r="E63" s="60"/>
      <c r="F63" s="60" t="s">
        <v>126</v>
      </c>
      <c r="G63" s="60"/>
      <c r="H63" s="60"/>
      <c r="I63" s="60"/>
      <c r="J63" s="88"/>
      <c r="K63" s="60"/>
      <c r="L63" s="60"/>
      <c r="M63" s="60"/>
      <c r="N63" s="74"/>
      <c r="O63" s="5"/>
    </row>
    <row r="64" spans="1:17" x14ac:dyDescent="0.25">
      <c r="A64" s="60" t="s">
        <v>167</v>
      </c>
      <c r="B64" s="88">
        <v>2200</v>
      </c>
      <c r="C64" s="60"/>
      <c r="D64" s="60"/>
      <c r="E64" s="60"/>
      <c r="F64" s="60" t="s">
        <v>167</v>
      </c>
      <c r="G64" s="88"/>
      <c r="I64" s="60"/>
      <c r="J64" s="60">
        <v>2200</v>
      </c>
      <c r="L64" s="60"/>
      <c r="M64" s="60"/>
      <c r="N64" s="74"/>
    </row>
    <row r="65" spans="1:16" x14ac:dyDescent="0.25">
      <c r="A65" s="60" t="s">
        <v>126</v>
      </c>
      <c r="B65" s="89"/>
      <c r="C65" s="88"/>
      <c r="D65" s="60"/>
      <c r="E65" s="60"/>
      <c r="F65" s="60"/>
      <c r="G65" s="60"/>
      <c r="H65" s="60"/>
      <c r="I65" s="60"/>
      <c r="J65" s="90"/>
      <c r="K65" s="88"/>
      <c r="L65" s="88"/>
      <c r="M65" s="88"/>
      <c r="N65" s="75"/>
      <c r="O65">
        <f>6500+6500</f>
        <v>13000</v>
      </c>
      <c r="P65" s="5"/>
    </row>
    <row r="66" spans="1:16" x14ac:dyDescent="0.25">
      <c r="A66" s="87" t="s">
        <v>21</v>
      </c>
      <c r="B66" s="60" t="s">
        <v>22</v>
      </c>
      <c r="C66" s="60"/>
      <c r="D66" s="60"/>
      <c r="E66" s="60"/>
      <c r="F66" s="87" t="s">
        <v>21</v>
      </c>
      <c r="G66" s="87"/>
      <c r="H66" s="87"/>
      <c r="I66" s="87"/>
      <c r="J66" s="89"/>
      <c r="K66" s="60"/>
      <c r="L66" s="60"/>
      <c r="M66" s="60"/>
      <c r="N66" s="74"/>
      <c r="O66">
        <f>B67*O65</f>
        <v>650</v>
      </c>
    </row>
    <row r="67" spans="1:16" x14ac:dyDescent="0.25">
      <c r="A67" s="91" t="s">
        <v>111</v>
      </c>
      <c r="B67" s="90">
        <v>0.05</v>
      </c>
      <c r="C67" s="89">
        <f>B67*E40</f>
        <v>9575</v>
      </c>
      <c r="D67" s="60"/>
      <c r="E67" s="60"/>
      <c r="F67" s="91" t="s">
        <v>111</v>
      </c>
      <c r="G67" s="91"/>
      <c r="H67" s="91"/>
      <c r="I67" s="91"/>
      <c r="J67" s="90">
        <v>0.05</v>
      </c>
      <c r="K67" s="89">
        <f>J67*E40</f>
        <v>9575</v>
      </c>
      <c r="L67" s="60"/>
      <c r="M67" s="60"/>
      <c r="N67" s="74"/>
    </row>
    <row r="68" spans="1:16" x14ac:dyDescent="0.25">
      <c r="A68" s="92"/>
      <c r="B68" s="93"/>
      <c r="C68" s="90"/>
      <c r="D68" s="89"/>
      <c r="E68" s="89"/>
      <c r="F68" s="92"/>
      <c r="G68" s="90"/>
      <c r="H68" s="89"/>
      <c r="I68" s="60"/>
      <c r="J68" s="90"/>
      <c r="K68" s="89"/>
      <c r="L68" s="89"/>
      <c r="M68" s="89"/>
      <c r="N68" s="76"/>
    </row>
    <row r="69" spans="1:16" x14ac:dyDescent="0.25">
      <c r="A69" s="92" t="s">
        <v>214</v>
      </c>
      <c r="B69" s="90"/>
      <c r="C69" s="89">
        <v>120984</v>
      </c>
      <c r="D69" s="60"/>
      <c r="E69" s="60"/>
      <c r="F69" s="92" t="s">
        <v>214</v>
      </c>
      <c r="G69" s="90"/>
      <c r="H69" s="89"/>
      <c r="J69" s="90"/>
      <c r="K69" s="89">
        <v>120984</v>
      </c>
      <c r="L69" s="60"/>
      <c r="M69" s="60"/>
      <c r="N69" s="74"/>
    </row>
    <row r="70" spans="1:16" x14ac:dyDescent="0.25">
      <c r="A70" s="60" t="s">
        <v>215</v>
      </c>
      <c r="B70" s="60"/>
      <c r="C70" s="94">
        <v>2200</v>
      </c>
      <c r="D70" s="60"/>
      <c r="E70" s="60"/>
      <c r="F70" s="60" t="s">
        <v>215</v>
      </c>
      <c r="G70" s="60"/>
      <c r="H70" s="94"/>
      <c r="I70" s="94"/>
      <c r="J70" s="60"/>
      <c r="K70" s="94">
        <v>2200</v>
      </c>
      <c r="L70" s="60"/>
      <c r="M70" s="60"/>
      <c r="N70" s="74"/>
    </row>
    <row r="71" spans="1:16" x14ac:dyDescent="0.25">
      <c r="A71" s="92"/>
      <c r="B71" s="60"/>
      <c r="C71" s="89"/>
      <c r="D71" s="60"/>
      <c r="E71" s="60"/>
      <c r="F71" s="92"/>
      <c r="G71" s="92"/>
      <c r="H71" s="60"/>
      <c r="I71" s="89"/>
      <c r="J71" s="91"/>
      <c r="K71" s="89"/>
      <c r="L71" s="89"/>
      <c r="M71" s="89"/>
      <c r="N71" s="76"/>
    </row>
    <row r="72" spans="1:16" x14ac:dyDescent="0.25">
      <c r="A72" s="87" t="s">
        <v>23</v>
      </c>
      <c r="B72" s="96">
        <f>B58+B59+B60+B61+B62+B63+B65+B64</f>
        <v>132759</v>
      </c>
      <c r="C72" s="96">
        <f>SUM(C67:C71)</f>
        <v>132759</v>
      </c>
      <c r="D72" s="96">
        <f>B72-C72</f>
        <v>0</v>
      </c>
      <c r="E72" s="96"/>
      <c r="F72" s="87" t="s">
        <v>23</v>
      </c>
      <c r="G72" s="87"/>
      <c r="H72" s="87"/>
      <c r="I72" s="87"/>
      <c r="J72" s="96">
        <f>J58+J59+J61+J63+J64</f>
        <v>78971</v>
      </c>
      <c r="K72" s="96">
        <f>SUM(K67:K71)</f>
        <v>132759</v>
      </c>
      <c r="L72" s="96">
        <f>J72-K72</f>
        <v>-53788</v>
      </c>
      <c r="M72" s="96"/>
      <c r="N72" s="77"/>
    </row>
    <row r="73" spans="1:16" x14ac:dyDescent="0.25">
      <c r="A73" s="79"/>
      <c r="B73" s="79"/>
      <c r="C73" s="79"/>
      <c r="D73" s="79"/>
      <c r="E73" s="79"/>
      <c r="F73" s="79"/>
      <c r="G73" s="79"/>
      <c r="H73" s="79"/>
      <c r="I73" s="79"/>
      <c r="J73" s="79"/>
      <c r="K73" s="119">
        <f>K72-K67</f>
        <v>123184</v>
      </c>
      <c r="L73" s="79"/>
      <c r="M73" s="79"/>
      <c r="N73" s="71"/>
    </row>
    <row r="74" spans="1:16" x14ac:dyDescent="0.25">
      <c r="A74" s="97" t="s">
        <v>24</v>
      </c>
      <c r="B74" s="98"/>
      <c r="C74" s="98" t="s">
        <v>25</v>
      </c>
      <c r="D74" s="99"/>
      <c r="E74" s="99"/>
      <c r="F74" s="97"/>
      <c r="G74" s="97"/>
      <c r="H74" s="97"/>
      <c r="I74" s="97"/>
      <c r="J74" s="97" t="s">
        <v>26</v>
      </c>
      <c r="K74" s="79"/>
      <c r="L74" s="79"/>
      <c r="M74" s="79"/>
      <c r="N74" s="71"/>
    </row>
    <row r="75" spans="1:16" x14ac:dyDescent="0.25">
      <c r="A75" s="79" t="s">
        <v>104</v>
      </c>
      <c r="B75" s="79"/>
      <c r="C75" s="79" t="s">
        <v>105</v>
      </c>
      <c r="D75" s="79"/>
      <c r="E75" s="79"/>
      <c r="F75" s="79"/>
      <c r="G75" s="79"/>
      <c r="H75" s="79"/>
      <c r="I75" s="79"/>
      <c r="J75" s="79" t="s">
        <v>27</v>
      </c>
      <c r="K75" s="79"/>
      <c r="L75" s="79"/>
      <c r="M75" s="79"/>
      <c r="N75" s="71"/>
    </row>
    <row r="76" spans="1:16" x14ac:dyDescent="0.25">
      <c r="F76" s="53"/>
      <c r="G76" s="53"/>
    </row>
    <row r="77" spans="1:16" x14ac:dyDescent="0.25">
      <c r="C77" s="53"/>
    </row>
    <row r="78" spans="1:16" x14ac:dyDescent="0.25">
      <c r="F78" s="53"/>
      <c r="G78" s="53"/>
    </row>
  </sheetData>
  <pageMargins left="0" right="0" top="0" bottom="0" header="0.3" footer="0.3"/>
  <pageSetup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7"/>
  <sheetViews>
    <sheetView workbookViewId="0">
      <selection activeCell="P7" sqref="P7"/>
    </sheetView>
  </sheetViews>
  <sheetFormatPr defaultRowHeight="15" x14ac:dyDescent="0.25"/>
  <cols>
    <col min="1" max="1" width="15.5703125" customWidth="1"/>
    <col min="2" max="2" width="9.5703125" customWidth="1"/>
    <col min="3" max="3" width="10.140625" customWidth="1"/>
    <col min="4" max="5" width="7.7109375" customWidth="1"/>
  </cols>
  <sheetData>
    <row r="1" spans="1:18" x14ac:dyDescent="0.2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</row>
    <row r="2" spans="1:18" ht="15.75" x14ac:dyDescent="0.25">
      <c r="A2" s="79"/>
      <c r="D2" s="100"/>
      <c r="E2" s="100"/>
      <c r="F2" s="100"/>
      <c r="G2" s="100" t="s">
        <v>27</v>
      </c>
      <c r="H2" s="79"/>
      <c r="I2" s="100"/>
      <c r="J2" s="101"/>
      <c r="K2" s="79"/>
      <c r="L2" s="79"/>
      <c r="M2" s="79"/>
      <c r="N2" s="79"/>
      <c r="O2" s="79"/>
    </row>
    <row r="3" spans="1:18" ht="15.75" x14ac:dyDescent="0.25">
      <c r="A3" s="79"/>
      <c r="D3" s="100"/>
      <c r="E3" s="100"/>
      <c r="F3" s="100"/>
      <c r="G3" s="100" t="s">
        <v>0</v>
      </c>
      <c r="H3" s="100"/>
      <c r="I3" s="100"/>
      <c r="J3" s="102"/>
      <c r="K3" s="79"/>
      <c r="L3" s="79"/>
      <c r="M3" s="79"/>
      <c r="N3" s="79"/>
      <c r="O3" s="79"/>
      <c r="R3">
        <f>340+119+68+68</f>
        <v>595</v>
      </c>
    </row>
    <row r="4" spans="1:18" ht="18.75" x14ac:dyDescent="0.3">
      <c r="A4" s="103"/>
      <c r="F4" s="100" t="s">
        <v>224</v>
      </c>
      <c r="G4" s="100"/>
      <c r="H4" s="100"/>
      <c r="I4" s="100"/>
      <c r="J4" s="104"/>
      <c r="K4" s="105"/>
      <c r="L4" s="105"/>
      <c r="M4" s="105"/>
      <c r="N4" s="105"/>
      <c r="O4" s="79"/>
      <c r="R4">
        <f>R3+17</f>
        <v>612</v>
      </c>
    </row>
    <row r="5" spans="1:18" x14ac:dyDescent="0.25">
      <c r="A5" s="106" t="s">
        <v>2</v>
      </c>
      <c r="B5" s="106" t="s">
        <v>3</v>
      </c>
      <c r="C5" s="106" t="s">
        <v>4</v>
      </c>
      <c r="D5" s="107" t="s">
        <v>5</v>
      </c>
      <c r="E5" s="106" t="s">
        <v>6</v>
      </c>
      <c r="F5" s="125"/>
      <c r="G5" s="125"/>
      <c r="H5" s="123" t="s">
        <v>63</v>
      </c>
      <c r="I5" s="106" t="s">
        <v>96</v>
      </c>
      <c r="J5" s="108" t="s">
        <v>7</v>
      </c>
      <c r="K5" s="106" t="s">
        <v>8</v>
      </c>
      <c r="L5" s="106" t="s">
        <v>9</v>
      </c>
      <c r="M5" s="106" t="s">
        <v>91</v>
      </c>
      <c r="N5" s="106" t="s">
        <v>123</v>
      </c>
      <c r="O5" s="79"/>
    </row>
    <row r="6" spans="1:18" x14ac:dyDescent="0.25">
      <c r="A6" s="61" t="s">
        <v>61</v>
      </c>
      <c r="B6" s="68" t="s">
        <v>52</v>
      </c>
      <c r="C6" s="63"/>
      <c r="D6" s="64">
        <f>'JUNE 20'!L6:L39</f>
        <v>2972</v>
      </c>
      <c r="E6" s="66">
        <v>6000</v>
      </c>
      <c r="F6" s="126">
        <v>0.8</v>
      </c>
      <c r="G6" s="128">
        <f>E6*F6</f>
        <v>4800</v>
      </c>
      <c r="H6" s="124">
        <v>527</v>
      </c>
      <c r="I6" s="66">
        <v>200</v>
      </c>
      <c r="J6" s="66">
        <f>D6+G6+H6+I6</f>
        <v>8499</v>
      </c>
      <c r="K6" s="66">
        <f>5527</f>
        <v>5527</v>
      </c>
      <c r="L6" s="66">
        <f>J6-K6</f>
        <v>2972</v>
      </c>
      <c r="M6" s="66"/>
      <c r="N6" s="66"/>
      <c r="O6" s="79"/>
      <c r="P6" s="53">
        <f>G6+H6+I6</f>
        <v>5527</v>
      </c>
    </row>
    <row r="7" spans="1:18" x14ac:dyDescent="0.25">
      <c r="A7" s="59" t="s">
        <v>64</v>
      </c>
      <c r="B7" s="68" t="s">
        <v>51</v>
      </c>
      <c r="C7" s="63"/>
      <c r="D7" s="64">
        <f>'JUNE 20'!L7:L40</f>
        <v>2951</v>
      </c>
      <c r="E7" s="65">
        <v>6000</v>
      </c>
      <c r="F7" s="126">
        <v>0.8</v>
      </c>
      <c r="G7" s="128">
        <f t="shared" ref="G7:G39" si="0">E7*F7</f>
        <v>4800</v>
      </c>
      <c r="H7" s="113">
        <v>306</v>
      </c>
      <c r="I7" s="65">
        <v>200</v>
      </c>
      <c r="J7" s="66">
        <f>D7+G7+H7+I7</f>
        <v>8257</v>
      </c>
      <c r="K7" s="66">
        <f>4000+1000</f>
        <v>5000</v>
      </c>
      <c r="L7" s="66">
        <f>J7-K7</f>
        <v>3257</v>
      </c>
      <c r="M7" s="66"/>
      <c r="N7" s="66"/>
      <c r="O7" s="79"/>
      <c r="P7" s="53">
        <f>G6+H6+I6</f>
        <v>5527</v>
      </c>
    </row>
    <row r="8" spans="1:18" x14ac:dyDescent="0.25">
      <c r="A8" s="59" t="s">
        <v>65</v>
      </c>
      <c r="B8" s="68" t="s">
        <v>54</v>
      </c>
      <c r="C8" s="63"/>
      <c r="D8" s="64">
        <f>'JUNE 20'!L8:L41</f>
        <v>0</v>
      </c>
      <c r="E8" s="65"/>
      <c r="F8" s="126">
        <v>0.8</v>
      </c>
      <c r="G8" s="128">
        <f t="shared" si="0"/>
        <v>0</v>
      </c>
      <c r="H8" s="113"/>
      <c r="I8" s="65"/>
      <c r="J8" s="66">
        <f t="shared" ref="J8:J39" si="1">D8+G8+H8+I8</f>
        <v>0</v>
      </c>
      <c r="K8" s="66"/>
      <c r="L8" s="66">
        <f>J8-K8</f>
        <v>0</v>
      </c>
      <c r="M8" s="66"/>
      <c r="N8" s="66"/>
      <c r="O8" s="79"/>
      <c r="P8" s="53">
        <f>P7+D6</f>
        <v>8499</v>
      </c>
    </row>
    <row r="9" spans="1:18" x14ac:dyDescent="0.25">
      <c r="A9" s="60" t="s">
        <v>66</v>
      </c>
      <c r="B9" s="68" t="s">
        <v>50</v>
      </c>
      <c r="C9" s="63"/>
      <c r="D9" s="64">
        <f>'JUNE 20'!L9:L42</f>
        <v>-2399</v>
      </c>
      <c r="E9" s="64">
        <v>6000</v>
      </c>
      <c r="F9" s="126">
        <v>0.8</v>
      </c>
      <c r="G9" s="128">
        <f t="shared" si="0"/>
        <v>4800</v>
      </c>
      <c r="H9" s="115">
        <v>170</v>
      </c>
      <c r="I9" s="65">
        <v>200</v>
      </c>
      <c r="J9" s="66">
        <f t="shared" si="1"/>
        <v>2771</v>
      </c>
      <c r="K9" s="66">
        <v>5170</v>
      </c>
      <c r="L9" s="66">
        <f>J9-K9</f>
        <v>-2399</v>
      </c>
      <c r="M9" s="66"/>
      <c r="N9" s="66"/>
      <c r="O9" s="79"/>
    </row>
    <row r="10" spans="1:18" x14ac:dyDescent="0.25">
      <c r="A10" s="59" t="s">
        <v>151</v>
      </c>
      <c r="B10" s="68" t="s">
        <v>49</v>
      </c>
      <c r="C10" s="63"/>
      <c r="D10" s="64">
        <f>'JUNE 20'!L10:L43</f>
        <v>0</v>
      </c>
      <c r="E10" s="65">
        <v>6000</v>
      </c>
      <c r="F10" s="126">
        <v>0.8</v>
      </c>
      <c r="G10" s="128">
        <f t="shared" si="0"/>
        <v>4800</v>
      </c>
      <c r="H10" s="113">
        <v>340</v>
      </c>
      <c r="I10" s="65">
        <v>200</v>
      </c>
      <c r="J10" s="66">
        <f t="shared" si="1"/>
        <v>5340</v>
      </c>
      <c r="K10" s="66">
        <f>5340</f>
        <v>5340</v>
      </c>
      <c r="L10" s="66">
        <f>J10-K10</f>
        <v>0</v>
      </c>
      <c r="M10" s="66"/>
      <c r="N10" s="66"/>
      <c r="O10" s="79"/>
    </row>
    <row r="11" spans="1:18" x14ac:dyDescent="0.25">
      <c r="A11" s="109" t="s">
        <v>117</v>
      </c>
      <c r="B11" s="68" t="s">
        <v>53</v>
      </c>
      <c r="C11" s="63"/>
      <c r="D11" s="64">
        <f>'JUNE 20'!L11:L44</f>
        <v>1425</v>
      </c>
      <c r="E11" s="65">
        <v>6000</v>
      </c>
      <c r="F11" s="126">
        <v>0.8</v>
      </c>
      <c r="G11" s="128">
        <f t="shared" si="0"/>
        <v>4800</v>
      </c>
      <c r="H11" s="113">
        <v>578</v>
      </c>
      <c r="I11" s="65">
        <v>200</v>
      </c>
      <c r="J11" s="66">
        <f t="shared" si="1"/>
        <v>7003</v>
      </c>
      <c r="K11" s="66">
        <f>5300+280</f>
        <v>5580</v>
      </c>
      <c r="L11" s="66">
        <f t="shared" ref="L11:L38" si="2">J11-K11</f>
        <v>1423</v>
      </c>
      <c r="M11" s="66"/>
      <c r="N11" s="66"/>
      <c r="O11" s="94"/>
    </row>
    <row r="12" spans="1:18" x14ac:dyDescent="0.25">
      <c r="A12" s="61" t="s">
        <v>68</v>
      </c>
      <c r="B12" s="68" t="s">
        <v>48</v>
      </c>
      <c r="C12" s="63"/>
      <c r="D12" s="64">
        <f>'JUNE 20'!L12:L45</f>
        <v>20444</v>
      </c>
      <c r="E12" s="65"/>
      <c r="F12" s="126">
        <v>0.8</v>
      </c>
      <c r="G12" s="128">
        <f t="shared" si="0"/>
        <v>0</v>
      </c>
      <c r="H12" s="113"/>
      <c r="I12" s="65"/>
      <c r="J12" s="66">
        <f t="shared" si="1"/>
        <v>20444</v>
      </c>
      <c r="K12" s="66">
        <v>20444</v>
      </c>
      <c r="L12" s="66">
        <f t="shared" si="2"/>
        <v>0</v>
      </c>
      <c r="M12" s="66"/>
      <c r="N12" s="66"/>
      <c r="O12" s="53"/>
      <c r="P12" s="53"/>
    </row>
    <row r="13" spans="1:18" x14ac:dyDescent="0.25">
      <c r="A13" s="67" t="s">
        <v>181</v>
      </c>
      <c r="B13" s="68" t="s">
        <v>47</v>
      </c>
      <c r="C13" s="63"/>
      <c r="D13" s="64">
        <f>'JUNE 20'!L13:L46</f>
        <v>56</v>
      </c>
      <c r="E13" s="65">
        <v>6000</v>
      </c>
      <c r="F13" s="126">
        <v>0.8</v>
      </c>
      <c r="G13" s="128">
        <f>E13*F13</f>
        <v>4800</v>
      </c>
      <c r="H13" s="113">
        <v>476</v>
      </c>
      <c r="I13" s="65">
        <v>200</v>
      </c>
      <c r="J13" s="66">
        <f t="shared" si="1"/>
        <v>5532</v>
      </c>
      <c r="K13" s="66">
        <f>4852+680</f>
        <v>5532</v>
      </c>
      <c r="L13" s="66">
        <f t="shared" si="2"/>
        <v>0</v>
      </c>
      <c r="M13" s="66"/>
      <c r="N13" s="66"/>
      <c r="O13" s="94"/>
      <c r="Q13" s="94"/>
    </row>
    <row r="14" spans="1:18" x14ac:dyDescent="0.25">
      <c r="A14" s="61" t="s">
        <v>67</v>
      </c>
      <c r="B14" s="68" t="s">
        <v>46</v>
      </c>
      <c r="C14" s="63"/>
      <c r="D14" s="64">
        <f>'JUNE 20'!L14:L47</f>
        <v>0</v>
      </c>
      <c r="E14" s="65"/>
      <c r="F14" s="126">
        <v>0.8</v>
      </c>
      <c r="G14" s="128">
        <f t="shared" si="0"/>
        <v>0</v>
      </c>
      <c r="H14" s="113"/>
      <c r="I14" s="65"/>
      <c r="J14" s="66">
        <f t="shared" si="1"/>
        <v>0</v>
      </c>
      <c r="K14" s="66"/>
      <c r="L14" s="66">
        <f>J14-K14</f>
        <v>0</v>
      </c>
      <c r="M14" s="66"/>
      <c r="N14" s="66"/>
      <c r="O14" s="79"/>
    </row>
    <row r="15" spans="1:18" x14ac:dyDescent="0.25">
      <c r="A15" s="59" t="s">
        <v>156</v>
      </c>
      <c r="B15" s="68" t="s">
        <v>45</v>
      </c>
      <c r="C15" s="63"/>
      <c r="D15" s="64">
        <f>'JUNE 20'!L15:L48</f>
        <v>1463</v>
      </c>
      <c r="E15" s="65">
        <v>6000</v>
      </c>
      <c r="F15" s="126">
        <v>0.8</v>
      </c>
      <c r="G15" s="128">
        <f t="shared" si="0"/>
        <v>4800</v>
      </c>
      <c r="H15" s="113">
        <v>221</v>
      </c>
      <c r="I15" s="65">
        <v>200</v>
      </c>
      <c r="J15" s="66">
        <f t="shared" si="1"/>
        <v>6684</v>
      </c>
      <c r="K15" s="66">
        <f>3800+1421</f>
        <v>5221</v>
      </c>
      <c r="L15" s="66">
        <f t="shared" si="2"/>
        <v>1463</v>
      </c>
      <c r="M15" s="66"/>
      <c r="N15" s="66"/>
      <c r="O15" s="94"/>
    </row>
    <row r="16" spans="1:18" x14ac:dyDescent="0.25">
      <c r="A16" s="60" t="s">
        <v>225</v>
      </c>
      <c r="B16" s="68" t="s">
        <v>44</v>
      </c>
      <c r="C16" s="63">
        <v>6000</v>
      </c>
      <c r="D16" s="64">
        <f>'JUNE 20'!L16:L49</f>
        <v>0</v>
      </c>
      <c r="E16" s="65">
        <v>6000</v>
      </c>
      <c r="F16" s="126">
        <v>1</v>
      </c>
      <c r="G16" s="128">
        <f>E16*F16</f>
        <v>6000</v>
      </c>
      <c r="H16" s="113"/>
      <c r="I16" s="65"/>
      <c r="J16" s="66">
        <f>C16+D16+G16+H16+I16</f>
        <v>12000</v>
      </c>
      <c r="K16" s="66">
        <v>12000</v>
      </c>
      <c r="L16" s="66"/>
      <c r="M16" s="66"/>
      <c r="N16" s="66">
        <v>1000</v>
      </c>
      <c r="O16" s="79"/>
    </row>
    <row r="17" spans="1:16" x14ac:dyDescent="0.25">
      <c r="A17" s="59" t="s">
        <v>72</v>
      </c>
      <c r="B17" s="68" t="s">
        <v>43</v>
      </c>
      <c r="C17" s="63"/>
      <c r="D17" s="64">
        <f>'JUNE 20'!L17:L50</f>
        <v>0</v>
      </c>
      <c r="E17" s="65">
        <v>6000</v>
      </c>
      <c r="F17" s="126">
        <v>0.8</v>
      </c>
      <c r="G17" s="128">
        <f t="shared" si="0"/>
        <v>4800</v>
      </c>
      <c r="H17" s="113">
        <v>493</v>
      </c>
      <c r="I17" s="65">
        <v>200</v>
      </c>
      <c r="J17" s="66">
        <f>D17+G17+H17+I17</f>
        <v>5493</v>
      </c>
      <c r="K17" s="66">
        <f>2600+1000+1893</f>
        <v>5493</v>
      </c>
      <c r="L17" s="66">
        <f t="shared" si="2"/>
        <v>0</v>
      </c>
      <c r="M17" s="66"/>
      <c r="N17" s="66"/>
      <c r="O17" s="110"/>
    </row>
    <row r="18" spans="1:16" x14ac:dyDescent="0.25">
      <c r="A18" s="61" t="s">
        <v>73</v>
      </c>
      <c r="B18" s="68" t="s">
        <v>42</v>
      </c>
      <c r="C18" s="63"/>
      <c r="D18" s="64">
        <f>'JUNE 20'!L18:L51</f>
        <v>-4776</v>
      </c>
      <c r="E18" s="65">
        <v>6000</v>
      </c>
      <c r="F18" s="126">
        <v>0.8</v>
      </c>
      <c r="G18" s="128">
        <f t="shared" si="0"/>
        <v>4800</v>
      </c>
      <c r="H18" s="113">
        <v>306</v>
      </c>
      <c r="I18" s="65">
        <v>200</v>
      </c>
      <c r="J18" s="66">
        <f t="shared" si="1"/>
        <v>530</v>
      </c>
      <c r="K18" s="66">
        <v>530</v>
      </c>
      <c r="L18" s="66">
        <f t="shared" si="2"/>
        <v>0</v>
      </c>
      <c r="M18" s="66"/>
      <c r="N18" s="66"/>
      <c r="O18" s="79"/>
    </row>
    <row r="19" spans="1:16" x14ac:dyDescent="0.25">
      <c r="A19" s="60" t="s">
        <v>180</v>
      </c>
      <c r="B19" s="68" t="s">
        <v>41</v>
      </c>
      <c r="C19" s="63"/>
      <c r="D19" s="64">
        <f>'JUNE 20'!L19:L52</f>
        <v>0</v>
      </c>
      <c r="E19" s="65">
        <v>6000</v>
      </c>
      <c r="F19" s="126">
        <v>0.8</v>
      </c>
      <c r="G19" s="128">
        <f t="shared" si="0"/>
        <v>4800</v>
      </c>
      <c r="H19" s="113">
        <v>357</v>
      </c>
      <c r="I19" s="65">
        <v>200</v>
      </c>
      <c r="J19" s="66">
        <f t="shared" si="1"/>
        <v>5357</v>
      </c>
      <c r="K19" s="66">
        <v>4357</v>
      </c>
      <c r="L19" s="66">
        <f>J19-K19</f>
        <v>1000</v>
      </c>
      <c r="M19" s="66"/>
      <c r="N19" s="66"/>
      <c r="O19" s="79"/>
    </row>
    <row r="20" spans="1:16" x14ac:dyDescent="0.25">
      <c r="A20" s="59" t="s">
        <v>75</v>
      </c>
      <c r="B20" s="68" t="s">
        <v>40</v>
      </c>
      <c r="C20" s="63"/>
      <c r="D20" s="64">
        <f>'JUNE 20'!L20:L53</f>
        <v>4</v>
      </c>
      <c r="E20" s="65">
        <v>6000</v>
      </c>
      <c r="F20" s="126">
        <v>0.8</v>
      </c>
      <c r="G20" s="128">
        <f t="shared" si="0"/>
        <v>4800</v>
      </c>
      <c r="H20" s="113">
        <v>255</v>
      </c>
      <c r="I20" s="65">
        <v>200</v>
      </c>
      <c r="J20" s="66">
        <f t="shared" si="1"/>
        <v>5259</v>
      </c>
      <c r="K20" s="66">
        <v>5259</v>
      </c>
      <c r="L20" s="66">
        <f t="shared" si="2"/>
        <v>0</v>
      </c>
      <c r="M20" s="66"/>
      <c r="N20" s="66"/>
      <c r="O20" s="94" t="s">
        <v>97</v>
      </c>
    </row>
    <row r="21" spans="1:16" x14ac:dyDescent="0.25">
      <c r="A21" s="61" t="s">
        <v>76</v>
      </c>
      <c r="B21" s="111" t="s">
        <v>39</v>
      </c>
      <c r="C21" s="63"/>
      <c r="D21" s="64">
        <f>'JUNE 20'!L21:L54</f>
        <v>1701</v>
      </c>
      <c r="E21" s="65">
        <v>6000</v>
      </c>
      <c r="F21" s="126">
        <v>0.8</v>
      </c>
      <c r="G21" s="128">
        <f>E21*F21</f>
        <v>4800</v>
      </c>
      <c r="H21" s="113">
        <v>68</v>
      </c>
      <c r="I21" s="65">
        <v>200</v>
      </c>
      <c r="J21" s="66">
        <f t="shared" si="1"/>
        <v>6769</v>
      </c>
      <c r="K21" s="66"/>
      <c r="L21" s="66">
        <f t="shared" si="2"/>
        <v>6769</v>
      </c>
      <c r="M21" s="66"/>
      <c r="N21" s="66"/>
      <c r="O21" s="79"/>
    </row>
    <row r="22" spans="1:16" x14ac:dyDescent="0.25">
      <c r="A22" s="61" t="s">
        <v>150</v>
      </c>
      <c r="B22" s="68" t="s">
        <v>38</v>
      </c>
      <c r="C22" s="63"/>
      <c r="D22" s="64">
        <f>'JUNE 20'!L22:L55</f>
        <v>0</v>
      </c>
      <c r="E22" s="65">
        <v>6000</v>
      </c>
      <c r="F22" s="126">
        <v>0.8</v>
      </c>
      <c r="G22" s="128">
        <f t="shared" si="0"/>
        <v>4800</v>
      </c>
      <c r="H22" s="113">
        <v>680</v>
      </c>
      <c r="I22" s="65">
        <v>200</v>
      </c>
      <c r="J22" s="66">
        <f t="shared" si="1"/>
        <v>5680</v>
      </c>
      <c r="K22" s="66">
        <v>5360</v>
      </c>
      <c r="L22" s="66">
        <f t="shared" si="2"/>
        <v>320</v>
      </c>
      <c r="M22" s="66"/>
      <c r="N22" s="66"/>
      <c r="O22" s="79"/>
      <c r="P22">
        <f>4800-3600</f>
        <v>1200</v>
      </c>
    </row>
    <row r="23" spans="1:16" x14ac:dyDescent="0.25">
      <c r="A23" s="59" t="s">
        <v>78</v>
      </c>
      <c r="B23" s="68" t="s">
        <v>37</v>
      </c>
      <c r="C23" s="63"/>
      <c r="D23" s="64">
        <f>'JUNE 20'!L23:L56</f>
        <v>0</v>
      </c>
      <c r="E23" s="65">
        <v>6000</v>
      </c>
      <c r="F23" s="126">
        <v>0.8</v>
      </c>
      <c r="G23" s="128">
        <f t="shared" si="0"/>
        <v>4800</v>
      </c>
      <c r="H23" s="113">
        <v>170</v>
      </c>
      <c r="I23" s="65">
        <v>200</v>
      </c>
      <c r="J23" s="66">
        <f t="shared" si="1"/>
        <v>5170</v>
      </c>
      <c r="K23" s="66">
        <v>5146</v>
      </c>
      <c r="L23" s="66">
        <f t="shared" si="2"/>
        <v>24</v>
      </c>
      <c r="M23" s="66"/>
      <c r="N23" s="66"/>
      <c r="O23" s="79"/>
    </row>
    <row r="24" spans="1:16" x14ac:dyDescent="0.25">
      <c r="A24" s="61" t="s">
        <v>79</v>
      </c>
      <c r="B24" s="62" t="s">
        <v>28</v>
      </c>
      <c r="C24" s="63"/>
      <c r="D24" s="64">
        <f>'JUNE 20'!L24:L57</f>
        <v>5519</v>
      </c>
      <c r="E24" s="65"/>
      <c r="F24" s="126">
        <v>0.8</v>
      </c>
      <c r="G24" s="128">
        <f t="shared" si="0"/>
        <v>0</v>
      </c>
      <c r="H24" s="113"/>
      <c r="I24" s="65"/>
      <c r="J24" s="66">
        <f t="shared" si="1"/>
        <v>5519</v>
      </c>
      <c r="K24" s="66">
        <v>5519</v>
      </c>
      <c r="L24" s="66"/>
      <c r="M24" s="66"/>
      <c r="N24" s="66"/>
      <c r="O24" s="79" t="s">
        <v>228</v>
      </c>
    </row>
    <row r="25" spans="1:16" x14ac:dyDescent="0.25">
      <c r="A25" s="61" t="s">
        <v>80</v>
      </c>
      <c r="B25" s="62" t="s">
        <v>29</v>
      </c>
      <c r="C25" s="63"/>
      <c r="D25" s="64">
        <f>'JUNE 20'!L25:L58</f>
        <v>0</v>
      </c>
      <c r="E25" s="65">
        <v>6500</v>
      </c>
      <c r="F25" s="126">
        <v>0.8</v>
      </c>
      <c r="G25" s="128">
        <f t="shared" si="0"/>
        <v>5200</v>
      </c>
      <c r="H25" s="113">
        <v>1156</v>
      </c>
      <c r="I25" s="65">
        <v>200</v>
      </c>
      <c r="J25" s="66">
        <f>D25+G25+H25+I25</f>
        <v>6556</v>
      </c>
      <c r="K25" s="66">
        <v>6556</v>
      </c>
      <c r="L25" s="66">
        <f t="shared" si="2"/>
        <v>0</v>
      </c>
      <c r="M25" s="66"/>
      <c r="N25" s="66"/>
      <c r="O25" s="79"/>
      <c r="P25" s="53"/>
    </row>
    <row r="26" spans="1:16" x14ac:dyDescent="0.25">
      <c r="A26" s="61" t="s">
        <v>81</v>
      </c>
      <c r="B26" s="62" t="s">
        <v>30</v>
      </c>
      <c r="C26" s="63"/>
      <c r="D26" s="64">
        <v>50</v>
      </c>
      <c r="E26" s="65">
        <v>6500</v>
      </c>
      <c r="F26" s="126">
        <v>0.8</v>
      </c>
      <c r="G26" s="128">
        <f t="shared" si="0"/>
        <v>5200</v>
      </c>
      <c r="H26" s="113">
        <v>391</v>
      </c>
      <c r="I26" s="65">
        <v>200</v>
      </c>
      <c r="J26" s="66">
        <f t="shared" si="1"/>
        <v>5841</v>
      </c>
      <c r="K26" s="66">
        <v>5841</v>
      </c>
      <c r="L26" s="66">
        <f t="shared" si="2"/>
        <v>0</v>
      </c>
      <c r="M26" s="66"/>
      <c r="N26" s="66"/>
      <c r="O26" s="112"/>
    </row>
    <row r="27" spans="1:16" x14ac:dyDescent="0.25">
      <c r="A27" s="61" t="s">
        <v>82</v>
      </c>
      <c r="B27" s="62" t="s">
        <v>55</v>
      </c>
      <c r="C27" s="63"/>
      <c r="D27" s="64">
        <f>'JUNE 20'!L27:L60</f>
        <v>7312</v>
      </c>
      <c r="E27" s="65"/>
      <c r="F27" s="126">
        <v>0.8</v>
      </c>
      <c r="G27" s="128">
        <f t="shared" si="0"/>
        <v>0</v>
      </c>
      <c r="H27" s="113"/>
      <c r="I27" s="65"/>
      <c r="J27" s="66">
        <f t="shared" si="1"/>
        <v>7312</v>
      </c>
      <c r="K27" s="66"/>
      <c r="L27" s="66">
        <f t="shared" si="2"/>
        <v>7312</v>
      </c>
      <c r="M27" s="66"/>
      <c r="N27" s="66"/>
      <c r="O27" s="112" t="s">
        <v>246</v>
      </c>
    </row>
    <row r="28" spans="1:16" x14ac:dyDescent="0.25">
      <c r="A28" s="61" t="s">
        <v>83</v>
      </c>
      <c r="B28" s="62" t="s">
        <v>56</v>
      </c>
      <c r="C28" s="63"/>
      <c r="D28" s="64">
        <f>'JUNE 20'!L28:L61</f>
        <v>7265</v>
      </c>
      <c r="E28" s="65">
        <v>8000</v>
      </c>
      <c r="F28" s="126">
        <v>0.8</v>
      </c>
      <c r="G28" s="128">
        <f t="shared" si="0"/>
        <v>6400</v>
      </c>
      <c r="H28" s="113">
        <v>204</v>
      </c>
      <c r="I28" s="65">
        <v>200</v>
      </c>
      <c r="J28" s="66">
        <f t="shared" si="1"/>
        <v>14069</v>
      </c>
      <c r="K28" s="66">
        <v>8000</v>
      </c>
      <c r="L28" s="66">
        <f t="shared" si="2"/>
        <v>6069</v>
      </c>
      <c r="M28" s="66">
        <v>1420</v>
      </c>
      <c r="N28" s="66"/>
      <c r="O28" s="94"/>
    </row>
    <row r="29" spans="1:16" x14ac:dyDescent="0.25">
      <c r="A29" s="61" t="s">
        <v>128</v>
      </c>
      <c r="B29" s="62" t="s">
        <v>57</v>
      </c>
      <c r="C29" s="63"/>
      <c r="D29" s="64">
        <f>'JUNE 20'!L29:L62</f>
        <v>0</v>
      </c>
      <c r="E29" s="65">
        <v>6500</v>
      </c>
      <c r="F29" s="126">
        <v>0.8</v>
      </c>
      <c r="G29" s="128">
        <f t="shared" si="0"/>
        <v>5200</v>
      </c>
      <c r="H29" s="113">
        <v>102</v>
      </c>
      <c r="I29" s="65">
        <v>200</v>
      </c>
      <c r="J29" s="66">
        <f t="shared" si="1"/>
        <v>5502</v>
      </c>
      <c r="K29" s="66">
        <v>5000</v>
      </c>
      <c r="L29" s="66">
        <f t="shared" si="2"/>
        <v>502</v>
      </c>
      <c r="M29" s="66"/>
      <c r="N29" s="66"/>
      <c r="O29" s="79"/>
      <c r="P29" s="53"/>
    </row>
    <row r="30" spans="1:16" x14ac:dyDescent="0.25">
      <c r="A30" s="61" t="s">
        <v>92</v>
      </c>
      <c r="B30" s="62" t="s">
        <v>58</v>
      </c>
      <c r="C30" s="63"/>
      <c r="D30" s="64">
        <f>'JUNE 20'!L30:L63</f>
        <v>5812</v>
      </c>
      <c r="E30" s="65">
        <v>6500</v>
      </c>
      <c r="F30" s="126">
        <v>0.8</v>
      </c>
      <c r="G30" s="128">
        <f t="shared" si="0"/>
        <v>5200</v>
      </c>
      <c r="H30" s="113">
        <v>799</v>
      </c>
      <c r="I30" s="65">
        <v>200</v>
      </c>
      <c r="J30" s="66">
        <f t="shared" si="1"/>
        <v>12011</v>
      </c>
      <c r="K30" s="66">
        <f>5500</f>
        <v>5500</v>
      </c>
      <c r="L30" s="66">
        <f t="shared" si="2"/>
        <v>6511</v>
      </c>
      <c r="M30" s="66"/>
      <c r="N30" s="66"/>
      <c r="O30" s="79"/>
    </row>
    <row r="31" spans="1:16" x14ac:dyDescent="0.25">
      <c r="A31" s="61" t="s">
        <v>176</v>
      </c>
      <c r="B31" s="62" t="s">
        <v>59</v>
      </c>
      <c r="C31" s="63"/>
      <c r="D31" s="64">
        <f>'JUNE 20'!L31:L64</f>
        <v>0</v>
      </c>
      <c r="E31" s="65">
        <v>6500</v>
      </c>
      <c r="F31" s="126">
        <v>0.8</v>
      </c>
      <c r="G31" s="128">
        <f t="shared" si="0"/>
        <v>5200</v>
      </c>
      <c r="H31" s="113">
        <v>578</v>
      </c>
      <c r="I31" s="65">
        <v>200</v>
      </c>
      <c r="J31" s="66">
        <f t="shared" si="1"/>
        <v>5978</v>
      </c>
      <c r="K31" s="66">
        <v>4500</v>
      </c>
      <c r="L31" s="66">
        <f t="shared" si="2"/>
        <v>1478</v>
      </c>
      <c r="M31" s="66"/>
      <c r="N31" s="66"/>
      <c r="O31" s="79"/>
      <c r="P31" s="53"/>
    </row>
    <row r="32" spans="1:16" x14ac:dyDescent="0.25">
      <c r="A32" s="61" t="s">
        <v>170</v>
      </c>
      <c r="B32" s="62" t="s">
        <v>60</v>
      </c>
      <c r="C32" s="63"/>
      <c r="D32" s="64">
        <f>'JUNE 20'!L32:L65</f>
        <v>709</v>
      </c>
      <c r="E32" s="65">
        <v>6500</v>
      </c>
      <c r="F32" s="126">
        <v>0.8</v>
      </c>
      <c r="G32" s="128">
        <f t="shared" si="0"/>
        <v>5200</v>
      </c>
      <c r="H32" s="113">
        <v>782</v>
      </c>
      <c r="I32" s="65">
        <v>200</v>
      </c>
      <c r="J32" s="66">
        <f t="shared" si="1"/>
        <v>6891</v>
      </c>
      <c r="K32" s="66">
        <v>6182</v>
      </c>
      <c r="L32" s="66">
        <f t="shared" si="2"/>
        <v>709</v>
      </c>
      <c r="M32" s="66"/>
      <c r="N32" s="66"/>
      <c r="O32" s="94"/>
    </row>
    <row r="33" spans="1:17" x14ac:dyDescent="0.25">
      <c r="A33" s="61" t="s">
        <v>86</v>
      </c>
      <c r="B33" s="62" t="s">
        <v>31</v>
      </c>
      <c r="C33" s="63"/>
      <c r="D33" s="64">
        <f>'JUNE 20'!L33:L66</f>
        <v>0</v>
      </c>
      <c r="E33" s="65">
        <v>8000</v>
      </c>
      <c r="F33" s="126">
        <v>0.8</v>
      </c>
      <c r="G33" s="128">
        <f t="shared" si="0"/>
        <v>6400</v>
      </c>
      <c r="H33" s="113">
        <v>782</v>
      </c>
      <c r="I33" s="65">
        <v>200</v>
      </c>
      <c r="J33" s="66">
        <f t="shared" si="1"/>
        <v>7382</v>
      </c>
      <c r="K33" s="66">
        <f>6900</f>
        <v>6900</v>
      </c>
      <c r="L33" s="66">
        <f>J33-K33</f>
        <v>482</v>
      </c>
      <c r="M33" s="66"/>
      <c r="N33" s="66"/>
      <c r="O33" s="94"/>
    </row>
    <row r="34" spans="1:17" x14ac:dyDescent="0.25">
      <c r="A34" s="61" t="s">
        <v>121</v>
      </c>
      <c r="B34" s="62" t="s">
        <v>32</v>
      </c>
      <c r="C34" s="63"/>
      <c r="D34" s="64">
        <f>'JUNE 20'!L34:L67</f>
        <v>3512</v>
      </c>
      <c r="E34" s="113">
        <v>6500</v>
      </c>
      <c r="F34" s="126">
        <v>0.8</v>
      </c>
      <c r="G34" s="128">
        <f t="shared" si="0"/>
        <v>5200</v>
      </c>
      <c r="H34" s="113">
        <v>578</v>
      </c>
      <c r="I34" s="65">
        <v>200</v>
      </c>
      <c r="J34" s="66">
        <f t="shared" si="1"/>
        <v>9490</v>
      </c>
      <c r="K34" s="66">
        <v>9490</v>
      </c>
      <c r="L34" s="66">
        <f t="shared" si="2"/>
        <v>0</v>
      </c>
      <c r="M34" s="66"/>
      <c r="N34" s="66"/>
      <c r="O34" s="79"/>
    </row>
    <row r="35" spans="1:17" x14ac:dyDescent="0.25">
      <c r="A35" s="120" t="s">
        <v>99</v>
      </c>
      <c r="B35" s="121" t="s">
        <v>33</v>
      </c>
      <c r="C35" s="63"/>
      <c r="D35" s="64">
        <f>'JUNE 20'!L35:L68</f>
        <v>8909</v>
      </c>
      <c r="E35" s="113"/>
      <c r="F35" s="126">
        <v>0.8</v>
      </c>
      <c r="G35" s="128">
        <f>E35*F35</f>
        <v>0</v>
      </c>
      <c r="H35" s="113"/>
      <c r="I35" s="65"/>
      <c r="J35" s="66">
        <f t="shared" si="1"/>
        <v>8909</v>
      </c>
      <c r="K35" s="66">
        <v>8909</v>
      </c>
      <c r="L35" s="58">
        <f t="shared" si="2"/>
        <v>0</v>
      </c>
      <c r="M35" s="66"/>
      <c r="N35" s="66"/>
      <c r="O35" s="79" t="s">
        <v>228</v>
      </c>
      <c r="P35">
        <f>D38+280</f>
        <v>1270</v>
      </c>
    </row>
    <row r="36" spans="1:17" x14ac:dyDescent="0.25">
      <c r="A36" s="61" t="s">
        <v>89</v>
      </c>
      <c r="B36" s="62" t="s">
        <v>34</v>
      </c>
      <c r="C36" s="63"/>
      <c r="D36" s="64">
        <f>'JUNE 20'!L36:L69</f>
        <v>0</v>
      </c>
      <c r="E36" s="113">
        <v>6500</v>
      </c>
      <c r="F36" s="126">
        <v>0.8</v>
      </c>
      <c r="G36" s="128">
        <f t="shared" si="0"/>
        <v>5200</v>
      </c>
      <c r="H36" s="113">
        <v>187</v>
      </c>
      <c r="I36" s="65">
        <v>200</v>
      </c>
      <c r="J36" s="66">
        <f t="shared" si="1"/>
        <v>5587</v>
      </c>
      <c r="K36" s="66">
        <v>5587</v>
      </c>
      <c r="L36" s="66">
        <f t="shared" si="2"/>
        <v>0</v>
      </c>
      <c r="M36" s="66"/>
      <c r="N36" s="66"/>
      <c r="O36" s="79"/>
      <c r="P36" s="53"/>
    </row>
    <row r="37" spans="1:17" x14ac:dyDescent="0.25">
      <c r="A37" s="61" t="s">
        <v>103</v>
      </c>
      <c r="B37" s="62" t="s">
        <v>35</v>
      </c>
      <c r="C37" s="63"/>
      <c r="D37" s="64">
        <f>'JUNE 20'!L37:L70</f>
        <v>0</v>
      </c>
      <c r="E37" s="113">
        <v>6500</v>
      </c>
      <c r="F37" s="126">
        <v>0.8</v>
      </c>
      <c r="G37" s="128">
        <f t="shared" si="0"/>
        <v>5200</v>
      </c>
      <c r="H37" s="113">
        <v>680</v>
      </c>
      <c r="I37" s="65">
        <v>200</v>
      </c>
      <c r="J37" s="66">
        <f>D37+G37+H37+I37</f>
        <v>6080</v>
      </c>
      <c r="K37" s="66">
        <f>4800</f>
        <v>4800</v>
      </c>
      <c r="L37" s="66">
        <f>J37-K37</f>
        <v>1280</v>
      </c>
      <c r="M37" s="66"/>
      <c r="N37" s="66"/>
      <c r="O37" s="79"/>
    </row>
    <row r="38" spans="1:17" x14ac:dyDescent="0.25">
      <c r="A38" s="61" t="s">
        <v>138</v>
      </c>
      <c r="B38" s="62" t="s">
        <v>207</v>
      </c>
      <c r="C38" s="63"/>
      <c r="D38" s="64">
        <f>'JUNE 20'!L38:L71</f>
        <v>990</v>
      </c>
      <c r="E38" s="115">
        <v>8000</v>
      </c>
      <c r="F38" s="126">
        <v>0.8</v>
      </c>
      <c r="G38" s="128">
        <f>E38*F38</f>
        <v>6400</v>
      </c>
      <c r="H38" s="115">
        <v>680</v>
      </c>
      <c r="I38" s="65">
        <v>200</v>
      </c>
      <c r="J38" s="66">
        <f>D38+G38+H38+I38</f>
        <v>8270</v>
      </c>
      <c r="K38" s="66">
        <v>7000</v>
      </c>
      <c r="L38" s="66">
        <f t="shared" si="2"/>
        <v>1270</v>
      </c>
      <c r="M38" s="66"/>
      <c r="N38" s="66"/>
      <c r="O38" s="94"/>
      <c r="P38" s="94">
        <f>990+280</f>
        <v>1270</v>
      </c>
    </row>
    <row r="39" spans="1:17" x14ac:dyDescent="0.25">
      <c r="A39" s="61"/>
      <c r="B39" s="114"/>
      <c r="C39" s="63"/>
      <c r="D39" s="64"/>
      <c r="E39" s="115"/>
      <c r="F39" s="126">
        <v>0.8</v>
      </c>
      <c r="G39" s="128">
        <f t="shared" si="0"/>
        <v>0</v>
      </c>
      <c r="H39" s="115"/>
      <c r="I39" s="65"/>
      <c r="J39" s="66">
        <f t="shared" si="1"/>
        <v>0</v>
      </c>
      <c r="K39" s="66"/>
      <c r="L39" s="66">
        <f>J39-K39</f>
        <v>0</v>
      </c>
      <c r="M39" s="66"/>
      <c r="N39" s="66"/>
      <c r="O39" s="79"/>
    </row>
    <row r="40" spans="1:17" x14ac:dyDescent="0.25">
      <c r="A40" s="116" t="s">
        <v>10</v>
      </c>
      <c r="B40" s="60"/>
      <c r="C40" s="63">
        <f t="shared" ref="C40:N40" si="3">SUM(C6:C39)</f>
        <v>6000</v>
      </c>
      <c r="D40" s="64">
        <f>SUM(D6:D39)</f>
        <v>63919</v>
      </c>
      <c r="E40" s="117">
        <f>SUM(E6:E39)</f>
        <v>172500</v>
      </c>
      <c r="F40" s="126"/>
      <c r="G40" s="128">
        <f>SUM(G6:G39)</f>
        <v>139200</v>
      </c>
      <c r="H40" s="118">
        <f>SUM(H6:H39)</f>
        <v>11866</v>
      </c>
      <c r="I40" s="130">
        <f t="shared" si="3"/>
        <v>5200</v>
      </c>
      <c r="J40" s="131">
        <f>SUM(J6:J39)</f>
        <v>226185</v>
      </c>
      <c r="K40" s="131">
        <f>SUM(K6:K39)</f>
        <v>185743</v>
      </c>
      <c r="L40" s="131">
        <f>SUM(L6:L39)</f>
        <v>40442</v>
      </c>
      <c r="M40" s="131">
        <f t="shared" si="3"/>
        <v>1420</v>
      </c>
      <c r="N40" s="131">
        <f t="shared" si="3"/>
        <v>1000</v>
      </c>
      <c r="O40" s="79"/>
    </row>
    <row r="41" spans="1:17" x14ac:dyDescent="0.25">
      <c r="A41" s="79"/>
      <c r="B41" s="79"/>
      <c r="D41" s="79">
        <f>'JUNE 20'!E44</f>
        <v>58853</v>
      </c>
      <c r="E41" s="79"/>
      <c r="F41" s="79"/>
      <c r="G41" s="79"/>
      <c r="H41" s="79"/>
      <c r="I41" s="18"/>
      <c r="J41" s="18"/>
      <c r="K41" s="18"/>
      <c r="L41" s="18"/>
      <c r="M41" s="18"/>
      <c r="N41" s="18"/>
      <c r="O41" s="18"/>
      <c r="P41" s="18"/>
      <c r="Q41" s="18"/>
    </row>
    <row r="42" spans="1:17" x14ac:dyDescent="0.25">
      <c r="A42" s="79"/>
      <c r="D42" s="18"/>
      <c r="E42" s="18"/>
      <c r="F42" s="41" t="s">
        <v>213</v>
      </c>
      <c r="G42" s="18"/>
      <c r="H42" s="120" t="s">
        <v>147</v>
      </c>
      <c r="I42" s="18" t="s">
        <v>149</v>
      </c>
      <c r="J42" s="18"/>
    </row>
    <row r="43" spans="1:17" x14ac:dyDescent="0.25">
      <c r="A43" s="79"/>
      <c r="B43" s="18"/>
      <c r="C43" s="18"/>
      <c r="D43" s="18"/>
      <c r="E43" s="18"/>
      <c r="F43" s="41"/>
      <c r="G43" s="41"/>
      <c r="H43" s="136"/>
      <c r="I43" s="41"/>
      <c r="J43" s="18"/>
    </row>
    <row r="44" spans="1:17" x14ac:dyDescent="0.25">
      <c r="A44" s="7"/>
      <c r="B44" s="18"/>
      <c r="C44" s="18"/>
      <c r="D44" s="18" t="s">
        <v>232</v>
      </c>
      <c r="E44" s="18"/>
      <c r="F44" s="47">
        <f>J22</f>
        <v>5680</v>
      </c>
      <c r="G44" s="41"/>
      <c r="H44" s="137">
        <v>5360</v>
      </c>
      <c r="I44" s="47">
        <f>F44-H44</f>
        <v>320</v>
      </c>
      <c r="J44" s="18"/>
    </row>
    <row r="45" spans="1:17" x14ac:dyDescent="0.25">
      <c r="A45" s="7"/>
      <c r="B45" s="18"/>
      <c r="C45" s="18"/>
      <c r="D45" s="18" t="s">
        <v>233</v>
      </c>
      <c r="E45" s="18"/>
      <c r="F45" s="132">
        <f>J29</f>
        <v>5502</v>
      </c>
      <c r="G45" s="41"/>
      <c r="H45" s="137">
        <v>5000</v>
      </c>
      <c r="I45" s="47">
        <f>F45-H45</f>
        <v>502</v>
      </c>
      <c r="J45" s="47"/>
    </row>
    <row r="46" spans="1:17" x14ac:dyDescent="0.25">
      <c r="A46" s="7"/>
      <c r="B46" s="18"/>
      <c r="C46" s="18"/>
      <c r="D46" s="18" t="s">
        <v>234</v>
      </c>
      <c r="E46" s="47"/>
      <c r="F46" s="132">
        <f>J26</f>
        <v>5841</v>
      </c>
      <c r="G46" s="41"/>
      <c r="H46" s="137">
        <v>5841</v>
      </c>
      <c r="I46" s="18"/>
      <c r="J46" s="18"/>
      <c r="Q46" s="53">
        <f>20000-K34</f>
        <v>10510</v>
      </c>
    </row>
    <row r="47" spans="1:17" x14ac:dyDescent="0.25">
      <c r="A47" s="7"/>
      <c r="B47" s="18"/>
      <c r="C47" s="18"/>
      <c r="D47" s="18" t="s">
        <v>235</v>
      </c>
      <c r="E47" s="18"/>
      <c r="F47" s="132">
        <f>J10</f>
        <v>5340</v>
      </c>
      <c r="G47" s="41"/>
      <c r="H47" s="137">
        <v>5340</v>
      </c>
      <c r="I47" s="18"/>
      <c r="J47" s="18"/>
    </row>
    <row r="48" spans="1:17" x14ac:dyDescent="0.25">
      <c r="A48" s="7"/>
      <c r="B48" s="18"/>
      <c r="C48" s="18"/>
      <c r="D48" s="18" t="s">
        <v>236</v>
      </c>
      <c r="E48" s="18"/>
      <c r="F48" s="132">
        <f>J23</f>
        <v>5170</v>
      </c>
      <c r="G48" s="41"/>
      <c r="H48" s="137">
        <v>5146</v>
      </c>
      <c r="I48" s="47">
        <f>F48-H48</f>
        <v>24</v>
      </c>
      <c r="J48" s="18"/>
    </row>
    <row r="49" spans="1:19" x14ac:dyDescent="0.25">
      <c r="A49" s="7"/>
      <c r="B49" s="47"/>
      <c r="C49" s="18"/>
      <c r="D49" s="18" t="s">
        <v>237</v>
      </c>
      <c r="E49" s="18"/>
      <c r="F49" s="132">
        <f>J33</f>
        <v>7382</v>
      </c>
      <c r="G49" s="41"/>
      <c r="H49" s="137">
        <v>6900</v>
      </c>
      <c r="I49" s="47">
        <f>F49-H49</f>
        <v>482</v>
      </c>
      <c r="J49" s="18"/>
    </row>
    <row r="50" spans="1:19" x14ac:dyDescent="0.25">
      <c r="A50" s="7"/>
      <c r="B50" s="18"/>
      <c r="C50" s="18"/>
      <c r="D50" s="18" t="s">
        <v>238</v>
      </c>
      <c r="E50" s="18"/>
      <c r="F50" s="132">
        <f>J37</f>
        <v>6080</v>
      </c>
      <c r="G50" s="41"/>
      <c r="H50" s="138">
        <v>4800</v>
      </c>
      <c r="I50" s="132">
        <f>F50-H50</f>
        <v>1280</v>
      </c>
      <c r="J50" s="18"/>
    </row>
    <row r="51" spans="1:19" x14ac:dyDescent="0.25">
      <c r="A51" s="7"/>
      <c r="B51" s="18"/>
      <c r="C51" s="18"/>
      <c r="D51" s="18" t="s">
        <v>239</v>
      </c>
      <c r="E51" s="18"/>
      <c r="F51" s="132">
        <f>J25</f>
        <v>6556</v>
      </c>
      <c r="G51" s="41"/>
      <c r="H51" s="137">
        <v>6556</v>
      </c>
      <c r="I51" s="18"/>
      <c r="J51" s="18"/>
    </row>
    <row r="52" spans="1:19" x14ac:dyDescent="0.25">
      <c r="A52" s="7"/>
      <c r="B52" s="18"/>
      <c r="C52" s="18"/>
      <c r="D52" s="18" t="s">
        <v>240</v>
      </c>
      <c r="E52" s="18"/>
      <c r="F52" s="132">
        <f>J19</f>
        <v>5357</v>
      </c>
      <c r="G52" s="41"/>
      <c r="H52" s="137">
        <v>4357</v>
      </c>
      <c r="I52" s="47">
        <f>F52-H52</f>
        <v>1000</v>
      </c>
      <c r="J52" s="18" t="s">
        <v>244</v>
      </c>
    </row>
    <row r="53" spans="1:19" x14ac:dyDescent="0.25">
      <c r="A53" s="7"/>
      <c r="B53" s="18"/>
      <c r="C53" s="18"/>
      <c r="D53" s="18"/>
      <c r="E53" s="18"/>
      <c r="F53" s="132"/>
      <c r="G53" s="41"/>
      <c r="H53" s="137"/>
      <c r="I53" s="47"/>
      <c r="J53" s="18"/>
    </row>
    <row r="54" spans="1:19" x14ac:dyDescent="0.25">
      <c r="A54" s="7"/>
      <c r="B54" s="18"/>
      <c r="C54" s="18"/>
      <c r="D54" s="18"/>
      <c r="E54" s="41" t="s">
        <v>23</v>
      </c>
      <c r="F54" s="132">
        <f>SUM(F44:F53)</f>
        <v>52908</v>
      </c>
      <c r="G54" s="41"/>
      <c r="H54" s="137">
        <f>SUM(H43:H53)</f>
        <v>49300</v>
      </c>
      <c r="I54" s="47">
        <f>SUM(I44:I53)</f>
        <v>3608</v>
      </c>
      <c r="J54" s="47"/>
    </row>
    <row r="55" spans="1:19" x14ac:dyDescent="0.25">
      <c r="B55" s="133"/>
      <c r="L55" s="134"/>
      <c r="M55" s="133"/>
      <c r="N55" s="133"/>
      <c r="O55" s="18"/>
      <c r="P55" s="18"/>
      <c r="Q55" s="47"/>
      <c r="R55" s="18"/>
      <c r="S55" s="18"/>
    </row>
    <row r="56" spans="1:19" x14ac:dyDescent="0.25">
      <c r="A56" s="85" t="s">
        <v>12</v>
      </c>
      <c r="B56" s="85"/>
      <c r="C56" s="85"/>
      <c r="D56" s="86"/>
      <c r="E56" s="82"/>
      <c r="F56" s="85" t="s">
        <v>8</v>
      </c>
      <c r="G56" s="85"/>
      <c r="H56" s="85"/>
      <c r="I56" s="85"/>
      <c r="J56" s="79"/>
      <c r="K56" s="79"/>
      <c r="L56" s="79"/>
      <c r="M56" s="79"/>
      <c r="N56" s="71"/>
      <c r="O56" s="5"/>
    </row>
    <row r="57" spans="1:19" x14ac:dyDescent="0.25">
      <c r="A57" s="87" t="s">
        <v>13</v>
      </c>
      <c r="B57" s="87" t="s">
        <v>14</v>
      </c>
      <c r="C57" s="87" t="s">
        <v>15</v>
      </c>
      <c r="D57" s="87" t="s">
        <v>16</v>
      </c>
      <c r="E57" s="87"/>
      <c r="F57" s="87" t="s">
        <v>13</v>
      </c>
      <c r="G57" s="87"/>
      <c r="H57" s="87"/>
      <c r="I57" s="87"/>
      <c r="J57" s="87" t="s">
        <v>14</v>
      </c>
      <c r="K57" s="87" t="s">
        <v>15</v>
      </c>
      <c r="L57" s="87" t="s">
        <v>16</v>
      </c>
      <c r="M57" s="87"/>
      <c r="N57" s="73"/>
      <c r="O57" s="5"/>
    </row>
    <row r="58" spans="1:19" x14ac:dyDescent="0.25">
      <c r="A58" s="60" t="s">
        <v>223</v>
      </c>
      <c r="B58" s="88">
        <f>G40</f>
        <v>139200</v>
      </c>
      <c r="C58" s="60"/>
      <c r="D58" s="60"/>
      <c r="E58" s="60"/>
      <c r="F58" s="60" t="s">
        <v>223</v>
      </c>
      <c r="G58" s="60"/>
      <c r="H58" s="60"/>
      <c r="I58" s="60"/>
      <c r="J58" s="88">
        <f>K40</f>
        <v>185743</v>
      </c>
      <c r="K58" s="60"/>
      <c r="L58" s="60"/>
      <c r="M58" s="60"/>
      <c r="N58" s="74"/>
      <c r="O58" s="5"/>
    </row>
    <row r="59" spans="1:19" x14ac:dyDescent="0.25">
      <c r="A59" s="60" t="s">
        <v>18</v>
      </c>
      <c r="B59" s="88">
        <f>'JUNE 20'!D72</f>
        <v>0</v>
      </c>
      <c r="C59" s="60"/>
      <c r="D59" s="60"/>
      <c r="E59" s="60"/>
      <c r="F59" s="60" t="s">
        <v>18</v>
      </c>
      <c r="G59" s="60"/>
      <c r="H59" s="60"/>
      <c r="I59" s="60"/>
      <c r="J59" s="88">
        <f>'JUNE 20'!L72</f>
        <v>-53788</v>
      </c>
      <c r="K59" s="60"/>
      <c r="L59" s="60"/>
      <c r="M59" s="60"/>
      <c r="N59" s="74"/>
      <c r="O59" s="53"/>
    </row>
    <row r="60" spans="1:19" x14ac:dyDescent="0.25">
      <c r="A60" s="60" t="s">
        <v>19</v>
      </c>
      <c r="B60" s="88">
        <f>C40</f>
        <v>6000</v>
      </c>
      <c r="C60" s="60"/>
      <c r="D60" s="60"/>
      <c r="E60" s="60"/>
      <c r="F60" s="60"/>
      <c r="G60" s="60"/>
      <c r="H60" s="60"/>
      <c r="I60" s="60"/>
      <c r="J60" s="88"/>
      <c r="K60" s="60"/>
      <c r="L60" s="60"/>
      <c r="M60" s="60"/>
      <c r="N60" s="74"/>
      <c r="O60" s="53"/>
      <c r="P60" s="53"/>
    </row>
    <row r="61" spans="1:19" x14ac:dyDescent="0.25">
      <c r="A61" s="60" t="s">
        <v>63</v>
      </c>
      <c r="B61" s="88">
        <f>H40</f>
        <v>11866</v>
      </c>
      <c r="C61" s="60"/>
      <c r="D61" s="60"/>
      <c r="E61" s="60"/>
      <c r="F61" s="60"/>
      <c r="G61" s="60"/>
      <c r="H61" s="60"/>
      <c r="I61" s="60"/>
      <c r="J61" s="88"/>
      <c r="K61" s="60"/>
      <c r="L61" s="60"/>
      <c r="M61" s="60"/>
      <c r="N61" s="74"/>
    </row>
    <row r="62" spans="1:19" x14ac:dyDescent="0.25">
      <c r="A62" s="60" t="s">
        <v>62</v>
      </c>
      <c r="B62" s="88">
        <f>M40</f>
        <v>1420</v>
      </c>
      <c r="C62" s="60"/>
      <c r="D62" s="60"/>
      <c r="E62" s="60"/>
      <c r="F62" s="60"/>
      <c r="G62" s="60"/>
      <c r="H62" s="60"/>
      <c r="I62" s="60"/>
      <c r="J62" s="88"/>
      <c r="K62" s="60"/>
      <c r="L62" s="60"/>
      <c r="M62" s="60"/>
      <c r="N62" s="74"/>
      <c r="O62" s="5"/>
    </row>
    <row r="63" spans="1:19" x14ac:dyDescent="0.25">
      <c r="A63" s="60" t="s">
        <v>96</v>
      </c>
      <c r="B63" s="88">
        <f>I40</f>
        <v>5200</v>
      </c>
      <c r="C63" s="60"/>
      <c r="D63" s="60"/>
      <c r="E63" s="60"/>
      <c r="F63" s="60" t="s">
        <v>126</v>
      </c>
      <c r="G63" s="60"/>
      <c r="H63" s="60"/>
      <c r="I63" s="60"/>
      <c r="J63" s="88">
        <f>N40</f>
        <v>1000</v>
      </c>
      <c r="K63" s="60"/>
      <c r="L63" s="60"/>
      <c r="M63" s="60"/>
      <c r="N63" s="74"/>
      <c r="O63" s="5"/>
    </row>
    <row r="64" spans="1:19" x14ac:dyDescent="0.25">
      <c r="A64" s="60" t="s">
        <v>167</v>
      </c>
      <c r="B64" s="88"/>
      <c r="C64" s="60"/>
      <c r="D64" s="60"/>
      <c r="E64" s="60"/>
      <c r="F64" s="60" t="s">
        <v>167</v>
      </c>
      <c r="G64" s="88"/>
      <c r="I64" s="60"/>
      <c r="J64" s="60"/>
      <c r="L64" s="60"/>
      <c r="M64" s="60"/>
      <c r="N64" s="74"/>
      <c r="O64" s="53">
        <f>C69+C68</f>
        <v>14428</v>
      </c>
    </row>
    <row r="65" spans="1:16" x14ac:dyDescent="0.25">
      <c r="A65" s="60" t="s">
        <v>126</v>
      </c>
      <c r="B65" s="89">
        <f>N40</f>
        <v>1000</v>
      </c>
      <c r="C65" s="88"/>
      <c r="D65" s="60"/>
      <c r="E65" s="60"/>
      <c r="F65" s="60"/>
      <c r="G65" s="60"/>
      <c r="H65" s="60"/>
      <c r="I65" s="60"/>
      <c r="J65" s="90"/>
      <c r="K65" s="88"/>
      <c r="L65" s="88"/>
      <c r="M65" s="88"/>
      <c r="N65" s="75"/>
      <c r="O65">
        <f>B67*O64</f>
        <v>721.40000000000009</v>
      </c>
      <c r="P65" s="5"/>
    </row>
    <row r="66" spans="1:16" x14ac:dyDescent="0.25">
      <c r="A66" s="87" t="s">
        <v>21</v>
      </c>
      <c r="B66" s="60" t="s">
        <v>22</v>
      </c>
      <c r="C66" s="60"/>
      <c r="D66" s="60"/>
      <c r="E66" s="60"/>
      <c r="F66" s="87" t="s">
        <v>21</v>
      </c>
      <c r="G66" s="87"/>
      <c r="H66" s="87"/>
      <c r="I66" s="87"/>
      <c r="J66" s="89"/>
      <c r="K66" s="60"/>
      <c r="L66" s="60"/>
      <c r="M66" s="60"/>
      <c r="N66" s="74"/>
      <c r="P66" s="90"/>
    </row>
    <row r="67" spans="1:16" x14ac:dyDescent="0.25">
      <c r="A67" s="91" t="s">
        <v>111</v>
      </c>
      <c r="B67" s="90">
        <v>0.05</v>
      </c>
      <c r="C67" s="89">
        <f>B67*E40</f>
        <v>8625</v>
      </c>
      <c r="D67" s="60"/>
      <c r="E67" s="60"/>
      <c r="F67" s="91" t="s">
        <v>111</v>
      </c>
      <c r="G67" s="91"/>
      <c r="H67" s="91"/>
      <c r="I67" s="91"/>
      <c r="J67" s="90">
        <v>0.05</v>
      </c>
      <c r="K67" s="89">
        <f>J67*E40</f>
        <v>8625</v>
      </c>
      <c r="L67" s="60"/>
      <c r="M67" s="60"/>
      <c r="N67" s="74"/>
    </row>
    <row r="68" spans="1:16" x14ac:dyDescent="0.25">
      <c r="A68" s="135" t="s">
        <v>241</v>
      </c>
      <c r="B68" s="93"/>
      <c r="C68">
        <f>D24</f>
        <v>5519</v>
      </c>
      <c r="D68" s="89"/>
      <c r="E68" s="89"/>
      <c r="F68" s="135" t="s">
        <v>241</v>
      </c>
      <c r="G68" s="93"/>
      <c r="H68" s="89"/>
      <c r="I68" s="60"/>
      <c r="J68" s="90"/>
      <c r="K68" s="89">
        <f>C68</f>
        <v>5519</v>
      </c>
      <c r="L68" s="89"/>
      <c r="M68" s="89"/>
      <c r="N68" s="76"/>
    </row>
    <row r="69" spans="1:16" x14ac:dyDescent="0.25">
      <c r="A69" s="135" t="s">
        <v>229</v>
      </c>
      <c r="B69" s="90"/>
      <c r="C69" s="89">
        <f>D35</f>
        <v>8909</v>
      </c>
      <c r="D69" s="60"/>
      <c r="E69" s="60"/>
      <c r="F69" s="135" t="s">
        <v>229</v>
      </c>
      <c r="G69" s="90"/>
      <c r="H69" s="89"/>
      <c r="J69" s="90"/>
      <c r="K69" s="89">
        <f>C69</f>
        <v>8909</v>
      </c>
      <c r="L69" s="60"/>
      <c r="M69" s="60"/>
      <c r="N69" s="74"/>
    </row>
    <row r="70" spans="1:16" x14ac:dyDescent="0.25">
      <c r="A70" s="60" t="s">
        <v>230</v>
      </c>
      <c r="B70" s="60"/>
      <c r="C70" s="94">
        <v>3000</v>
      </c>
      <c r="D70" s="60"/>
      <c r="E70" s="60"/>
      <c r="F70" s="60" t="s">
        <v>230</v>
      </c>
      <c r="G70" s="60"/>
      <c r="H70" s="94"/>
      <c r="I70" s="94"/>
      <c r="J70" s="60"/>
      <c r="K70" s="94">
        <v>3000</v>
      </c>
      <c r="L70" s="60"/>
      <c r="M70" s="60"/>
      <c r="N70" s="74"/>
    </row>
    <row r="71" spans="1:16" x14ac:dyDescent="0.25">
      <c r="A71" s="92" t="s">
        <v>231</v>
      </c>
      <c r="B71" s="60"/>
      <c r="C71" s="89">
        <v>138633</v>
      </c>
      <c r="D71" s="60"/>
      <c r="E71" s="60"/>
      <c r="F71" s="92" t="s">
        <v>231</v>
      </c>
      <c r="G71" s="92"/>
      <c r="H71" s="60"/>
      <c r="I71" s="89"/>
      <c r="J71" s="91"/>
      <c r="K71" s="89">
        <v>138633</v>
      </c>
      <c r="L71" s="89"/>
      <c r="M71" s="89"/>
      <c r="N71" s="76"/>
    </row>
    <row r="72" spans="1:16" x14ac:dyDescent="0.25">
      <c r="A72" s="87" t="s">
        <v>23</v>
      </c>
      <c r="B72" s="96">
        <f>B58+B59+B60+B61+B62+B63+B65+B64</f>
        <v>164686</v>
      </c>
      <c r="C72" s="96">
        <f>SUM(C67:C71)</f>
        <v>164686</v>
      </c>
      <c r="D72" s="96">
        <f>B72-C72</f>
        <v>0</v>
      </c>
      <c r="E72" s="96"/>
      <c r="F72" s="87" t="s">
        <v>23</v>
      </c>
      <c r="G72" s="87"/>
      <c r="H72" s="87"/>
      <c r="I72" s="87"/>
      <c r="J72" s="96">
        <f>J58+J59+J61+J63+J64</f>
        <v>132955</v>
      </c>
      <c r="K72" s="96">
        <f>SUM(K67:K71)</f>
        <v>164686</v>
      </c>
      <c r="L72" s="96">
        <f>J72-K72</f>
        <v>-31731</v>
      </c>
      <c r="M72" s="96"/>
      <c r="N72" s="77"/>
    </row>
    <row r="73" spans="1:16" x14ac:dyDescent="0.25">
      <c r="A73" s="79"/>
      <c r="B73" s="79"/>
      <c r="C73" s="79"/>
      <c r="D73" s="79"/>
      <c r="E73" s="79"/>
      <c r="F73" s="79"/>
      <c r="G73" s="79"/>
      <c r="H73" s="79"/>
      <c r="I73" s="79"/>
      <c r="J73" s="79"/>
      <c r="K73" s="119">
        <f>K72-K67</f>
        <v>156061</v>
      </c>
      <c r="L73" s="79"/>
      <c r="M73" s="79"/>
      <c r="N73" s="71"/>
    </row>
    <row r="74" spans="1:16" x14ac:dyDescent="0.25">
      <c r="A74" s="97" t="s">
        <v>24</v>
      </c>
      <c r="B74" s="98"/>
      <c r="C74" s="98" t="s">
        <v>25</v>
      </c>
      <c r="D74" s="99"/>
      <c r="E74" s="99"/>
      <c r="F74" s="97"/>
      <c r="G74" s="97"/>
      <c r="H74" s="97"/>
      <c r="I74" s="97"/>
      <c r="J74" s="97" t="s">
        <v>26</v>
      </c>
      <c r="K74" s="79"/>
      <c r="L74" s="79"/>
      <c r="M74" s="79"/>
      <c r="N74" s="71"/>
    </row>
    <row r="75" spans="1:16" x14ac:dyDescent="0.25">
      <c r="A75" s="79" t="s">
        <v>104</v>
      </c>
      <c r="B75" s="79"/>
      <c r="C75" s="79" t="s">
        <v>105</v>
      </c>
      <c r="D75" s="79"/>
      <c r="E75" s="79"/>
      <c r="F75" s="79"/>
      <c r="G75" s="79"/>
      <c r="H75" s="79"/>
      <c r="I75" s="79"/>
      <c r="J75" s="79" t="s">
        <v>27</v>
      </c>
      <c r="K75" s="79"/>
      <c r="L75" s="79"/>
      <c r="M75" s="119"/>
      <c r="N75" s="71"/>
    </row>
    <row r="76" spans="1:16" x14ac:dyDescent="0.25">
      <c r="F76" s="53"/>
      <c r="G76" s="53"/>
    </row>
    <row r="77" spans="1:16" x14ac:dyDescent="0.25">
      <c r="C77" s="53"/>
      <c r="D77" s="53">
        <f>C68+C69</f>
        <v>14428</v>
      </c>
    </row>
  </sheetData>
  <pageMargins left="0" right="0" top="0" bottom="0" header="0.3" footer="0.3"/>
  <pageSetup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workbookViewId="0">
      <selection activeCell="P23" sqref="P23"/>
    </sheetView>
  </sheetViews>
  <sheetFormatPr defaultRowHeight="15" x14ac:dyDescent="0.25"/>
  <cols>
    <col min="1" max="1" width="16.28515625" customWidth="1"/>
    <col min="2" max="2" width="8" customWidth="1"/>
    <col min="3" max="3" width="8.42578125" customWidth="1"/>
    <col min="4" max="4" width="10" customWidth="1"/>
    <col min="5" max="5" width="7.7109375" customWidth="1"/>
    <col min="6" max="6" width="5.42578125" customWidth="1"/>
    <col min="7" max="7" width="10.140625" customWidth="1"/>
    <col min="8" max="8" width="8.28515625" customWidth="1"/>
    <col min="9" max="9" width="8" customWidth="1"/>
    <col min="10" max="10" width="7.85546875" customWidth="1"/>
    <col min="11" max="11" width="10" customWidth="1"/>
    <col min="12" max="12" width="8" customWidth="1"/>
    <col min="15" max="15" width="9.5703125" bestFit="1" customWidth="1"/>
  </cols>
  <sheetData>
    <row r="1" spans="1:17" x14ac:dyDescent="0.25"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</row>
    <row r="2" spans="1:17" ht="15.75" x14ac:dyDescent="0.25">
      <c r="A2" s="79"/>
      <c r="D2" s="100"/>
      <c r="E2" s="100"/>
      <c r="F2" s="100"/>
      <c r="G2" s="100" t="s">
        <v>27</v>
      </c>
      <c r="H2" s="79"/>
      <c r="I2" s="100"/>
      <c r="J2" s="101"/>
      <c r="K2" s="79"/>
      <c r="L2" s="79"/>
      <c r="M2" s="79"/>
      <c r="N2" s="79"/>
      <c r="O2" s="79"/>
    </row>
    <row r="3" spans="1:17" ht="15.75" x14ac:dyDescent="0.25">
      <c r="A3" s="79"/>
      <c r="D3" s="100"/>
      <c r="E3" s="100"/>
      <c r="F3" s="100"/>
      <c r="G3" s="100" t="s">
        <v>0</v>
      </c>
      <c r="H3" s="100"/>
      <c r="I3" s="100"/>
      <c r="J3" s="102"/>
      <c r="K3" s="79"/>
      <c r="L3" s="79"/>
      <c r="M3" s="79"/>
      <c r="N3" s="79"/>
      <c r="O3" s="79"/>
    </row>
    <row r="4" spans="1:17" ht="18.75" x14ac:dyDescent="0.3">
      <c r="A4" s="103"/>
      <c r="D4" s="71"/>
      <c r="F4" s="100" t="s">
        <v>242</v>
      </c>
      <c r="G4" s="100"/>
      <c r="I4" s="100"/>
      <c r="J4" s="104"/>
      <c r="K4" s="105"/>
      <c r="L4" s="105"/>
      <c r="M4" s="105"/>
      <c r="N4" s="105"/>
      <c r="O4" s="79"/>
    </row>
    <row r="5" spans="1:17" x14ac:dyDescent="0.25">
      <c r="A5" s="106" t="s">
        <v>2</v>
      </c>
      <c r="B5" s="106" t="s">
        <v>3</v>
      </c>
      <c r="C5" s="106" t="s">
        <v>4</v>
      </c>
      <c r="D5" s="107" t="s">
        <v>5</v>
      </c>
      <c r="E5" s="106" t="s">
        <v>6</v>
      </c>
      <c r="F5" s="125"/>
      <c r="G5" s="125"/>
      <c r="H5" s="123" t="s">
        <v>63</v>
      </c>
      <c r="I5" s="106" t="s">
        <v>96</v>
      </c>
      <c r="J5" s="108" t="s">
        <v>7</v>
      </c>
      <c r="K5" s="106" t="s">
        <v>8</v>
      </c>
      <c r="L5" s="106" t="s">
        <v>9</v>
      </c>
      <c r="M5" s="106" t="s">
        <v>91</v>
      </c>
      <c r="N5" s="106" t="s">
        <v>123</v>
      </c>
      <c r="O5" s="79"/>
    </row>
    <row r="6" spans="1:17" x14ac:dyDescent="0.25">
      <c r="A6" s="61" t="s">
        <v>61</v>
      </c>
      <c r="B6" s="68" t="s">
        <v>52</v>
      </c>
      <c r="C6" s="63"/>
      <c r="D6" s="64">
        <f>'JULY 20'!L6:L39</f>
        <v>2972</v>
      </c>
      <c r="E6" s="66">
        <v>6000</v>
      </c>
      <c r="F6" s="126">
        <v>0.8</v>
      </c>
      <c r="G6" s="128">
        <f>E6*F6</f>
        <v>4800</v>
      </c>
      <c r="H6" s="124">
        <v>578</v>
      </c>
      <c r="I6" s="66">
        <v>200</v>
      </c>
      <c r="J6" s="66">
        <f>D6+G6+H6+I6</f>
        <v>8550</v>
      </c>
      <c r="K6" s="66">
        <v>5578</v>
      </c>
      <c r="L6" s="66">
        <f>J6-K6</f>
        <v>2972</v>
      </c>
      <c r="M6" s="66"/>
      <c r="N6" s="66"/>
      <c r="O6" s="79"/>
    </row>
    <row r="7" spans="1:17" x14ac:dyDescent="0.25">
      <c r="A7" s="59" t="s">
        <v>64</v>
      </c>
      <c r="B7" s="68" t="s">
        <v>51</v>
      </c>
      <c r="C7" s="63"/>
      <c r="D7" s="64">
        <f>'JULY 20'!L7:L40</f>
        <v>3257</v>
      </c>
      <c r="E7" s="65">
        <v>6000</v>
      </c>
      <c r="F7" s="126">
        <v>0.8</v>
      </c>
      <c r="G7" s="128">
        <f t="shared" ref="G7:G39" si="0">E7*F7</f>
        <v>4800</v>
      </c>
      <c r="H7" s="113">
        <v>374</v>
      </c>
      <c r="I7" s="65">
        <v>200</v>
      </c>
      <c r="J7" s="66">
        <f>D7+G7+H7+I7</f>
        <v>8631</v>
      </c>
      <c r="K7" s="66">
        <f>3500+2000</f>
        <v>5500</v>
      </c>
      <c r="L7" s="66">
        <f>J7-K7</f>
        <v>3131</v>
      </c>
      <c r="M7" s="66"/>
      <c r="N7" s="66"/>
      <c r="O7" s="79"/>
    </row>
    <row r="8" spans="1:17" x14ac:dyDescent="0.25">
      <c r="A8" s="59" t="s">
        <v>65</v>
      </c>
      <c r="B8" s="68" t="s">
        <v>54</v>
      </c>
      <c r="C8" s="63"/>
      <c r="D8" s="64">
        <f>'JULY 20'!L8:L41</f>
        <v>0</v>
      </c>
      <c r="E8" s="65"/>
      <c r="F8" s="126">
        <v>0.8</v>
      </c>
      <c r="G8" s="128">
        <f t="shared" si="0"/>
        <v>0</v>
      </c>
      <c r="H8" s="113"/>
      <c r="I8" s="65"/>
      <c r="J8" s="66">
        <f t="shared" ref="J8:J39" si="1">D8+G8+H8+I8</f>
        <v>0</v>
      </c>
      <c r="K8" s="66"/>
      <c r="L8" s="66">
        <f>J8-K8</f>
        <v>0</v>
      </c>
      <c r="M8" s="66"/>
      <c r="N8" s="66"/>
      <c r="O8" s="79"/>
    </row>
    <row r="9" spans="1:17" x14ac:dyDescent="0.25">
      <c r="A9" s="60" t="s">
        <v>66</v>
      </c>
      <c r="B9" s="68" t="s">
        <v>50</v>
      </c>
      <c r="C9" s="63"/>
      <c r="D9" s="64">
        <f>'JULY 20'!L9:L42</f>
        <v>-2399</v>
      </c>
      <c r="E9" s="64">
        <v>6000</v>
      </c>
      <c r="F9" s="126">
        <v>0.8</v>
      </c>
      <c r="G9" s="128">
        <f t="shared" si="0"/>
        <v>4800</v>
      </c>
      <c r="H9" s="115">
        <v>102</v>
      </c>
      <c r="I9" s="65">
        <v>200</v>
      </c>
      <c r="J9" s="66">
        <f t="shared" si="1"/>
        <v>2703</v>
      </c>
      <c r="K9" s="66">
        <v>5100</v>
      </c>
      <c r="L9" s="66"/>
      <c r="M9" s="66"/>
      <c r="N9" s="66"/>
      <c r="O9" s="79"/>
      <c r="Q9" s="53"/>
    </row>
    <row r="10" spans="1:17" x14ac:dyDescent="0.25">
      <c r="A10" s="59" t="s">
        <v>151</v>
      </c>
      <c r="B10" s="68" t="s">
        <v>49</v>
      </c>
      <c r="C10" s="63"/>
      <c r="D10" s="64">
        <f>'JULY 20'!L10:L43</f>
        <v>0</v>
      </c>
      <c r="E10" s="65">
        <v>6000</v>
      </c>
      <c r="F10" s="126">
        <v>0.8</v>
      </c>
      <c r="G10" s="128">
        <f t="shared" si="0"/>
        <v>4800</v>
      </c>
      <c r="H10" s="113">
        <v>918</v>
      </c>
      <c r="I10" s="65">
        <v>200</v>
      </c>
      <c r="J10" s="66">
        <f t="shared" si="1"/>
        <v>5918</v>
      </c>
      <c r="K10" s="66">
        <v>5918</v>
      </c>
      <c r="L10" s="66">
        <f>J10-K10</f>
        <v>0</v>
      </c>
      <c r="M10" s="66"/>
      <c r="N10" s="66"/>
      <c r="O10" s="79"/>
    </row>
    <row r="11" spans="1:17" x14ac:dyDescent="0.25">
      <c r="A11" s="109" t="s">
        <v>117</v>
      </c>
      <c r="B11" s="68" t="s">
        <v>53</v>
      </c>
      <c r="C11" s="63"/>
      <c r="D11" s="64">
        <f>'JULY 20'!L11:L44</f>
        <v>1423</v>
      </c>
      <c r="E11" s="65">
        <v>6000</v>
      </c>
      <c r="F11" s="126">
        <v>0.8</v>
      </c>
      <c r="G11" s="128">
        <f t="shared" si="0"/>
        <v>4800</v>
      </c>
      <c r="H11" s="113">
        <v>782</v>
      </c>
      <c r="I11" s="65">
        <v>200</v>
      </c>
      <c r="J11" s="66">
        <f t="shared" si="1"/>
        <v>7205</v>
      </c>
      <c r="K11" s="66">
        <v>5780</v>
      </c>
      <c r="L11" s="66">
        <f t="shared" ref="L11:L38" si="2">J11-K11</f>
        <v>1425</v>
      </c>
      <c r="M11" s="66"/>
      <c r="N11" s="66"/>
      <c r="O11" s="94"/>
      <c r="Q11" s="53"/>
    </row>
    <row r="12" spans="1:17" x14ac:dyDescent="0.25">
      <c r="A12" s="61" t="s">
        <v>166</v>
      </c>
      <c r="B12" s="68" t="s">
        <v>48</v>
      </c>
      <c r="C12" s="63"/>
      <c r="D12" s="64">
        <f>'JULY 20'!L12:L45</f>
        <v>0</v>
      </c>
      <c r="E12" s="65"/>
      <c r="F12" s="126">
        <v>0.8</v>
      </c>
      <c r="G12" s="128">
        <f t="shared" si="0"/>
        <v>0</v>
      </c>
      <c r="H12" s="113"/>
      <c r="I12" s="65"/>
      <c r="J12" s="66">
        <f t="shared" si="1"/>
        <v>0</v>
      </c>
      <c r="K12" s="66"/>
      <c r="L12" s="66">
        <f t="shared" si="2"/>
        <v>0</v>
      </c>
      <c r="M12" s="66"/>
      <c r="N12" s="66"/>
      <c r="O12" s="53"/>
      <c r="P12" s="53"/>
      <c r="Q12" s="53"/>
    </row>
    <row r="13" spans="1:17" x14ac:dyDescent="0.25">
      <c r="A13" s="67" t="s">
        <v>181</v>
      </c>
      <c r="B13" s="68" t="s">
        <v>47</v>
      </c>
      <c r="C13" s="63"/>
      <c r="D13" s="64">
        <f>'JULY 20'!L13:L46</f>
        <v>0</v>
      </c>
      <c r="E13" s="65">
        <v>6000</v>
      </c>
      <c r="F13" s="126">
        <v>0.8</v>
      </c>
      <c r="G13" s="128">
        <f>E13*F13</f>
        <v>4800</v>
      </c>
      <c r="H13" s="113">
        <v>85</v>
      </c>
      <c r="I13" s="65">
        <v>200</v>
      </c>
      <c r="J13" s="66">
        <f t="shared" si="1"/>
        <v>5085</v>
      </c>
      <c r="K13" s="66">
        <f>3000+2085</f>
        <v>5085</v>
      </c>
      <c r="L13" s="66">
        <f t="shared" si="2"/>
        <v>0</v>
      </c>
      <c r="M13" s="66"/>
      <c r="N13" s="66"/>
      <c r="O13" s="94"/>
      <c r="Q13" s="94"/>
    </row>
    <row r="14" spans="1:17" x14ac:dyDescent="0.25">
      <c r="A14" s="61" t="s">
        <v>110</v>
      </c>
      <c r="B14" s="68" t="s">
        <v>46</v>
      </c>
      <c r="C14" s="63"/>
      <c r="D14" s="64">
        <f>'JULY 20'!L14:L47</f>
        <v>0</v>
      </c>
      <c r="E14" s="65"/>
      <c r="F14" s="126">
        <v>0.8</v>
      </c>
      <c r="G14" s="128">
        <f t="shared" si="0"/>
        <v>0</v>
      </c>
      <c r="H14" s="113"/>
      <c r="I14" s="65"/>
      <c r="J14" s="66">
        <f t="shared" si="1"/>
        <v>0</v>
      </c>
      <c r="K14" s="66"/>
      <c r="L14" s="66">
        <f>J14-K14</f>
        <v>0</v>
      </c>
      <c r="M14" s="66"/>
      <c r="N14" s="66"/>
      <c r="O14" s="79"/>
      <c r="P14" s="53"/>
    </row>
    <row r="15" spans="1:17" x14ac:dyDescent="0.25">
      <c r="A15" s="59" t="s">
        <v>156</v>
      </c>
      <c r="B15" s="68" t="s">
        <v>45</v>
      </c>
      <c r="C15" s="63"/>
      <c r="D15" s="64">
        <f>'JULY 20'!L15:L48</f>
        <v>1463</v>
      </c>
      <c r="E15" s="65">
        <v>6000</v>
      </c>
      <c r="F15" s="126">
        <v>0.8</v>
      </c>
      <c r="G15" s="128">
        <f t="shared" si="0"/>
        <v>4800</v>
      </c>
      <c r="H15" s="113">
        <v>272</v>
      </c>
      <c r="I15" s="65">
        <v>200</v>
      </c>
      <c r="J15" s="66">
        <f t="shared" si="1"/>
        <v>6735</v>
      </c>
      <c r="K15" s="66">
        <f>3000+2272</f>
        <v>5272</v>
      </c>
      <c r="L15" s="66">
        <f t="shared" si="2"/>
        <v>1463</v>
      </c>
      <c r="M15" s="66"/>
      <c r="N15" s="66"/>
      <c r="O15" s="94"/>
    </row>
    <row r="16" spans="1:17" x14ac:dyDescent="0.25">
      <c r="A16" s="60" t="s">
        <v>225</v>
      </c>
      <c r="B16" s="68" t="s">
        <v>44</v>
      </c>
      <c r="C16" s="63"/>
      <c r="D16" s="64">
        <f>'JULY 20'!L16:L49</f>
        <v>0</v>
      </c>
      <c r="E16" s="65">
        <v>6000</v>
      </c>
      <c r="F16" s="126">
        <v>1</v>
      </c>
      <c r="G16" s="128">
        <f>E16*F16</f>
        <v>6000</v>
      </c>
      <c r="H16" s="113">
        <v>204</v>
      </c>
      <c r="I16" s="65"/>
      <c r="J16" s="66">
        <f t="shared" si="1"/>
        <v>6204</v>
      </c>
      <c r="K16" s="66">
        <v>6204</v>
      </c>
      <c r="L16" s="66">
        <f>J16-K16</f>
        <v>0</v>
      </c>
      <c r="M16" s="66"/>
      <c r="N16" s="66"/>
      <c r="O16" s="79"/>
    </row>
    <row r="17" spans="1:17" x14ac:dyDescent="0.25">
      <c r="A17" s="59" t="s">
        <v>72</v>
      </c>
      <c r="B17" s="68" t="s">
        <v>43</v>
      </c>
      <c r="C17" s="63"/>
      <c r="D17" s="64">
        <f>'JULY 20'!L17:L50</f>
        <v>0</v>
      </c>
      <c r="E17" s="65">
        <v>6000</v>
      </c>
      <c r="F17" s="126">
        <v>0.8</v>
      </c>
      <c r="G17" s="128">
        <f t="shared" si="0"/>
        <v>4800</v>
      </c>
      <c r="H17" s="113">
        <v>850</v>
      </c>
      <c r="I17" s="65">
        <v>200</v>
      </c>
      <c r="J17" s="66">
        <f>D17+G17+H17+I17</f>
        <v>5850</v>
      </c>
      <c r="K17" s="66">
        <f>4800+850+200</f>
        <v>5850</v>
      </c>
      <c r="L17" s="66">
        <f t="shared" si="2"/>
        <v>0</v>
      </c>
      <c r="M17" s="66"/>
      <c r="N17" s="66"/>
      <c r="O17" s="110"/>
      <c r="P17" s="53"/>
    </row>
    <row r="18" spans="1:17" x14ac:dyDescent="0.25">
      <c r="A18" s="61" t="s">
        <v>73</v>
      </c>
      <c r="B18" s="68" t="s">
        <v>42</v>
      </c>
      <c r="C18" s="63"/>
      <c r="D18" s="64">
        <f>'JULY 20'!L18:L51</f>
        <v>0</v>
      </c>
      <c r="E18" s="65">
        <v>6000</v>
      </c>
      <c r="F18" s="126">
        <v>0.8</v>
      </c>
      <c r="G18" s="128">
        <f t="shared" si="0"/>
        <v>4800</v>
      </c>
      <c r="H18" s="113">
        <v>459</v>
      </c>
      <c r="I18" s="65">
        <v>200</v>
      </c>
      <c r="J18" s="66">
        <f t="shared" si="1"/>
        <v>5459</v>
      </c>
      <c r="K18" s="66">
        <v>5459</v>
      </c>
      <c r="L18" s="66">
        <f t="shared" si="2"/>
        <v>0</v>
      </c>
      <c r="M18" s="66"/>
      <c r="N18" s="66"/>
      <c r="O18" s="79"/>
      <c r="P18" s="53"/>
    </row>
    <row r="19" spans="1:17" x14ac:dyDescent="0.25">
      <c r="A19" s="60" t="s">
        <v>180</v>
      </c>
      <c r="B19" s="68" t="s">
        <v>41</v>
      </c>
      <c r="C19" s="63"/>
      <c r="D19" s="64">
        <f>'JULY 20'!L19:L52</f>
        <v>1000</v>
      </c>
      <c r="E19" s="65">
        <v>6000</v>
      </c>
      <c r="F19" s="126">
        <v>0.8</v>
      </c>
      <c r="G19" s="128">
        <f t="shared" si="0"/>
        <v>4800</v>
      </c>
      <c r="H19" s="113">
        <v>255</v>
      </c>
      <c r="I19" s="65">
        <v>200</v>
      </c>
      <c r="J19" s="66">
        <f t="shared" si="1"/>
        <v>6255</v>
      </c>
      <c r="K19" s="66">
        <v>5226</v>
      </c>
      <c r="L19" s="66">
        <f t="shared" si="2"/>
        <v>1029</v>
      </c>
      <c r="M19" s="66"/>
      <c r="N19" s="66"/>
      <c r="O19" s="79"/>
    </row>
    <row r="20" spans="1:17" x14ac:dyDescent="0.25">
      <c r="A20" s="59" t="s">
        <v>75</v>
      </c>
      <c r="B20" s="68" t="s">
        <v>40</v>
      </c>
      <c r="C20" s="63"/>
      <c r="D20" s="64">
        <f>'JULY 20'!L20:L53</f>
        <v>0</v>
      </c>
      <c r="E20" s="65">
        <v>6000</v>
      </c>
      <c r="F20" s="126">
        <v>0.8</v>
      </c>
      <c r="G20" s="128">
        <f t="shared" si="0"/>
        <v>4800</v>
      </c>
      <c r="H20" s="113">
        <v>204</v>
      </c>
      <c r="I20" s="65">
        <v>200</v>
      </c>
      <c r="J20" s="66">
        <f t="shared" si="1"/>
        <v>5204</v>
      </c>
      <c r="K20" s="66">
        <v>5204</v>
      </c>
      <c r="L20" s="66">
        <f t="shared" si="2"/>
        <v>0</v>
      </c>
      <c r="M20" s="66"/>
      <c r="N20" s="66"/>
      <c r="O20" s="94"/>
    </row>
    <row r="21" spans="1:17" x14ac:dyDescent="0.25">
      <c r="A21" s="61" t="s">
        <v>76</v>
      </c>
      <c r="B21" s="111" t="s">
        <v>39</v>
      </c>
      <c r="C21" s="63"/>
      <c r="D21" s="64">
        <f>'JULY 20'!L21:L54</f>
        <v>6769</v>
      </c>
      <c r="E21" s="65">
        <v>6000</v>
      </c>
      <c r="F21" s="126">
        <v>0.8</v>
      </c>
      <c r="G21" s="128">
        <f t="shared" si="0"/>
        <v>4800</v>
      </c>
      <c r="H21" s="113">
        <v>17</v>
      </c>
      <c r="I21" s="65">
        <v>200</v>
      </c>
      <c r="J21" s="66">
        <f t="shared" si="1"/>
        <v>11786</v>
      </c>
      <c r="K21" s="66">
        <f>8000</f>
        <v>8000</v>
      </c>
      <c r="L21" s="66">
        <f t="shared" si="2"/>
        <v>3786</v>
      </c>
      <c r="M21" s="66"/>
      <c r="N21" s="66"/>
      <c r="O21" s="79"/>
    </row>
    <row r="22" spans="1:17" x14ac:dyDescent="0.25">
      <c r="A22" s="61" t="s">
        <v>150</v>
      </c>
      <c r="B22" s="68" t="s">
        <v>38</v>
      </c>
      <c r="C22" s="63"/>
      <c r="D22" s="64">
        <f>'JULY 20'!L22:L55</f>
        <v>320</v>
      </c>
      <c r="E22" s="65">
        <v>6000</v>
      </c>
      <c r="F22" s="126">
        <v>0.8</v>
      </c>
      <c r="G22" s="128">
        <f t="shared" si="0"/>
        <v>4800</v>
      </c>
      <c r="H22" s="113">
        <v>680</v>
      </c>
      <c r="I22" s="65">
        <v>200</v>
      </c>
      <c r="J22" s="66">
        <f t="shared" si="1"/>
        <v>6000</v>
      </c>
      <c r="K22" s="66"/>
      <c r="L22" s="66">
        <f t="shared" si="2"/>
        <v>6000</v>
      </c>
      <c r="M22" s="66"/>
      <c r="N22" s="66"/>
      <c r="O22" s="79" t="s">
        <v>97</v>
      </c>
    </row>
    <row r="23" spans="1:17" x14ac:dyDescent="0.25">
      <c r="A23" s="59" t="s">
        <v>78</v>
      </c>
      <c r="B23" s="68" t="s">
        <v>37</v>
      </c>
      <c r="C23" s="63"/>
      <c r="D23" s="64">
        <f>'JULY 20'!L23:L56</f>
        <v>24</v>
      </c>
      <c r="E23" s="65">
        <v>6000</v>
      </c>
      <c r="F23" s="126">
        <v>0.8</v>
      </c>
      <c r="G23" s="128">
        <f t="shared" si="0"/>
        <v>4800</v>
      </c>
      <c r="H23" s="113">
        <v>170</v>
      </c>
      <c r="I23" s="65">
        <v>200</v>
      </c>
      <c r="J23" s="66">
        <f t="shared" si="1"/>
        <v>5194</v>
      </c>
      <c r="K23" s="66">
        <v>5170</v>
      </c>
      <c r="L23" s="66">
        <f t="shared" si="2"/>
        <v>24</v>
      </c>
      <c r="M23" s="66"/>
      <c r="N23" s="66"/>
      <c r="O23" s="79"/>
    </row>
    <row r="24" spans="1:17" x14ac:dyDescent="0.25">
      <c r="A24" s="61" t="s">
        <v>110</v>
      </c>
      <c r="B24" s="62" t="s">
        <v>28</v>
      </c>
      <c r="C24" s="63"/>
      <c r="D24" s="64">
        <f>'JULY 20'!L24:L57</f>
        <v>0</v>
      </c>
      <c r="E24" s="65"/>
      <c r="F24" s="126">
        <v>0.8</v>
      </c>
      <c r="G24" s="128">
        <f t="shared" si="0"/>
        <v>0</v>
      </c>
      <c r="H24" s="113"/>
      <c r="I24" s="65"/>
      <c r="J24" s="66">
        <f t="shared" si="1"/>
        <v>0</v>
      </c>
      <c r="K24" s="66"/>
      <c r="L24" s="66"/>
      <c r="M24" s="66"/>
      <c r="N24" s="66"/>
      <c r="O24" s="79"/>
    </row>
    <row r="25" spans="1:17" x14ac:dyDescent="0.25">
      <c r="A25" s="61" t="s">
        <v>80</v>
      </c>
      <c r="B25" s="62" t="s">
        <v>29</v>
      </c>
      <c r="C25" s="63"/>
      <c r="D25" s="64">
        <f>'JULY 20'!L25:L58</f>
        <v>0</v>
      </c>
      <c r="E25" s="65">
        <v>6500</v>
      </c>
      <c r="F25" s="126">
        <v>0.8</v>
      </c>
      <c r="G25" s="128">
        <f t="shared" si="0"/>
        <v>5200</v>
      </c>
      <c r="H25" s="113">
        <v>1258</v>
      </c>
      <c r="I25" s="65">
        <v>200</v>
      </c>
      <c r="J25" s="66">
        <f>D25+G25+H25+I25</f>
        <v>6658</v>
      </c>
      <c r="K25" s="66">
        <f>6658</f>
        <v>6658</v>
      </c>
      <c r="L25" s="66">
        <f t="shared" si="2"/>
        <v>0</v>
      </c>
      <c r="M25" s="66"/>
      <c r="N25" s="66"/>
      <c r="O25" s="79"/>
      <c r="P25" s="53"/>
    </row>
    <row r="26" spans="1:17" x14ac:dyDescent="0.25">
      <c r="A26" s="61" t="s">
        <v>81</v>
      </c>
      <c r="B26" s="62" t="s">
        <v>30</v>
      </c>
      <c r="C26" s="63"/>
      <c r="D26" s="64">
        <f>'JULY 20'!L26:L59</f>
        <v>0</v>
      </c>
      <c r="E26" s="65">
        <v>6500</v>
      </c>
      <c r="F26" s="126">
        <v>0.8</v>
      </c>
      <c r="G26" s="128">
        <f t="shared" si="0"/>
        <v>5200</v>
      </c>
      <c r="H26" s="113">
        <v>442</v>
      </c>
      <c r="I26" s="65">
        <v>200</v>
      </c>
      <c r="J26" s="66">
        <f t="shared" si="1"/>
        <v>5842</v>
      </c>
      <c r="K26" s="66">
        <v>5840</v>
      </c>
      <c r="L26" s="66">
        <f t="shared" si="2"/>
        <v>2</v>
      </c>
      <c r="M26" s="66"/>
      <c r="N26" s="66"/>
      <c r="O26" s="112"/>
    </row>
    <row r="27" spans="1:17" x14ac:dyDescent="0.25">
      <c r="A27" s="61" t="s">
        <v>273</v>
      </c>
      <c r="B27" s="62" t="s">
        <v>55</v>
      </c>
      <c r="C27" s="63"/>
      <c r="D27" s="64">
        <f>'JULY 20'!L27:L60</f>
        <v>7312</v>
      </c>
      <c r="E27" s="65"/>
      <c r="F27" s="126">
        <v>0.8</v>
      </c>
      <c r="G27" s="128">
        <f t="shared" si="0"/>
        <v>0</v>
      </c>
      <c r="H27" s="113"/>
      <c r="I27" s="65"/>
      <c r="J27" s="66">
        <f t="shared" si="1"/>
        <v>7312</v>
      </c>
      <c r="K27" s="66"/>
      <c r="L27" s="66">
        <f t="shared" si="2"/>
        <v>7312</v>
      </c>
      <c r="M27" s="66"/>
      <c r="N27" s="66"/>
      <c r="O27" s="112"/>
    </row>
    <row r="28" spans="1:17" x14ac:dyDescent="0.25">
      <c r="A28" s="61" t="s">
        <v>83</v>
      </c>
      <c r="B28" s="62" t="s">
        <v>56</v>
      </c>
      <c r="C28" s="63"/>
      <c r="D28" s="64">
        <f>'JULY 20'!L28:L61</f>
        <v>6069</v>
      </c>
      <c r="E28" s="65">
        <v>8000</v>
      </c>
      <c r="F28" s="126">
        <v>0.8</v>
      </c>
      <c r="G28" s="128">
        <f t="shared" si="0"/>
        <v>6400</v>
      </c>
      <c r="H28" s="113">
        <v>238</v>
      </c>
      <c r="I28" s="65">
        <v>200</v>
      </c>
      <c r="J28" s="66">
        <f t="shared" si="1"/>
        <v>12907</v>
      </c>
      <c r="K28" s="66">
        <f>8000</f>
        <v>8000</v>
      </c>
      <c r="L28" s="66">
        <f t="shared" si="2"/>
        <v>4907</v>
      </c>
      <c r="M28" s="66"/>
      <c r="N28" s="66"/>
      <c r="O28" s="94"/>
      <c r="Q28">
        <f>6000-320</f>
        <v>5680</v>
      </c>
    </row>
    <row r="29" spans="1:17" x14ac:dyDescent="0.25">
      <c r="A29" s="61" t="s">
        <v>128</v>
      </c>
      <c r="B29" s="62" t="s">
        <v>57</v>
      </c>
      <c r="C29" s="63"/>
      <c r="D29" s="64">
        <f>'JULY 20'!L29:L62</f>
        <v>502</v>
      </c>
      <c r="E29" s="65">
        <v>6500</v>
      </c>
      <c r="F29" s="126">
        <v>0.8</v>
      </c>
      <c r="G29" s="128">
        <f t="shared" si="0"/>
        <v>5200</v>
      </c>
      <c r="H29" s="113">
        <v>153</v>
      </c>
      <c r="I29" s="65">
        <v>200</v>
      </c>
      <c r="J29" s="66">
        <f t="shared" si="1"/>
        <v>6055</v>
      </c>
      <c r="K29" s="66">
        <f>5500</f>
        <v>5500</v>
      </c>
      <c r="L29" s="66">
        <f t="shared" si="2"/>
        <v>555</v>
      </c>
      <c r="M29" s="66"/>
      <c r="N29" s="66"/>
      <c r="O29" s="94"/>
      <c r="P29" s="53"/>
    </row>
    <row r="30" spans="1:17" x14ac:dyDescent="0.25">
      <c r="A30" s="61" t="s">
        <v>92</v>
      </c>
      <c r="B30" s="62" t="s">
        <v>58</v>
      </c>
      <c r="C30" s="63"/>
      <c r="D30" s="64">
        <f>'JULY 20'!L30:L63</f>
        <v>6511</v>
      </c>
      <c r="E30" s="65">
        <v>6500</v>
      </c>
      <c r="F30" s="126">
        <v>0.8</v>
      </c>
      <c r="G30" s="128">
        <f t="shared" si="0"/>
        <v>5200</v>
      </c>
      <c r="H30" s="113">
        <v>374</v>
      </c>
      <c r="I30" s="65">
        <v>200</v>
      </c>
      <c r="J30" s="66">
        <f>D30+G30+H30+I30</f>
        <v>12285</v>
      </c>
      <c r="K30" s="66">
        <f>7000+181+82</f>
        <v>7263</v>
      </c>
      <c r="L30" s="66">
        <f t="shared" si="2"/>
        <v>5022</v>
      </c>
      <c r="M30" s="66"/>
      <c r="N30" s="66"/>
      <c r="O30" s="79"/>
      <c r="P30" s="53"/>
    </row>
    <row r="31" spans="1:17" x14ac:dyDescent="0.25">
      <c r="A31" s="61" t="s">
        <v>176</v>
      </c>
      <c r="B31" s="62" t="s">
        <v>59</v>
      </c>
      <c r="C31" s="63"/>
      <c r="D31" s="64">
        <f>'JULY 20'!L31:L64</f>
        <v>1478</v>
      </c>
      <c r="E31" s="65">
        <v>6500</v>
      </c>
      <c r="F31" s="126">
        <v>0.8</v>
      </c>
      <c r="G31" s="128">
        <f t="shared" si="0"/>
        <v>5200</v>
      </c>
      <c r="H31" s="113">
        <v>867</v>
      </c>
      <c r="I31" s="65">
        <v>200</v>
      </c>
      <c r="J31" s="66">
        <f t="shared" si="1"/>
        <v>7745</v>
      </c>
      <c r="K31" s="66">
        <f>1478+3200</f>
        <v>4678</v>
      </c>
      <c r="L31" s="66">
        <f t="shared" si="2"/>
        <v>3067</v>
      </c>
      <c r="M31" s="66"/>
      <c r="N31" s="66"/>
      <c r="O31" s="94"/>
      <c r="P31" s="53"/>
    </row>
    <row r="32" spans="1:17" x14ac:dyDescent="0.25">
      <c r="A32" s="61" t="s">
        <v>170</v>
      </c>
      <c r="B32" s="62" t="s">
        <v>60</v>
      </c>
      <c r="C32" s="63"/>
      <c r="D32" s="64">
        <f>'JULY 20'!L32:L65</f>
        <v>709</v>
      </c>
      <c r="E32" s="65">
        <v>6500</v>
      </c>
      <c r="F32" s="126">
        <v>0.8</v>
      </c>
      <c r="G32" s="128">
        <f t="shared" si="0"/>
        <v>5200</v>
      </c>
      <c r="H32" s="113">
        <v>578</v>
      </c>
      <c r="I32" s="65">
        <v>200</v>
      </c>
      <c r="J32" s="66">
        <f t="shared" si="1"/>
        <v>6687</v>
      </c>
      <c r="K32" s="66">
        <v>5978</v>
      </c>
      <c r="L32" s="66">
        <f t="shared" si="2"/>
        <v>709</v>
      </c>
      <c r="M32" s="66"/>
      <c r="N32" s="66"/>
      <c r="O32" s="141"/>
      <c r="P32" s="53"/>
    </row>
    <row r="33" spans="1:17" x14ac:dyDescent="0.25">
      <c r="A33" s="61" t="s">
        <v>86</v>
      </c>
      <c r="B33" s="62" t="s">
        <v>31</v>
      </c>
      <c r="C33" s="63"/>
      <c r="D33" s="64">
        <f>'JULY 20'!L33:L66</f>
        <v>482</v>
      </c>
      <c r="E33" s="65">
        <v>8000</v>
      </c>
      <c r="F33" s="126">
        <v>0.8</v>
      </c>
      <c r="G33" s="128">
        <f t="shared" si="0"/>
        <v>6400</v>
      </c>
      <c r="H33" s="113">
        <v>1088</v>
      </c>
      <c r="I33" s="65">
        <v>200</v>
      </c>
      <c r="J33" s="66">
        <f t="shared" si="1"/>
        <v>8170</v>
      </c>
      <c r="K33" s="66">
        <v>6900</v>
      </c>
      <c r="L33" s="66">
        <f>J33-K33</f>
        <v>1270</v>
      </c>
      <c r="M33" s="66"/>
      <c r="N33" s="66"/>
      <c r="O33" s="94"/>
    </row>
    <row r="34" spans="1:17" x14ac:dyDescent="0.25">
      <c r="A34" s="61" t="s">
        <v>121</v>
      </c>
      <c r="B34" s="62" t="s">
        <v>32</v>
      </c>
      <c r="C34" s="63"/>
      <c r="D34" s="64">
        <f>'JULY 20'!L34:L67</f>
        <v>0</v>
      </c>
      <c r="E34" s="113">
        <v>6500</v>
      </c>
      <c r="F34" s="126">
        <v>0.8</v>
      </c>
      <c r="G34" s="128">
        <f t="shared" si="0"/>
        <v>5200</v>
      </c>
      <c r="H34" s="113">
        <v>442</v>
      </c>
      <c r="I34" s="65">
        <v>200</v>
      </c>
      <c r="J34" s="66">
        <f t="shared" si="1"/>
        <v>5842</v>
      </c>
      <c r="K34" s="66">
        <f>5200</f>
        <v>5200</v>
      </c>
      <c r="L34" s="66">
        <f t="shared" si="2"/>
        <v>642</v>
      </c>
      <c r="M34" s="66"/>
      <c r="N34" s="66"/>
      <c r="O34" s="79"/>
    </row>
    <row r="35" spans="1:17" x14ac:dyDescent="0.25">
      <c r="A35" s="120" t="s">
        <v>245</v>
      </c>
      <c r="B35" s="121" t="s">
        <v>33</v>
      </c>
      <c r="C35" s="63"/>
      <c r="D35" s="64">
        <f>'JULY 20'!L35:L68</f>
        <v>0</v>
      </c>
      <c r="E35" s="113"/>
      <c r="F35" s="126">
        <v>0.8</v>
      </c>
      <c r="G35" s="128"/>
      <c r="H35" s="113"/>
      <c r="I35" s="65"/>
      <c r="J35" s="66">
        <f t="shared" si="1"/>
        <v>0</v>
      </c>
      <c r="K35" s="66"/>
      <c r="L35" s="58">
        <f t="shared" si="2"/>
        <v>0</v>
      </c>
      <c r="M35" s="66"/>
      <c r="N35" s="66"/>
      <c r="O35" s="79"/>
    </row>
    <row r="36" spans="1:17" x14ac:dyDescent="0.25">
      <c r="A36" s="61" t="s">
        <v>89</v>
      </c>
      <c r="B36" s="62" t="s">
        <v>34</v>
      </c>
      <c r="C36" s="63"/>
      <c r="D36" s="64">
        <f>'JULY 20'!L36:L69</f>
        <v>0</v>
      </c>
      <c r="E36" s="113">
        <v>6500</v>
      </c>
      <c r="F36" s="126">
        <v>0.8</v>
      </c>
      <c r="G36" s="128">
        <f t="shared" si="0"/>
        <v>5200</v>
      </c>
      <c r="H36" s="113">
        <v>170</v>
      </c>
      <c r="I36" s="65">
        <v>200</v>
      </c>
      <c r="J36" s="66">
        <f t="shared" si="1"/>
        <v>5570</v>
      </c>
      <c r="K36" s="66">
        <v>5570</v>
      </c>
      <c r="L36" s="66">
        <f t="shared" si="2"/>
        <v>0</v>
      </c>
      <c r="M36" s="66"/>
      <c r="N36" s="66"/>
      <c r="O36" s="79"/>
      <c r="P36" s="53"/>
    </row>
    <row r="37" spans="1:17" x14ac:dyDescent="0.25">
      <c r="A37" s="61" t="s">
        <v>103</v>
      </c>
      <c r="B37" s="62" t="s">
        <v>35</v>
      </c>
      <c r="C37" s="63"/>
      <c r="D37" s="64">
        <f>'JULY 20'!L37:L70</f>
        <v>1280</v>
      </c>
      <c r="E37" s="113">
        <v>6500</v>
      </c>
      <c r="F37" s="126">
        <v>0.8</v>
      </c>
      <c r="G37" s="128">
        <f t="shared" si="0"/>
        <v>5200</v>
      </c>
      <c r="H37" s="113">
        <v>680</v>
      </c>
      <c r="I37" s="65">
        <v>200</v>
      </c>
      <c r="J37" s="66">
        <f>D37+G37+H37+I37</f>
        <v>7360</v>
      </c>
      <c r="K37" s="66">
        <f>4850</f>
        <v>4850</v>
      </c>
      <c r="L37" s="66">
        <f>J37-K37</f>
        <v>2510</v>
      </c>
      <c r="M37" s="66"/>
      <c r="N37" s="66"/>
      <c r="O37" s="79"/>
    </row>
    <row r="38" spans="1:17" x14ac:dyDescent="0.25">
      <c r="A38" s="61" t="s">
        <v>138</v>
      </c>
      <c r="B38" s="62" t="s">
        <v>36</v>
      </c>
      <c r="C38" s="63"/>
      <c r="D38" s="64">
        <f>'JULY 20'!L38:L71</f>
        <v>1270</v>
      </c>
      <c r="E38" s="115">
        <v>8000</v>
      </c>
      <c r="F38" s="126">
        <v>0.8</v>
      </c>
      <c r="G38" s="128">
        <f>E38*F38</f>
        <v>6400</v>
      </c>
      <c r="H38" s="115">
        <v>680</v>
      </c>
      <c r="I38" s="65">
        <v>200</v>
      </c>
      <c r="J38" s="66">
        <f>D38+G38+H38+I38</f>
        <v>8550</v>
      </c>
      <c r="K38" s="66">
        <f>6000+1550</f>
        <v>7550</v>
      </c>
      <c r="L38" s="66">
        <f t="shared" si="2"/>
        <v>1000</v>
      </c>
      <c r="M38" s="66"/>
      <c r="N38" s="66"/>
      <c r="O38" s="94"/>
      <c r="P38" s="94"/>
    </row>
    <row r="39" spans="1:17" x14ac:dyDescent="0.25">
      <c r="A39" s="61"/>
      <c r="B39" s="114"/>
      <c r="C39" s="63"/>
      <c r="D39" s="64">
        <f>'JULY 20'!L39:L72</f>
        <v>0</v>
      </c>
      <c r="E39" s="115"/>
      <c r="F39" s="126">
        <v>0.8</v>
      </c>
      <c r="G39" s="128">
        <f t="shared" si="0"/>
        <v>0</v>
      </c>
      <c r="H39" s="115"/>
      <c r="I39" s="65"/>
      <c r="J39" s="66">
        <f t="shared" si="1"/>
        <v>0</v>
      </c>
      <c r="K39" s="66"/>
      <c r="L39" s="66">
        <f>J39-K39</f>
        <v>0</v>
      </c>
      <c r="M39" s="66"/>
      <c r="N39" s="66"/>
      <c r="O39" s="79"/>
    </row>
    <row r="40" spans="1:17" x14ac:dyDescent="0.25">
      <c r="A40" s="116" t="s">
        <v>10</v>
      </c>
      <c r="B40" s="60"/>
      <c r="C40" s="63">
        <f t="shared" ref="C40:N40" si="3">SUM(C6:C39)</f>
        <v>0</v>
      </c>
      <c r="D40" s="64">
        <f>SUM(D6:D39)</f>
        <v>40442</v>
      </c>
      <c r="E40" s="117">
        <f>SUM(E6:E39)</f>
        <v>172500</v>
      </c>
      <c r="F40" s="126"/>
      <c r="G40" s="128">
        <f>SUM(G6:G39)</f>
        <v>139200</v>
      </c>
      <c r="H40" s="118">
        <f>SUM(H6:H39)</f>
        <v>12920</v>
      </c>
      <c r="I40" s="130">
        <f t="shared" si="3"/>
        <v>5200</v>
      </c>
      <c r="J40" s="131">
        <f>SUM(J6:J39)</f>
        <v>197762</v>
      </c>
      <c r="K40" s="131">
        <f>SUM(K6:K39)</f>
        <v>153333</v>
      </c>
      <c r="L40" s="131">
        <f>SUM(L6:L39)</f>
        <v>46826</v>
      </c>
      <c r="M40" s="131">
        <f t="shared" si="3"/>
        <v>0</v>
      </c>
      <c r="N40" s="131">
        <f t="shared" si="3"/>
        <v>0</v>
      </c>
      <c r="O40" s="79"/>
    </row>
    <row r="41" spans="1:17" x14ac:dyDescent="0.25">
      <c r="A41" s="79"/>
      <c r="B41" s="79"/>
      <c r="D41" s="79" t="e">
        <f>'JULY 20'!#REF!</f>
        <v>#REF!</v>
      </c>
      <c r="E41" s="79"/>
      <c r="F41" s="79"/>
      <c r="G41" s="79"/>
      <c r="H41" s="79"/>
      <c r="I41" s="18"/>
      <c r="J41" s="18"/>
      <c r="K41" s="18"/>
      <c r="L41" s="18"/>
      <c r="M41" s="18"/>
      <c r="N41" s="18"/>
      <c r="O41" s="18"/>
      <c r="P41" s="18"/>
      <c r="Q41" s="18"/>
    </row>
    <row r="42" spans="1:17" x14ac:dyDescent="0.25">
      <c r="A42" s="79"/>
      <c r="D42" s="18"/>
      <c r="E42" s="18"/>
      <c r="F42" s="18"/>
      <c r="G42" s="41" t="s">
        <v>213</v>
      </c>
      <c r="H42" s="18"/>
      <c r="I42" s="120" t="s">
        <v>147</v>
      </c>
      <c r="J42" s="18" t="s">
        <v>149</v>
      </c>
    </row>
    <row r="43" spans="1:17" x14ac:dyDescent="0.25">
      <c r="A43" s="79"/>
      <c r="B43" s="18"/>
      <c r="D43" s="18"/>
      <c r="E43" s="18" t="s">
        <v>248</v>
      </c>
      <c r="F43" s="18"/>
      <c r="G43" s="132">
        <f>J25</f>
        <v>6658</v>
      </c>
      <c r="H43" s="41"/>
      <c r="I43" s="136">
        <v>6658</v>
      </c>
      <c r="J43" s="132">
        <f>G43-I43</f>
        <v>0</v>
      </c>
    </row>
    <row r="44" spans="1:17" x14ac:dyDescent="0.25">
      <c r="A44" s="7"/>
      <c r="B44" s="18"/>
      <c r="D44" s="18"/>
      <c r="E44" s="18" t="s">
        <v>249</v>
      </c>
      <c r="F44" s="18"/>
      <c r="G44" s="47">
        <f>J26</f>
        <v>5842</v>
      </c>
      <c r="H44" s="41"/>
      <c r="I44" s="137">
        <v>5840</v>
      </c>
      <c r="J44" s="132">
        <f t="shared" ref="J44:J53" si="4">G44-I44</f>
        <v>2</v>
      </c>
    </row>
    <row r="45" spans="1:17" x14ac:dyDescent="0.25">
      <c r="A45" s="7"/>
      <c r="B45" s="18"/>
      <c r="D45" s="18"/>
      <c r="E45" s="18" t="s">
        <v>257</v>
      </c>
      <c r="F45" s="18"/>
      <c r="G45" s="132">
        <v>5553</v>
      </c>
      <c r="H45" s="41"/>
      <c r="I45" s="137">
        <v>5500</v>
      </c>
      <c r="J45" s="132">
        <f t="shared" si="4"/>
        <v>53</v>
      </c>
      <c r="P45" s="53">
        <f>10510-K34</f>
        <v>5310</v>
      </c>
    </row>
    <row r="46" spans="1:17" x14ac:dyDescent="0.25">
      <c r="A46" s="7"/>
      <c r="B46" s="18"/>
      <c r="D46" s="18"/>
      <c r="E46" s="18" t="s">
        <v>250</v>
      </c>
      <c r="F46" s="47"/>
      <c r="G46" s="132">
        <v>7688</v>
      </c>
      <c r="H46" s="41"/>
      <c r="I46" s="137">
        <v>6900</v>
      </c>
      <c r="J46" s="132">
        <f t="shared" si="4"/>
        <v>788</v>
      </c>
      <c r="K46" t="s">
        <v>97</v>
      </c>
    </row>
    <row r="47" spans="1:17" x14ac:dyDescent="0.25">
      <c r="A47" s="7"/>
      <c r="B47" s="18"/>
      <c r="D47" s="18"/>
      <c r="E47" s="18" t="s">
        <v>251</v>
      </c>
      <c r="F47" s="18"/>
      <c r="G47" s="132">
        <f>6080</f>
        <v>6080</v>
      </c>
      <c r="H47" s="41"/>
      <c r="I47" s="137">
        <v>4850</v>
      </c>
      <c r="J47" s="132">
        <f t="shared" si="4"/>
        <v>1230</v>
      </c>
    </row>
    <row r="48" spans="1:17" x14ac:dyDescent="0.25">
      <c r="A48" s="7"/>
      <c r="B48" s="18"/>
      <c r="D48" s="18"/>
      <c r="E48" s="18" t="s">
        <v>252</v>
      </c>
      <c r="F48" s="18"/>
      <c r="G48" s="132">
        <f>J10</f>
        <v>5918</v>
      </c>
      <c r="H48" s="41"/>
      <c r="I48" s="137">
        <v>5918</v>
      </c>
      <c r="J48" s="132">
        <f t="shared" si="4"/>
        <v>0</v>
      </c>
    </row>
    <row r="49" spans="1:17" x14ac:dyDescent="0.25">
      <c r="A49" s="7"/>
      <c r="B49" s="47"/>
      <c r="D49" s="18"/>
      <c r="E49" s="18" t="s">
        <v>253</v>
      </c>
      <c r="F49" s="18"/>
      <c r="G49" s="132">
        <f>5255</f>
        <v>5255</v>
      </c>
      <c r="H49" s="41"/>
      <c r="I49" s="137">
        <v>5226</v>
      </c>
      <c r="J49" s="132">
        <f t="shared" si="4"/>
        <v>29</v>
      </c>
    </row>
    <row r="50" spans="1:17" x14ac:dyDescent="0.25">
      <c r="A50" s="7"/>
      <c r="B50" s="18"/>
      <c r="D50" s="18"/>
      <c r="E50" s="18" t="s">
        <v>254</v>
      </c>
      <c r="F50" s="18"/>
      <c r="G50" s="132">
        <f>5170</f>
        <v>5170</v>
      </c>
      <c r="H50" s="41"/>
      <c r="I50" s="138">
        <v>5170</v>
      </c>
      <c r="J50" s="132">
        <f t="shared" si="4"/>
        <v>0</v>
      </c>
    </row>
    <row r="51" spans="1:17" x14ac:dyDescent="0.25">
      <c r="A51" s="7"/>
      <c r="B51" s="18"/>
      <c r="D51" s="18"/>
      <c r="E51" s="18" t="s">
        <v>255</v>
      </c>
      <c r="F51" s="18"/>
      <c r="G51" s="132">
        <f>J20</f>
        <v>5204</v>
      </c>
      <c r="H51" s="41"/>
      <c r="I51" s="137">
        <v>5204</v>
      </c>
      <c r="J51" s="132">
        <f t="shared" si="4"/>
        <v>0</v>
      </c>
    </row>
    <row r="52" spans="1:17" x14ac:dyDescent="0.25">
      <c r="A52" s="7"/>
      <c r="B52" s="18"/>
      <c r="D52" s="18"/>
      <c r="E52" s="142" t="s">
        <v>256</v>
      </c>
      <c r="F52" s="18"/>
      <c r="G52" s="132">
        <v>1000</v>
      </c>
      <c r="H52" s="41"/>
      <c r="I52" s="137"/>
      <c r="J52" s="132">
        <f t="shared" si="4"/>
        <v>1000</v>
      </c>
      <c r="K52" s="41" t="s">
        <v>244</v>
      </c>
    </row>
    <row r="53" spans="1:17" x14ac:dyDescent="0.25">
      <c r="A53" s="7"/>
      <c r="B53" s="18"/>
      <c r="D53" s="18"/>
      <c r="E53" s="142" t="s">
        <v>219</v>
      </c>
      <c r="F53" s="18"/>
      <c r="G53" s="132">
        <f>J22</f>
        <v>6000</v>
      </c>
      <c r="H53" s="41"/>
      <c r="I53" s="137"/>
      <c r="J53" s="132">
        <f t="shared" si="4"/>
        <v>6000</v>
      </c>
    </row>
    <row r="54" spans="1:17" x14ac:dyDescent="0.25">
      <c r="A54" s="7"/>
      <c r="B54" s="18"/>
      <c r="D54" s="18"/>
      <c r="E54" s="18" t="s">
        <v>23</v>
      </c>
      <c r="F54" s="41"/>
      <c r="G54" s="132">
        <f>SUM(G43:G53)</f>
        <v>60368</v>
      </c>
      <c r="H54" s="41"/>
      <c r="I54" s="137">
        <f>SUM(I43:I53)</f>
        <v>51266</v>
      </c>
      <c r="J54" s="132">
        <f>G54-I54</f>
        <v>9102</v>
      </c>
    </row>
    <row r="55" spans="1:17" x14ac:dyDescent="0.25">
      <c r="B55" s="133"/>
      <c r="D55" s="134"/>
      <c r="E55" s="133"/>
      <c r="F55" s="133"/>
      <c r="G55" s="47"/>
      <c r="H55" s="18"/>
      <c r="I55" s="47"/>
      <c r="J55" s="18"/>
    </row>
    <row r="56" spans="1:17" x14ac:dyDescent="0.25">
      <c r="A56" s="85" t="s">
        <v>12</v>
      </c>
      <c r="B56" s="85"/>
      <c r="C56" s="85"/>
      <c r="D56" s="86"/>
      <c r="E56" s="82"/>
      <c r="F56" s="85" t="s">
        <v>8</v>
      </c>
      <c r="G56" s="85"/>
      <c r="H56" s="85"/>
      <c r="I56" s="85"/>
      <c r="J56" s="79"/>
      <c r="K56" s="79"/>
      <c r="L56" s="79"/>
      <c r="M56" s="79"/>
      <c r="N56" s="71"/>
      <c r="O56" s="5"/>
    </row>
    <row r="57" spans="1:17" x14ac:dyDescent="0.25">
      <c r="A57" s="87" t="s">
        <v>13</v>
      </c>
      <c r="B57" s="87" t="s">
        <v>14</v>
      </c>
      <c r="C57" s="87" t="s">
        <v>15</v>
      </c>
      <c r="D57" s="87" t="s">
        <v>16</v>
      </c>
      <c r="E57" s="87"/>
      <c r="F57" s="87" t="s">
        <v>13</v>
      </c>
      <c r="G57" s="87"/>
      <c r="H57" s="87"/>
      <c r="I57" s="87"/>
      <c r="J57" s="87" t="s">
        <v>14</v>
      </c>
      <c r="K57" s="87" t="s">
        <v>15</v>
      </c>
      <c r="L57" s="87" t="s">
        <v>16</v>
      </c>
      <c r="M57" s="87"/>
      <c r="N57" s="73"/>
      <c r="O57" s="5"/>
      <c r="Q57" s="53">
        <f>J54+'JULY 20'!I54</f>
        <v>12710</v>
      </c>
    </row>
    <row r="58" spans="1:17" x14ac:dyDescent="0.25">
      <c r="A58" s="60" t="s">
        <v>243</v>
      </c>
      <c r="B58" s="88">
        <f>G40</f>
        <v>139200</v>
      </c>
      <c r="C58" s="60"/>
      <c r="D58" s="60"/>
      <c r="E58" s="60"/>
      <c r="F58" s="60" t="s">
        <v>243</v>
      </c>
      <c r="G58" s="60"/>
      <c r="H58" s="60"/>
      <c r="I58" s="60"/>
      <c r="J58" s="88">
        <f>K40</f>
        <v>153333</v>
      </c>
      <c r="K58" s="60"/>
      <c r="L58" s="60"/>
      <c r="M58" s="60"/>
      <c r="N58" s="74"/>
      <c r="O58" s="5"/>
    </row>
    <row r="59" spans="1:17" x14ac:dyDescent="0.25">
      <c r="A59" s="60" t="s">
        <v>18</v>
      </c>
      <c r="B59" s="88">
        <f>'JULY 20'!D72</f>
        <v>0</v>
      </c>
      <c r="C59" s="60"/>
      <c r="D59" s="60"/>
      <c r="E59" s="60"/>
      <c r="F59" s="60" t="s">
        <v>18</v>
      </c>
      <c r="G59" s="60"/>
      <c r="H59" s="60"/>
      <c r="I59" s="60"/>
      <c r="J59" s="88">
        <f>'JULY 20'!L72</f>
        <v>-31731</v>
      </c>
      <c r="K59" s="60"/>
      <c r="L59" s="60"/>
      <c r="M59" s="60"/>
      <c r="N59" s="74"/>
      <c r="O59" s="53"/>
    </row>
    <row r="60" spans="1:17" x14ac:dyDescent="0.25">
      <c r="A60" s="60" t="s">
        <v>19</v>
      </c>
      <c r="B60" s="88">
        <f>C40</f>
        <v>0</v>
      </c>
      <c r="C60" s="60"/>
      <c r="D60" s="60"/>
      <c r="E60" s="60"/>
      <c r="F60" s="60"/>
      <c r="G60" s="60"/>
      <c r="H60" s="60"/>
      <c r="I60" s="60"/>
      <c r="J60" s="88"/>
      <c r="K60" s="60"/>
      <c r="L60" s="60"/>
      <c r="M60" s="60"/>
      <c r="N60" s="74"/>
      <c r="O60" s="53"/>
      <c r="P60" s="53"/>
    </row>
    <row r="61" spans="1:17" x14ac:dyDescent="0.25">
      <c r="A61" s="60" t="s">
        <v>63</v>
      </c>
      <c r="B61" s="88">
        <f>H40</f>
        <v>12920</v>
      </c>
      <c r="C61" s="60"/>
      <c r="D61" s="60"/>
      <c r="E61" s="60"/>
      <c r="F61" s="60"/>
      <c r="G61" s="60"/>
      <c r="H61" s="60"/>
      <c r="I61" s="60"/>
      <c r="J61" s="88"/>
      <c r="K61" s="60"/>
      <c r="L61" s="60"/>
      <c r="M61" s="60"/>
      <c r="N61" s="74"/>
    </row>
    <row r="62" spans="1:17" x14ac:dyDescent="0.25">
      <c r="A62" s="60" t="s">
        <v>62</v>
      </c>
      <c r="B62" s="88">
        <f>M40</f>
        <v>0</v>
      </c>
      <c r="C62" s="60"/>
      <c r="D62" s="60"/>
      <c r="E62" s="60"/>
      <c r="F62" s="60"/>
      <c r="G62" s="60"/>
      <c r="H62" s="60"/>
      <c r="I62" s="60"/>
      <c r="J62" s="88"/>
      <c r="K62" s="60"/>
      <c r="L62" s="60"/>
      <c r="M62" s="60"/>
      <c r="N62" s="74"/>
      <c r="O62" s="5"/>
    </row>
    <row r="63" spans="1:17" x14ac:dyDescent="0.25">
      <c r="A63" s="60" t="s">
        <v>96</v>
      </c>
      <c r="B63" s="88">
        <f>I40</f>
        <v>5200</v>
      </c>
      <c r="C63" s="60"/>
      <c r="D63" s="60"/>
      <c r="E63" s="60"/>
      <c r="F63" s="60" t="s">
        <v>126</v>
      </c>
      <c r="G63" s="60"/>
      <c r="H63" s="60"/>
      <c r="I63" s="60"/>
      <c r="J63" s="88">
        <f>N40</f>
        <v>0</v>
      </c>
      <c r="K63" s="60"/>
      <c r="L63" s="60"/>
      <c r="M63" s="60"/>
      <c r="N63" s="74"/>
      <c r="O63" s="5"/>
    </row>
    <row r="64" spans="1:17" x14ac:dyDescent="0.25">
      <c r="A64" s="60" t="s">
        <v>167</v>
      </c>
      <c r="B64" s="88"/>
      <c r="C64" s="60"/>
      <c r="D64" s="60"/>
      <c r="E64" s="60"/>
      <c r="F64" s="60" t="s">
        <v>167</v>
      </c>
      <c r="G64" s="88"/>
      <c r="I64" s="60"/>
      <c r="J64" s="60"/>
      <c r="L64" s="60"/>
      <c r="M64" s="60"/>
      <c r="N64" s="74"/>
    </row>
    <row r="65" spans="1:16" x14ac:dyDescent="0.25">
      <c r="A65" s="60" t="s">
        <v>126</v>
      </c>
      <c r="B65" s="89">
        <f>N40</f>
        <v>0</v>
      </c>
      <c r="C65" s="88"/>
      <c r="D65" s="60"/>
      <c r="E65" s="60"/>
      <c r="F65" s="60"/>
      <c r="G65" s="60"/>
      <c r="H65" s="60"/>
      <c r="I65" s="60"/>
      <c r="J65" s="90"/>
      <c r="K65" s="88"/>
      <c r="L65" s="88"/>
      <c r="M65" s="88"/>
      <c r="N65" s="75"/>
      <c r="P65" s="5"/>
    </row>
    <row r="66" spans="1:16" x14ac:dyDescent="0.25">
      <c r="A66" s="87" t="s">
        <v>21</v>
      </c>
      <c r="B66" s="60" t="s">
        <v>22</v>
      </c>
      <c r="C66" s="60"/>
      <c r="D66" s="60"/>
      <c r="E66" s="60"/>
      <c r="F66" s="87" t="s">
        <v>21</v>
      </c>
      <c r="G66" s="87"/>
      <c r="H66" s="87"/>
      <c r="I66" s="87"/>
      <c r="J66" s="89"/>
      <c r="K66" s="60"/>
      <c r="L66" s="60"/>
      <c r="M66" s="60"/>
      <c r="N66" s="74"/>
      <c r="P66" s="90"/>
    </row>
    <row r="67" spans="1:16" x14ac:dyDescent="0.25">
      <c r="A67" s="91" t="s">
        <v>111</v>
      </c>
      <c r="B67" s="90">
        <v>0.05</v>
      </c>
      <c r="C67" s="89">
        <f>B67*E40</f>
        <v>8625</v>
      </c>
      <c r="D67" s="60"/>
      <c r="E67" s="60"/>
      <c r="F67" s="91" t="s">
        <v>111</v>
      </c>
      <c r="G67" s="91"/>
      <c r="H67" s="91"/>
      <c r="I67" s="91"/>
      <c r="J67" s="90">
        <v>0.05</v>
      </c>
      <c r="K67" s="89">
        <f>J67*E40</f>
        <v>8625</v>
      </c>
      <c r="L67" s="60"/>
      <c r="M67" s="60"/>
      <c r="N67" s="74"/>
    </row>
    <row r="68" spans="1:16" x14ac:dyDescent="0.25">
      <c r="A68" s="135" t="s">
        <v>247</v>
      </c>
      <c r="B68" s="93"/>
      <c r="C68">
        <v>148695</v>
      </c>
      <c r="D68" s="89"/>
      <c r="E68" s="89"/>
      <c r="F68" s="135" t="s">
        <v>247</v>
      </c>
      <c r="G68" s="93"/>
      <c r="H68" s="89"/>
      <c r="I68" s="60"/>
      <c r="J68" s="90"/>
      <c r="K68" s="89">
        <f>C68</f>
        <v>148695</v>
      </c>
      <c r="L68" s="89"/>
      <c r="M68" s="89"/>
      <c r="N68" s="76"/>
    </row>
    <row r="69" spans="1:16" x14ac:dyDescent="0.25">
      <c r="A69" s="135"/>
      <c r="B69" s="90"/>
      <c r="C69" s="89"/>
      <c r="D69" s="60"/>
      <c r="E69" s="60"/>
      <c r="F69" s="135"/>
      <c r="G69" s="90"/>
      <c r="H69" s="89"/>
      <c r="J69" s="90"/>
      <c r="K69" s="89"/>
      <c r="L69" s="60"/>
      <c r="M69" s="60"/>
      <c r="N69" s="74"/>
    </row>
    <row r="70" spans="1:16" x14ac:dyDescent="0.25">
      <c r="A70" s="60"/>
      <c r="B70" s="60"/>
      <c r="C70" s="94"/>
      <c r="D70" s="60"/>
      <c r="E70" s="60"/>
      <c r="F70" s="60"/>
      <c r="G70" s="60"/>
      <c r="H70" s="94"/>
      <c r="I70" s="94"/>
      <c r="J70" s="60"/>
      <c r="K70" s="94"/>
      <c r="L70" s="60"/>
      <c r="M70" s="60"/>
      <c r="N70" s="74"/>
    </row>
    <row r="71" spans="1:16" x14ac:dyDescent="0.25">
      <c r="A71" s="92"/>
      <c r="B71" s="60"/>
      <c r="C71" s="89"/>
      <c r="D71" s="60"/>
      <c r="E71" s="60"/>
      <c r="F71" s="92"/>
      <c r="G71" s="92"/>
      <c r="H71" s="60"/>
      <c r="I71" s="89"/>
      <c r="J71" s="91"/>
      <c r="K71" s="89"/>
      <c r="L71" s="89"/>
      <c r="M71" s="89"/>
      <c r="N71" s="76"/>
    </row>
    <row r="72" spans="1:16" x14ac:dyDescent="0.25">
      <c r="A72" s="87" t="s">
        <v>23</v>
      </c>
      <c r="B72" s="96">
        <f>B58+B59+B60+B61+B62+B63+B65+B64</f>
        <v>157320</v>
      </c>
      <c r="C72" s="96">
        <f>SUM(C67:C71)</f>
        <v>157320</v>
      </c>
      <c r="D72" s="96">
        <f>B72-C72</f>
        <v>0</v>
      </c>
      <c r="E72" s="96"/>
      <c r="F72" s="87" t="s">
        <v>23</v>
      </c>
      <c r="G72" s="87"/>
      <c r="H72" s="87"/>
      <c r="I72" s="87"/>
      <c r="J72" s="96">
        <f>J58+J59+J61+J63+J64</f>
        <v>121602</v>
      </c>
      <c r="K72" s="96">
        <f>SUM(K67:K71)</f>
        <v>157320</v>
      </c>
      <c r="L72" s="96">
        <f>J72-K72</f>
        <v>-35718</v>
      </c>
      <c r="M72" s="96"/>
      <c r="N72" s="77"/>
    </row>
    <row r="73" spans="1:16" x14ac:dyDescent="0.25">
      <c r="A73" s="79"/>
      <c r="B73" s="79"/>
      <c r="C73" s="79"/>
      <c r="D73" s="79"/>
      <c r="E73" s="79"/>
      <c r="F73" s="79"/>
      <c r="G73" s="79"/>
      <c r="H73" s="79"/>
      <c r="I73" s="79"/>
      <c r="J73" s="79"/>
      <c r="K73" s="119">
        <f>K72-K67</f>
        <v>148695</v>
      </c>
      <c r="L73" s="79"/>
      <c r="M73" s="79"/>
      <c r="N73" s="71"/>
    </row>
    <row r="74" spans="1:16" x14ac:dyDescent="0.25">
      <c r="A74" s="97" t="s">
        <v>24</v>
      </c>
      <c r="B74" s="98"/>
      <c r="C74" s="98" t="s">
        <v>25</v>
      </c>
      <c r="D74" s="99"/>
      <c r="E74" s="99"/>
      <c r="F74" s="97"/>
      <c r="G74" s="97"/>
      <c r="H74" s="97"/>
      <c r="I74" s="97"/>
      <c r="J74" s="97" t="s">
        <v>26</v>
      </c>
      <c r="K74" s="79"/>
      <c r="L74" s="79"/>
      <c r="M74" s="79"/>
      <c r="N74" s="71"/>
    </row>
    <row r="75" spans="1:16" x14ac:dyDescent="0.25">
      <c r="A75" s="79" t="s">
        <v>104</v>
      </c>
      <c r="B75" s="79"/>
      <c r="C75" s="79" t="s">
        <v>105</v>
      </c>
      <c r="D75" s="79"/>
      <c r="E75" s="79"/>
      <c r="F75" s="79"/>
      <c r="G75" s="79"/>
      <c r="H75" s="79"/>
      <c r="I75" s="79"/>
      <c r="J75" s="79" t="s">
        <v>27</v>
      </c>
      <c r="K75" s="79"/>
      <c r="L75" s="79"/>
      <c r="M75" s="119"/>
      <c r="N75" s="71"/>
    </row>
    <row r="76" spans="1:16" x14ac:dyDescent="0.25">
      <c r="F76" s="53"/>
      <c r="G76" s="53"/>
    </row>
    <row r="79" spans="1:16" x14ac:dyDescent="0.25">
      <c r="E79" s="5">
        <f>D72-F82</f>
        <v>-60000</v>
      </c>
      <c r="F79">
        <v>33000</v>
      </c>
    </row>
    <row r="80" spans="1:16" x14ac:dyDescent="0.25">
      <c r="F80">
        <v>12000</v>
      </c>
    </row>
    <row r="81" spans="6:6" x14ac:dyDescent="0.25">
      <c r="F81">
        <v>15000</v>
      </c>
    </row>
    <row r="82" spans="6:6" x14ac:dyDescent="0.25">
      <c r="F82">
        <f>SUM(F79:F81)</f>
        <v>60000</v>
      </c>
    </row>
  </sheetData>
  <pageMargins left="0" right="0" top="0" bottom="0" header="0.3" footer="0.3"/>
  <pageSetup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DECEMBER 19</vt:lpstr>
      <vt:lpstr>JANUARY 20</vt:lpstr>
      <vt:lpstr>FEBRUARY 20</vt:lpstr>
      <vt:lpstr>MARCH 20</vt:lpstr>
      <vt:lpstr>APRIL 20</vt:lpstr>
      <vt:lpstr>MAY 20</vt:lpstr>
      <vt:lpstr>JUNE 20</vt:lpstr>
      <vt:lpstr>JULY 20</vt:lpstr>
      <vt:lpstr>AUGUST 20</vt:lpstr>
      <vt:lpstr>SEPTEMBER 20</vt:lpstr>
      <vt:lpstr>OCTOBER 20</vt:lpstr>
      <vt:lpstr>NOVEMBER20</vt:lpstr>
      <vt:lpstr>DECEMBER 20</vt:lpstr>
      <vt:lpstr>JANUARY 21</vt:lpstr>
      <vt:lpstr>FEBRUARY21</vt:lpstr>
      <vt:lpstr>MARCH 21</vt:lpstr>
      <vt:lpstr>APRIL 21</vt:lpstr>
      <vt:lpstr>MAY 21</vt:lpstr>
      <vt:lpstr>JUNE 21</vt:lpstr>
      <vt:lpstr>JULY 21</vt:lpstr>
      <vt:lpstr>AUGUST 21</vt:lpstr>
      <vt:lpstr>SEPT 21</vt:lpstr>
      <vt:lpstr>OCT21</vt:lpstr>
      <vt:lpstr>NOVEMBER 21</vt:lpstr>
      <vt:lpstr>DECEMBER 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ASSETFLOW PC3</cp:lastModifiedBy>
  <cp:lastPrinted>2021-03-10T12:04:50Z</cp:lastPrinted>
  <dcterms:created xsi:type="dcterms:W3CDTF">2019-11-28T10:53:23Z</dcterms:created>
  <dcterms:modified xsi:type="dcterms:W3CDTF">2021-12-08T09:28:31Z</dcterms:modified>
</cp:coreProperties>
</file>