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225" windowWidth="14805" windowHeight="7890" firstSheet="44" activeTab="47"/>
  </bookViews>
  <sheets>
    <sheet name="JULY" sheetId="1" r:id="rId1"/>
    <sheet name="AUGUST" sheetId="2" r:id="rId2"/>
    <sheet name="SEPTEMBER" sheetId="3" r:id="rId3"/>
    <sheet name="OCT" sheetId="4" r:id="rId4"/>
    <sheet name="NOVEMBER" sheetId="5" r:id="rId5"/>
    <sheet name="DECEMBER" sheetId="6" r:id="rId6"/>
    <sheet name="JANUARY" sheetId="7" r:id="rId7"/>
    <sheet name="FEBRUARY" sheetId="8" r:id="rId8"/>
    <sheet name="MARCH" sheetId="9" r:id="rId9"/>
    <sheet name="APRIL" sheetId="10" r:id="rId10"/>
    <sheet name="MAY" sheetId="11" r:id="rId11"/>
    <sheet name="JUNE" sheetId="12" r:id="rId12"/>
    <sheet name="JULY " sheetId="13" r:id="rId13"/>
    <sheet name="AUGUST19" sheetId="14" r:id="rId14"/>
    <sheet name="SEPTEMBER 19" sheetId="15" r:id="rId15"/>
    <sheet name="OCTOBER 19" sheetId="16" r:id="rId16"/>
    <sheet name="NOVEMBER 19" sheetId="17" r:id="rId17"/>
    <sheet name="DECEMBER 19" sheetId="18" r:id="rId18"/>
    <sheet name="JANUARY 20" sheetId="19" r:id="rId19"/>
    <sheet name="FEBRUARY 20" sheetId="20" r:id="rId20"/>
    <sheet name="MARCH 20" sheetId="21" r:id="rId21"/>
    <sheet name="APRIL 20" sheetId="22" r:id="rId22"/>
    <sheet name="MAY 20" sheetId="23" r:id="rId23"/>
    <sheet name="JUNE 20" sheetId="24" r:id="rId24"/>
    <sheet name="JULY 20" sheetId="25" r:id="rId25"/>
    <sheet name="Sheet4" sheetId="34" r:id="rId26"/>
    <sheet name="Sheet5" sheetId="35" r:id="rId27"/>
    <sheet name="Sheet6" sheetId="36" r:id="rId28"/>
    <sheet name="Sheet7" sheetId="37" r:id="rId29"/>
    <sheet name="Sheet8" sheetId="38" r:id="rId30"/>
    <sheet name="Sheet9" sheetId="39" r:id="rId31"/>
    <sheet name="AUGUST 20" sheetId="26" r:id="rId32"/>
    <sheet name="SEPTEMBER20" sheetId="27" r:id="rId33"/>
    <sheet name="OCTOBER 20" sheetId="28" r:id="rId34"/>
    <sheet name="NOVEMBER20" sheetId="29" r:id="rId35"/>
    <sheet name="DECEMBER 20" sheetId="30" r:id="rId36"/>
    <sheet name="JANUARY 21" sheetId="31" r:id="rId37"/>
    <sheet name="FEBRUARY21" sheetId="32" r:id="rId38"/>
    <sheet name="MARCH 21" sheetId="33" r:id="rId39"/>
    <sheet name="APRIL 21" sheetId="40" r:id="rId40"/>
    <sheet name="MAY 21" sheetId="41" r:id="rId41"/>
    <sheet name="JUNE 21" sheetId="42" r:id="rId42"/>
    <sheet name="JULY 21" sheetId="43" r:id="rId43"/>
    <sheet name="AUGUST 21" sheetId="44" r:id="rId44"/>
    <sheet name="SEPTEMBER 21" sheetId="45" r:id="rId45"/>
    <sheet name="OCTOBER 21" sheetId="46" r:id="rId46"/>
    <sheet name="NOVEMBER  21" sheetId="47" r:id="rId47"/>
    <sheet name="DECEMBER 21" sheetId="48" r:id="rId48"/>
  </sheets>
  <calcPr calcId="162913"/>
</workbook>
</file>

<file path=xl/calcChain.xml><?xml version="1.0" encoding="utf-8"?>
<calcChain xmlns="http://schemas.openxmlformats.org/spreadsheetml/2006/main">
  <c r="I6" i="48" l="1"/>
  <c r="H49" i="48" l="1"/>
  <c r="D49" i="48"/>
  <c r="F31" i="48"/>
  <c r="L30" i="48"/>
  <c r="G39" i="48" s="1"/>
  <c r="K30" i="48"/>
  <c r="C38" i="48" s="1"/>
  <c r="G38" i="48" s="1"/>
  <c r="G30" i="48"/>
  <c r="E30" i="48"/>
  <c r="G37" i="48" s="1"/>
  <c r="D30" i="48"/>
  <c r="C30" i="48"/>
  <c r="I30" i="48"/>
  <c r="G35" i="48" s="1"/>
  <c r="C35" i="48" l="1"/>
  <c r="H40" i="48"/>
  <c r="D40" i="48"/>
  <c r="C37" i="48"/>
  <c r="C39" i="48"/>
  <c r="I28" i="47"/>
  <c r="I6" i="47" l="1"/>
  <c r="H22" i="47" l="1"/>
  <c r="I24" i="47" l="1"/>
  <c r="L36" i="45" l="1"/>
  <c r="M35" i="46" l="1"/>
  <c r="H49" i="47" l="1"/>
  <c r="D49" i="47"/>
  <c r="J22" i="47" l="1"/>
  <c r="F22" i="48" s="1"/>
  <c r="H22" i="48" s="1"/>
  <c r="J22" i="48" s="1"/>
  <c r="F31" i="47" l="1"/>
  <c r="L30" i="47"/>
  <c r="K30" i="47"/>
  <c r="C38" i="47" s="1"/>
  <c r="G38" i="47" s="1"/>
  <c r="G30" i="47"/>
  <c r="E30" i="47"/>
  <c r="D30" i="47"/>
  <c r="C30" i="47"/>
  <c r="I30" i="47"/>
  <c r="G35" i="47" s="1"/>
  <c r="C35" i="47" l="1"/>
  <c r="H40" i="47" s="1"/>
  <c r="C37" i="47"/>
  <c r="G37" i="47"/>
  <c r="D40" i="47"/>
  <c r="G39" i="47"/>
  <c r="C39" i="47"/>
  <c r="I28" i="46"/>
  <c r="I7" i="46" l="1"/>
  <c r="H49" i="46" l="1"/>
  <c r="D49" i="46"/>
  <c r="F31" i="46"/>
  <c r="L30" i="46"/>
  <c r="G39" i="46" s="1"/>
  <c r="K30" i="46"/>
  <c r="C38" i="46" s="1"/>
  <c r="G38" i="46" s="1"/>
  <c r="G30" i="46"/>
  <c r="E30" i="46"/>
  <c r="G37" i="46" s="1"/>
  <c r="D30" i="46"/>
  <c r="C30" i="46"/>
  <c r="H22" i="46"/>
  <c r="I30" i="46"/>
  <c r="G35" i="46" s="1"/>
  <c r="C35" i="46" l="1"/>
  <c r="D40" i="46" s="1"/>
  <c r="C37" i="46"/>
  <c r="C39" i="46"/>
  <c r="I28" i="45"/>
  <c r="H40" i="46" l="1"/>
  <c r="I15" i="45"/>
  <c r="F31" i="45" l="1"/>
  <c r="H49" i="45" l="1"/>
  <c r="D49" i="45"/>
  <c r="L30" i="45"/>
  <c r="G39" i="45" s="1"/>
  <c r="K30" i="45"/>
  <c r="C38" i="45" s="1"/>
  <c r="G38" i="45" s="1"/>
  <c r="I30" i="45"/>
  <c r="G35" i="45" s="1"/>
  <c r="G30" i="45"/>
  <c r="E30" i="45"/>
  <c r="G37" i="45" s="1"/>
  <c r="D30" i="45"/>
  <c r="C30" i="45"/>
  <c r="C35" i="45" l="1"/>
  <c r="H40" i="45" s="1"/>
  <c r="C39" i="45"/>
  <c r="C37" i="45"/>
  <c r="I28" i="44"/>
  <c r="D40" i="45" l="1"/>
  <c r="I23" i="44"/>
  <c r="I15" i="44" l="1"/>
  <c r="I7" i="44" l="1"/>
  <c r="E13" i="44" l="1"/>
  <c r="I13" i="44"/>
  <c r="I18" i="44" l="1"/>
  <c r="I16" i="44" l="1"/>
  <c r="I14" i="44" l="1"/>
  <c r="H49" i="44" l="1"/>
  <c r="D49" i="44"/>
  <c r="L30" i="44"/>
  <c r="C39" i="44" s="1"/>
  <c r="K30" i="44"/>
  <c r="C38" i="44" s="1"/>
  <c r="G38" i="44" s="1"/>
  <c r="G30" i="44"/>
  <c r="E30" i="44"/>
  <c r="C37" i="44" s="1"/>
  <c r="D30" i="44"/>
  <c r="C30" i="44"/>
  <c r="I30" i="44"/>
  <c r="G35" i="44" s="1"/>
  <c r="C35" i="44" l="1"/>
  <c r="D40" i="44" s="1"/>
  <c r="G37" i="44"/>
  <c r="G39" i="44"/>
  <c r="N46" i="43"/>
  <c r="H40" i="44" l="1"/>
  <c r="I5" i="43"/>
  <c r="I7" i="43"/>
  <c r="I15" i="43" l="1"/>
  <c r="I6" i="43" l="1"/>
  <c r="I9" i="43" l="1"/>
  <c r="I18" i="43" l="1"/>
  <c r="I25" i="43" l="1"/>
  <c r="I14" i="43" l="1"/>
  <c r="I20" i="43" l="1"/>
  <c r="D22" i="42" l="1"/>
  <c r="I23" i="41" l="1"/>
  <c r="H49" i="43"/>
  <c r="D49" i="43"/>
  <c r="L30" i="43"/>
  <c r="G39" i="43" s="1"/>
  <c r="K30" i="43"/>
  <c r="C38" i="43" s="1"/>
  <c r="G38" i="43" s="1"/>
  <c r="G30" i="43"/>
  <c r="E30" i="43"/>
  <c r="G37" i="43" s="1"/>
  <c r="D30" i="43"/>
  <c r="C30" i="43"/>
  <c r="H24" i="43"/>
  <c r="J24" i="43" s="1"/>
  <c r="F24" i="44" s="1"/>
  <c r="H24" i="44" s="1"/>
  <c r="J24" i="44" s="1"/>
  <c r="F24" i="45" s="1"/>
  <c r="H24" i="45" s="1"/>
  <c r="J24" i="45" s="1"/>
  <c r="F24" i="46" s="1"/>
  <c r="H24" i="46" s="1"/>
  <c r="J24" i="46" s="1"/>
  <c r="F24" i="47" s="1"/>
  <c r="H24" i="47" s="1"/>
  <c r="J24" i="47" s="1"/>
  <c r="F24" i="48" s="1"/>
  <c r="H24" i="48" s="1"/>
  <c r="J24" i="48" s="1"/>
  <c r="I30" i="43"/>
  <c r="G35" i="43" s="1"/>
  <c r="C35" i="43" l="1"/>
  <c r="H40" i="43" s="1"/>
  <c r="D40" i="43"/>
  <c r="C37" i="43"/>
  <c r="C39" i="43"/>
  <c r="I15" i="42"/>
  <c r="N18" i="42"/>
  <c r="I28" i="42" l="1"/>
  <c r="I18" i="42" l="1"/>
  <c r="I14" i="42" l="1"/>
  <c r="H49" i="42" l="1"/>
  <c r="D49" i="42"/>
  <c r="F32" i="42"/>
  <c r="L30" i="42"/>
  <c r="G39" i="42" s="1"/>
  <c r="K30" i="42"/>
  <c r="C38" i="42" s="1"/>
  <c r="G38" i="42" s="1"/>
  <c r="I30" i="42"/>
  <c r="G35" i="42" s="1"/>
  <c r="G30" i="42"/>
  <c r="E30" i="42"/>
  <c r="C37" i="42" s="1"/>
  <c r="D30" i="42"/>
  <c r="C30" i="42"/>
  <c r="C35" i="42" l="1"/>
  <c r="H40" i="42" s="1"/>
  <c r="G37" i="42"/>
  <c r="C39" i="42"/>
  <c r="I23" i="33"/>
  <c r="D40" i="42" l="1"/>
  <c r="L22" i="41"/>
  <c r="D22" i="41"/>
  <c r="N27" i="33" l="1"/>
  <c r="I12" i="41" l="1"/>
  <c r="I13" i="41" l="1"/>
  <c r="I16" i="41" l="1"/>
  <c r="I29" i="41" l="1"/>
  <c r="I11" i="41" l="1"/>
  <c r="I20" i="41" l="1"/>
  <c r="I18" i="41" l="1"/>
  <c r="I14" i="41" l="1"/>
  <c r="D18" i="40" l="1"/>
  <c r="D13" i="40"/>
  <c r="H49" i="41" l="1"/>
  <c r="D49" i="41"/>
  <c r="F32" i="41"/>
  <c r="L30" i="41"/>
  <c r="C39" i="41" s="1"/>
  <c r="K30" i="41"/>
  <c r="C38" i="41" s="1"/>
  <c r="G38" i="41" s="1"/>
  <c r="G30" i="41"/>
  <c r="E30" i="41"/>
  <c r="C37" i="41" s="1"/>
  <c r="D30" i="41"/>
  <c r="C30" i="41"/>
  <c r="H9" i="41"/>
  <c r="J9" i="41" s="1"/>
  <c r="F9" i="42" s="1"/>
  <c r="H9" i="42" s="1"/>
  <c r="J9" i="42" s="1"/>
  <c r="F9" i="43" s="1"/>
  <c r="H9" i="43" s="1"/>
  <c r="J9" i="43" s="1"/>
  <c r="F9" i="44" s="1"/>
  <c r="H9" i="44" s="1"/>
  <c r="J9" i="44" s="1"/>
  <c r="F9" i="45" s="1"/>
  <c r="H9" i="45" s="1"/>
  <c r="J9" i="45" s="1"/>
  <c r="F9" i="46" s="1"/>
  <c r="H9" i="46" s="1"/>
  <c r="J9" i="46" s="1"/>
  <c r="F9" i="47" s="1"/>
  <c r="H9" i="47" s="1"/>
  <c r="J9" i="47" s="1"/>
  <c r="F9" i="48" s="1"/>
  <c r="H9" i="48" s="1"/>
  <c r="J9" i="48" s="1"/>
  <c r="I30" i="41"/>
  <c r="G35" i="41" s="1"/>
  <c r="H23" i="43" l="1"/>
  <c r="J23" i="43" s="1"/>
  <c r="F23" i="44" s="1"/>
  <c r="H23" i="44" s="1"/>
  <c r="J23" i="44" s="1"/>
  <c r="F23" i="45" s="1"/>
  <c r="H23" i="45" s="1"/>
  <c r="J23" i="45" s="1"/>
  <c r="F23" i="46" s="1"/>
  <c r="H23" i="46" s="1"/>
  <c r="J23" i="46" s="1"/>
  <c r="H23" i="47" s="1"/>
  <c r="J23" i="47" s="1"/>
  <c r="F23" i="48" s="1"/>
  <c r="H23" i="48" s="1"/>
  <c r="J23" i="48" s="1"/>
  <c r="C35" i="41"/>
  <c r="H40" i="41" s="1"/>
  <c r="G37" i="41"/>
  <c r="D40" i="41"/>
  <c r="G39" i="41"/>
  <c r="O18" i="33" l="1"/>
  <c r="Q17" i="33"/>
  <c r="Q18" i="33" s="1"/>
  <c r="O19" i="33" l="1"/>
  <c r="I15" i="40"/>
  <c r="I23" i="40" l="1"/>
  <c r="I19" i="40" l="1"/>
  <c r="I18" i="40"/>
  <c r="I26" i="40" l="1"/>
  <c r="I16" i="40" l="1"/>
  <c r="I10" i="40" l="1"/>
  <c r="I7" i="40" l="1"/>
  <c r="I8" i="40" l="1"/>
  <c r="H17" i="33" l="1"/>
  <c r="H49" i="40" l="1"/>
  <c r="D49" i="40"/>
  <c r="F32" i="40"/>
  <c r="L30" i="40"/>
  <c r="G39" i="40" s="1"/>
  <c r="K30" i="40"/>
  <c r="C38" i="40" s="1"/>
  <c r="G38" i="40" s="1"/>
  <c r="G30" i="40"/>
  <c r="E30" i="40"/>
  <c r="G37" i="40" s="1"/>
  <c r="D30" i="40"/>
  <c r="C30" i="40"/>
  <c r="H28" i="40"/>
  <c r="J28" i="40" s="1"/>
  <c r="F28" i="41" s="1"/>
  <c r="H28" i="41" s="1"/>
  <c r="J28" i="41" s="1"/>
  <c r="F28" i="42" s="1"/>
  <c r="H28" i="42" s="1"/>
  <c r="J28" i="42" s="1"/>
  <c r="F28" i="43" s="1"/>
  <c r="H28" i="43" s="1"/>
  <c r="J28" i="43" s="1"/>
  <c r="F28" i="44" s="1"/>
  <c r="H28" i="44" s="1"/>
  <c r="J28" i="44" s="1"/>
  <c r="F28" i="45" s="1"/>
  <c r="H28" i="45" s="1"/>
  <c r="J28" i="45" s="1"/>
  <c r="F28" i="46" s="1"/>
  <c r="H28" i="46" s="1"/>
  <c r="J28" i="46" s="1"/>
  <c r="F28" i="47" s="1"/>
  <c r="H28" i="47" s="1"/>
  <c r="J28" i="47" s="1"/>
  <c r="F28" i="48" s="1"/>
  <c r="H28" i="48" s="1"/>
  <c r="J28" i="48" s="1"/>
  <c r="H27" i="40"/>
  <c r="J27" i="40" s="1"/>
  <c r="F27" i="41" s="1"/>
  <c r="H27" i="41" s="1"/>
  <c r="J27" i="41" s="1"/>
  <c r="F27" i="42" s="1"/>
  <c r="H27" i="42" s="1"/>
  <c r="J27" i="42" s="1"/>
  <c r="F27" i="43" s="1"/>
  <c r="H27" i="43" s="1"/>
  <c r="J27" i="43" s="1"/>
  <c r="F27" i="44" s="1"/>
  <c r="H27" i="44" s="1"/>
  <c r="J27" i="44" s="1"/>
  <c r="F27" i="45" s="1"/>
  <c r="H27" i="45" s="1"/>
  <c r="J27" i="45" s="1"/>
  <c r="F27" i="46" s="1"/>
  <c r="H27" i="46" s="1"/>
  <c r="J27" i="46" s="1"/>
  <c r="F27" i="47" s="1"/>
  <c r="H27" i="47" s="1"/>
  <c r="J27" i="47" s="1"/>
  <c r="F27" i="48" s="1"/>
  <c r="H27" i="48" s="1"/>
  <c r="J27" i="48" s="1"/>
  <c r="H24" i="40"/>
  <c r="J24" i="40" s="1"/>
  <c r="F24" i="41" s="1"/>
  <c r="H24" i="41" s="1"/>
  <c r="J24" i="41" s="1"/>
  <c r="F24" i="42" s="1"/>
  <c r="H24" i="42" s="1"/>
  <c r="J24" i="42" s="1"/>
  <c r="I30" i="40"/>
  <c r="G35" i="40" s="1"/>
  <c r="C35" i="40" l="1"/>
  <c r="H40" i="40" s="1"/>
  <c r="C37" i="40"/>
  <c r="C39" i="40"/>
  <c r="D40" i="40" l="1"/>
  <c r="I9" i="33"/>
  <c r="H14" i="33" l="1"/>
  <c r="I19" i="33" l="1"/>
  <c r="I11" i="33" l="1"/>
  <c r="I8" i="33" l="1"/>
  <c r="I20" i="33" l="1"/>
  <c r="I10" i="33" l="1"/>
  <c r="I6" i="33" l="1"/>
  <c r="I16" i="33" l="1"/>
  <c r="I28" i="33" l="1"/>
  <c r="I26" i="33" l="1"/>
  <c r="I25" i="33" l="1"/>
  <c r="H49" i="33" l="1"/>
  <c r="D49" i="33"/>
  <c r="F32" i="33"/>
  <c r="L30" i="33"/>
  <c r="G39" i="33" s="1"/>
  <c r="K30" i="33"/>
  <c r="C38" i="33" s="1"/>
  <c r="G38" i="33" s="1"/>
  <c r="G30" i="33"/>
  <c r="D30" i="33"/>
  <c r="C30" i="33"/>
  <c r="E30" i="33"/>
  <c r="J17" i="33"/>
  <c r="F17" i="40" s="1"/>
  <c r="H17" i="40" s="1"/>
  <c r="J14" i="33"/>
  <c r="F14" i="40" s="1"/>
  <c r="H14" i="40" s="1"/>
  <c r="J14" i="40" s="1"/>
  <c r="F14" i="41" s="1"/>
  <c r="H14" i="41" s="1"/>
  <c r="J14" i="41" s="1"/>
  <c r="F14" i="42" s="1"/>
  <c r="H14" i="42" s="1"/>
  <c r="J14" i="42" s="1"/>
  <c r="F14" i="43" s="1"/>
  <c r="H14" i="43" s="1"/>
  <c r="J14" i="43" s="1"/>
  <c r="F14" i="44" s="1"/>
  <c r="H14" i="44" s="1"/>
  <c r="J14" i="44" s="1"/>
  <c r="F14" i="45" s="1"/>
  <c r="H14" i="45" s="1"/>
  <c r="J14" i="45" s="1"/>
  <c r="F14" i="46" s="1"/>
  <c r="H14" i="46" s="1"/>
  <c r="J14" i="46" s="1"/>
  <c r="F14" i="47" s="1"/>
  <c r="H14" i="47" s="1"/>
  <c r="J14" i="47" s="1"/>
  <c r="F14" i="48" s="1"/>
  <c r="H14" i="48" s="1"/>
  <c r="J14" i="48" s="1"/>
  <c r="I30" i="33"/>
  <c r="G35" i="33" s="1"/>
  <c r="C35" i="33" l="1"/>
  <c r="H40" i="33" s="1"/>
  <c r="G37" i="33"/>
  <c r="C37" i="33"/>
  <c r="C39" i="33"/>
  <c r="I9" i="32"/>
  <c r="D40" i="33" l="1"/>
  <c r="J17" i="40"/>
  <c r="I22" i="32"/>
  <c r="F17" i="41" l="1"/>
  <c r="H17" i="41" s="1"/>
  <c r="J17" i="41" s="1"/>
  <c r="F17" i="42" s="1"/>
  <c r="H17" i="42" s="1"/>
  <c r="J17" i="42" s="1"/>
  <c r="I19" i="32"/>
  <c r="F17" i="43" l="1"/>
  <c r="H17" i="43" s="1"/>
  <c r="J17" i="43" s="1"/>
  <c r="E15" i="31"/>
  <c r="F17" i="44" l="1"/>
  <c r="H17" i="44" s="1"/>
  <c r="J17" i="44" s="1"/>
  <c r="F17" i="45" s="1"/>
  <c r="H17" i="45" s="1"/>
  <c r="J17" i="45" s="1"/>
  <c r="F17" i="46" s="1"/>
  <c r="H17" i="46" s="1"/>
  <c r="J17" i="46" s="1"/>
  <c r="F17" i="47" s="1"/>
  <c r="H17" i="47" s="1"/>
  <c r="J17" i="47" s="1"/>
  <c r="F17" i="48" s="1"/>
  <c r="H17" i="48" s="1"/>
  <c r="J17" i="48" s="1"/>
  <c r="I11" i="32"/>
  <c r="I25" i="32" l="1"/>
  <c r="I8" i="32" l="1"/>
  <c r="I29" i="32" l="1"/>
  <c r="E18" i="32" l="1"/>
  <c r="I20" i="32" l="1"/>
  <c r="I28" i="32" l="1"/>
  <c r="I6" i="32" l="1"/>
  <c r="I16" i="32" l="1"/>
  <c r="I10" i="32" l="1"/>
  <c r="I23" i="31" l="1"/>
  <c r="H49" i="32" l="1"/>
  <c r="D49" i="32"/>
  <c r="F32" i="32"/>
  <c r="L30" i="32"/>
  <c r="G39" i="32" s="1"/>
  <c r="K30" i="32"/>
  <c r="C38" i="32" s="1"/>
  <c r="G38" i="32" s="1"/>
  <c r="G30" i="32"/>
  <c r="E30" i="32"/>
  <c r="G37" i="32" s="1"/>
  <c r="D30" i="32"/>
  <c r="C30" i="32"/>
  <c r="I30" i="32"/>
  <c r="G35" i="32" s="1"/>
  <c r="C35" i="32" l="1"/>
  <c r="H40" i="32" s="1"/>
  <c r="C37" i="32"/>
  <c r="C39" i="32"/>
  <c r="I5" i="31"/>
  <c r="D40" i="32" l="1"/>
  <c r="I24" i="31"/>
  <c r="I29" i="31" l="1"/>
  <c r="I26" i="31" l="1"/>
  <c r="H49" i="31" l="1"/>
  <c r="D49" i="31"/>
  <c r="F32" i="31"/>
  <c r="L30" i="31"/>
  <c r="G39" i="31" s="1"/>
  <c r="K30" i="31"/>
  <c r="C38" i="31" s="1"/>
  <c r="G38" i="31" s="1"/>
  <c r="I30" i="31"/>
  <c r="G35" i="31" s="1"/>
  <c r="G30" i="31"/>
  <c r="E30" i="31"/>
  <c r="G37" i="31" s="1"/>
  <c r="D30" i="31"/>
  <c r="C30" i="31"/>
  <c r="C35" i="31" l="1"/>
  <c r="H40" i="31" s="1"/>
  <c r="C37" i="31"/>
  <c r="C39" i="31"/>
  <c r="L29" i="30"/>
  <c r="I24" i="30"/>
  <c r="N9" i="30"/>
  <c r="D40" i="31" l="1"/>
  <c r="I9" i="30"/>
  <c r="D49" i="30"/>
  <c r="K9" i="30" l="1"/>
  <c r="I10" i="30" l="1"/>
  <c r="I16" i="30" l="1"/>
  <c r="I7" i="29" l="1"/>
  <c r="H49" i="30"/>
  <c r="F32" i="30"/>
  <c r="L30" i="30"/>
  <c r="C39" i="30" s="1"/>
  <c r="K30" i="30"/>
  <c r="C38" i="30" s="1"/>
  <c r="G38" i="30" s="1"/>
  <c r="G30" i="30"/>
  <c r="E30" i="30"/>
  <c r="C37" i="30" s="1"/>
  <c r="D30" i="30"/>
  <c r="C30" i="30"/>
  <c r="I30" i="30"/>
  <c r="G35" i="30" s="1"/>
  <c r="C35" i="30" l="1"/>
  <c r="H40" i="30" s="1"/>
  <c r="G39" i="30"/>
  <c r="D40" i="30"/>
  <c r="G37" i="30"/>
  <c r="Q32" i="29"/>
  <c r="Q26" i="29"/>
  <c r="Q27" i="29" s="1"/>
  <c r="N27" i="29" l="1"/>
  <c r="N15" i="29"/>
  <c r="I20" i="29" l="1"/>
  <c r="I16" i="29" l="1"/>
  <c r="I28" i="29" l="1"/>
  <c r="I25" i="29" l="1"/>
  <c r="I8" i="29" l="1"/>
  <c r="F26" i="29" l="1"/>
  <c r="I18" i="28" l="1"/>
  <c r="H44" i="28" l="1"/>
  <c r="H49" i="28" s="1"/>
  <c r="I5" i="28" l="1"/>
  <c r="D44" i="28" l="1"/>
  <c r="P20" i="25"/>
  <c r="P22" i="25" s="1"/>
  <c r="H49" i="29" l="1"/>
  <c r="D49" i="29"/>
  <c r="F32" i="29"/>
  <c r="L30" i="29"/>
  <c r="C39" i="29" s="1"/>
  <c r="K30" i="29"/>
  <c r="C38" i="29" s="1"/>
  <c r="G38" i="29" s="1"/>
  <c r="G30" i="29"/>
  <c r="E30" i="29"/>
  <c r="C37" i="29" s="1"/>
  <c r="C30" i="29"/>
  <c r="H26" i="29"/>
  <c r="J26" i="29" s="1"/>
  <c r="F26" i="30" s="1"/>
  <c r="H26" i="30" s="1"/>
  <c r="J26" i="30" s="1"/>
  <c r="F26" i="31" s="1"/>
  <c r="H26" i="31" s="1"/>
  <c r="J26" i="31" s="1"/>
  <c r="F26" i="32" s="1"/>
  <c r="H26" i="32" s="1"/>
  <c r="J26" i="32" s="1"/>
  <c r="F26" i="33" s="1"/>
  <c r="H26" i="33" s="1"/>
  <c r="J26" i="33" s="1"/>
  <c r="F26" i="40" s="1"/>
  <c r="H26" i="40" s="1"/>
  <c r="J26" i="40" s="1"/>
  <c r="F26" i="41" s="1"/>
  <c r="H26" i="41" s="1"/>
  <c r="J26" i="41" s="1"/>
  <c r="F26" i="42" s="1"/>
  <c r="H26" i="42" s="1"/>
  <c r="J26" i="42" s="1"/>
  <c r="F26" i="43" s="1"/>
  <c r="H26" i="43" s="1"/>
  <c r="J26" i="43" s="1"/>
  <c r="F26" i="44" s="1"/>
  <c r="H26" i="44" s="1"/>
  <c r="J26" i="44" s="1"/>
  <c r="F26" i="45" s="1"/>
  <c r="H26" i="45" s="1"/>
  <c r="J26" i="45" s="1"/>
  <c r="F26" i="46" s="1"/>
  <c r="H26" i="46" s="1"/>
  <c r="J26" i="46" s="1"/>
  <c r="F26" i="47" s="1"/>
  <c r="H26" i="47" s="1"/>
  <c r="J26" i="47" s="1"/>
  <c r="F26" i="48" s="1"/>
  <c r="H26" i="48" s="1"/>
  <c r="J26" i="48" s="1"/>
  <c r="D30" i="29"/>
  <c r="I30" i="29"/>
  <c r="G35" i="29" s="1"/>
  <c r="C35" i="29" l="1"/>
  <c r="D40" i="29" s="1"/>
  <c r="G37" i="29"/>
  <c r="G39" i="29"/>
  <c r="I7" i="28"/>
  <c r="H40" i="29" l="1"/>
  <c r="I19" i="28"/>
  <c r="I28" i="28" l="1"/>
  <c r="I11" i="28" l="1"/>
  <c r="I22" i="28" l="1"/>
  <c r="I13" i="28" l="1"/>
  <c r="I27" i="28" l="1"/>
  <c r="I21" i="28" l="1"/>
  <c r="D16" i="28" l="1"/>
  <c r="I16" i="28"/>
  <c r="I20" i="28" l="1"/>
  <c r="I25" i="28" l="1"/>
  <c r="I30" i="28" l="1"/>
  <c r="G35" i="28" s="1"/>
  <c r="L30" i="28"/>
  <c r="D49" i="28" l="1"/>
  <c r="F32" i="28"/>
  <c r="C39" i="28"/>
  <c r="K30" i="28"/>
  <c r="C38" i="28" s="1"/>
  <c r="G38" i="28" s="1"/>
  <c r="G30" i="28"/>
  <c r="E30" i="28"/>
  <c r="C37" i="28" s="1"/>
  <c r="D30" i="28"/>
  <c r="C30" i="28"/>
  <c r="C35" i="28" l="1"/>
  <c r="H40" i="28" s="1"/>
  <c r="G37" i="28"/>
  <c r="G39" i="28"/>
  <c r="I19" i="27"/>
  <c r="D40" i="28" l="1"/>
  <c r="I12" i="27" l="1"/>
  <c r="K30" i="26" l="1"/>
  <c r="C38" i="26" s="1"/>
  <c r="I7" i="27" l="1"/>
  <c r="I8" i="27" l="1"/>
  <c r="I20" i="27" l="1"/>
  <c r="I6" i="27" l="1"/>
  <c r="I27" i="27" l="1"/>
  <c r="I25" i="27" l="1"/>
  <c r="K30" i="27" l="1"/>
  <c r="L30" i="27"/>
  <c r="I18" i="27" l="1"/>
  <c r="I19" i="26" l="1"/>
  <c r="H49" i="27" l="1"/>
  <c r="D49" i="27"/>
  <c r="G39" i="27"/>
  <c r="C39" i="27"/>
  <c r="C38" i="27"/>
  <c r="G38" i="27" s="1"/>
  <c r="G30" i="27"/>
  <c r="E30" i="27"/>
  <c r="C37" i="27" s="1"/>
  <c r="C30" i="27"/>
  <c r="D30" i="27"/>
  <c r="I30" i="27"/>
  <c r="G35" i="27" s="1"/>
  <c r="C35" i="27" l="1"/>
  <c r="D40" i="27" s="1"/>
  <c r="G37" i="27"/>
  <c r="I5" i="26"/>
  <c r="H40" i="27" l="1"/>
  <c r="L5" i="26"/>
  <c r="L30" i="26" s="1"/>
  <c r="P27" i="26" l="1"/>
  <c r="P28" i="26" s="1"/>
  <c r="P22" i="26"/>
  <c r="P23" i="26" s="1"/>
  <c r="I18" i="26" l="1"/>
  <c r="I17" i="26" l="1"/>
  <c r="D9" i="26" l="1"/>
  <c r="I9" i="26"/>
  <c r="I52" i="26" l="1"/>
  <c r="H49" i="26"/>
  <c r="D49" i="26"/>
  <c r="G38" i="26"/>
  <c r="C39" i="26"/>
  <c r="I30" i="26"/>
  <c r="G35" i="26" s="1"/>
  <c r="G30" i="26"/>
  <c r="E30" i="26"/>
  <c r="C37" i="26" s="1"/>
  <c r="D30" i="26"/>
  <c r="C30" i="26"/>
  <c r="C35" i="26" l="1"/>
  <c r="H40" i="26" s="1"/>
  <c r="G37" i="26"/>
  <c r="G39" i="26"/>
  <c r="L19" i="25"/>
  <c r="D40" i="26" l="1"/>
  <c r="I19" i="25"/>
  <c r="P9" i="25" l="1"/>
  <c r="Q8" i="25"/>
  <c r="P8" i="25"/>
  <c r="P11" i="25"/>
  <c r="P10" i="25"/>
  <c r="P13" i="25" l="1"/>
  <c r="I15" i="25"/>
  <c r="I52" i="25" l="1"/>
  <c r="I27" i="25" l="1"/>
  <c r="K35" i="25" s="1"/>
  <c r="K36" i="25" s="1"/>
  <c r="Q35" i="24" l="1"/>
  <c r="H49" i="25" l="1"/>
  <c r="D49" i="25"/>
  <c r="K37" i="25"/>
  <c r="L30" i="25"/>
  <c r="G39" i="25" s="1"/>
  <c r="K30" i="25"/>
  <c r="C38" i="25" s="1"/>
  <c r="G38" i="25" s="1"/>
  <c r="I30" i="25"/>
  <c r="G35" i="25" s="1"/>
  <c r="G30" i="25"/>
  <c r="E30" i="25"/>
  <c r="C37" i="25" s="1"/>
  <c r="D30" i="25"/>
  <c r="C30" i="25"/>
  <c r="C35" i="25" l="1"/>
  <c r="H40" i="25" s="1"/>
  <c r="G37" i="25"/>
  <c r="C39" i="25"/>
  <c r="I19" i="24"/>
  <c r="D40" i="25" l="1"/>
  <c r="D18" i="24"/>
  <c r="O18" i="24" l="1"/>
  <c r="E16" i="24" l="1"/>
  <c r="L16" i="24"/>
  <c r="I16" i="24"/>
  <c r="I16" i="23"/>
  <c r="E26" i="24" l="1"/>
  <c r="K37" i="24" l="1"/>
  <c r="L12" i="24" l="1"/>
  <c r="D12" i="24"/>
  <c r="F29" i="24" l="1"/>
  <c r="H49" i="24" l="1"/>
  <c r="D49" i="24"/>
  <c r="L30" i="24"/>
  <c r="G39" i="24" s="1"/>
  <c r="K30" i="24"/>
  <c r="C38" i="24" s="1"/>
  <c r="G38" i="24" s="1"/>
  <c r="G30" i="24"/>
  <c r="E30" i="24"/>
  <c r="G37" i="24" s="1"/>
  <c r="D30" i="24"/>
  <c r="C30" i="24"/>
  <c r="H29" i="24"/>
  <c r="J29" i="24" s="1"/>
  <c r="F29" i="25" s="1"/>
  <c r="H29" i="25" s="1"/>
  <c r="J29" i="25" s="1"/>
  <c r="F29" i="26" s="1"/>
  <c r="H29" i="26" s="1"/>
  <c r="J29" i="26" s="1"/>
  <c r="F29" i="27" s="1"/>
  <c r="H29" i="27" s="1"/>
  <c r="J29" i="27" s="1"/>
  <c r="F29" i="28" s="1"/>
  <c r="H29" i="28" s="1"/>
  <c r="J29" i="28" s="1"/>
  <c r="F29" i="29" s="1"/>
  <c r="H29" i="29" s="1"/>
  <c r="J29" i="29" s="1"/>
  <c r="F29" i="30" s="1"/>
  <c r="H29" i="30" s="1"/>
  <c r="J29" i="30" s="1"/>
  <c r="F29" i="31" s="1"/>
  <c r="H29" i="31" s="1"/>
  <c r="J29" i="31" s="1"/>
  <c r="F29" i="32" s="1"/>
  <c r="H29" i="32" s="1"/>
  <c r="J29" i="32" s="1"/>
  <c r="F29" i="33" s="1"/>
  <c r="H29" i="33" s="1"/>
  <c r="J29" i="33" s="1"/>
  <c r="F29" i="40" s="1"/>
  <c r="H29" i="40" s="1"/>
  <c r="J29" i="40" s="1"/>
  <c r="F29" i="41" s="1"/>
  <c r="H29" i="41" s="1"/>
  <c r="J29" i="41" s="1"/>
  <c r="F29" i="42" s="1"/>
  <c r="H29" i="42" s="1"/>
  <c r="J29" i="42" s="1"/>
  <c r="F29" i="43" s="1"/>
  <c r="H29" i="43" s="1"/>
  <c r="J29" i="43" s="1"/>
  <c r="F29" i="44" s="1"/>
  <c r="H29" i="44" s="1"/>
  <c r="J29" i="44" s="1"/>
  <c r="F29" i="45" s="1"/>
  <c r="H29" i="45" s="1"/>
  <c r="J29" i="45" s="1"/>
  <c r="F29" i="46" s="1"/>
  <c r="H29" i="46" s="1"/>
  <c r="J29" i="46" s="1"/>
  <c r="H29" i="47" s="1"/>
  <c r="J29" i="47" s="1"/>
  <c r="F29" i="48" s="1"/>
  <c r="H29" i="48" s="1"/>
  <c r="J29" i="48" s="1"/>
  <c r="I30" i="24"/>
  <c r="G35" i="24" s="1"/>
  <c r="C35" i="24" l="1"/>
  <c r="H40" i="24" s="1"/>
  <c r="C37" i="24"/>
  <c r="C39" i="24"/>
  <c r="I19" i="23"/>
  <c r="D40" i="24" l="1"/>
  <c r="I23" i="23"/>
  <c r="H27" i="23" l="1"/>
  <c r="J27" i="23" s="1"/>
  <c r="F27" i="24" s="1"/>
  <c r="H27" i="24" s="1"/>
  <c r="J27" i="24" s="1"/>
  <c r="F27" i="25" s="1"/>
  <c r="H27" i="25" s="1"/>
  <c r="J27" i="25" s="1"/>
  <c r="F27" i="26" s="1"/>
  <c r="H27" i="26" s="1"/>
  <c r="J27" i="26" s="1"/>
  <c r="F27" i="27" s="1"/>
  <c r="H28" i="23"/>
  <c r="J28" i="23" s="1"/>
  <c r="F28" i="24" s="1"/>
  <c r="H28" i="24" s="1"/>
  <c r="J28" i="24" s="1"/>
  <c r="F28" i="25" s="1"/>
  <c r="H28" i="25" s="1"/>
  <c r="J28" i="25" s="1"/>
  <c r="F28" i="26" s="1"/>
  <c r="H28" i="26" s="1"/>
  <c r="J28" i="26" s="1"/>
  <c r="F28" i="27" s="1"/>
  <c r="H28" i="27" s="1"/>
  <c r="J28" i="27" s="1"/>
  <c r="F28" i="28" s="1"/>
  <c r="H28" i="28" s="1"/>
  <c r="J28" i="28" s="1"/>
  <c r="F28" i="29" s="1"/>
  <c r="H28" i="29" s="1"/>
  <c r="J28" i="29" s="1"/>
  <c r="F28" i="30" s="1"/>
  <c r="H28" i="30" s="1"/>
  <c r="J28" i="30" s="1"/>
  <c r="F28" i="31" s="1"/>
  <c r="H28" i="31" s="1"/>
  <c r="J28" i="31" s="1"/>
  <c r="F28" i="32" s="1"/>
  <c r="H28" i="32" s="1"/>
  <c r="J28" i="32" s="1"/>
  <c r="F28" i="33" s="1"/>
  <c r="H28" i="33" s="1"/>
  <c r="J28" i="33" s="1"/>
  <c r="F29" i="23"/>
  <c r="H29" i="23" s="1"/>
  <c r="J29" i="23" s="1"/>
  <c r="H49" i="23"/>
  <c r="D49" i="23"/>
  <c r="L30" i="23"/>
  <c r="G39" i="23" s="1"/>
  <c r="K30" i="23"/>
  <c r="C38" i="23" s="1"/>
  <c r="G38" i="23" s="1"/>
  <c r="G30" i="23"/>
  <c r="E30" i="23"/>
  <c r="C37" i="23" s="1"/>
  <c r="D30" i="23"/>
  <c r="C30" i="23"/>
  <c r="I30" i="23"/>
  <c r="G35" i="23" l="1"/>
  <c r="C35" i="23"/>
  <c r="G37" i="23"/>
  <c r="C39" i="23"/>
  <c r="H40" i="23" l="1"/>
  <c r="D40" i="23"/>
  <c r="I19" i="22"/>
  <c r="I17" i="21" l="1"/>
  <c r="I9" i="22" l="1"/>
  <c r="H26" i="22" l="1"/>
  <c r="J26" i="22" s="1"/>
  <c r="F26" i="23" s="1"/>
  <c r="H26" i="23" s="1"/>
  <c r="J26" i="23" s="1"/>
  <c r="F26" i="24" s="1"/>
  <c r="H26" i="24" s="1"/>
  <c r="J26" i="24" s="1"/>
  <c r="F26" i="25" s="1"/>
  <c r="H26" i="25" s="1"/>
  <c r="J26" i="25" s="1"/>
  <c r="F26" i="26" s="1"/>
  <c r="H26" i="26" s="1"/>
  <c r="J26" i="26" s="1"/>
  <c r="F26" i="27" s="1"/>
  <c r="H26" i="27" s="1"/>
  <c r="J26" i="27" s="1"/>
  <c r="F26" i="28" s="1"/>
  <c r="H26" i="28" s="1"/>
  <c r="H25" i="22"/>
  <c r="J25" i="22" s="1"/>
  <c r="F25" i="23" s="1"/>
  <c r="H25" i="23" s="1"/>
  <c r="J25" i="23" s="1"/>
  <c r="F25" i="24" s="1"/>
  <c r="H25" i="24" s="1"/>
  <c r="J25" i="24" s="1"/>
  <c r="F25" i="25" s="1"/>
  <c r="H25" i="25" s="1"/>
  <c r="J25" i="25" s="1"/>
  <c r="F25" i="26" s="1"/>
  <c r="H25" i="26" s="1"/>
  <c r="J25" i="26" s="1"/>
  <c r="F25" i="27" s="1"/>
  <c r="H25" i="27" s="1"/>
  <c r="J25" i="27" s="1"/>
  <c r="F25" i="28" s="1"/>
  <c r="H25" i="28" s="1"/>
  <c r="J25" i="28" s="1"/>
  <c r="F25" i="29" s="1"/>
  <c r="H25" i="29" s="1"/>
  <c r="J25" i="29" s="1"/>
  <c r="F25" i="30" s="1"/>
  <c r="H25" i="30" s="1"/>
  <c r="J25" i="30" s="1"/>
  <c r="F25" i="31" s="1"/>
  <c r="H25" i="31" s="1"/>
  <c r="J25" i="31" s="1"/>
  <c r="F25" i="32" s="1"/>
  <c r="H25" i="32" s="1"/>
  <c r="J25" i="32" s="1"/>
  <c r="F25" i="33" s="1"/>
  <c r="H25" i="33" s="1"/>
  <c r="J25" i="33" s="1"/>
  <c r="F25" i="40" s="1"/>
  <c r="H25" i="40" s="1"/>
  <c r="J25" i="40" s="1"/>
  <c r="F25" i="41" s="1"/>
  <c r="H25" i="41" s="1"/>
  <c r="J25" i="41" s="1"/>
  <c r="F25" i="42" s="1"/>
  <c r="H25" i="42" s="1"/>
  <c r="J25" i="42" s="1"/>
  <c r="F25" i="43" s="1"/>
  <c r="H25" i="43" s="1"/>
  <c r="J25" i="43" s="1"/>
  <c r="F25" i="44" s="1"/>
  <c r="H25" i="44" s="1"/>
  <c r="J25" i="44" s="1"/>
  <c r="F25" i="45" s="1"/>
  <c r="H25" i="45" s="1"/>
  <c r="J25" i="45" s="1"/>
  <c r="F25" i="46" s="1"/>
  <c r="H25" i="46" s="1"/>
  <c r="J25" i="46" s="1"/>
  <c r="F25" i="47" s="1"/>
  <c r="H25" i="47" s="1"/>
  <c r="J25" i="47" s="1"/>
  <c r="F25" i="48" s="1"/>
  <c r="H25" i="48" s="1"/>
  <c r="J25" i="48" s="1"/>
  <c r="H24" i="22"/>
  <c r="J24" i="22" s="1"/>
  <c r="F24" i="23" s="1"/>
  <c r="H24" i="23" s="1"/>
  <c r="J24" i="23" s="1"/>
  <c r="F24" i="24" s="1"/>
  <c r="H24" i="24" s="1"/>
  <c r="J24" i="24" s="1"/>
  <c r="F24" i="25" s="1"/>
  <c r="H24" i="25" s="1"/>
  <c r="J24" i="25" s="1"/>
  <c r="F24" i="26" s="1"/>
  <c r="H24" i="26" s="1"/>
  <c r="J24" i="26" s="1"/>
  <c r="F24" i="27" s="1"/>
  <c r="H46" i="22" l="1"/>
  <c r="D46" i="22"/>
  <c r="L27" i="22"/>
  <c r="K27" i="22"/>
  <c r="C35" i="22" s="1"/>
  <c r="G35" i="22" s="1"/>
  <c r="G27" i="22"/>
  <c r="E27" i="22"/>
  <c r="D27" i="22"/>
  <c r="C27" i="22"/>
  <c r="I27" i="22"/>
  <c r="G32" i="22" s="1"/>
  <c r="G34" i="22" l="1"/>
  <c r="C34" i="22"/>
  <c r="G36" i="22"/>
  <c r="K35" i="22" s="1"/>
  <c r="C36" i="22"/>
  <c r="C32" i="22"/>
  <c r="D37" i="22" s="1"/>
  <c r="H37" i="22" s="1"/>
  <c r="I18" i="21" l="1"/>
  <c r="D44" i="20" l="1"/>
  <c r="I21" i="21" l="1"/>
  <c r="I5" i="20" l="1"/>
  <c r="H44" i="21" l="1"/>
  <c r="D44" i="21"/>
  <c r="L25" i="21"/>
  <c r="C34" i="21" s="1"/>
  <c r="G34" i="21" s="1"/>
  <c r="K25" i="21"/>
  <c r="C33" i="21" s="1"/>
  <c r="G33" i="21" s="1"/>
  <c r="I25" i="21"/>
  <c r="G30" i="21" s="1"/>
  <c r="G25" i="21"/>
  <c r="E25" i="21"/>
  <c r="D25" i="21"/>
  <c r="C25" i="21"/>
  <c r="H21" i="21"/>
  <c r="J21" i="21" s="1"/>
  <c r="F21" i="22" s="1"/>
  <c r="H21" i="22" l="1"/>
  <c r="J21" i="22" s="1"/>
  <c r="F21" i="23" s="1"/>
  <c r="H21" i="23" s="1"/>
  <c r="J21" i="23" s="1"/>
  <c r="F21" i="24" s="1"/>
  <c r="H21" i="24" s="1"/>
  <c r="J21" i="24" s="1"/>
  <c r="F21" i="25" s="1"/>
  <c r="H21" i="25" s="1"/>
  <c r="J21" i="25" s="1"/>
  <c r="F21" i="26" s="1"/>
  <c r="H21" i="26" s="1"/>
  <c r="J21" i="26" s="1"/>
  <c r="F21" i="27" s="1"/>
  <c r="C30" i="21"/>
  <c r="D35" i="21" s="1"/>
  <c r="H35" i="21" s="1"/>
  <c r="C32" i="21"/>
  <c r="G32" i="21" s="1"/>
  <c r="E25" i="20"/>
  <c r="H44" i="20" l="1"/>
  <c r="L25" i="20"/>
  <c r="C34" i="20" s="1"/>
  <c r="G34" i="20" s="1"/>
  <c r="K25" i="20"/>
  <c r="C33" i="20" s="1"/>
  <c r="G33" i="20" s="1"/>
  <c r="G25" i="20"/>
  <c r="D25" i="20"/>
  <c r="C25" i="20"/>
  <c r="I25" i="20"/>
  <c r="G30" i="20" s="1"/>
  <c r="C30" i="20" l="1"/>
  <c r="D35" i="20" s="1"/>
  <c r="H35" i="20" s="1"/>
  <c r="J27" i="20"/>
  <c r="C32" i="20"/>
  <c r="G32" i="20" s="1"/>
  <c r="I19" i="19" l="1"/>
  <c r="H44" i="19" l="1"/>
  <c r="D44" i="19"/>
  <c r="L25" i="19"/>
  <c r="K25" i="19"/>
  <c r="C33" i="19" s="1"/>
  <c r="G33" i="19" s="1"/>
  <c r="G25" i="19"/>
  <c r="E25" i="19"/>
  <c r="D25" i="19"/>
  <c r="C25" i="19"/>
  <c r="I25" i="19"/>
  <c r="C30" i="19" l="1"/>
  <c r="D35" i="19" s="1"/>
  <c r="H35" i="19" s="1"/>
  <c r="C34" i="19"/>
  <c r="G34" i="19" s="1"/>
  <c r="G30" i="19"/>
  <c r="J27" i="19"/>
  <c r="C32" i="19"/>
  <c r="G32" i="19" s="1"/>
  <c r="I9" i="17"/>
  <c r="I15" i="18" l="1"/>
  <c r="I19" i="18" l="1"/>
  <c r="G25" i="18" l="1"/>
  <c r="I25" i="18"/>
  <c r="E17" i="16" l="1"/>
  <c r="H44" i="18" l="1"/>
  <c r="D44" i="18"/>
  <c r="L25" i="18"/>
  <c r="K25" i="18"/>
  <c r="C33" i="18" s="1"/>
  <c r="G33" i="18" s="1"/>
  <c r="E25" i="18"/>
  <c r="D25" i="18"/>
  <c r="C25" i="18"/>
  <c r="C30" i="18" s="1"/>
  <c r="G30" i="18"/>
  <c r="J27" i="18" l="1"/>
  <c r="C34" i="18"/>
  <c r="D35" i="18"/>
  <c r="H35" i="18" s="1"/>
  <c r="C32" i="18"/>
  <c r="G34" i="18" l="1"/>
  <c r="G32" i="18"/>
  <c r="H44" i="17" l="1"/>
  <c r="I19" i="17" l="1"/>
  <c r="I18" i="16"/>
  <c r="I15" i="17" l="1"/>
  <c r="I18" i="17" l="1"/>
  <c r="L15" i="16" l="1"/>
  <c r="E21" i="16"/>
  <c r="I23" i="16" l="1"/>
  <c r="I25" i="17" l="1"/>
  <c r="I25" i="14" l="1"/>
  <c r="I25" i="15"/>
  <c r="G30" i="17" l="1"/>
  <c r="G25" i="16"/>
  <c r="G25" i="17"/>
  <c r="D44" i="17"/>
  <c r="L25" i="17"/>
  <c r="K25" i="17"/>
  <c r="C33" i="17" s="1"/>
  <c r="G33" i="17" s="1"/>
  <c r="E25" i="17"/>
  <c r="C32" i="17" s="1"/>
  <c r="D25" i="17"/>
  <c r="C25" i="17"/>
  <c r="C34" i="17" l="1"/>
  <c r="G34" i="17" s="1"/>
  <c r="J27" i="17"/>
  <c r="C30" i="17"/>
  <c r="G32" i="17"/>
  <c r="K33" i="17" l="1"/>
  <c r="D35" i="17"/>
  <c r="H35" i="17" s="1"/>
  <c r="M38" i="17" l="1"/>
  <c r="M39" i="17" s="1"/>
  <c r="I21" i="16"/>
  <c r="I25" i="16" s="1"/>
  <c r="G30" i="16" s="1"/>
  <c r="D25" i="15" l="1"/>
  <c r="H44" i="16" l="1"/>
  <c r="D44" i="16"/>
  <c r="L25" i="16"/>
  <c r="C34" i="16" s="1"/>
  <c r="G34" i="16" s="1"/>
  <c r="K25" i="16"/>
  <c r="C33" i="16" s="1"/>
  <c r="G33" i="16" s="1"/>
  <c r="E25" i="16"/>
  <c r="C32" i="16" s="1"/>
  <c r="D25" i="16"/>
  <c r="C25" i="16"/>
  <c r="C30" i="16" s="1"/>
  <c r="G32" i="16" l="1"/>
  <c r="K33" i="16"/>
  <c r="D35" i="16"/>
  <c r="H35" i="16" s="1"/>
  <c r="J27" i="16"/>
  <c r="E25" i="15" l="1"/>
  <c r="D44" i="14" l="1"/>
  <c r="H44" i="15" l="1"/>
  <c r="D44" i="15"/>
  <c r="L25" i="15"/>
  <c r="K25" i="15"/>
  <c r="C33" i="15" s="1"/>
  <c r="G33" i="15" s="1"/>
  <c r="G30" i="15"/>
  <c r="G25" i="15"/>
  <c r="C32" i="15"/>
  <c r="C25" i="15"/>
  <c r="C30" i="15" s="1"/>
  <c r="H9" i="15"/>
  <c r="J9" i="15" s="1"/>
  <c r="F9" i="16" s="1"/>
  <c r="H9" i="16" s="1"/>
  <c r="J9" i="16" s="1"/>
  <c r="F9" i="17" s="1"/>
  <c r="H9" i="17" s="1"/>
  <c r="J9" i="17" s="1"/>
  <c r="F9" i="18" s="1"/>
  <c r="H9" i="18" s="1"/>
  <c r="J9" i="18" s="1"/>
  <c r="C34" i="15" l="1"/>
  <c r="G34" i="15" s="1"/>
  <c r="J27" i="15"/>
  <c r="F9" i="20"/>
  <c r="H9" i="20" s="1"/>
  <c r="J9" i="20" s="1"/>
  <c r="F9" i="21" s="1"/>
  <c r="H9" i="21" s="1"/>
  <c r="J9" i="21" s="1"/>
  <c r="F9" i="22" s="1"/>
  <c r="H9" i="22" s="1"/>
  <c r="J9" i="22" s="1"/>
  <c r="F9" i="23" s="1"/>
  <c r="H9" i="23" s="1"/>
  <c r="J9" i="23" s="1"/>
  <c r="F9" i="24" s="1"/>
  <c r="H9" i="24" s="1"/>
  <c r="J9" i="24" s="1"/>
  <c r="F9" i="25" s="1"/>
  <c r="H9" i="25" s="1"/>
  <c r="J9" i="25" s="1"/>
  <c r="F9" i="26" s="1"/>
  <c r="H9" i="26" s="1"/>
  <c r="J9" i="26" s="1"/>
  <c r="F9" i="27" s="1"/>
  <c r="F9" i="19"/>
  <c r="H9" i="19" s="1"/>
  <c r="J9" i="19" s="1"/>
  <c r="D35" i="15"/>
  <c r="G32" i="15"/>
  <c r="K33" i="15"/>
  <c r="H35" i="15" l="1"/>
  <c r="H44" i="14"/>
  <c r="L25" i="14"/>
  <c r="G34" i="14" s="1"/>
  <c r="K25" i="14"/>
  <c r="C33" i="14" s="1"/>
  <c r="G33" i="14" s="1"/>
  <c r="G30" i="14"/>
  <c r="G25" i="14"/>
  <c r="E25" i="14"/>
  <c r="D25" i="14"/>
  <c r="C25" i="14"/>
  <c r="C30" i="14" l="1"/>
  <c r="D35" i="14" s="1"/>
  <c r="H35" i="14" s="1"/>
  <c r="C32" i="14"/>
  <c r="G32" i="14" s="1"/>
  <c r="J27" i="14"/>
  <c r="G25" i="13"/>
  <c r="H44" i="9" l="1"/>
  <c r="D44" i="9"/>
  <c r="H44" i="13" l="1"/>
  <c r="D44" i="13"/>
  <c r="L25" i="13"/>
  <c r="C34" i="13" s="1"/>
  <c r="G34" i="13" s="1"/>
  <c r="K25" i="13"/>
  <c r="C33" i="13" s="1"/>
  <c r="G33" i="13" s="1"/>
  <c r="I25" i="13"/>
  <c r="G30" i="13" s="1"/>
  <c r="F25" i="13"/>
  <c r="E25" i="13"/>
  <c r="C32" i="13" s="1"/>
  <c r="G32" i="13" s="1"/>
  <c r="D25" i="13"/>
  <c r="C25" i="13"/>
  <c r="H24" i="13"/>
  <c r="J24" i="13" s="1"/>
  <c r="H23" i="13"/>
  <c r="J23" i="13" s="1"/>
  <c r="H22" i="13"/>
  <c r="J22" i="13" s="1"/>
  <c r="H21" i="13"/>
  <c r="J21" i="13" s="1"/>
  <c r="H20" i="13"/>
  <c r="J20" i="13" s="1"/>
  <c r="H19" i="13"/>
  <c r="J19" i="13" s="1"/>
  <c r="H18" i="13"/>
  <c r="J18" i="13" s="1"/>
  <c r="H17" i="13"/>
  <c r="J17" i="13" s="1"/>
  <c r="H16" i="13"/>
  <c r="J16" i="13" s="1"/>
  <c r="H15" i="13"/>
  <c r="J15" i="13" s="1"/>
  <c r="H14" i="13"/>
  <c r="J14" i="13" s="1"/>
  <c r="H13" i="13"/>
  <c r="J13" i="13" s="1"/>
  <c r="H12" i="13"/>
  <c r="J12" i="13" s="1"/>
  <c r="H11" i="13"/>
  <c r="J11" i="13" s="1"/>
  <c r="H10" i="13"/>
  <c r="J10" i="13" s="1"/>
  <c r="H9" i="13"/>
  <c r="J9" i="13" s="1"/>
  <c r="H8" i="13"/>
  <c r="J8" i="13" s="1"/>
  <c r="H7" i="13"/>
  <c r="J7" i="13" s="1"/>
  <c r="H6" i="13"/>
  <c r="J6" i="13" s="1"/>
  <c r="H5" i="13"/>
  <c r="H25" i="13" l="1"/>
  <c r="F7" i="15"/>
  <c r="H7" i="15" s="1"/>
  <c r="J7" i="15" s="1"/>
  <c r="F7" i="16" s="1"/>
  <c r="H7" i="16" s="1"/>
  <c r="J7" i="16" s="1"/>
  <c r="F7" i="17" s="1"/>
  <c r="H7" i="17" s="1"/>
  <c r="J7" i="17" s="1"/>
  <c r="F7" i="18" s="1"/>
  <c r="H7" i="18" s="1"/>
  <c r="J7" i="18" s="1"/>
  <c r="F7" i="14"/>
  <c r="H7" i="14" s="1"/>
  <c r="J7" i="14" s="1"/>
  <c r="F11" i="15"/>
  <c r="H11" i="15" s="1"/>
  <c r="J11" i="15" s="1"/>
  <c r="F11" i="16" s="1"/>
  <c r="H11" i="16" s="1"/>
  <c r="J11" i="16" s="1"/>
  <c r="F11" i="17" s="1"/>
  <c r="H11" i="17" s="1"/>
  <c r="J11" i="17" s="1"/>
  <c r="F11" i="18" s="1"/>
  <c r="H11" i="18" s="1"/>
  <c r="J11" i="18" s="1"/>
  <c r="F11" i="14"/>
  <c r="H11" i="14" s="1"/>
  <c r="J11" i="14" s="1"/>
  <c r="F13" i="15"/>
  <c r="H13" i="15" s="1"/>
  <c r="J13" i="15" s="1"/>
  <c r="F13" i="16" s="1"/>
  <c r="H13" i="16" s="1"/>
  <c r="J13" i="16" s="1"/>
  <c r="F13" i="17" s="1"/>
  <c r="H13" i="17" s="1"/>
  <c r="J13" i="17" s="1"/>
  <c r="F13" i="18" s="1"/>
  <c r="H13" i="18" s="1"/>
  <c r="J13" i="18" s="1"/>
  <c r="F13" i="14"/>
  <c r="H13" i="14" s="1"/>
  <c r="J13" i="14" s="1"/>
  <c r="F15" i="15"/>
  <c r="H15" i="15" s="1"/>
  <c r="J15" i="15" s="1"/>
  <c r="F15" i="16" s="1"/>
  <c r="H15" i="16" s="1"/>
  <c r="J15" i="16" s="1"/>
  <c r="F15" i="17" s="1"/>
  <c r="H15" i="17" s="1"/>
  <c r="J15" i="17" s="1"/>
  <c r="F15" i="18" s="1"/>
  <c r="H15" i="18" s="1"/>
  <c r="J15" i="18" s="1"/>
  <c r="F15" i="14"/>
  <c r="H15" i="14" s="1"/>
  <c r="J15" i="14" s="1"/>
  <c r="F17" i="15"/>
  <c r="H17" i="15" s="1"/>
  <c r="J17" i="15" s="1"/>
  <c r="F17" i="16" s="1"/>
  <c r="H17" i="16" s="1"/>
  <c r="J17" i="16" s="1"/>
  <c r="F17" i="17" s="1"/>
  <c r="H17" i="17" s="1"/>
  <c r="J17" i="17" s="1"/>
  <c r="F17" i="18" s="1"/>
  <c r="H17" i="18" s="1"/>
  <c r="J17" i="18" s="1"/>
  <c r="F17" i="14"/>
  <c r="H17" i="14" s="1"/>
  <c r="J17" i="14" s="1"/>
  <c r="F19" i="15"/>
  <c r="H19" i="15" s="1"/>
  <c r="J19" i="15" s="1"/>
  <c r="F19" i="16" s="1"/>
  <c r="H19" i="16" s="1"/>
  <c r="J19" i="16" s="1"/>
  <c r="F19" i="17" s="1"/>
  <c r="H19" i="17" s="1"/>
  <c r="J19" i="17" s="1"/>
  <c r="F19" i="18" s="1"/>
  <c r="H19" i="18" s="1"/>
  <c r="J19" i="18" s="1"/>
  <c r="F19" i="14"/>
  <c r="H19" i="14" s="1"/>
  <c r="J19" i="14" s="1"/>
  <c r="F21" i="15"/>
  <c r="H21" i="15" s="1"/>
  <c r="J21" i="15" s="1"/>
  <c r="F21" i="16" s="1"/>
  <c r="H21" i="16" s="1"/>
  <c r="J21" i="16" s="1"/>
  <c r="F21" i="17" s="1"/>
  <c r="H21" i="17" s="1"/>
  <c r="J21" i="17" s="1"/>
  <c r="F21" i="18" s="1"/>
  <c r="H21" i="18" s="1"/>
  <c r="J21" i="18" s="1"/>
  <c r="F21" i="14"/>
  <c r="H21" i="14" s="1"/>
  <c r="J21" i="14" s="1"/>
  <c r="F23" i="15"/>
  <c r="H23" i="15" s="1"/>
  <c r="J23" i="15" s="1"/>
  <c r="F23" i="16" s="1"/>
  <c r="H23" i="16" s="1"/>
  <c r="J23" i="16" s="1"/>
  <c r="F23" i="17" s="1"/>
  <c r="H23" i="17" s="1"/>
  <c r="F23" i="14"/>
  <c r="H23" i="14" s="1"/>
  <c r="J23" i="14" s="1"/>
  <c r="F6" i="15"/>
  <c r="H6" i="15" s="1"/>
  <c r="J6" i="15" s="1"/>
  <c r="F6" i="16" s="1"/>
  <c r="H6" i="16" s="1"/>
  <c r="J6" i="16" s="1"/>
  <c r="F6" i="17" s="1"/>
  <c r="H6" i="17" s="1"/>
  <c r="J6" i="17" s="1"/>
  <c r="F6" i="18" s="1"/>
  <c r="H6" i="18" s="1"/>
  <c r="J6" i="18" s="1"/>
  <c r="F6" i="14"/>
  <c r="H6" i="14" s="1"/>
  <c r="J6" i="14" s="1"/>
  <c r="F8" i="15"/>
  <c r="H8" i="15" s="1"/>
  <c r="J8" i="15" s="1"/>
  <c r="F8" i="16" s="1"/>
  <c r="H8" i="16" s="1"/>
  <c r="J8" i="16" s="1"/>
  <c r="F8" i="17" s="1"/>
  <c r="H8" i="17" s="1"/>
  <c r="J8" i="17" s="1"/>
  <c r="F8" i="18" s="1"/>
  <c r="H8" i="18" s="1"/>
  <c r="J8" i="18" s="1"/>
  <c r="F8" i="14"/>
  <c r="H8" i="14" s="1"/>
  <c r="J8" i="14" s="1"/>
  <c r="F10" i="15"/>
  <c r="H10" i="15" s="1"/>
  <c r="J10" i="15" s="1"/>
  <c r="F10" i="16" s="1"/>
  <c r="H10" i="16" s="1"/>
  <c r="J10" i="16" s="1"/>
  <c r="F10" i="17" s="1"/>
  <c r="H10" i="17" s="1"/>
  <c r="J10" i="17" s="1"/>
  <c r="F10" i="18" s="1"/>
  <c r="H10" i="18" s="1"/>
  <c r="J10" i="18" s="1"/>
  <c r="F10" i="14"/>
  <c r="H10" i="14" s="1"/>
  <c r="J10" i="14" s="1"/>
  <c r="F12" i="15"/>
  <c r="H12" i="15" s="1"/>
  <c r="J12" i="15" s="1"/>
  <c r="F12" i="16" s="1"/>
  <c r="H12" i="16" s="1"/>
  <c r="J12" i="16" s="1"/>
  <c r="F12" i="17" s="1"/>
  <c r="H12" i="17" s="1"/>
  <c r="J12" i="17" s="1"/>
  <c r="F12" i="18" s="1"/>
  <c r="H12" i="18" s="1"/>
  <c r="J12" i="18" s="1"/>
  <c r="F12" i="14"/>
  <c r="H12" i="14" s="1"/>
  <c r="J12" i="14" s="1"/>
  <c r="F14" i="15"/>
  <c r="H14" i="15" s="1"/>
  <c r="J14" i="15" s="1"/>
  <c r="F14" i="16" s="1"/>
  <c r="H14" i="16" s="1"/>
  <c r="J14" i="16" s="1"/>
  <c r="F14" i="17" s="1"/>
  <c r="H14" i="17" s="1"/>
  <c r="J14" i="17" s="1"/>
  <c r="F14" i="18" s="1"/>
  <c r="H14" i="18" s="1"/>
  <c r="J14" i="18" s="1"/>
  <c r="F14" i="14"/>
  <c r="H14" i="14" s="1"/>
  <c r="J14" i="14" s="1"/>
  <c r="F16" i="15"/>
  <c r="H16" i="15" s="1"/>
  <c r="J16" i="15" s="1"/>
  <c r="F16" i="16" s="1"/>
  <c r="H16" i="16" s="1"/>
  <c r="J16" i="16" s="1"/>
  <c r="F16" i="17" s="1"/>
  <c r="H16" i="17" s="1"/>
  <c r="J16" i="17" s="1"/>
  <c r="F16" i="18" s="1"/>
  <c r="H16" i="18" s="1"/>
  <c r="J16" i="18" s="1"/>
  <c r="F16" i="14"/>
  <c r="H16" i="14" s="1"/>
  <c r="J16" i="14" s="1"/>
  <c r="F18" i="15"/>
  <c r="H18" i="15" s="1"/>
  <c r="J18" i="15" s="1"/>
  <c r="F18" i="16" s="1"/>
  <c r="H18" i="16" s="1"/>
  <c r="J18" i="16" s="1"/>
  <c r="F18" i="17" s="1"/>
  <c r="H18" i="17" s="1"/>
  <c r="J18" i="17" s="1"/>
  <c r="F18" i="18" s="1"/>
  <c r="H18" i="18" s="1"/>
  <c r="J18" i="18" s="1"/>
  <c r="F18" i="14"/>
  <c r="H18" i="14" s="1"/>
  <c r="J18" i="14" s="1"/>
  <c r="F20" i="15"/>
  <c r="H20" i="15" s="1"/>
  <c r="J20" i="15" s="1"/>
  <c r="F20" i="16" s="1"/>
  <c r="H20" i="16" s="1"/>
  <c r="J20" i="16" s="1"/>
  <c r="F20" i="17" s="1"/>
  <c r="H20" i="17" s="1"/>
  <c r="J20" i="17" s="1"/>
  <c r="F20" i="18" s="1"/>
  <c r="H20" i="18" s="1"/>
  <c r="J20" i="18" s="1"/>
  <c r="F20" i="14"/>
  <c r="H20" i="14" s="1"/>
  <c r="J20" i="14" s="1"/>
  <c r="F22" i="15"/>
  <c r="H22" i="15" s="1"/>
  <c r="J22" i="15" s="1"/>
  <c r="F22" i="16" s="1"/>
  <c r="H22" i="16" s="1"/>
  <c r="J22" i="16" s="1"/>
  <c r="F22" i="17" s="1"/>
  <c r="H22" i="17" s="1"/>
  <c r="J22" i="17" s="1"/>
  <c r="F22" i="18" s="1"/>
  <c r="H22" i="18" s="1"/>
  <c r="J22" i="18" s="1"/>
  <c r="F22" i="14"/>
  <c r="H22" i="14" s="1"/>
  <c r="J22" i="14" s="1"/>
  <c r="F24" i="15"/>
  <c r="H24" i="15" s="1"/>
  <c r="J24" i="15" s="1"/>
  <c r="F24" i="16" s="1"/>
  <c r="H24" i="16" s="1"/>
  <c r="J24" i="16" s="1"/>
  <c r="F24" i="17" s="1"/>
  <c r="H24" i="17" s="1"/>
  <c r="J24" i="17" s="1"/>
  <c r="F24" i="18" s="1"/>
  <c r="H24" i="18" s="1"/>
  <c r="J24" i="18" s="1"/>
  <c r="F24" i="14"/>
  <c r="H24" i="14" s="1"/>
  <c r="J24" i="14" s="1"/>
  <c r="F9" i="14"/>
  <c r="H9" i="14" s="1"/>
  <c r="C30" i="13"/>
  <c r="D35" i="13"/>
  <c r="H35" i="13" s="1"/>
  <c r="J5" i="13"/>
  <c r="K25" i="12"/>
  <c r="F22" i="19" l="1"/>
  <c r="H22" i="19" s="1"/>
  <c r="J22" i="19" s="1"/>
  <c r="F22" i="20"/>
  <c r="H22" i="20" s="1"/>
  <c r="J22" i="20" s="1"/>
  <c r="F22" i="21" s="1"/>
  <c r="H22" i="21" s="1"/>
  <c r="J22" i="21" s="1"/>
  <c r="F22" i="22" s="1"/>
  <c r="H22" i="22" s="1"/>
  <c r="J22" i="22" s="1"/>
  <c r="F22" i="23" s="1"/>
  <c r="H22" i="23" s="1"/>
  <c r="J22" i="23" s="1"/>
  <c r="F22" i="24" s="1"/>
  <c r="H22" i="24" s="1"/>
  <c r="J22" i="24" s="1"/>
  <c r="F22" i="25" s="1"/>
  <c r="H22" i="25" s="1"/>
  <c r="J22" i="25" s="1"/>
  <c r="F22" i="26" s="1"/>
  <c r="H22" i="26" s="1"/>
  <c r="J22" i="26" s="1"/>
  <c r="F22" i="27" s="1"/>
  <c r="H22" i="27" s="1"/>
  <c r="J22" i="27" s="1"/>
  <c r="F22" i="28" s="1"/>
  <c r="H22" i="28" s="1"/>
  <c r="J22" i="28" s="1"/>
  <c r="F22" i="29" s="1"/>
  <c r="H22" i="29" s="1"/>
  <c r="J22" i="29" s="1"/>
  <c r="F22" i="30" s="1"/>
  <c r="H22" i="30" s="1"/>
  <c r="J22" i="30" s="1"/>
  <c r="F22" i="31" s="1"/>
  <c r="H22" i="31" s="1"/>
  <c r="J22" i="31" s="1"/>
  <c r="F22" i="32" s="1"/>
  <c r="H22" i="32" s="1"/>
  <c r="J22" i="32" s="1"/>
  <c r="F22" i="33" s="1"/>
  <c r="H22" i="33" s="1"/>
  <c r="J22" i="33" s="1"/>
  <c r="F22" i="40" s="1"/>
  <c r="H22" i="40" s="1"/>
  <c r="J22" i="40" s="1"/>
  <c r="F22" i="41" s="1"/>
  <c r="H22" i="41" s="1"/>
  <c r="J22" i="41" s="1"/>
  <c r="F22" i="42" s="1"/>
  <c r="H22" i="42" s="1"/>
  <c r="J22" i="42" s="1"/>
  <c r="F22" i="43" s="1"/>
  <c r="H22" i="43" s="1"/>
  <c r="J22" i="43" s="1"/>
  <c r="F22" i="44" s="1"/>
  <c r="H22" i="44" s="1"/>
  <c r="J22" i="44" s="1"/>
  <c r="F22" i="45" s="1"/>
  <c r="H22" i="45" s="1"/>
  <c r="J22" i="45" s="1"/>
  <c r="F18" i="19"/>
  <c r="H18" i="19" s="1"/>
  <c r="J18" i="19" s="1"/>
  <c r="F18" i="20"/>
  <c r="H18" i="20" s="1"/>
  <c r="J18" i="20" s="1"/>
  <c r="F18" i="21" s="1"/>
  <c r="H18" i="21" s="1"/>
  <c r="J18" i="21" s="1"/>
  <c r="F18" i="22" s="1"/>
  <c r="H18" i="22" s="1"/>
  <c r="J18" i="22" s="1"/>
  <c r="F18" i="23" s="1"/>
  <c r="H18" i="23" s="1"/>
  <c r="J18" i="23" s="1"/>
  <c r="F18" i="24" s="1"/>
  <c r="H18" i="24" s="1"/>
  <c r="J18" i="24" s="1"/>
  <c r="F18" i="25" s="1"/>
  <c r="H18" i="25" s="1"/>
  <c r="J18" i="25" s="1"/>
  <c r="F18" i="26" s="1"/>
  <c r="H18" i="26" s="1"/>
  <c r="J18" i="26" s="1"/>
  <c r="F18" i="27" s="1"/>
  <c r="F14" i="20"/>
  <c r="H14" i="20" s="1"/>
  <c r="J14" i="20" s="1"/>
  <c r="F14" i="21" s="1"/>
  <c r="H14" i="21" s="1"/>
  <c r="J14" i="21" s="1"/>
  <c r="F14" i="22" s="1"/>
  <c r="H14" i="22" s="1"/>
  <c r="J14" i="22" s="1"/>
  <c r="F14" i="23" s="1"/>
  <c r="H14" i="23" s="1"/>
  <c r="J14" i="23" s="1"/>
  <c r="F14" i="24" s="1"/>
  <c r="H14" i="24" s="1"/>
  <c r="J14" i="24" s="1"/>
  <c r="F14" i="25" s="1"/>
  <c r="H14" i="25" s="1"/>
  <c r="J14" i="25" s="1"/>
  <c r="F14" i="19"/>
  <c r="H14" i="19" s="1"/>
  <c r="J14" i="19" s="1"/>
  <c r="F10" i="20"/>
  <c r="H10" i="20" s="1"/>
  <c r="J10" i="20" s="1"/>
  <c r="F10" i="21" s="1"/>
  <c r="H10" i="21" s="1"/>
  <c r="J10" i="21" s="1"/>
  <c r="F10" i="22" s="1"/>
  <c r="H10" i="22" s="1"/>
  <c r="J10" i="22" s="1"/>
  <c r="F10" i="23" s="1"/>
  <c r="H10" i="23" s="1"/>
  <c r="J10" i="23" s="1"/>
  <c r="F10" i="24" s="1"/>
  <c r="H10" i="24" s="1"/>
  <c r="J10" i="24" s="1"/>
  <c r="F10" i="25" s="1"/>
  <c r="H10" i="25" s="1"/>
  <c r="J10" i="25" s="1"/>
  <c r="F10" i="26" s="1"/>
  <c r="H10" i="26" s="1"/>
  <c r="J10" i="26" s="1"/>
  <c r="F10" i="27" s="1"/>
  <c r="H10" i="27" s="1"/>
  <c r="J10" i="27" s="1"/>
  <c r="F10" i="28" s="1"/>
  <c r="H10" i="28" s="1"/>
  <c r="J10" i="28" s="1"/>
  <c r="F10" i="29" s="1"/>
  <c r="H10" i="29" s="1"/>
  <c r="J10" i="29" s="1"/>
  <c r="F10" i="30" s="1"/>
  <c r="H10" i="30" s="1"/>
  <c r="J10" i="30" s="1"/>
  <c r="F10" i="31" s="1"/>
  <c r="H10" i="31" s="1"/>
  <c r="J10" i="31" s="1"/>
  <c r="F10" i="32" s="1"/>
  <c r="H10" i="32" s="1"/>
  <c r="J10" i="32" s="1"/>
  <c r="F10" i="33" s="1"/>
  <c r="H10" i="33" s="1"/>
  <c r="J10" i="33" s="1"/>
  <c r="F10" i="40" s="1"/>
  <c r="H10" i="40" s="1"/>
  <c r="J10" i="40" s="1"/>
  <c r="F10" i="41" s="1"/>
  <c r="H10" i="41" s="1"/>
  <c r="J10" i="41" s="1"/>
  <c r="F10" i="42" s="1"/>
  <c r="H10" i="42" s="1"/>
  <c r="J10" i="42" s="1"/>
  <c r="F10" i="43" s="1"/>
  <c r="H10" i="43" s="1"/>
  <c r="J10" i="43" s="1"/>
  <c r="F10" i="44" s="1"/>
  <c r="H10" i="44" s="1"/>
  <c r="J10" i="44" s="1"/>
  <c r="F10" i="45" s="1"/>
  <c r="H10" i="45" s="1"/>
  <c r="J10" i="45" s="1"/>
  <c r="F10" i="46" s="1"/>
  <c r="H10" i="46" s="1"/>
  <c r="J10" i="46" s="1"/>
  <c r="F10" i="47" s="1"/>
  <c r="H10" i="47" s="1"/>
  <c r="J10" i="47" s="1"/>
  <c r="F10" i="48" s="1"/>
  <c r="H10" i="48" s="1"/>
  <c r="J10" i="48" s="1"/>
  <c r="F10" i="19"/>
  <c r="H10" i="19" s="1"/>
  <c r="J10" i="19" s="1"/>
  <c r="F6" i="20"/>
  <c r="H6" i="20" s="1"/>
  <c r="J6" i="20" s="1"/>
  <c r="F6" i="21" s="1"/>
  <c r="H6" i="21" s="1"/>
  <c r="J6" i="21" s="1"/>
  <c r="F6" i="22" s="1"/>
  <c r="H6" i="22" s="1"/>
  <c r="J6" i="22" s="1"/>
  <c r="F6" i="23" s="1"/>
  <c r="H6" i="23" s="1"/>
  <c r="J6" i="23" s="1"/>
  <c r="F6" i="24" s="1"/>
  <c r="H6" i="24" s="1"/>
  <c r="J6" i="24" s="1"/>
  <c r="F6" i="25" s="1"/>
  <c r="H6" i="25" s="1"/>
  <c r="J6" i="25" s="1"/>
  <c r="F6" i="26" s="1"/>
  <c r="H6" i="26" s="1"/>
  <c r="J6" i="26" s="1"/>
  <c r="F6" i="19"/>
  <c r="H6" i="19" s="1"/>
  <c r="J6" i="19" s="1"/>
  <c r="F21" i="20"/>
  <c r="H21" i="20" s="1"/>
  <c r="J21" i="20" s="1"/>
  <c r="F21" i="19"/>
  <c r="H21" i="19" s="1"/>
  <c r="J21" i="19" s="1"/>
  <c r="J25" i="13"/>
  <c r="F25" i="15" s="1"/>
  <c r="N27" i="15" s="1"/>
  <c r="F5" i="15"/>
  <c r="H5" i="15" s="1"/>
  <c r="F5" i="14"/>
  <c r="H5" i="14" s="1"/>
  <c r="J5" i="14" s="1"/>
  <c r="F24" i="20"/>
  <c r="H24" i="20" s="1"/>
  <c r="J24" i="20" s="1"/>
  <c r="F24" i="21" s="1"/>
  <c r="H24" i="21" s="1"/>
  <c r="J24" i="21" s="1"/>
  <c r="F24" i="19"/>
  <c r="H24" i="19" s="1"/>
  <c r="J24" i="19" s="1"/>
  <c r="F20" i="20"/>
  <c r="H20" i="20" s="1"/>
  <c r="J20" i="20" s="1"/>
  <c r="F20" i="21" s="1"/>
  <c r="H20" i="21" s="1"/>
  <c r="J20" i="21" s="1"/>
  <c r="F20" i="22" s="1"/>
  <c r="H20" i="22" s="1"/>
  <c r="J20" i="22" s="1"/>
  <c r="F20" i="23" s="1"/>
  <c r="H20" i="23" s="1"/>
  <c r="J20" i="23" s="1"/>
  <c r="F20" i="24" s="1"/>
  <c r="H20" i="24" s="1"/>
  <c r="J20" i="24" s="1"/>
  <c r="F20" i="25" s="1"/>
  <c r="H20" i="25" s="1"/>
  <c r="J20" i="25" s="1"/>
  <c r="F20" i="26" s="1"/>
  <c r="H20" i="26" s="1"/>
  <c r="J20" i="26" s="1"/>
  <c r="F20" i="27" s="1"/>
  <c r="H20" i="27" s="1"/>
  <c r="J20" i="27" s="1"/>
  <c r="F20" i="28" s="1"/>
  <c r="H20" i="28" s="1"/>
  <c r="J20" i="28" s="1"/>
  <c r="F20" i="29" s="1"/>
  <c r="H20" i="29" s="1"/>
  <c r="J20" i="29" s="1"/>
  <c r="F20" i="30" s="1"/>
  <c r="H20" i="30" s="1"/>
  <c r="J20" i="30" s="1"/>
  <c r="F20" i="31" s="1"/>
  <c r="H20" i="31" s="1"/>
  <c r="J20" i="31" s="1"/>
  <c r="F20" i="32" s="1"/>
  <c r="H20" i="32" s="1"/>
  <c r="J20" i="32" s="1"/>
  <c r="F20" i="33" s="1"/>
  <c r="H20" i="33" s="1"/>
  <c r="J20" i="33" s="1"/>
  <c r="F20" i="40" s="1"/>
  <c r="H20" i="40" s="1"/>
  <c r="J20" i="40" s="1"/>
  <c r="F20" i="41" s="1"/>
  <c r="H20" i="41" s="1"/>
  <c r="J20" i="41" s="1"/>
  <c r="F20" i="42" s="1"/>
  <c r="H20" i="42" s="1"/>
  <c r="J20" i="42" s="1"/>
  <c r="F20" i="43" s="1"/>
  <c r="H20" i="43" s="1"/>
  <c r="J20" i="43" s="1"/>
  <c r="F20" i="44" s="1"/>
  <c r="H20" i="44" s="1"/>
  <c r="J20" i="44" s="1"/>
  <c r="F20" i="45" s="1"/>
  <c r="H20" i="45" s="1"/>
  <c r="J20" i="45" s="1"/>
  <c r="F20" i="46" s="1"/>
  <c r="H20" i="46" s="1"/>
  <c r="J20" i="46" s="1"/>
  <c r="F20" i="47" s="1"/>
  <c r="H20" i="47" s="1"/>
  <c r="J20" i="47" s="1"/>
  <c r="F20" i="48" s="1"/>
  <c r="H20" i="48" s="1"/>
  <c r="J20" i="48" s="1"/>
  <c r="F20" i="19"/>
  <c r="H20" i="19" s="1"/>
  <c r="J20" i="19" s="1"/>
  <c r="F16" i="20"/>
  <c r="H16" i="20" s="1"/>
  <c r="J16" i="20" s="1"/>
  <c r="F16" i="21" s="1"/>
  <c r="H16" i="21" s="1"/>
  <c r="J16" i="21" s="1"/>
  <c r="F16" i="22" s="1"/>
  <c r="H16" i="22" s="1"/>
  <c r="J16" i="22" s="1"/>
  <c r="F16" i="23" s="1"/>
  <c r="H16" i="23" s="1"/>
  <c r="J16" i="23" s="1"/>
  <c r="F16" i="24" s="1"/>
  <c r="H16" i="24" s="1"/>
  <c r="J16" i="24" s="1"/>
  <c r="F16" i="25" s="1"/>
  <c r="H16" i="25" s="1"/>
  <c r="J16" i="25" s="1"/>
  <c r="F16" i="26" s="1"/>
  <c r="H16" i="26" s="1"/>
  <c r="J16" i="26" s="1"/>
  <c r="F16" i="27" s="1"/>
  <c r="H16" i="27" s="1"/>
  <c r="J16" i="27" s="1"/>
  <c r="F16" i="28" s="1"/>
  <c r="H16" i="28" s="1"/>
  <c r="J16" i="28" s="1"/>
  <c r="F16" i="29" s="1"/>
  <c r="H16" i="29" s="1"/>
  <c r="J16" i="29" s="1"/>
  <c r="F16" i="30" s="1"/>
  <c r="H16" i="30" s="1"/>
  <c r="J16" i="30" s="1"/>
  <c r="F16" i="31" s="1"/>
  <c r="H16" i="31" s="1"/>
  <c r="J16" i="31" s="1"/>
  <c r="F16" i="32" s="1"/>
  <c r="H16" i="32" s="1"/>
  <c r="J16" i="32" s="1"/>
  <c r="F16" i="33" s="1"/>
  <c r="H16" i="33" s="1"/>
  <c r="J16" i="33" s="1"/>
  <c r="F16" i="40" s="1"/>
  <c r="H16" i="40" s="1"/>
  <c r="J16" i="40" s="1"/>
  <c r="F16" i="41" s="1"/>
  <c r="H16" i="41" s="1"/>
  <c r="J16" i="41" s="1"/>
  <c r="F16" i="42" s="1"/>
  <c r="H16" i="42" s="1"/>
  <c r="J16" i="42" s="1"/>
  <c r="F16" i="43" s="1"/>
  <c r="H16" i="43" s="1"/>
  <c r="J16" i="43" s="1"/>
  <c r="F16" i="44" s="1"/>
  <c r="H16" i="44" s="1"/>
  <c r="J16" i="44" s="1"/>
  <c r="F16" i="45" s="1"/>
  <c r="H16" i="45" s="1"/>
  <c r="J16" i="45" s="1"/>
  <c r="F16" i="46" s="1"/>
  <c r="H16" i="46" s="1"/>
  <c r="J16" i="46" s="1"/>
  <c r="F16" i="47" s="1"/>
  <c r="H16" i="47" s="1"/>
  <c r="J16" i="47" s="1"/>
  <c r="F16" i="48" s="1"/>
  <c r="H16" i="48" s="1"/>
  <c r="J16" i="48" s="1"/>
  <c r="F16" i="19"/>
  <c r="H16" i="19" s="1"/>
  <c r="J16" i="19" s="1"/>
  <c r="F12" i="19"/>
  <c r="H12" i="19" s="1"/>
  <c r="J12" i="19" s="1"/>
  <c r="F12" i="20"/>
  <c r="H12" i="20" s="1"/>
  <c r="J12" i="20" s="1"/>
  <c r="F12" i="21" s="1"/>
  <c r="H12" i="21" s="1"/>
  <c r="J12" i="21" s="1"/>
  <c r="F12" i="22" s="1"/>
  <c r="H12" i="22" s="1"/>
  <c r="J12" i="22" s="1"/>
  <c r="F12" i="23" s="1"/>
  <c r="H12" i="23" s="1"/>
  <c r="J12" i="23" s="1"/>
  <c r="F12" i="24" s="1"/>
  <c r="H12" i="24" s="1"/>
  <c r="J12" i="24" s="1"/>
  <c r="F12" i="25" s="1"/>
  <c r="H12" i="25" s="1"/>
  <c r="J12" i="25" s="1"/>
  <c r="F12" i="26" s="1"/>
  <c r="H12" i="26" s="1"/>
  <c r="J12" i="26" s="1"/>
  <c r="F12" i="27" s="1"/>
  <c r="F8" i="19"/>
  <c r="H8" i="19" s="1"/>
  <c r="J8" i="19" s="1"/>
  <c r="F8" i="20"/>
  <c r="H8" i="20" s="1"/>
  <c r="J8" i="20" s="1"/>
  <c r="F8" i="21" s="1"/>
  <c r="H8" i="21" s="1"/>
  <c r="J8" i="21" s="1"/>
  <c r="F8" i="22" s="1"/>
  <c r="H8" i="22" s="1"/>
  <c r="J8" i="22" s="1"/>
  <c r="F8" i="23" s="1"/>
  <c r="H8" i="23" s="1"/>
  <c r="J8" i="23" s="1"/>
  <c r="F8" i="24" s="1"/>
  <c r="H8" i="24" s="1"/>
  <c r="J8" i="24" s="1"/>
  <c r="F8" i="25" s="1"/>
  <c r="H8" i="25" s="1"/>
  <c r="J8" i="25" s="1"/>
  <c r="F8" i="26" s="1"/>
  <c r="H8" i="26" s="1"/>
  <c r="J8" i="26" s="1"/>
  <c r="F8" i="27" s="1"/>
  <c r="H8" i="27" s="1"/>
  <c r="J8" i="27" s="1"/>
  <c r="F8" i="28" s="1"/>
  <c r="H8" i="28" s="1"/>
  <c r="J8" i="28" s="1"/>
  <c r="F8" i="29" s="1"/>
  <c r="H8" i="29" s="1"/>
  <c r="J8" i="29" s="1"/>
  <c r="F8" i="30" s="1"/>
  <c r="H8" i="30" s="1"/>
  <c r="J8" i="30" s="1"/>
  <c r="F8" i="31" s="1"/>
  <c r="H8" i="31" s="1"/>
  <c r="J8" i="31" s="1"/>
  <c r="F8" i="32" s="1"/>
  <c r="H8" i="32" s="1"/>
  <c r="J8" i="32" s="1"/>
  <c r="F8" i="33" s="1"/>
  <c r="H8" i="33" s="1"/>
  <c r="J8" i="33" s="1"/>
  <c r="F8" i="40" s="1"/>
  <c r="H8" i="40" s="1"/>
  <c r="J8" i="40" s="1"/>
  <c r="F8" i="41" s="1"/>
  <c r="H8" i="41" s="1"/>
  <c r="J8" i="41" s="1"/>
  <c r="F8" i="42" s="1"/>
  <c r="H8" i="42" s="1"/>
  <c r="J8" i="42" s="1"/>
  <c r="F8" i="43" s="1"/>
  <c r="H8" i="43" s="1"/>
  <c r="J8" i="43" s="1"/>
  <c r="F8" i="44" s="1"/>
  <c r="H8" i="44" s="1"/>
  <c r="J8" i="44" s="1"/>
  <c r="F8" i="45" s="1"/>
  <c r="H8" i="45" s="1"/>
  <c r="J8" i="45" s="1"/>
  <c r="F8" i="46" s="1"/>
  <c r="H8" i="46" s="1"/>
  <c r="J8" i="46" s="1"/>
  <c r="F8" i="47" s="1"/>
  <c r="H8" i="47" s="1"/>
  <c r="J8" i="47" s="1"/>
  <c r="F8" i="48" s="1"/>
  <c r="H8" i="48" s="1"/>
  <c r="J8" i="48" s="1"/>
  <c r="J23" i="17"/>
  <c r="F23" i="18" s="1"/>
  <c r="H23" i="18" s="1"/>
  <c r="J23" i="18" s="1"/>
  <c r="F19" i="20"/>
  <c r="H19" i="20" s="1"/>
  <c r="J19" i="20" s="1"/>
  <c r="F19" i="21" s="1"/>
  <c r="H19" i="21" s="1"/>
  <c r="J19" i="21" s="1"/>
  <c r="F19" i="22" s="1"/>
  <c r="H19" i="22" s="1"/>
  <c r="J19" i="22" s="1"/>
  <c r="F19" i="23" s="1"/>
  <c r="H19" i="23" s="1"/>
  <c r="J19" i="23" s="1"/>
  <c r="F19" i="24" s="1"/>
  <c r="H19" i="24" s="1"/>
  <c r="J19" i="24" s="1"/>
  <c r="F19" i="25" s="1"/>
  <c r="H19" i="25" s="1"/>
  <c r="J19" i="25" s="1"/>
  <c r="F19" i="26" s="1"/>
  <c r="H19" i="26" s="1"/>
  <c r="J19" i="26" s="1"/>
  <c r="F19" i="27" s="1"/>
  <c r="H19" i="27" s="1"/>
  <c r="J19" i="27" s="1"/>
  <c r="F19" i="28" s="1"/>
  <c r="H19" i="28" s="1"/>
  <c r="J19" i="28" s="1"/>
  <c r="F19" i="29" s="1"/>
  <c r="H19" i="29" s="1"/>
  <c r="J19" i="29" s="1"/>
  <c r="F19" i="30" s="1"/>
  <c r="H19" i="30" s="1"/>
  <c r="J19" i="30" s="1"/>
  <c r="F19" i="31" s="1"/>
  <c r="H19" i="31" s="1"/>
  <c r="J19" i="31" s="1"/>
  <c r="F19" i="32" s="1"/>
  <c r="H19" i="32" s="1"/>
  <c r="J19" i="32" s="1"/>
  <c r="F19" i="33" s="1"/>
  <c r="H19" i="33" s="1"/>
  <c r="J19" i="33" s="1"/>
  <c r="F19" i="40" s="1"/>
  <c r="H19" i="40" s="1"/>
  <c r="J19" i="40" s="1"/>
  <c r="F19" i="41" s="1"/>
  <c r="H19" i="41" s="1"/>
  <c r="J19" i="41" s="1"/>
  <c r="F19" i="42" s="1"/>
  <c r="H19" i="42" s="1"/>
  <c r="J19" i="42" s="1"/>
  <c r="F19" i="43" s="1"/>
  <c r="H19" i="43" s="1"/>
  <c r="J19" i="43" s="1"/>
  <c r="F19" i="44" s="1"/>
  <c r="H19" i="44" s="1"/>
  <c r="J19" i="44" s="1"/>
  <c r="F19" i="45" s="1"/>
  <c r="H19" i="45" s="1"/>
  <c r="J19" i="45" s="1"/>
  <c r="F19" i="46" s="1"/>
  <c r="H19" i="46" s="1"/>
  <c r="J19" i="46" s="1"/>
  <c r="F19" i="47" s="1"/>
  <c r="H19" i="47" s="1"/>
  <c r="J19" i="47" s="1"/>
  <c r="F19" i="48" s="1"/>
  <c r="H19" i="48" s="1"/>
  <c r="J19" i="48" s="1"/>
  <c r="F19" i="19"/>
  <c r="H19" i="19" s="1"/>
  <c r="J19" i="19" s="1"/>
  <c r="F17" i="20"/>
  <c r="H17" i="20" s="1"/>
  <c r="J17" i="20" s="1"/>
  <c r="F17" i="21" s="1"/>
  <c r="H17" i="21" s="1"/>
  <c r="J17" i="21" s="1"/>
  <c r="H17" i="22" s="1"/>
  <c r="J17" i="22" s="1"/>
  <c r="F17" i="23" s="1"/>
  <c r="H17" i="23" s="1"/>
  <c r="J17" i="23" s="1"/>
  <c r="F17" i="24" s="1"/>
  <c r="H17" i="24" s="1"/>
  <c r="J17" i="24" s="1"/>
  <c r="F17" i="25" s="1"/>
  <c r="H17" i="25" s="1"/>
  <c r="J17" i="25" s="1"/>
  <c r="F17" i="26" s="1"/>
  <c r="H17" i="26" s="1"/>
  <c r="J17" i="26" s="1"/>
  <c r="F17" i="27" s="1"/>
  <c r="H17" i="27" s="1"/>
  <c r="J17" i="27" s="1"/>
  <c r="F17" i="28" s="1"/>
  <c r="H17" i="28" s="1"/>
  <c r="J17" i="28" s="1"/>
  <c r="F17" i="29" s="1"/>
  <c r="H17" i="29" s="1"/>
  <c r="J17" i="29" s="1"/>
  <c r="F17" i="30" s="1"/>
  <c r="H17" i="30" s="1"/>
  <c r="J17" i="30" s="1"/>
  <c r="F17" i="31" s="1"/>
  <c r="F17" i="19"/>
  <c r="H17" i="19" s="1"/>
  <c r="J17" i="19" s="1"/>
  <c r="F15" i="19"/>
  <c r="H15" i="19" s="1"/>
  <c r="J15" i="19" s="1"/>
  <c r="F15" i="20"/>
  <c r="H15" i="20" s="1"/>
  <c r="J15" i="20" s="1"/>
  <c r="F15" i="21" s="1"/>
  <c r="H15" i="21" s="1"/>
  <c r="J15" i="21" s="1"/>
  <c r="F15" i="22" s="1"/>
  <c r="H15" i="22" s="1"/>
  <c r="J15" i="22" s="1"/>
  <c r="F15" i="23" s="1"/>
  <c r="H15" i="23" s="1"/>
  <c r="J15" i="23" s="1"/>
  <c r="F15" i="24" s="1"/>
  <c r="H15" i="24" s="1"/>
  <c r="J15" i="24" s="1"/>
  <c r="F15" i="25" s="1"/>
  <c r="H15" i="25" s="1"/>
  <c r="J15" i="25" s="1"/>
  <c r="F15" i="26" s="1"/>
  <c r="H15" i="26" s="1"/>
  <c r="J15" i="26" s="1"/>
  <c r="F15" i="27" s="1"/>
  <c r="F13" i="20"/>
  <c r="H13" i="20" s="1"/>
  <c r="J13" i="20" s="1"/>
  <c r="F13" i="21" s="1"/>
  <c r="H13" i="21" s="1"/>
  <c r="J13" i="21" s="1"/>
  <c r="F13" i="22" s="1"/>
  <c r="H13" i="22" s="1"/>
  <c r="J13" i="22" s="1"/>
  <c r="F13" i="23" s="1"/>
  <c r="H13" i="23" s="1"/>
  <c r="J13" i="23" s="1"/>
  <c r="F13" i="24" s="1"/>
  <c r="H13" i="24" s="1"/>
  <c r="J13" i="24" s="1"/>
  <c r="F13" i="25" s="1"/>
  <c r="H13" i="25" s="1"/>
  <c r="J13" i="25" s="1"/>
  <c r="F13" i="26" s="1"/>
  <c r="H13" i="26" s="1"/>
  <c r="J13" i="26" s="1"/>
  <c r="F13" i="27" s="1"/>
  <c r="H13" i="27" s="1"/>
  <c r="J13" i="27" s="1"/>
  <c r="F13" i="28" s="1"/>
  <c r="H13" i="28" s="1"/>
  <c r="J13" i="28" s="1"/>
  <c r="F13" i="29" s="1"/>
  <c r="H13" i="29" s="1"/>
  <c r="J13" i="29" s="1"/>
  <c r="F13" i="30" s="1"/>
  <c r="H13" i="30" s="1"/>
  <c r="J13" i="30" s="1"/>
  <c r="F13" i="31" s="1"/>
  <c r="H13" i="31" s="1"/>
  <c r="J13" i="31" s="1"/>
  <c r="F13" i="32" s="1"/>
  <c r="H13" i="32" s="1"/>
  <c r="J13" i="32" s="1"/>
  <c r="F13" i="33" s="1"/>
  <c r="H13" i="33" s="1"/>
  <c r="J13" i="33" s="1"/>
  <c r="F13" i="40" s="1"/>
  <c r="H13" i="40" s="1"/>
  <c r="J13" i="40" s="1"/>
  <c r="F13" i="41" s="1"/>
  <c r="H13" i="41" s="1"/>
  <c r="J13" i="41" s="1"/>
  <c r="F13" i="42" s="1"/>
  <c r="H13" i="42" s="1"/>
  <c r="J13" i="42" s="1"/>
  <c r="F13" i="43" s="1"/>
  <c r="H13" i="43" s="1"/>
  <c r="J13" i="43" s="1"/>
  <c r="F13" i="44" s="1"/>
  <c r="H13" i="44" s="1"/>
  <c r="J13" i="44" s="1"/>
  <c r="F13" i="45" s="1"/>
  <c r="H13" i="45" s="1"/>
  <c r="J13" i="45" s="1"/>
  <c r="F13" i="46" s="1"/>
  <c r="H13" i="46" s="1"/>
  <c r="J13" i="46" s="1"/>
  <c r="F13" i="47" s="1"/>
  <c r="H13" i="47" s="1"/>
  <c r="J13" i="47" s="1"/>
  <c r="F13" i="48" s="1"/>
  <c r="H13" i="48" s="1"/>
  <c r="J13" i="48" s="1"/>
  <c r="F13" i="19"/>
  <c r="H13" i="19" s="1"/>
  <c r="J13" i="19" s="1"/>
  <c r="F11" i="20"/>
  <c r="H11" i="20" s="1"/>
  <c r="J11" i="20" s="1"/>
  <c r="F11" i="21" s="1"/>
  <c r="H11" i="21" s="1"/>
  <c r="J11" i="21" s="1"/>
  <c r="F11" i="22" s="1"/>
  <c r="H11" i="22" s="1"/>
  <c r="J11" i="22" s="1"/>
  <c r="F11" i="23" s="1"/>
  <c r="H11" i="23" s="1"/>
  <c r="J11" i="23" s="1"/>
  <c r="F11" i="24" s="1"/>
  <c r="H11" i="24" s="1"/>
  <c r="J11" i="24" s="1"/>
  <c r="F11" i="25" s="1"/>
  <c r="H11" i="25" s="1"/>
  <c r="J11" i="25" s="1"/>
  <c r="F11" i="26" s="1"/>
  <c r="H11" i="26" s="1"/>
  <c r="J11" i="26" s="1"/>
  <c r="F11" i="27" s="1"/>
  <c r="H11" i="27" s="1"/>
  <c r="J11" i="27" s="1"/>
  <c r="F11" i="28" s="1"/>
  <c r="H11" i="28" s="1"/>
  <c r="J11" i="28" s="1"/>
  <c r="F11" i="29" s="1"/>
  <c r="H11" i="29" s="1"/>
  <c r="J11" i="29" s="1"/>
  <c r="F11" i="30" s="1"/>
  <c r="H11" i="30" s="1"/>
  <c r="J11" i="30" s="1"/>
  <c r="F11" i="31" s="1"/>
  <c r="H11" i="31" s="1"/>
  <c r="J11" i="31" s="1"/>
  <c r="F11" i="32" s="1"/>
  <c r="H11" i="32" s="1"/>
  <c r="J11" i="32" s="1"/>
  <c r="F11" i="33" s="1"/>
  <c r="H11" i="33" s="1"/>
  <c r="J11" i="33" s="1"/>
  <c r="F11" i="40" s="1"/>
  <c r="H11" i="40" s="1"/>
  <c r="J11" i="40" s="1"/>
  <c r="F11" i="41" s="1"/>
  <c r="H11" i="41" s="1"/>
  <c r="J11" i="41" s="1"/>
  <c r="F11" i="42" s="1"/>
  <c r="H11" i="42" s="1"/>
  <c r="J11" i="42" s="1"/>
  <c r="F11" i="43" s="1"/>
  <c r="H11" i="43" s="1"/>
  <c r="J11" i="43" s="1"/>
  <c r="F11" i="44" s="1"/>
  <c r="H11" i="44" s="1"/>
  <c r="J11" i="44" s="1"/>
  <c r="F11" i="45" s="1"/>
  <c r="H11" i="45" s="1"/>
  <c r="J11" i="45" s="1"/>
  <c r="F11" i="46" s="1"/>
  <c r="H11" i="46" s="1"/>
  <c r="J11" i="46" s="1"/>
  <c r="F11" i="47" s="1"/>
  <c r="H11" i="47" s="1"/>
  <c r="J11" i="47" s="1"/>
  <c r="F11" i="48" s="1"/>
  <c r="H11" i="48" s="1"/>
  <c r="J11" i="48" s="1"/>
  <c r="F11" i="19"/>
  <c r="H11" i="19" s="1"/>
  <c r="J11" i="19" s="1"/>
  <c r="F7" i="20"/>
  <c r="H7" i="20" s="1"/>
  <c r="J7" i="20" s="1"/>
  <c r="F7" i="21" s="1"/>
  <c r="H7" i="21" s="1"/>
  <c r="J7" i="21" s="1"/>
  <c r="F7" i="22" s="1"/>
  <c r="H7" i="22" s="1"/>
  <c r="J7" i="22" s="1"/>
  <c r="F7" i="23" s="1"/>
  <c r="H7" i="23" s="1"/>
  <c r="J7" i="23" s="1"/>
  <c r="F7" i="24" s="1"/>
  <c r="H7" i="24" s="1"/>
  <c r="J7" i="24" s="1"/>
  <c r="F7" i="25" s="1"/>
  <c r="H7" i="25" s="1"/>
  <c r="J7" i="25" s="1"/>
  <c r="F7" i="26" s="1"/>
  <c r="H7" i="26" s="1"/>
  <c r="J7" i="26" s="1"/>
  <c r="F7" i="27" s="1"/>
  <c r="H7" i="27" s="1"/>
  <c r="J7" i="27" s="1"/>
  <c r="F7" i="28" s="1"/>
  <c r="H7" i="28" s="1"/>
  <c r="J7" i="28" s="1"/>
  <c r="F7" i="29" s="1"/>
  <c r="H7" i="29" s="1"/>
  <c r="J7" i="29" s="1"/>
  <c r="F7" i="30" s="1"/>
  <c r="H7" i="30" s="1"/>
  <c r="J7" i="30" s="1"/>
  <c r="F7" i="31" s="1"/>
  <c r="H7" i="31" s="1"/>
  <c r="J7" i="31" s="1"/>
  <c r="F7" i="32" s="1"/>
  <c r="H7" i="32" s="1"/>
  <c r="J7" i="32" s="1"/>
  <c r="F7" i="33" s="1"/>
  <c r="H7" i="33" s="1"/>
  <c r="J7" i="33" s="1"/>
  <c r="F7" i="40" s="1"/>
  <c r="H7" i="40" s="1"/>
  <c r="J7" i="40" s="1"/>
  <c r="F7" i="41" s="1"/>
  <c r="H7" i="41" s="1"/>
  <c r="J7" i="41" s="1"/>
  <c r="F7" i="42" s="1"/>
  <c r="H7" i="42" s="1"/>
  <c r="J7" i="42" s="1"/>
  <c r="F7" i="43" s="1"/>
  <c r="H7" i="43" s="1"/>
  <c r="J7" i="43" s="1"/>
  <c r="F7" i="44" s="1"/>
  <c r="H7" i="44" s="1"/>
  <c r="J7" i="44" s="1"/>
  <c r="F7" i="45" s="1"/>
  <c r="H7" i="45" s="1"/>
  <c r="J7" i="45" s="1"/>
  <c r="F7" i="46" s="1"/>
  <c r="H7" i="46" s="1"/>
  <c r="J7" i="46" s="1"/>
  <c r="F7" i="47" s="1"/>
  <c r="H7" i="47" s="1"/>
  <c r="J7" i="47" s="1"/>
  <c r="F7" i="48" s="1"/>
  <c r="H7" i="48" s="1"/>
  <c r="J7" i="48" s="1"/>
  <c r="F7" i="19"/>
  <c r="H7" i="19" s="1"/>
  <c r="J7" i="19" s="1"/>
  <c r="J9" i="14"/>
  <c r="J25" i="14" s="1"/>
  <c r="H25" i="14"/>
  <c r="F25" i="14"/>
  <c r="H44" i="12"/>
  <c r="D44" i="12"/>
  <c r="L25" i="12"/>
  <c r="C34" i="12" s="1"/>
  <c r="G34" i="12" s="1"/>
  <c r="C33" i="12"/>
  <c r="G33" i="12" s="1"/>
  <c r="I25" i="12"/>
  <c r="G30" i="12" s="1"/>
  <c r="G25" i="12"/>
  <c r="E25" i="12"/>
  <c r="C32" i="12" s="1"/>
  <c r="G32" i="12" s="1"/>
  <c r="D25" i="12"/>
  <c r="C25" i="12"/>
  <c r="H24" i="12"/>
  <c r="J24" i="12" s="1"/>
  <c r="H23" i="12"/>
  <c r="J23" i="12" s="1"/>
  <c r="H22" i="12"/>
  <c r="J22" i="12" s="1"/>
  <c r="H21" i="12"/>
  <c r="J21" i="12" s="1"/>
  <c r="H20" i="12"/>
  <c r="J20" i="12" s="1"/>
  <c r="H19" i="12"/>
  <c r="J19" i="12" s="1"/>
  <c r="H18" i="12"/>
  <c r="J18" i="12" s="1"/>
  <c r="H17" i="12"/>
  <c r="J17" i="12" s="1"/>
  <c r="H16" i="12"/>
  <c r="J16" i="12" s="1"/>
  <c r="H15" i="12"/>
  <c r="J15" i="12" s="1"/>
  <c r="H14" i="12"/>
  <c r="J14" i="12" s="1"/>
  <c r="H13" i="12"/>
  <c r="J13" i="12" s="1"/>
  <c r="H12" i="12"/>
  <c r="J12" i="12" s="1"/>
  <c r="H11" i="12"/>
  <c r="J11" i="12" s="1"/>
  <c r="H10" i="12"/>
  <c r="J10" i="12" s="1"/>
  <c r="H9" i="12"/>
  <c r="J9" i="12" s="1"/>
  <c r="F25" i="12"/>
  <c r="H8" i="12"/>
  <c r="J8" i="12" s="1"/>
  <c r="H7" i="12"/>
  <c r="J7" i="12" s="1"/>
  <c r="H6" i="12"/>
  <c r="J6" i="12" s="1"/>
  <c r="H5" i="12"/>
  <c r="H17" i="31" l="1"/>
  <c r="J17" i="31" s="1"/>
  <c r="F17" i="32" s="1"/>
  <c r="H17" i="32" s="1"/>
  <c r="J17" i="32" s="1"/>
  <c r="H25" i="12"/>
  <c r="J5" i="15"/>
  <c r="H25" i="15"/>
  <c r="J5" i="12"/>
  <c r="J25" i="12" s="1"/>
  <c r="C30" i="12"/>
  <c r="D35" i="12" s="1"/>
  <c r="H35" i="12" s="1"/>
  <c r="F6" i="27"/>
  <c r="F14" i="26"/>
  <c r="H14" i="26" s="1"/>
  <c r="J14" i="26" s="1"/>
  <c r="F14" i="27" s="1"/>
  <c r="H14" i="27" s="1"/>
  <c r="J14" i="27" s="1"/>
  <c r="F14" i="28" s="1"/>
  <c r="H14" i="28" s="1"/>
  <c r="J14" i="28" s="1"/>
  <c r="F14" i="29" s="1"/>
  <c r="H14" i="29" s="1"/>
  <c r="J14" i="29" s="1"/>
  <c r="F23" i="20"/>
  <c r="F23" i="19"/>
  <c r="F14" i="30" l="1"/>
  <c r="H14" i="30" s="1"/>
  <c r="J14" i="30" s="1"/>
  <c r="F14" i="31" s="1"/>
  <c r="H14" i="31" s="1"/>
  <c r="J14" i="31" s="1"/>
  <c r="F14" i="32" s="1"/>
  <c r="H14" i="32" s="1"/>
  <c r="J14" i="32" s="1"/>
  <c r="F5" i="16"/>
  <c r="H5" i="16" s="1"/>
  <c r="J25" i="15"/>
  <c r="H23" i="19"/>
  <c r="H23" i="20"/>
  <c r="H44" i="11"/>
  <c r="D44" i="11"/>
  <c r="F25" i="16" l="1"/>
  <c r="N28" i="15"/>
  <c r="J5" i="16"/>
  <c r="H25" i="16"/>
  <c r="J23" i="20"/>
  <c r="J23" i="19"/>
  <c r="L25" i="11"/>
  <c r="C34" i="11" s="1"/>
  <c r="G34" i="11" s="1"/>
  <c r="K25" i="11"/>
  <c r="C33" i="11" s="1"/>
  <c r="G33" i="11" s="1"/>
  <c r="I25" i="11"/>
  <c r="G30" i="11" s="1"/>
  <c r="G25" i="11"/>
  <c r="E25" i="11"/>
  <c r="C32" i="11" s="1"/>
  <c r="G32" i="11" s="1"/>
  <c r="D25" i="11"/>
  <c r="C25" i="11"/>
  <c r="H24" i="11"/>
  <c r="J24" i="11" s="1"/>
  <c r="H23" i="11"/>
  <c r="J23" i="11" s="1"/>
  <c r="H22" i="11"/>
  <c r="J22" i="11" s="1"/>
  <c r="H21" i="11"/>
  <c r="J21" i="11" s="1"/>
  <c r="H20" i="11"/>
  <c r="J20" i="11" s="1"/>
  <c r="H19" i="11"/>
  <c r="J19" i="11" s="1"/>
  <c r="H18" i="11"/>
  <c r="J18" i="11" s="1"/>
  <c r="H17" i="11"/>
  <c r="J17" i="11" s="1"/>
  <c r="H16" i="11"/>
  <c r="J16" i="11" s="1"/>
  <c r="H15" i="11"/>
  <c r="J15" i="11" s="1"/>
  <c r="H14" i="11"/>
  <c r="J14" i="11" s="1"/>
  <c r="H13" i="11"/>
  <c r="J13" i="11" s="1"/>
  <c r="H12" i="11"/>
  <c r="J12" i="11" s="1"/>
  <c r="H11" i="11"/>
  <c r="J11" i="11" s="1"/>
  <c r="H10" i="11"/>
  <c r="J10" i="11" s="1"/>
  <c r="H8" i="11"/>
  <c r="J8" i="11" s="1"/>
  <c r="H7" i="11"/>
  <c r="J7" i="11" s="1"/>
  <c r="H6" i="11"/>
  <c r="J6" i="11" s="1"/>
  <c r="H5" i="11"/>
  <c r="C30" i="11" l="1"/>
  <c r="F5" i="17"/>
  <c r="J25" i="16"/>
  <c r="F23" i="21"/>
  <c r="D35" i="11"/>
  <c r="H35" i="11" s="1"/>
  <c r="J5" i="11"/>
  <c r="H5" i="17" l="1"/>
  <c r="F25" i="17"/>
  <c r="H23" i="21"/>
  <c r="D25" i="9"/>
  <c r="J5" i="17" l="1"/>
  <c r="H25" i="17"/>
  <c r="J23" i="21"/>
  <c r="L25" i="10"/>
  <c r="C34" i="10" s="1"/>
  <c r="G34" i="10" s="1"/>
  <c r="F5" i="18" l="1"/>
  <c r="J25" i="17"/>
  <c r="F23" i="22"/>
  <c r="H44" i="10"/>
  <c r="D44" i="10"/>
  <c r="K25" i="10"/>
  <c r="C33" i="10" s="1"/>
  <c r="G33" i="10" s="1"/>
  <c r="I25" i="10"/>
  <c r="G30" i="10" s="1"/>
  <c r="G25" i="10"/>
  <c r="E25" i="10"/>
  <c r="C32" i="10" s="1"/>
  <c r="G32" i="10" s="1"/>
  <c r="D25" i="10"/>
  <c r="C25" i="10"/>
  <c r="H24" i="10"/>
  <c r="J24" i="10" s="1"/>
  <c r="H23" i="10"/>
  <c r="J23" i="10" s="1"/>
  <c r="H22" i="10"/>
  <c r="J22" i="10" s="1"/>
  <c r="H21" i="10"/>
  <c r="J21" i="10" s="1"/>
  <c r="H20" i="10"/>
  <c r="J20" i="10" s="1"/>
  <c r="H19" i="10"/>
  <c r="J19" i="10" s="1"/>
  <c r="H18" i="10"/>
  <c r="J18" i="10" s="1"/>
  <c r="H17" i="10"/>
  <c r="J17" i="10" s="1"/>
  <c r="H16" i="10"/>
  <c r="J16" i="10" s="1"/>
  <c r="H15" i="10"/>
  <c r="J15" i="10" s="1"/>
  <c r="H14" i="10"/>
  <c r="J14" i="10" s="1"/>
  <c r="H13" i="10"/>
  <c r="J13" i="10" s="1"/>
  <c r="H12" i="10"/>
  <c r="J12" i="10" s="1"/>
  <c r="H11" i="10"/>
  <c r="J11" i="10" s="1"/>
  <c r="H10" i="10"/>
  <c r="J10" i="10" s="1"/>
  <c r="H8" i="10"/>
  <c r="J8" i="10" s="1"/>
  <c r="H7" i="10"/>
  <c r="J7" i="10" s="1"/>
  <c r="H6" i="10"/>
  <c r="J6" i="10" s="1"/>
  <c r="H5" i="10"/>
  <c r="H5" i="18" l="1"/>
  <c r="F25" i="18"/>
  <c r="H23" i="22"/>
  <c r="C30" i="10"/>
  <c r="D35" i="10" s="1"/>
  <c r="H35" i="10" s="1"/>
  <c r="J5" i="10"/>
  <c r="L25" i="9"/>
  <c r="C34" i="9" s="1"/>
  <c r="D44" i="8"/>
  <c r="K25" i="9"/>
  <c r="C33" i="9" s="1"/>
  <c r="G33" i="9" s="1"/>
  <c r="I25" i="9"/>
  <c r="G30" i="9" s="1"/>
  <c r="G25" i="9"/>
  <c r="F25" i="9"/>
  <c r="E25" i="9"/>
  <c r="C32" i="9" s="1"/>
  <c r="G32" i="9" s="1"/>
  <c r="C25" i="9"/>
  <c r="H24" i="9"/>
  <c r="J24" i="9" s="1"/>
  <c r="H23" i="9"/>
  <c r="J23" i="9" s="1"/>
  <c r="H22" i="9"/>
  <c r="J22" i="9" s="1"/>
  <c r="H21" i="9"/>
  <c r="J21" i="9" s="1"/>
  <c r="H20" i="9"/>
  <c r="J20" i="9" s="1"/>
  <c r="H19" i="9"/>
  <c r="J19" i="9" s="1"/>
  <c r="H18" i="9"/>
  <c r="J18" i="9" s="1"/>
  <c r="H17" i="9"/>
  <c r="J17" i="9" s="1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F9" i="10" s="1"/>
  <c r="H8" i="9"/>
  <c r="J8" i="9" s="1"/>
  <c r="H7" i="9"/>
  <c r="J7" i="9" s="1"/>
  <c r="H6" i="9"/>
  <c r="J6" i="9" s="1"/>
  <c r="H5" i="9"/>
  <c r="J5" i="18" l="1"/>
  <c r="H25" i="18"/>
  <c r="J23" i="22"/>
  <c r="G34" i="9"/>
  <c r="H9" i="10"/>
  <c r="F25" i="10"/>
  <c r="C30" i="9"/>
  <c r="H25" i="9"/>
  <c r="J5" i="9"/>
  <c r="J25" i="9" s="1"/>
  <c r="F5" i="19" l="1"/>
  <c r="F5" i="20"/>
  <c r="J25" i="18"/>
  <c r="F23" i="23"/>
  <c r="D35" i="9"/>
  <c r="H35" i="9" s="1"/>
  <c r="J9" i="10"/>
  <c r="F9" i="11" s="1"/>
  <c r="H25" i="10"/>
  <c r="I25" i="8"/>
  <c r="H5" i="20" l="1"/>
  <c r="F25" i="20"/>
  <c r="H5" i="19"/>
  <c r="F25" i="19"/>
  <c r="H23" i="23"/>
  <c r="J25" i="10"/>
  <c r="H14" i="8"/>
  <c r="H44" i="8"/>
  <c r="K25" i="8"/>
  <c r="C33" i="8" s="1"/>
  <c r="G30" i="8"/>
  <c r="G25" i="8"/>
  <c r="F25" i="8"/>
  <c r="E25" i="8"/>
  <c r="C32" i="8" s="1"/>
  <c r="G32" i="8" s="1"/>
  <c r="D25" i="8"/>
  <c r="C25" i="8"/>
  <c r="C30" i="8" s="1"/>
  <c r="D34" i="8" s="1"/>
  <c r="H24" i="8"/>
  <c r="J24" i="8" s="1"/>
  <c r="H23" i="8"/>
  <c r="J23" i="8" s="1"/>
  <c r="H22" i="8"/>
  <c r="J22" i="8" s="1"/>
  <c r="H21" i="8"/>
  <c r="J21" i="8" s="1"/>
  <c r="H20" i="8"/>
  <c r="J20" i="8" s="1"/>
  <c r="H19" i="8"/>
  <c r="J19" i="8" s="1"/>
  <c r="H18" i="8"/>
  <c r="J18" i="8" s="1"/>
  <c r="H17" i="8"/>
  <c r="J17" i="8" s="1"/>
  <c r="H16" i="8"/>
  <c r="J16" i="8" s="1"/>
  <c r="H15" i="8"/>
  <c r="J15" i="8" s="1"/>
  <c r="J14" i="8"/>
  <c r="H13" i="8"/>
  <c r="J13" i="8" s="1"/>
  <c r="H12" i="8"/>
  <c r="J12" i="8" s="1"/>
  <c r="H11" i="8"/>
  <c r="J11" i="8" s="1"/>
  <c r="H10" i="8"/>
  <c r="J10" i="8" s="1"/>
  <c r="H9" i="8"/>
  <c r="J9" i="8" s="1"/>
  <c r="H8" i="8"/>
  <c r="J8" i="8" s="1"/>
  <c r="H7" i="8"/>
  <c r="J7" i="8" s="1"/>
  <c r="H6" i="8"/>
  <c r="J6" i="8" s="1"/>
  <c r="H5" i="8"/>
  <c r="H25" i="8" l="1"/>
  <c r="J5" i="19"/>
  <c r="J25" i="19" s="1"/>
  <c r="H25" i="19"/>
  <c r="J5" i="20"/>
  <c r="H25" i="20"/>
  <c r="J23" i="23"/>
  <c r="H9" i="11"/>
  <c r="F25" i="11"/>
  <c r="G33" i="8"/>
  <c r="J5" i="8"/>
  <c r="J25" i="8" s="1"/>
  <c r="H44" i="7"/>
  <c r="D45" i="6"/>
  <c r="D41" i="5"/>
  <c r="H45" i="6"/>
  <c r="I25" i="7"/>
  <c r="G30" i="7" s="1"/>
  <c r="D44" i="7"/>
  <c r="F5" i="21" l="1"/>
  <c r="J25" i="20"/>
  <c r="F23" i="24"/>
  <c r="H25" i="11"/>
  <c r="J9" i="11"/>
  <c r="J25" i="11" s="1"/>
  <c r="H34" i="8"/>
  <c r="H41" i="5"/>
  <c r="H5" i="21" l="1"/>
  <c r="F25" i="21"/>
  <c r="H23" i="24"/>
  <c r="C25" i="7"/>
  <c r="J5" i="21" l="1"/>
  <c r="H25" i="21"/>
  <c r="J23" i="24"/>
  <c r="F23" i="25" l="1"/>
  <c r="H23" i="25" s="1"/>
  <c r="J23" i="25" s="1"/>
  <c r="F23" i="26" s="1"/>
  <c r="H23" i="26" s="1"/>
  <c r="J23" i="26" s="1"/>
  <c r="F23" i="27" s="1"/>
  <c r="H23" i="27" s="1"/>
  <c r="J23" i="27" s="1"/>
  <c r="F23" i="28" s="1"/>
  <c r="H23" i="28" s="1"/>
  <c r="J23" i="28" s="1"/>
  <c r="F5" i="22"/>
  <c r="J25" i="21"/>
  <c r="H20" i="7"/>
  <c r="F23" i="29" l="1"/>
  <c r="H23" i="29" s="1"/>
  <c r="J23" i="29" s="1"/>
  <c r="F23" i="30" s="1"/>
  <c r="H23" i="30" s="1"/>
  <c r="J23" i="30" s="1"/>
  <c r="F23" i="31" s="1"/>
  <c r="H23" i="31" s="1"/>
  <c r="J23" i="31" s="1"/>
  <c r="H5" i="22"/>
  <c r="F27" i="22"/>
  <c r="M39" i="5"/>
  <c r="F23" i="32" l="1"/>
  <c r="H23" i="32" s="1"/>
  <c r="J23" i="32" s="1"/>
  <c r="J5" i="22"/>
  <c r="H27" i="22"/>
  <c r="H22" i="7"/>
  <c r="J22" i="7" s="1"/>
  <c r="F23" i="33" l="1"/>
  <c r="H23" i="33" s="1"/>
  <c r="J23" i="33" s="1"/>
  <c r="F23" i="40" s="1"/>
  <c r="H23" i="40" s="1"/>
  <c r="J23" i="40" s="1"/>
  <c r="F23" i="41" s="1"/>
  <c r="H23" i="41" s="1"/>
  <c r="J23" i="41" s="1"/>
  <c r="F23" i="42" s="1"/>
  <c r="H23" i="42" s="1"/>
  <c r="J23" i="42" s="1"/>
  <c r="F5" i="23"/>
  <c r="J27" i="22"/>
  <c r="G25" i="7"/>
  <c r="C30" i="7" s="1"/>
  <c r="E25" i="7"/>
  <c r="C32" i="7" s="1"/>
  <c r="H5" i="23" l="1"/>
  <c r="F30" i="23"/>
  <c r="K25" i="7"/>
  <c r="C33" i="7" s="1"/>
  <c r="F25" i="7"/>
  <c r="G32" i="7"/>
  <c r="D25" i="7"/>
  <c r="H24" i="7"/>
  <c r="J24" i="7" s="1"/>
  <c r="H23" i="7"/>
  <c r="J23" i="7" s="1"/>
  <c r="H21" i="7"/>
  <c r="J21" i="7" s="1"/>
  <c r="H19" i="7"/>
  <c r="J19" i="7" s="1"/>
  <c r="H18" i="7"/>
  <c r="J18" i="7" s="1"/>
  <c r="H17" i="7"/>
  <c r="J17" i="7" s="1"/>
  <c r="H16" i="7"/>
  <c r="J16" i="7" s="1"/>
  <c r="H15" i="7"/>
  <c r="J15" i="7" s="1"/>
  <c r="H14" i="7"/>
  <c r="J14" i="7" s="1"/>
  <c r="H13" i="7"/>
  <c r="J13" i="7" s="1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5" i="7"/>
  <c r="H25" i="7" l="1"/>
  <c r="J5" i="23"/>
  <c r="H30" i="23"/>
  <c r="G33" i="7"/>
  <c r="D35" i="7"/>
  <c r="J5" i="7"/>
  <c r="J25" i="7" s="1"/>
  <c r="F5" i="24" l="1"/>
  <c r="J30" i="23"/>
  <c r="H35" i="7"/>
  <c r="H5" i="24" l="1"/>
  <c r="F30" i="24"/>
  <c r="G25" i="6"/>
  <c r="I25" i="6"/>
  <c r="G30" i="6" s="1"/>
  <c r="F25" i="6"/>
  <c r="E25" i="6"/>
  <c r="C32" i="6" s="1"/>
  <c r="D25" i="6"/>
  <c r="C25" i="6"/>
  <c r="H24" i="6"/>
  <c r="J24" i="6" s="1"/>
  <c r="H23" i="6"/>
  <c r="J23" i="6" s="1"/>
  <c r="H22" i="6"/>
  <c r="J22" i="6" s="1"/>
  <c r="H21" i="6"/>
  <c r="J21" i="6" s="1"/>
  <c r="H20" i="6"/>
  <c r="J20" i="6" s="1"/>
  <c r="H19" i="6"/>
  <c r="J19" i="6" s="1"/>
  <c r="H18" i="6"/>
  <c r="J18" i="6" s="1"/>
  <c r="H17" i="6"/>
  <c r="J17" i="6" s="1"/>
  <c r="H16" i="6"/>
  <c r="J16" i="6" s="1"/>
  <c r="H15" i="6"/>
  <c r="J15" i="6" s="1"/>
  <c r="H14" i="6"/>
  <c r="J14" i="6" s="1"/>
  <c r="H13" i="6"/>
  <c r="J13" i="6" s="1"/>
  <c r="H12" i="6"/>
  <c r="J12" i="6" s="1"/>
  <c r="H11" i="6"/>
  <c r="J11" i="6" s="1"/>
  <c r="H10" i="6"/>
  <c r="J10" i="6" s="1"/>
  <c r="H9" i="6"/>
  <c r="H8" i="6"/>
  <c r="J8" i="6" s="1"/>
  <c r="H7" i="6"/>
  <c r="J7" i="6" s="1"/>
  <c r="H6" i="6"/>
  <c r="J6" i="6" s="1"/>
  <c r="H5" i="6"/>
  <c r="J5" i="6" s="1"/>
  <c r="J5" i="24" l="1"/>
  <c r="H30" i="24"/>
  <c r="G32" i="6"/>
  <c r="H25" i="6"/>
  <c r="J25" i="6" s="1"/>
  <c r="J9" i="6"/>
  <c r="C30" i="6"/>
  <c r="D33" i="6" s="1"/>
  <c r="H33" i="6" s="1"/>
  <c r="F5" i="25" l="1"/>
  <c r="J30" i="24"/>
  <c r="E25" i="5"/>
  <c r="H5" i="25" l="1"/>
  <c r="F30" i="25"/>
  <c r="I25" i="5"/>
  <c r="G30" i="5" s="1"/>
  <c r="J5" i="25" l="1"/>
  <c r="H30" i="25"/>
  <c r="H1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J18" i="5" s="1"/>
  <c r="H20" i="5"/>
  <c r="H21" i="5"/>
  <c r="H22" i="5"/>
  <c r="H23" i="5"/>
  <c r="H24" i="5"/>
  <c r="H5" i="5"/>
  <c r="F5" i="26" l="1"/>
  <c r="J30" i="25"/>
  <c r="C25" i="5"/>
  <c r="G25" i="5"/>
  <c r="F25" i="5"/>
  <c r="C33" i="5"/>
  <c r="D25" i="5"/>
  <c r="J24" i="5"/>
  <c r="J23" i="5"/>
  <c r="J22" i="5"/>
  <c r="J21" i="5"/>
  <c r="J20" i="5"/>
  <c r="J19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H25" i="5"/>
  <c r="C30" i="5" l="1"/>
  <c r="D34" i="5" s="1"/>
  <c r="C41" i="5" s="1"/>
  <c r="E41" i="5" s="1"/>
  <c r="K45" i="5" s="1"/>
  <c r="F30" i="26"/>
  <c r="H5" i="26"/>
  <c r="G33" i="5"/>
  <c r="J25" i="5"/>
  <c r="D55" i="4"/>
  <c r="J5" i="26" l="1"/>
  <c r="H30" i="26"/>
  <c r="C31" i="6"/>
  <c r="C45" i="6" s="1"/>
  <c r="E45" i="6" s="1"/>
  <c r="H34" i="5"/>
  <c r="G41" i="5" s="1"/>
  <c r="I41" i="5" s="1"/>
  <c r="I25" i="4"/>
  <c r="G29" i="4" s="1"/>
  <c r="G25" i="4"/>
  <c r="F5" i="27" l="1"/>
  <c r="J30" i="26"/>
  <c r="C31" i="7"/>
  <c r="C44" i="7" s="1"/>
  <c r="G31" i="6"/>
  <c r="G45" i="6" s="1"/>
  <c r="I45" i="6" s="1"/>
  <c r="F25" i="4"/>
  <c r="F25" i="3"/>
  <c r="H5" i="27" l="1"/>
  <c r="J5" i="27" s="1"/>
  <c r="F5" i="28" s="1"/>
  <c r="F30" i="27"/>
  <c r="E44" i="7"/>
  <c r="C31" i="8" s="1"/>
  <c r="H5" i="28" l="1"/>
  <c r="C44" i="8"/>
  <c r="E44" i="8" s="1"/>
  <c r="C31" i="9" s="1"/>
  <c r="C44" i="9" s="1"/>
  <c r="E44" i="9" s="1"/>
  <c r="C31" i="10" s="1"/>
  <c r="G31" i="7"/>
  <c r="G44" i="7" s="1"/>
  <c r="K41" i="6"/>
  <c r="J5" i="28" l="1"/>
  <c r="C44" i="10"/>
  <c r="E44" i="10" s="1"/>
  <c r="C31" i="11" s="1"/>
  <c r="I44" i="7"/>
  <c r="G31" i="8" s="1"/>
  <c r="C50" i="4"/>
  <c r="C55" i="4" s="1"/>
  <c r="E55" i="4" s="1"/>
  <c r="F5" i="29" l="1"/>
  <c r="G44" i="8"/>
  <c r="I44" i="8" s="1"/>
  <c r="G31" i="9" s="1"/>
  <c r="G44" i="9" s="1"/>
  <c r="C44" i="11"/>
  <c r="E44" i="11" s="1"/>
  <c r="C31" i="12" s="1"/>
  <c r="C29" i="4"/>
  <c r="E25" i="4"/>
  <c r="D25" i="4"/>
  <c r="H24" i="4"/>
  <c r="J24" i="4" s="1"/>
  <c r="H23" i="4"/>
  <c r="J23" i="4" s="1"/>
  <c r="H22" i="4"/>
  <c r="J22" i="4" s="1"/>
  <c r="H21" i="4"/>
  <c r="J21" i="4" s="1"/>
  <c r="H20" i="4"/>
  <c r="J20" i="4" s="1"/>
  <c r="H19" i="4"/>
  <c r="J19" i="4" s="1"/>
  <c r="H18" i="4"/>
  <c r="J18" i="4" s="1"/>
  <c r="H17" i="4"/>
  <c r="J17" i="4" s="1"/>
  <c r="H16" i="4"/>
  <c r="J16" i="4" s="1"/>
  <c r="H15" i="4"/>
  <c r="J15" i="4" s="1"/>
  <c r="H14" i="4"/>
  <c r="J14" i="4" s="1"/>
  <c r="H13" i="4"/>
  <c r="J13" i="4" s="1"/>
  <c r="H12" i="4"/>
  <c r="J12" i="4" s="1"/>
  <c r="H11" i="4"/>
  <c r="J11" i="4" s="1"/>
  <c r="H10" i="4"/>
  <c r="J10" i="4" s="1"/>
  <c r="H9" i="4"/>
  <c r="J9" i="4" s="1"/>
  <c r="H8" i="4"/>
  <c r="J8" i="4" s="1"/>
  <c r="H7" i="4"/>
  <c r="J7" i="4" s="1"/>
  <c r="H6" i="4"/>
  <c r="J6" i="4" s="1"/>
  <c r="H5" i="4"/>
  <c r="J5" i="4" s="1"/>
  <c r="H5" i="29" l="1"/>
  <c r="I44" i="9"/>
  <c r="G31" i="10" s="1"/>
  <c r="G44" i="10" s="1"/>
  <c r="I44" i="10" s="1"/>
  <c r="G31" i="11" s="1"/>
  <c r="G44" i="11" s="1"/>
  <c r="I44" i="11" s="1"/>
  <c r="G31" i="12" s="1"/>
  <c r="C44" i="12"/>
  <c r="E44" i="12" s="1"/>
  <c r="C31" i="13" s="1"/>
  <c r="H25" i="4"/>
  <c r="J25" i="4" s="1"/>
  <c r="G37" i="4"/>
  <c r="C37" i="4"/>
  <c r="D31" i="4"/>
  <c r="H31" i="4" s="1"/>
  <c r="H37" i="4" s="1"/>
  <c r="J5" i="29" l="1"/>
  <c r="C44" i="13"/>
  <c r="E44" i="13" s="1"/>
  <c r="C31" i="14" s="1"/>
  <c r="C44" i="14" s="1"/>
  <c r="E44" i="14" s="1"/>
  <c r="G44" i="12"/>
  <c r="I44" i="12" s="1"/>
  <c r="G31" i="13" s="1"/>
  <c r="F44" i="4"/>
  <c r="D37" i="4"/>
  <c r="E37" i="4" s="1"/>
  <c r="I37" i="4"/>
  <c r="F5" i="30" l="1"/>
  <c r="C31" i="15"/>
  <c r="C44" i="15" s="1"/>
  <c r="E44" i="15" s="1"/>
  <c r="C31" i="16" s="1"/>
  <c r="C44" i="16" s="1"/>
  <c r="E44" i="16" s="1"/>
  <c r="C31" i="17" s="1"/>
  <c r="G44" i="13"/>
  <c r="I44" i="13" s="1"/>
  <c r="H5" i="30" l="1"/>
  <c r="C44" i="17"/>
  <c r="E44" i="17" s="1"/>
  <c r="C31" i="18" s="1"/>
  <c r="M40" i="17"/>
  <c r="M41" i="17" s="1"/>
  <c r="M42" i="17" s="1"/>
  <c r="G31" i="14"/>
  <c r="H6" i="3"/>
  <c r="H18" i="3"/>
  <c r="J18" i="3" s="1"/>
  <c r="J5" i="30" l="1"/>
  <c r="F5" i="31" s="1"/>
  <c r="C44" i="18"/>
  <c r="E44" i="18" s="1"/>
  <c r="C31" i="19" s="1"/>
  <c r="C44" i="19" s="1"/>
  <c r="E44" i="19" s="1"/>
  <c r="C31" i="20" s="1"/>
  <c r="C44" i="20" s="1"/>
  <c r="E44" i="20" s="1"/>
  <c r="C31" i="21" s="1"/>
  <c r="C44" i="21" s="1"/>
  <c r="E44" i="21" s="1"/>
  <c r="C33" i="22" s="1"/>
  <c r="G44" i="14"/>
  <c r="I44" i="14" s="1"/>
  <c r="G31" i="15" s="1"/>
  <c r="I25" i="3"/>
  <c r="G30" i="3" s="1"/>
  <c r="G25" i="3"/>
  <c r="C30" i="3" s="1"/>
  <c r="D32" i="3" s="1"/>
  <c r="H32" i="3" s="1"/>
  <c r="E25" i="3"/>
  <c r="D25" i="3"/>
  <c r="H24" i="3"/>
  <c r="J24" i="3" s="1"/>
  <c r="H23" i="3"/>
  <c r="J23" i="3" s="1"/>
  <c r="H22" i="3"/>
  <c r="J22" i="3" s="1"/>
  <c r="H21" i="3"/>
  <c r="J21" i="3" s="1"/>
  <c r="H20" i="3"/>
  <c r="J20" i="3" s="1"/>
  <c r="H19" i="3"/>
  <c r="J19" i="3" s="1"/>
  <c r="H17" i="3"/>
  <c r="J17" i="3" s="1"/>
  <c r="H16" i="3"/>
  <c r="J16" i="3" s="1"/>
  <c r="H15" i="3"/>
  <c r="J15" i="3" s="1"/>
  <c r="H14" i="3"/>
  <c r="J14" i="3" s="1"/>
  <c r="H13" i="3"/>
  <c r="J13" i="3" s="1"/>
  <c r="H12" i="3"/>
  <c r="J12" i="3" s="1"/>
  <c r="H11" i="3"/>
  <c r="J11" i="3" s="1"/>
  <c r="H10" i="3"/>
  <c r="J10" i="3" s="1"/>
  <c r="H9" i="3"/>
  <c r="J9" i="3" s="1"/>
  <c r="H8" i="3"/>
  <c r="J8" i="3" s="1"/>
  <c r="H7" i="3"/>
  <c r="J7" i="3" s="1"/>
  <c r="H5" i="3"/>
  <c r="H5" i="31" l="1"/>
  <c r="H25" i="3"/>
  <c r="C46" i="22"/>
  <c r="E46" i="22" s="1"/>
  <c r="C36" i="23" s="1"/>
  <c r="C49" i="23" s="1"/>
  <c r="E49" i="23" s="1"/>
  <c r="C36" i="24" s="1"/>
  <c r="C49" i="24" s="1"/>
  <c r="E49" i="24" s="1"/>
  <c r="C36" i="25" s="1"/>
  <c r="C49" i="25" s="1"/>
  <c r="E49" i="25" s="1"/>
  <c r="C36" i="26" s="1"/>
  <c r="C49" i="26" s="1"/>
  <c r="E49" i="26" s="1"/>
  <c r="C36" i="27" s="1"/>
  <c r="C49" i="27" s="1"/>
  <c r="E49" i="27" s="1"/>
  <c r="G44" i="15"/>
  <c r="I44" i="15" s="1"/>
  <c r="G31" i="16" s="1"/>
  <c r="G44" i="16" s="1"/>
  <c r="I44" i="16" s="1"/>
  <c r="G31" i="17" s="1"/>
  <c r="J25" i="3"/>
  <c r="G38" i="3"/>
  <c r="F48" i="3"/>
  <c r="J5" i="3"/>
  <c r="J5" i="31" l="1"/>
  <c r="C36" i="28"/>
  <c r="C49" i="28" s="1"/>
  <c r="E49" i="28" s="1"/>
  <c r="G44" i="17"/>
  <c r="I44" i="17" s="1"/>
  <c r="G31" i="18" s="1"/>
  <c r="G44" i="18" s="1"/>
  <c r="I44" i="18" s="1"/>
  <c r="G31" i="19" s="1"/>
  <c r="G44" i="19" s="1"/>
  <c r="I44" i="19" s="1"/>
  <c r="G31" i="20" s="1"/>
  <c r="G44" i="20" s="1"/>
  <c r="I44" i="20" s="1"/>
  <c r="G31" i="21" s="1"/>
  <c r="G44" i="21" s="1"/>
  <c r="I44" i="21" s="1"/>
  <c r="G33" i="22" s="1"/>
  <c r="G46" i="22" s="1"/>
  <c r="I46" i="22" s="1"/>
  <c r="G36" i="23" s="1"/>
  <c r="G49" i="23" s="1"/>
  <c r="I49" i="23" s="1"/>
  <c r="G36" i="24" s="1"/>
  <c r="G49" i="24" s="1"/>
  <c r="I49" i="24" s="1"/>
  <c r="D38" i="3"/>
  <c r="H38" i="3"/>
  <c r="I38" i="3" s="1"/>
  <c r="I25" i="2"/>
  <c r="G30" i="2" s="1"/>
  <c r="G25" i="2"/>
  <c r="C30" i="2" s="1"/>
  <c r="E25" i="2"/>
  <c r="D25" i="2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18" i="2"/>
  <c r="J18" i="2" s="1"/>
  <c r="H17" i="2"/>
  <c r="J17" i="2" s="1"/>
  <c r="H16" i="2"/>
  <c r="J16" i="2" s="1"/>
  <c r="H15" i="2"/>
  <c r="J15" i="2" s="1"/>
  <c r="H14" i="2"/>
  <c r="J14" i="2" s="1"/>
  <c r="H13" i="2"/>
  <c r="J13" i="2" s="1"/>
  <c r="H12" i="2"/>
  <c r="J12" i="2" s="1"/>
  <c r="H11" i="2"/>
  <c r="J11" i="2" s="1"/>
  <c r="H10" i="2"/>
  <c r="J10" i="2" s="1"/>
  <c r="H9" i="2"/>
  <c r="J9" i="2" s="1"/>
  <c r="H8" i="2"/>
  <c r="J8" i="2" s="1"/>
  <c r="H7" i="2"/>
  <c r="J7" i="2" s="1"/>
  <c r="H6" i="2"/>
  <c r="J6" i="2" s="1"/>
  <c r="H5" i="2"/>
  <c r="H25" i="2" l="1"/>
  <c r="F5" i="32"/>
  <c r="H5" i="32" s="1"/>
  <c r="J33" i="31"/>
  <c r="C36" i="29"/>
  <c r="C49" i="29" s="1"/>
  <c r="E49" i="29" s="1"/>
  <c r="G36" i="25"/>
  <c r="G49" i="25" s="1"/>
  <c r="I49" i="25" s="1"/>
  <c r="G36" i="26" s="1"/>
  <c r="G49" i="26" s="1"/>
  <c r="I49" i="26" s="1"/>
  <c r="G36" i="27" s="1"/>
  <c r="G49" i="27" s="1"/>
  <c r="I49" i="27" s="1"/>
  <c r="G36" i="28" s="1"/>
  <c r="I52" i="24"/>
  <c r="J25" i="2"/>
  <c r="D32" i="2"/>
  <c r="G38" i="2"/>
  <c r="J5" i="2"/>
  <c r="J5" i="32" l="1"/>
  <c r="D38" i="2"/>
  <c r="H32" i="2"/>
  <c r="F47" i="2"/>
  <c r="K51" i="29"/>
  <c r="C36" i="30"/>
  <c r="G49" i="28"/>
  <c r="I49" i="28" s="1"/>
  <c r="G36" i="29" s="1"/>
  <c r="G49" i="29" s="1"/>
  <c r="I49" i="29" s="1"/>
  <c r="G36" i="30" s="1"/>
  <c r="H38" i="2"/>
  <c r="I38" i="2"/>
  <c r="E25" i="1"/>
  <c r="D25" i="1"/>
  <c r="I25" i="1"/>
  <c r="G30" i="1" s="1"/>
  <c r="H32" i="1" s="1"/>
  <c r="H6" i="1"/>
  <c r="H7" i="1"/>
  <c r="J7" i="1" s="1"/>
  <c r="H8" i="1"/>
  <c r="H9" i="1"/>
  <c r="J9" i="1" s="1"/>
  <c r="H10" i="1"/>
  <c r="H11" i="1"/>
  <c r="H12" i="1"/>
  <c r="H13" i="1"/>
  <c r="H14" i="1"/>
  <c r="H15" i="1"/>
  <c r="H16" i="1"/>
  <c r="H17" i="1"/>
  <c r="H18" i="1"/>
  <c r="H19" i="1"/>
  <c r="J19" i="1" s="1"/>
  <c r="H20" i="1"/>
  <c r="H21" i="1"/>
  <c r="J21" i="1" s="1"/>
  <c r="H22" i="1"/>
  <c r="J22" i="1" s="1"/>
  <c r="H23" i="1"/>
  <c r="H24" i="1"/>
  <c r="J6" i="1"/>
  <c r="J8" i="1"/>
  <c r="J10" i="1"/>
  <c r="J11" i="1"/>
  <c r="J12" i="1"/>
  <c r="J13" i="1"/>
  <c r="J14" i="1"/>
  <c r="J15" i="1"/>
  <c r="J16" i="1"/>
  <c r="J17" i="1"/>
  <c r="J18" i="1"/>
  <c r="J20" i="1"/>
  <c r="J23" i="1"/>
  <c r="J24" i="1"/>
  <c r="J5" i="1"/>
  <c r="H5" i="1"/>
  <c r="G25" i="1"/>
  <c r="C30" i="1" s="1"/>
  <c r="F5" i="33" l="1"/>
  <c r="G49" i="30"/>
  <c r="I49" i="30" s="1"/>
  <c r="G36" i="31" s="1"/>
  <c r="G49" i="31" s="1"/>
  <c r="I49" i="31" s="1"/>
  <c r="G36" i="32" s="1"/>
  <c r="G49" i="32" s="1"/>
  <c r="I49" i="32" s="1"/>
  <c r="G36" i="33" s="1"/>
  <c r="G49" i="33" s="1"/>
  <c r="I49" i="33" s="1"/>
  <c r="C49" i="30"/>
  <c r="E49" i="30" s="1"/>
  <c r="C36" i="31" s="1"/>
  <c r="C49" i="31" s="1"/>
  <c r="E49" i="31" s="1"/>
  <c r="C36" i="32" s="1"/>
  <c r="F46" i="2"/>
  <c r="F49" i="2" s="1"/>
  <c r="H49" i="2" s="1"/>
  <c r="F47" i="3" s="1"/>
  <c r="F50" i="3" s="1"/>
  <c r="H50" i="3" s="1"/>
  <c r="F43" i="4" s="1"/>
  <c r="F46" i="4" s="1"/>
  <c r="H46" i="4" s="1"/>
  <c r="H38" i="1"/>
  <c r="C38" i="1"/>
  <c r="G38" i="1"/>
  <c r="H25" i="1"/>
  <c r="J25" i="1" s="1"/>
  <c r="D32" i="1"/>
  <c r="H5" i="33" l="1"/>
  <c r="G36" i="40"/>
  <c r="G49" i="40" s="1"/>
  <c r="I49" i="40" s="1"/>
  <c r="G36" i="41" s="1"/>
  <c r="G49" i="41" s="1"/>
  <c r="I49" i="41" s="1"/>
  <c r="K47" i="33"/>
  <c r="C49" i="32"/>
  <c r="E49" i="32" s="1"/>
  <c r="C36" i="33" s="1"/>
  <c r="C49" i="33" s="1"/>
  <c r="E49" i="33" s="1"/>
  <c r="C36" i="40" s="1"/>
  <c r="C49" i="40" s="1"/>
  <c r="E49" i="40" s="1"/>
  <c r="C36" i="41" s="1"/>
  <c r="C49" i="41" s="1"/>
  <c r="E49" i="41" s="1"/>
  <c r="C36" i="42" s="1"/>
  <c r="C49" i="42" s="1"/>
  <c r="E49" i="42" s="1"/>
  <c r="C36" i="43" s="1"/>
  <c r="C49" i="43" s="1"/>
  <c r="E49" i="43" s="1"/>
  <c r="K45" i="32"/>
  <c r="K46" i="32" s="1"/>
  <c r="D38" i="1"/>
  <c r="E38" i="1" s="1"/>
  <c r="C38" i="2" s="1"/>
  <c r="E38" i="2" s="1"/>
  <c r="C38" i="3" s="1"/>
  <c r="E38" i="3" s="1"/>
  <c r="I38" i="1"/>
  <c r="C36" i="44" l="1"/>
  <c r="C49" i="44" s="1"/>
  <c r="E49" i="44" s="1"/>
  <c r="C36" i="45" s="1"/>
  <c r="C49" i="45" s="1"/>
  <c r="E49" i="45" s="1"/>
  <c r="C36" i="46" s="1"/>
  <c r="C49" i="46" s="1"/>
  <c r="E49" i="46" s="1"/>
  <c r="C36" i="47" s="1"/>
  <c r="C49" i="47" s="1"/>
  <c r="E49" i="47" s="1"/>
  <c r="C36" i="48" s="1"/>
  <c r="C49" i="48" s="1"/>
  <c r="E49" i="48" s="1"/>
  <c r="J5" i="33"/>
  <c r="G36" i="42"/>
  <c r="G49" i="42" s="1"/>
  <c r="I49" i="42" s="1"/>
  <c r="G36" i="43" s="1"/>
  <c r="G49" i="43" s="1"/>
  <c r="I49" i="43" s="1"/>
  <c r="G36" i="44" s="1"/>
  <c r="G49" i="44" s="1"/>
  <c r="I49" i="44" s="1"/>
  <c r="G36" i="45" s="1"/>
  <c r="G49" i="45" s="1"/>
  <c r="I49" i="45" s="1"/>
  <c r="G36" i="46" s="1"/>
  <c r="G49" i="46" s="1"/>
  <c r="I49" i="46" s="1"/>
  <c r="G36" i="47" s="1"/>
  <c r="G49" i="47" s="1"/>
  <c r="I49" i="47" s="1"/>
  <c r="G36" i="48" s="1"/>
  <c r="G49" i="48" s="1"/>
  <c r="I49" i="48" s="1"/>
  <c r="H6" i="27"/>
  <c r="J6" i="27" s="1"/>
  <c r="F6" i="28" s="1"/>
  <c r="H9" i="27"/>
  <c r="J9" i="27" s="1"/>
  <c r="F9" i="28" s="1"/>
  <c r="H9" i="28" s="1"/>
  <c r="J9" i="28" s="1"/>
  <c r="F9" i="29" s="1"/>
  <c r="H9" i="29" s="1"/>
  <c r="J9" i="29" s="1"/>
  <c r="F9" i="30" s="1"/>
  <c r="H9" i="30" s="1"/>
  <c r="J9" i="30" s="1"/>
  <c r="F9" i="31" s="1"/>
  <c r="H9" i="31" s="1"/>
  <c r="J9" i="31" s="1"/>
  <c r="F9" i="32" s="1"/>
  <c r="H9" i="32" s="1"/>
  <c r="J9" i="32" s="1"/>
  <c r="F9" i="33" s="1"/>
  <c r="H9" i="33" s="1"/>
  <c r="J9" i="33" s="1"/>
  <c r="F9" i="40" s="1"/>
  <c r="H9" i="40" s="1"/>
  <c r="J9" i="40" s="1"/>
  <c r="H12" i="27"/>
  <c r="J12" i="27" s="1"/>
  <c r="F12" i="28" s="1"/>
  <c r="H12" i="28" s="1"/>
  <c r="J12" i="28" s="1"/>
  <c r="F12" i="29" s="1"/>
  <c r="H12" i="29" s="1"/>
  <c r="J12" i="29" s="1"/>
  <c r="F12" i="30" s="1"/>
  <c r="H12" i="30" s="1"/>
  <c r="J12" i="30" s="1"/>
  <c r="F12" i="31" s="1"/>
  <c r="H12" i="31" s="1"/>
  <c r="J12" i="31" s="1"/>
  <c r="F12" i="32" s="1"/>
  <c r="H12" i="32" s="1"/>
  <c r="J12" i="32" s="1"/>
  <c r="F12" i="33" s="1"/>
  <c r="H12" i="33" s="1"/>
  <c r="J12" i="33" s="1"/>
  <c r="F12" i="40" s="1"/>
  <c r="H12" i="40" s="1"/>
  <c r="J12" i="40" s="1"/>
  <c r="F12" i="41" s="1"/>
  <c r="H12" i="41" s="1"/>
  <c r="J12" i="41" s="1"/>
  <c r="F12" i="42" s="1"/>
  <c r="H12" i="42" s="1"/>
  <c r="J12" i="42" s="1"/>
  <c r="F12" i="43" s="1"/>
  <c r="H12" i="43" s="1"/>
  <c r="J12" i="43" s="1"/>
  <c r="F12" i="44" s="1"/>
  <c r="H12" i="44" s="1"/>
  <c r="J12" i="44" s="1"/>
  <c r="F12" i="45" s="1"/>
  <c r="H12" i="45" s="1"/>
  <c r="J12" i="45" s="1"/>
  <c r="F12" i="46" s="1"/>
  <c r="H12" i="46" s="1"/>
  <c r="J12" i="46" s="1"/>
  <c r="F12" i="47" s="1"/>
  <c r="H12" i="47" s="1"/>
  <c r="J12" i="47" s="1"/>
  <c r="F12" i="48" s="1"/>
  <c r="H12" i="48" s="1"/>
  <c r="J12" i="48" s="1"/>
  <c r="H15" i="27"/>
  <c r="J15" i="27" s="1"/>
  <c r="F15" i="28" s="1"/>
  <c r="H15" i="28" s="1"/>
  <c r="J15" i="28" s="1"/>
  <c r="F15" i="29" s="1"/>
  <c r="H15" i="29" s="1"/>
  <c r="J15" i="29" s="1"/>
  <c r="F15" i="30" s="1"/>
  <c r="H15" i="30" s="1"/>
  <c r="J15" i="30" s="1"/>
  <c r="F15" i="31" s="1"/>
  <c r="H15" i="31" s="1"/>
  <c r="J15" i="31" s="1"/>
  <c r="F15" i="32" s="1"/>
  <c r="H15" i="32" s="1"/>
  <c r="J15" i="32" s="1"/>
  <c r="F15" i="33" s="1"/>
  <c r="H15" i="33" s="1"/>
  <c r="J15" i="33" s="1"/>
  <c r="F15" i="40" s="1"/>
  <c r="H15" i="40" s="1"/>
  <c r="J15" i="40" s="1"/>
  <c r="F15" i="41" s="1"/>
  <c r="H15" i="41" s="1"/>
  <c r="J15" i="41" s="1"/>
  <c r="F15" i="42" s="1"/>
  <c r="H15" i="42" s="1"/>
  <c r="J15" i="42" s="1"/>
  <c r="F15" i="43" s="1"/>
  <c r="H15" i="43" s="1"/>
  <c r="J15" i="43" s="1"/>
  <c r="F15" i="44" s="1"/>
  <c r="H15" i="44" s="1"/>
  <c r="J15" i="44" s="1"/>
  <c r="F15" i="45" s="1"/>
  <c r="H15" i="45" s="1"/>
  <c r="J15" i="45" s="1"/>
  <c r="F15" i="46" s="1"/>
  <c r="H15" i="46" s="1"/>
  <c r="J15" i="46" s="1"/>
  <c r="F15" i="47" s="1"/>
  <c r="H15" i="47" s="1"/>
  <c r="J15" i="47" s="1"/>
  <c r="F15" i="48" s="1"/>
  <c r="H15" i="48" s="1"/>
  <c r="J15" i="48" s="1"/>
  <c r="H18" i="27"/>
  <c r="J18" i="27" s="1"/>
  <c r="F18" i="28" s="1"/>
  <c r="H18" i="28" s="1"/>
  <c r="J18" i="28" s="1"/>
  <c r="F18" i="29" s="1"/>
  <c r="H18" i="29" s="1"/>
  <c r="J18" i="29" s="1"/>
  <c r="F18" i="30" s="1"/>
  <c r="H18" i="30" s="1"/>
  <c r="J18" i="30" s="1"/>
  <c r="F18" i="31" s="1"/>
  <c r="H18" i="31" s="1"/>
  <c r="J18" i="31" s="1"/>
  <c r="F18" i="32" s="1"/>
  <c r="H18" i="32" s="1"/>
  <c r="J18" i="32" s="1"/>
  <c r="F18" i="33" s="1"/>
  <c r="H18" i="33" s="1"/>
  <c r="J18" i="33" s="1"/>
  <c r="F18" i="40" s="1"/>
  <c r="H18" i="40" s="1"/>
  <c r="J18" i="40" s="1"/>
  <c r="F18" i="41" s="1"/>
  <c r="H18" i="41" s="1"/>
  <c r="J18" i="41" s="1"/>
  <c r="F18" i="42" s="1"/>
  <c r="H18" i="42" s="1"/>
  <c r="J18" i="42" s="1"/>
  <c r="F18" i="43" s="1"/>
  <c r="H18" i="43" s="1"/>
  <c r="J18" i="43" s="1"/>
  <c r="F18" i="44" s="1"/>
  <c r="H18" i="44" s="1"/>
  <c r="J18" i="44" s="1"/>
  <c r="F18" i="45" s="1"/>
  <c r="H18" i="45" s="1"/>
  <c r="J18" i="45" s="1"/>
  <c r="F18" i="46" s="1"/>
  <c r="H18" i="46" s="1"/>
  <c r="J18" i="46" s="1"/>
  <c r="F18" i="47" s="1"/>
  <c r="H18" i="47" s="1"/>
  <c r="J18" i="47" s="1"/>
  <c r="F18" i="48" s="1"/>
  <c r="H18" i="48" s="1"/>
  <c r="J18" i="48" s="1"/>
  <c r="H21" i="27"/>
  <c r="J21" i="27" s="1"/>
  <c r="F21" i="28" s="1"/>
  <c r="H21" i="28" s="1"/>
  <c r="J21" i="28" s="1"/>
  <c r="F21" i="29" s="1"/>
  <c r="H21" i="29" s="1"/>
  <c r="J21" i="29" s="1"/>
  <c r="F21" i="30" s="1"/>
  <c r="H21" i="30" s="1"/>
  <c r="J21" i="30" s="1"/>
  <c r="F21" i="31" s="1"/>
  <c r="H21" i="31" s="1"/>
  <c r="J21" i="31" s="1"/>
  <c r="F21" i="32" s="1"/>
  <c r="H21" i="32" s="1"/>
  <c r="J21" i="32" s="1"/>
  <c r="F21" i="33" s="1"/>
  <c r="H21" i="33" s="1"/>
  <c r="J21" i="33" s="1"/>
  <c r="F21" i="40" s="1"/>
  <c r="H21" i="40" s="1"/>
  <c r="J21" i="40" s="1"/>
  <c r="F21" i="41" s="1"/>
  <c r="H21" i="41" s="1"/>
  <c r="J21" i="41" s="1"/>
  <c r="F21" i="42" s="1"/>
  <c r="H21" i="42" s="1"/>
  <c r="J21" i="42" s="1"/>
  <c r="F21" i="43" s="1"/>
  <c r="H21" i="43" s="1"/>
  <c r="J21" i="43" s="1"/>
  <c r="F21" i="44" s="1"/>
  <c r="H21" i="44" s="1"/>
  <c r="J21" i="44" s="1"/>
  <c r="F21" i="45" s="1"/>
  <c r="H21" i="45" s="1"/>
  <c r="J21" i="45" s="1"/>
  <c r="F21" i="46" s="1"/>
  <c r="H21" i="46" s="1"/>
  <c r="J21" i="46" s="1"/>
  <c r="F21" i="47" s="1"/>
  <c r="H21" i="47" s="1"/>
  <c r="J21" i="47" s="1"/>
  <c r="F21" i="48" s="1"/>
  <c r="H21" i="48" s="1"/>
  <c r="J21" i="48" s="1"/>
  <c r="H24" i="27"/>
  <c r="J24" i="27" s="1"/>
  <c r="F24" i="28" s="1"/>
  <c r="H24" i="28" s="1"/>
  <c r="J24" i="28" s="1"/>
  <c r="F24" i="29" s="1"/>
  <c r="H24" i="29" s="1"/>
  <c r="J24" i="29" s="1"/>
  <c r="F24" i="30" s="1"/>
  <c r="H24" i="30" s="1"/>
  <c r="J24" i="30" s="1"/>
  <c r="F24" i="31" s="1"/>
  <c r="H24" i="31" s="1"/>
  <c r="J24" i="31" s="1"/>
  <c r="F24" i="32" s="1"/>
  <c r="H24" i="32" s="1"/>
  <c r="J24" i="32" s="1"/>
  <c r="F24" i="33" s="1"/>
  <c r="H24" i="33" s="1"/>
  <c r="J24" i="33" s="1"/>
  <c r="H27" i="27"/>
  <c r="J27" i="27" s="1"/>
  <c r="F27" i="28" s="1"/>
  <c r="H27" i="28" s="1"/>
  <c r="J27" i="28" s="1"/>
  <c r="F27" i="29" s="1"/>
  <c r="H27" i="29" s="1"/>
  <c r="J27" i="29" s="1"/>
  <c r="F27" i="30" s="1"/>
  <c r="H27" i="30" s="1"/>
  <c r="J27" i="30" s="1"/>
  <c r="F27" i="31" s="1"/>
  <c r="H27" i="31" s="1"/>
  <c r="J27" i="31" s="1"/>
  <c r="F27" i="32" s="1"/>
  <c r="H27" i="32" s="1"/>
  <c r="J27" i="32" s="1"/>
  <c r="F27" i="33" s="1"/>
  <c r="H27" i="33" s="1"/>
  <c r="J27" i="33" s="1"/>
  <c r="F5" i="40" l="1"/>
  <c r="H6" i="28"/>
  <c r="F30" i="28"/>
  <c r="H30" i="27"/>
  <c r="J30" i="27"/>
  <c r="H5" i="40" l="1"/>
  <c r="J6" i="28"/>
  <c r="H30" i="28"/>
  <c r="J5" i="40" l="1"/>
  <c r="F6" i="29"/>
  <c r="J30" i="28"/>
  <c r="F5" i="41" l="1"/>
  <c r="H6" i="29"/>
  <c r="F30" i="29"/>
  <c r="H5" i="41" l="1"/>
  <c r="J6" i="29"/>
  <c r="H30" i="29"/>
  <c r="J5" i="41" l="1"/>
  <c r="F6" i="30"/>
  <c r="J30" i="29"/>
  <c r="F5" i="42" l="1"/>
  <c r="H5" i="42" s="1"/>
  <c r="H6" i="30"/>
  <c r="F30" i="30"/>
  <c r="J5" i="42" l="1"/>
  <c r="J6" i="30"/>
  <c r="H30" i="30"/>
  <c r="F5" i="43" l="1"/>
  <c r="J30" i="30"/>
  <c r="F6" i="31"/>
  <c r="H5" i="43" l="1"/>
  <c r="H6" i="31"/>
  <c r="F30" i="31"/>
  <c r="J5" i="43" l="1"/>
  <c r="J6" i="31"/>
  <c r="H30" i="31"/>
  <c r="J30" i="31" l="1"/>
  <c r="F30" i="32" s="1"/>
  <c r="F6" i="32"/>
  <c r="H6" i="32" s="1"/>
  <c r="F5" i="44"/>
  <c r="H5" i="44" s="1"/>
  <c r="J6" i="32" l="1"/>
  <c r="H30" i="32"/>
  <c r="J5" i="44"/>
  <c r="F5" i="45" l="1"/>
  <c r="F6" i="33"/>
  <c r="J30" i="32"/>
  <c r="J31" i="32" s="1"/>
  <c r="H5" i="45" l="1"/>
  <c r="H6" i="33"/>
  <c r="F30" i="33"/>
  <c r="J5" i="45" l="1"/>
  <c r="F5" i="46" s="1"/>
  <c r="H5" i="46" s="1"/>
  <c r="J6" i="33"/>
  <c r="H30" i="33"/>
  <c r="F6" i="40" l="1"/>
  <c r="J30" i="33"/>
  <c r="J5" i="46"/>
  <c r="F5" i="47" s="1"/>
  <c r="H5" i="47" l="1"/>
  <c r="H6" i="40"/>
  <c r="F30" i="40"/>
  <c r="J5" i="47" l="1"/>
  <c r="F5" i="48" s="1"/>
  <c r="J6" i="40"/>
  <c r="H30" i="40"/>
  <c r="H5" i="48" l="1"/>
  <c r="F6" i="41"/>
  <c r="J30" i="40"/>
  <c r="J31" i="40" s="1"/>
  <c r="F31" i="41" s="1"/>
  <c r="J5" i="48" l="1"/>
  <c r="H6" i="41"/>
  <c r="F30" i="41"/>
  <c r="J6" i="41" l="1"/>
  <c r="H30" i="41"/>
  <c r="F6" i="42" l="1"/>
  <c r="H6" i="42" s="1"/>
  <c r="J30" i="41"/>
  <c r="J31" i="41" l="1"/>
  <c r="F30" i="42"/>
  <c r="J6" i="42"/>
  <c r="H30" i="42"/>
  <c r="F6" i="43" l="1"/>
  <c r="J30" i="42"/>
  <c r="H6" i="43" l="1"/>
  <c r="F30" i="43"/>
  <c r="J6" i="43" l="1"/>
  <c r="H30" i="43"/>
  <c r="F6" i="44" l="1"/>
  <c r="H6" i="44" s="1"/>
  <c r="J30" i="43"/>
  <c r="F30" i="44" s="1"/>
  <c r="J6" i="44" l="1"/>
  <c r="H30" i="44"/>
  <c r="F6" i="45" l="1"/>
  <c r="J30" i="44"/>
  <c r="H6" i="45" l="1"/>
  <c r="F30" i="45"/>
  <c r="J6" i="45" l="1"/>
  <c r="H30" i="45"/>
  <c r="J30" i="45" l="1"/>
  <c r="F30" i="46" s="1"/>
  <c r="F6" i="46"/>
  <c r="H6" i="46" s="1"/>
  <c r="J6" i="46" l="1"/>
  <c r="H30" i="46"/>
  <c r="J30" i="46" l="1"/>
  <c r="F6" i="47"/>
  <c r="H6" i="47" l="1"/>
  <c r="F30" i="47"/>
  <c r="J6" i="47" l="1"/>
  <c r="H30" i="47"/>
  <c r="J30" i="47" l="1"/>
  <c r="F6" i="48"/>
  <c r="H6" i="48" l="1"/>
  <c r="F30" i="48"/>
  <c r="J6" i="48" l="1"/>
  <c r="J30" i="48" s="1"/>
  <c r="H30" i="48"/>
</calcChain>
</file>

<file path=xl/sharedStrings.xml><?xml version="1.0" encoding="utf-8"?>
<sst xmlns="http://schemas.openxmlformats.org/spreadsheetml/2006/main" count="3297" uniqueCount="291">
  <si>
    <t>JOHN MURUNGI</t>
  </si>
  <si>
    <t>RENT STATEMENT</t>
  </si>
  <si>
    <t>FOR THE MONTH OF JULY 2018</t>
  </si>
  <si>
    <t>NAME</t>
  </si>
  <si>
    <t>DEPOSIT</t>
  </si>
  <si>
    <t>BF</t>
  </si>
  <si>
    <t xml:space="preserve">RENT </t>
  </si>
  <si>
    <t>TOTAL DUE</t>
  </si>
  <si>
    <t>PAID</t>
  </si>
  <si>
    <t>BALANCE</t>
  </si>
  <si>
    <t>NO.</t>
  </si>
  <si>
    <t>LEE OSEKO</t>
  </si>
  <si>
    <t>WINFRED MUTUA</t>
  </si>
  <si>
    <t>JOLLY GITHUKU</t>
  </si>
  <si>
    <t>BENSON OMINDI</t>
  </si>
  <si>
    <t>EVELYNE MAKENA</t>
  </si>
  <si>
    <t>ANDREW SAMUEL</t>
  </si>
  <si>
    <t>EMMAY OGETA</t>
  </si>
  <si>
    <t>ANET WESONGA</t>
  </si>
  <si>
    <t>JAMES DIEVA</t>
  </si>
  <si>
    <t>ERIC KAMAU</t>
  </si>
  <si>
    <t>EZEKIEL MURAKA</t>
  </si>
  <si>
    <t>NEW</t>
  </si>
  <si>
    <t>SUMMARY</t>
  </si>
  <si>
    <t>EXPECTED</t>
  </si>
  <si>
    <t xml:space="preserve">DETAILS </t>
  </si>
  <si>
    <t xml:space="preserve">CR </t>
  </si>
  <si>
    <t>DR</t>
  </si>
  <si>
    <t>BL</t>
  </si>
  <si>
    <t>JULY</t>
  </si>
  <si>
    <t>COMM</t>
  </si>
  <si>
    <t>PAYMENTS</t>
  </si>
  <si>
    <t xml:space="preserve"> </t>
  </si>
  <si>
    <t>TOTAL</t>
  </si>
  <si>
    <t>GARBAGE</t>
  </si>
  <si>
    <t>WATER</t>
  </si>
  <si>
    <t>FLORENCE NYAOKE</t>
  </si>
  <si>
    <t>PREPARED BY</t>
  </si>
  <si>
    <t>RUTH</t>
  </si>
  <si>
    <t>APPROVED BY</t>
  </si>
  <si>
    <t>GRACE</t>
  </si>
  <si>
    <t>RECEIVED BY</t>
  </si>
  <si>
    <t>J.MURUNGI</t>
  </si>
  <si>
    <t>AUG</t>
  </si>
  <si>
    <t>FOR THE MONTH OF AUGUST 2018</t>
  </si>
  <si>
    <t>NB</t>
  </si>
  <si>
    <t>NIL</t>
  </si>
  <si>
    <t>THEIR BANKSLIPS. IF YES LANDLORD TO PAY THEIR JULY GARBAGE FEE.</t>
  </si>
  <si>
    <t>LANDLORD TO PAY BENSON OMINDI'S GARBAGE(HE CLEARED THE TOKEN ARREARS OF 277/-)</t>
  </si>
  <si>
    <t>THE REST HAVE AGREED TO PAY GARBAGE FEE BY 10TH AUGUST</t>
  </si>
  <si>
    <t>LANDLORD TO PAY 1800/= FOR JULY GARBAGE IF ALL INDICATED IN THE STATEMENT AND IN NO. 2 PAID.</t>
  </si>
  <si>
    <t>LANDLORD TO PAY 1000/= FOR JULY GARBAGE IF ALL IN NO. 2 DIDN'T PAY</t>
  </si>
  <si>
    <t>ASSETFLOW TO PAY REMAINING AMOUNT</t>
  </si>
  <si>
    <t xml:space="preserve">LANDLORD TO CONFIRM WHETHER NO. 6,15,16 &amp;20 PAID FOR GARBAGE BECAUSE WE DIDN'T GET </t>
  </si>
  <si>
    <t>EVERLYNE MUTHONI</t>
  </si>
  <si>
    <t>GODFREY KIMATHI</t>
  </si>
  <si>
    <t>FAITTH SANGILA</t>
  </si>
  <si>
    <t>EMMAH OGETA</t>
  </si>
  <si>
    <t xml:space="preserve">JULY COMMISSION </t>
  </si>
  <si>
    <t>AUGUST COMMISSION</t>
  </si>
  <si>
    <t>ON DEPOSIT</t>
  </si>
  <si>
    <t>BAL</t>
  </si>
  <si>
    <t>EVICTION FEE-NO. 1</t>
  </si>
  <si>
    <t>BF FROM AUG</t>
  </si>
  <si>
    <t>SEPTEMBER COMM</t>
  </si>
  <si>
    <t>FOR THE MONTH OF SEPTEMBER 2018</t>
  </si>
  <si>
    <t>SEP</t>
  </si>
  <si>
    <t>BERNARD KYALO</t>
  </si>
  <si>
    <t>PAID IN AUG</t>
  </si>
  <si>
    <t>BONIFACE KIPLAGAT</t>
  </si>
  <si>
    <t>DAVID AMOLLO</t>
  </si>
  <si>
    <t>FOR THE MONTH OF OCTOBER  2018</t>
  </si>
  <si>
    <t>OCT</t>
  </si>
  <si>
    <t>FAITH SANGILA</t>
  </si>
  <si>
    <t>SALIM MOHAMMED</t>
  </si>
  <si>
    <t xml:space="preserve">COSMAS </t>
  </si>
  <si>
    <t>BF FROM SEP</t>
  </si>
  <si>
    <t>LL</t>
  </si>
  <si>
    <t xml:space="preserve">TOTAL </t>
  </si>
  <si>
    <t>ASFL</t>
  </si>
  <si>
    <t>ASFL 5000</t>
  </si>
  <si>
    <t>RENT</t>
  </si>
  <si>
    <t>MAJI</t>
  </si>
  <si>
    <t>FOR THE MONTH OF NOVEMBER  2018</t>
  </si>
  <si>
    <t>NOV</t>
  </si>
  <si>
    <t>CHARITY KEMUNTO</t>
  </si>
  <si>
    <t>WATER DEPOSIT</t>
  </si>
  <si>
    <t>DIRECT TO LL</t>
  </si>
  <si>
    <t>SECURITY</t>
  </si>
  <si>
    <t>COSMAS YEGO</t>
  </si>
  <si>
    <t>EMMAH OGETO</t>
  </si>
  <si>
    <t>LL 5000</t>
  </si>
  <si>
    <t>FOR THE MONTH OF DECEMBER 2018</t>
  </si>
  <si>
    <t>DEC</t>
  </si>
  <si>
    <t>ROY MAINGI</t>
  </si>
  <si>
    <t>ON DEPOSIT 17&amp;19</t>
  </si>
  <si>
    <t>ON DEPOSIT 16</t>
  </si>
  <si>
    <t>PAID ON 13/12/18</t>
  </si>
  <si>
    <t>EZEKIEL HSE 18</t>
  </si>
  <si>
    <t>MUTINDA MUTISO</t>
  </si>
  <si>
    <t>GLADYS WAMBUI</t>
  </si>
  <si>
    <t>FOR THE MONTH OF JANUARY 2019</t>
  </si>
  <si>
    <t>JAN</t>
  </si>
  <si>
    <t>JOSEPH MUTUKU</t>
  </si>
  <si>
    <t>arears</t>
  </si>
  <si>
    <t>rent dec</t>
  </si>
  <si>
    <t>garbage</t>
  </si>
  <si>
    <t>penalty</t>
  </si>
  <si>
    <t>eviction fee</t>
  </si>
  <si>
    <t>door repair</t>
  </si>
  <si>
    <t>painting</t>
  </si>
  <si>
    <t>ISAAC METTA</t>
  </si>
  <si>
    <t>DANIEL WADEYWA</t>
  </si>
  <si>
    <t>ERIC NO. 16</t>
  </si>
  <si>
    <t>PAID ON 11/1/19- KCB</t>
  </si>
  <si>
    <t>PAID IN 11/1/19-CASH</t>
  </si>
  <si>
    <t>FOR THE MONTH OF FEBRUARY 2019</t>
  </si>
  <si>
    <t>FEB</t>
  </si>
  <si>
    <t>PAID ON 11/2/19</t>
  </si>
  <si>
    <t>ERIC</t>
  </si>
  <si>
    <t>CASE FOLLOW UP</t>
  </si>
  <si>
    <t>MARCH</t>
  </si>
  <si>
    <t>FOR THE MONTH OF MARCH 2019</t>
  </si>
  <si>
    <t>-</t>
  </si>
  <si>
    <t>PAID ON 11/3/19</t>
  </si>
  <si>
    <t xml:space="preserve">KEY DUPLICATE </t>
  </si>
  <si>
    <t>FOR THE MONTH OF APRIL 2019</t>
  </si>
  <si>
    <t>APRIL</t>
  </si>
  <si>
    <t>TREVOR KEGODE</t>
  </si>
  <si>
    <t>DEPOSIT REFUND-GLADYS</t>
  </si>
  <si>
    <t>FLORENCE CASE</t>
  </si>
  <si>
    <t>ADVOCATE JOHN LEWIS</t>
  </si>
  <si>
    <t>PAID ON 11/4/19</t>
  </si>
  <si>
    <t>FOR THE MONTH OF MAY 2019</t>
  </si>
  <si>
    <t>MAY</t>
  </si>
  <si>
    <t>MORRIS MUTATI</t>
  </si>
  <si>
    <t>PAID ON 13/5/19</t>
  </si>
  <si>
    <t>FLORENCE</t>
  </si>
  <si>
    <t xml:space="preserve">FLORENCE NYAOKE </t>
  </si>
  <si>
    <t>FOR THE MONTH OF JUNE 2019</t>
  </si>
  <si>
    <t>JUNE</t>
  </si>
  <si>
    <t xml:space="preserve">JUNE </t>
  </si>
  <si>
    <t>PAID ON 11/6/19</t>
  </si>
  <si>
    <t>PAID ON 11/7/19</t>
  </si>
  <si>
    <t>AS AT 11TH JULY 2019</t>
  </si>
  <si>
    <t>PROCESS SERVER</t>
  </si>
  <si>
    <t>AUGUST</t>
  </si>
  <si>
    <t>SECURITYON 8/8/`19</t>
  </si>
  <si>
    <t>DEPOSIT REFUND</t>
  </si>
  <si>
    <t>PAID ON 13/8</t>
  </si>
  <si>
    <t>security</t>
  </si>
  <si>
    <t>water</t>
  </si>
  <si>
    <t>RENTTRIBUNALCOST900</t>
  </si>
  <si>
    <t>RENTTRIBUNALCOST</t>
  </si>
  <si>
    <t xml:space="preserve">FLORENCEJAN&amp;FEB      </t>
  </si>
  <si>
    <t xml:space="preserve">FLORENCEJAN&amp;FEB        </t>
  </si>
  <si>
    <t xml:space="preserve">SECURITYON </t>
  </si>
  <si>
    <t>COSTTOVACCATEFLO</t>
  </si>
  <si>
    <t>ERICK WAMBUA</t>
  </si>
  <si>
    <t>NELSON OKOTH</t>
  </si>
  <si>
    <t>FOR THE MONTH AUGUST 2019</t>
  </si>
  <si>
    <t>SEPT</t>
  </si>
  <si>
    <t>SEPTEMBER</t>
  </si>
  <si>
    <t>FOR THE MONTH OF SEPTEMBER 2019</t>
  </si>
  <si>
    <t>SECURITYON9/9</t>
  </si>
  <si>
    <t>FLORENCE JAN&amp;FEB</t>
  </si>
  <si>
    <t>PAID ON 11/9</t>
  </si>
  <si>
    <t>FOR THE MONTH OF OCTOBER 2019</t>
  </si>
  <si>
    <t>OCTOBER</t>
  </si>
  <si>
    <t xml:space="preserve">PAID ON 11/10  </t>
  </si>
  <si>
    <t>PAID ON 11/10</t>
  </si>
  <si>
    <t>SECURITYON9/10</t>
  </si>
  <si>
    <t>NOVEMBER</t>
  </si>
  <si>
    <t>FOR THE MONTH OF NOVEMBER  2019</t>
  </si>
  <si>
    <t>water 7050</t>
  </si>
  <si>
    <t>security 6600</t>
  </si>
  <si>
    <t>PAID ON 11/11</t>
  </si>
  <si>
    <t>DECEMBER</t>
  </si>
  <si>
    <t>FOR THE MONTH OF DECEMBER  2019</t>
  </si>
  <si>
    <t>CLOSED</t>
  </si>
  <si>
    <t>PAID ON 3/12</t>
  </si>
  <si>
    <t>water 7350</t>
  </si>
  <si>
    <t>security 8200</t>
  </si>
  <si>
    <t>PAID ON 11/12</t>
  </si>
  <si>
    <t>PAID  ON 16/12/19</t>
  </si>
  <si>
    <t>JANUARY</t>
  </si>
  <si>
    <t xml:space="preserve">FOR THE MONTH OF JANUARY 2020  </t>
  </si>
  <si>
    <t>NANCY WANJIRU</t>
  </si>
  <si>
    <t>PAID ON 11/1</t>
  </si>
  <si>
    <t>PAID ON  18/1</t>
  </si>
  <si>
    <t xml:space="preserve">FOR THE MONTH OF FEBRUARY 2020  </t>
  </si>
  <si>
    <t>FEBRUARY</t>
  </si>
  <si>
    <t>SAMUEL OGUTU</t>
  </si>
  <si>
    <t>PAID ON 13/2</t>
  </si>
  <si>
    <t>DEPOSIT TREVOR 17</t>
  </si>
  <si>
    <t>DEPOSIT NELSON 5</t>
  </si>
  <si>
    <t xml:space="preserve">FOR THE MONTH OF MARCH 2020  </t>
  </si>
  <si>
    <t>KIPROTICH ERICK</t>
  </si>
  <si>
    <t>PAID ON 11/3</t>
  </si>
  <si>
    <t>CR</t>
  </si>
  <si>
    <t>PATROSE WANJIKU</t>
  </si>
  <si>
    <t>FOR THE MONTH OF APRIL 2020</t>
  </si>
  <si>
    <t>HELLEN ADEWA</t>
  </si>
  <si>
    <t>PAID ON 31/3</t>
  </si>
  <si>
    <t>CAROLINE WANGECHI</t>
  </si>
  <si>
    <t>VACCATED</t>
  </si>
  <si>
    <t>PAID ON 13/4</t>
  </si>
  <si>
    <t>BRIAN MOMANYI</t>
  </si>
  <si>
    <t>FOR THE MONTH OF MAY 2020</t>
  </si>
  <si>
    <t>PAID ON 28/4</t>
  </si>
  <si>
    <t>PAID ON 12/5</t>
  </si>
  <si>
    <t>PAID ON 14/5</t>
  </si>
  <si>
    <t>PAID ON 16/5</t>
  </si>
  <si>
    <t>FOR THE MONTH OF JUNE 2020</t>
  </si>
  <si>
    <t>VACCANT</t>
  </si>
  <si>
    <t>vaccant</t>
  </si>
  <si>
    <t>PAID ON 11/6</t>
  </si>
  <si>
    <t>PAID ON 13/6</t>
  </si>
  <si>
    <t>JAMES DIEVA DEPO</t>
  </si>
  <si>
    <t>SAMUEL DEP</t>
  </si>
  <si>
    <t>VINCENT MAHIVA</t>
  </si>
  <si>
    <t>FOR THE MONTH OF JULY 2020</t>
  </si>
  <si>
    <t>MAUREEN MUTHOKI</t>
  </si>
  <si>
    <t>PAID ON 13/7</t>
  </si>
  <si>
    <t>FOR THE MONTH OF AUGUST 2020</t>
  </si>
  <si>
    <t>PURITY NGUGI</t>
  </si>
  <si>
    <t>KELVIN GATHENYA NJUE</t>
  </si>
  <si>
    <t>PAID ON 11/8</t>
  </si>
  <si>
    <t>```````````</t>
  </si>
  <si>
    <t>FOR THE MONTH OF SEPTEMBER 2020</t>
  </si>
  <si>
    <t>ADELINE WAIRIMU</t>
  </si>
  <si>
    <t>VICTOR CHEBOI</t>
  </si>
  <si>
    <t>FOR THE MONTH OF OCTOBER 2020</t>
  </si>
  <si>
    <t>FILLING $ ADVOCATE FEE</t>
  </si>
  <si>
    <t>THOMAS MWANGI</t>
  </si>
  <si>
    <t xml:space="preserve">                   </t>
  </si>
  <si>
    <t xml:space="preserve">                      </t>
  </si>
  <si>
    <t xml:space="preserve">                                                                               </t>
  </si>
  <si>
    <t>PAID ON 12/10</t>
  </si>
  <si>
    <t>FOR THE MONTH OF NOVEMBER 2020</t>
  </si>
  <si>
    <t>MUTINDA(AUG RENT)</t>
  </si>
  <si>
    <t>BEM OSCAR</t>
  </si>
  <si>
    <t>FOR THE MONTH OF DECEMBER 2020</t>
  </si>
  <si>
    <t>WAMBULWA AYUB</t>
  </si>
  <si>
    <t>KENNETH MUKANA</t>
  </si>
  <si>
    <t>PAID ON 12/12</t>
  </si>
  <si>
    <t>PAID ON 15/12</t>
  </si>
  <si>
    <t>FOR THE MONTH OF JANUARY 2021</t>
  </si>
  <si>
    <t>FOR THE MONTH OF FEBRUARY 2021</t>
  </si>
  <si>
    <t>ZAMZAM ABDALLA</t>
  </si>
  <si>
    <t>PERIS GITHUA</t>
  </si>
  <si>
    <t>PAID ON 11/2</t>
  </si>
  <si>
    <t>FILING &amp; ADVOCATE COST</t>
  </si>
  <si>
    <t>FOR THE MONTH OF MARCH 2021</t>
  </si>
  <si>
    <t>EVICTED</t>
  </si>
  <si>
    <t>JARED ATANDI</t>
  </si>
  <si>
    <t>PAID ON 12/3</t>
  </si>
  <si>
    <t>VICTOR NO 20 VACCATED</t>
  </si>
  <si>
    <t>WAMBULWA NO.23 EVICTED</t>
  </si>
  <si>
    <t>FOR THE MONTH OF APRIL 2021</t>
  </si>
  <si>
    <t>LAMECK WEKESA</t>
  </si>
  <si>
    <t>OPARA FRANKLINE</t>
  </si>
  <si>
    <t>SAMUEL</t>
  </si>
  <si>
    <t>NAHASHON SIRONIK</t>
  </si>
  <si>
    <t>PAID ON 12/4</t>
  </si>
  <si>
    <t>KENNETH VACCATED</t>
  </si>
  <si>
    <t>FOR THE MONTH OF MAY 2021</t>
  </si>
  <si>
    <t>PAID ON 11/5</t>
  </si>
  <si>
    <t>FOR THE MONTH OF JUNE 2021</t>
  </si>
  <si>
    <t>ARUMBA HAKIMU</t>
  </si>
  <si>
    <t>IVY CHEBET</t>
  </si>
  <si>
    <t>OPARA VACCATED</t>
  </si>
  <si>
    <t>FOR THE MONTH OF JULY 2021</t>
  </si>
  <si>
    <t>DEP REFUND</t>
  </si>
  <si>
    <t>AMOS</t>
  </si>
  <si>
    <t>VINCENT KIBOI</t>
  </si>
  <si>
    <t>PAID ON 12/7</t>
  </si>
  <si>
    <t>FOR THE MONTH OF AUGUST 2021</t>
  </si>
  <si>
    <t>SALIM ABDALLAH</t>
  </si>
  <si>
    <t>FOR THE MONTH OF SEPT 2021</t>
  </si>
  <si>
    <t>VINCENT NO 18</t>
  </si>
  <si>
    <t>HILLARY MUKOYA</t>
  </si>
  <si>
    <t>FOR THE MONTH OF OCTOBER 2021</t>
  </si>
  <si>
    <t>NO.18 EVICTED</t>
  </si>
  <si>
    <t>FILING &amp; ADVOCATE</t>
  </si>
  <si>
    <t>paid on 12/10</t>
  </si>
  <si>
    <t>FOR THE MONTH OF NOVEMBER 2021</t>
  </si>
  <si>
    <t>PHLLIS AKINYI</t>
  </si>
  <si>
    <t>GEOFREY NO 25 EVICTED</t>
  </si>
  <si>
    <t>VACANT</t>
  </si>
  <si>
    <t>FOR THE MONTH OF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</si>
</sst>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0" xfId="0" applyFont="1"/>
    <xf numFmtId="49" fontId="4" fillId="0" borderId="0" xfId="1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0" fontId="3" fillId="0" borderId="0" xfId="0" applyFont="1" applyBorder="1"/>
    <xf numFmtId="4" fontId="3" fillId="0" borderId="0" xfId="0" applyNumberFormat="1" applyFont="1" applyBorder="1"/>
    <xf numFmtId="164" fontId="5" fillId="0" borderId="0" xfId="0" applyNumberFormat="1" applyFont="1" applyBorder="1"/>
    <xf numFmtId="0" fontId="3" fillId="0" borderId="2" xfId="0" applyFont="1" applyBorder="1"/>
    <xf numFmtId="0" fontId="0" fillId="0" borderId="0" xfId="0" applyFont="1"/>
    <xf numFmtId="0" fontId="0" fillId="0" borderId="1" xfId="0" applyFont="1" applyBorder="1"/>
    <xf numFmtId="3" fontId="0" fillId="0" borderId="1" xfId="0" applyNumberFormat="1" applyFont="1" applyBorder="1"/>
    <xf numFmtId="9" fontId="0" fillId="0" borderId="1" xfId="0" applyNumberFormat="1" applyFont="1" applyBorder="1"/>
    <xf numFmtId="0" fontId="2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3" fontId="2" fillId="0" borderId="1" xfId="0" applyNumberFormat="1" applyFont="1" applyBorder="1"/>
    <xf numFmtId="0" fontId="3" fillId="0" borderId="1" xfId="0" applyFont="1" applyFill="1" applyBorder="1"/>
    <xf numFmtId="0" fontId="6" fillId="0" borderId="0" xfId="0" applyFont="1"/>
    <xf numFmtId="0" fontId="7" fillId="0" borderId="0" xfId="0" applyFont="1"/>
    <xf numFmtId="3" fontId="3" fillId="0" borderId="0" xfId="0" applyNumberFormat="1" applyFont="1"/>
    <xf numFmtId="3" fontId="8" fillId="0" borderId="0" xfId="0" applyNumberFormat="1" applyFont="1"/>
    <xf numFmtId="3" fontId="0" fillId="0" borderId="0" xfId="0" applyNumberFormat="1"/>
    <xf numFmtId="14" fontId="0" fillId="0" borderId="0" xfId="0" applyNumberFormat="1"/>
    <xf numFmtId="14" fontId="0" fillId="0" borderId="1" xfId="0" applyNumberFormat="1" applyBorder="1"/>
    <xf numFmtId="0" fontId="9" fillId="0" borderId="0" xfId="0" applyFont="1"/>
    <xf numFmtId="0" fontId="10" fillId="0" borderId="1" xfId="0" applyFont="1" applyBorder="1"/>
    <xf numFmtId="3" fontId="10" fillId="0" borderId="1" xfId="0" applyNumberFormat="1" applyFont="1" applyBorder="1"/>
    <xf numFmtId="0" fontId="11" fillId="0" borderId="1" xfId="0" applyFont="1" applyBorder="1"/>
    <xf numFmtId="0" fontId="11" fillId="0" borderId="0" xfId="0" applyFont="1"/>
    <xf numFmtId="49" fontId="5" fillId="0" borderId="0" xfId="1" applyNumberFormat="1" applyFont="1" applyBorder="1" applyAlignment="1">
      <alignment horizontal="right"/>
    </xf>
    <xf numFmtId="0" fontId="12" fillId="0" borderId="0" xfId="0" applyFont="1" applyBorder="1"/>
    <xf numFmtId="4" fontId="12" fillId="0" borderId="0" xfId="0" applyNumberFormat="1" applyFont="1" applyBorder="1"/>
    <xf numFmtId="0" fontId="12" fillId="0" borderId="0" xfId="0" applyFont="1"/>
    <xf numFmtId="0" fontId="12" fillId="0" borderId="2" xfId="0" applyFont="1" applyBorder="1"/>
    <xf numFmtId="0" fontId="12" fillId="0" borderId="1" xfId="0" applyFont="1" applyBorder="1"/>
    <xf numFmtId="3" fontId="11" fillId="0" borderId="1" xfId="0" applyNumberFormat="1" applyFont="1" applyBorder="1"/>
    <xf numFmtId="9" fontId="11" fillId="0" borderId="1" xfId="0" applyNumberFormat="1" applyFont="1" applyBorder="1"/>
    <xf numFmtId="14" fontId="11" fillId="0" borderId="1" xfId="0" applyNumberFormat="1" applyFont="1" applyBorder="1"/>
    <xf numFmtId="0" fontId="11" fillId="0" borderId="1" xfId="0" applyFont="1" applyFill="1" applyBorder="1"/>
    <xf numFmtId="3" fontId="12" fillId="0" borderId="1" xfId="0" applyNumberFormat="1" applyFont="1" applyBorder="1"/>
    <xf numFmtId="0" fontId="0" fillId="0" borderId="3" xfId="0" applyFill="1" applyBorder="1"/>
    <xf numFmtId="16" fontId="11" fillId="0" borderId="1" xfId="0" applyNumberFormat="1" applyFont="1" applyBorder="1"/>
    <xf numFmtId="9" fontId="0" fillId="0" borderId="1" xfId="0" applyNumberFormat="1" applyBorder="1"/>
    <xf numFmtId="0" fontId="11" fillId="0" borderId="3" xfId="0" applyFont="1" applyFill="1" applyBorder="1"/>
    <xf numFmtId="0" fontId="12" fillId="0" borderId="1" xfId="0" applyFont="1" applyFill="1" applyBorder="1"/>
    <xf numFmtId="0" fontId="13" fillId="0" borderId="1" xfId="0" applyFont="1" applyBorder="1"/>
    <xf numFmtId="0" fontId="0" fillId="0" borderId="0" xfId="0" applyAlignment="1"/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L42" sqref="L42"/>
    </sheetView>
  </sheetViews>
  <sheetFormatPr defaultRowHeight="15" x14ac:dyDescent="0.25"/>
  <cols>
    <col min="1" max="1" width="3.7109375" customWidth="1"/>
    <col min="2" max="2" width="17.42578125" customWidth="1"/>
    <col min="3" max="3" width="8.85546875" customWidth="1"/>
    <col min="4" max="4" width="9.42578125" customWidth="1"/>
    <col min="5" max="5" width="7.85546875" customWidth="1"/>
    <col min="6" max="6" width="10.28515625" customWidth="1"/>
    <col min="8" max="8" width="10.42578125" customWidth="1"/>
  </cols>
  <sheetData>
    <row r="1" spans="1:10" ht="18.75" x14ac:dyDescent="0.3">
      <c r="A1" s="1"/>
      <c r="B1" s="1"/>
      <c r="C1" s="20" t="s">
        <v>0</v>
      </c>
      <c r="D1" s="20"/>
      <c r="E1" s="20"/>
      <c r="I1" s="1"/>
      <c r="J1" s="1"/>
    </row>
    <row r="2" spans="1:10" ht="18.75" x14ac:dyDescent="0.3">
      <c r="A2" s="1"/>
      <c r="B2" s="1"/>
      <c r="C2" s="20" t="s">
        <v>1</v>
      </c>
      <c r="D2" s="20"/>
      <c r="E2" s="20"/>
      <c r="I2" s="1"/>
      <c r="J2" s="1"/>
    </row>
    <row r="3" spans="1:10" ht="18.75" x14ac:dyDescent="0.3">
      <c r="A3" s="1"/>
      <c r="B3" s="1"/>
      <c r="C3" s="20" t="s">
        <v>2</v>
      </c>
      <c r="D3" s="20"/>
      <c r="E3" s="20"/>
      <c r="I3" s="1"/>
      <c r="J3" s="1"/>
    </row>
    <row r="4" spans="1:10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x14ac:dyDescent="0.25">
      <c r="A5" s="3">
        <v>1</v>
      </c>
      <c r="B5" s="3" t="s">
        <v>11</v>
      </c>
      <c r="C5" s="3">
        <v>12000</v>
      </c>
      <c r="D5" s="3"/>
      <c r="E5" s="3"/>
      <c r="F5" s="3"/>
      <c r="G5" s="3">
        <v>12000</v>
      </c>
      <c r="H5" s="3">
        <f>F5+G5</f>
        <v>12000</v>
      </c>
      <c r="I5" s="3">
        <v>12000</v>
      </c>
      <c r="J5" s="3">
        <f>H5-I5</f>
        <v>0</v>
      </c>
    </row>
    <row r="6" spans="1:10" x14ac:dyDescent="0.25">
      <c r="A6" s="3">
        <v>2</v>
      </c>
      <c r="B6" s="3"/>
      <c r="C6" s="3"/>
      <c r="D6" s="3"/>
      <c r="E6" s="3"/>
      <c r="F6" s="3"/>
      <c r="G6" s="3"/>
      <c r="H6" s="3">
        <f t="shared" ref="H6:H24" si="0">F6+G6</f>
        <v>0</v>
      </c>
      <c r="I6" s="3"/>
      <c r="J6" s="3">
        <f t="shared" ref="J6:J25" si="1">H6-I6</f>
        <v>0</v>
      </c>
    </row>
    <row r="7" spans="1:10" x14ac:dyDescent="0.25">
      <c r="A7" s="3">
        <v>3</v>
      </c>
      <c r="B7" s="3" t="s">
        <v>12</v>
      </c>
      <c r="C7" s="3">
        <v>10000</v>
      </c>
      <c r="D7" s="3">
        <v>200</v>
      </c>
      <c r="E7" s="3">
        <v>150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si="1"/>
        <v>0</v>
      </c>
    </row>
    <row r="8" spans="1:10" x14ac:dyDescent="0.25">
      <c r="A8" s="3">
        <v>4</v>
      </c>
      <c r="B8" s="3"/>
      <c r="C8" s="3"/>
      <c r="D8" s="3"/>
      <c r="E8" s="3"/>
      <c r="F8" s="3"/>
      <c r="G8" s="3"/>
      <c r="H8" s="3">
        <f t="shared" si="0"/>
        <v>0</v>
      </c>
      <c r="I8" s="3"/>
      <c r="J8" s="3">
        <f t="shared" si="1"/>
        <v>0</v>
      </c>
    </row>
    <row r="9" spans="1:10" x14ac:dyDescent="0.25">
      <c r="A9" s="3">
        <v>5</v>
      </c>
      <c r="B9" s="3" t="s">
        <v>36</v>
      </c>
      <c r="C9" s="3"/>
      <c r="D9" s="3"/>
      <c r="E9" s="3"/>
      <c r="F9" s="3"/>
      <c r="G9" s="3">
        <v>10000</v>
      </c>
      <c r="H9" s="3">
        <f t="shared" si="0"/>
        <v>10000</v>
      </c>
      <c r="I9" s="3"/>
      <c r="J9" s="3">
        <f t="shared" si="1"/>
        <v>10000</v>
      </c>
    </row>
    <row r="10" spans="1:10" x14ac:dyDescent="0.25">
      <c r="A10" s="3">
        <v>6</v>
      </c>
      <c r="B10" s="3" t="s">
        <v>13</v>
      </c>
      <c r="C10" s="3"/>
      <c r="D10" s="3"/>
      <c r="E10" s="3"/>
      <c r="F10" s="3"/>
      <c r="G10" s="3">
        <v>12000</v>
      </c>
      <c r="H10" s="3">
        <f t="shared" si="0"/>
        <v>12000</v>
      </c>
      <c r="I10" s="3"/>
      <c r="J10" s="3">
        <f t="shared" si="1"/>
        <v>12000</v>
      </c>
    </row>
    <row r="11" spans="1:10" x14ac:dyDescent="0.25">
      <c r="A11" s="3">
        <v>7</v>
      </c>
      <c r="B11" s="3" t="s">
        <v>14</v>
      </c>
      <c r="C11" s="3">
        <v>10000</v>
      </c>
      <c r="D11" s="3" t="s">
        <v>46</v>
      </c>
      <c r="E11" s="3"/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</row>
    <row r="12" spans="1:10" x14ac:dyDescent="0.25">
      <c r="A12" s="3">
        <v>8</v>
      </c>
      <c r="B12" s="3" t="s">
        <v>15</v>
      </c>
      <c r="C12" s="3"/>
      <c r="D12" s="3"/>
      <c r="E12" s="3"/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</row>
    <row r="13" spans="1:10" x14ac:dyDescent="0.25">
      <c r="A13" s="3">
        <v>9</v>
      </c>
      <c r="B13" s="3" t="s">
        <v>16</v>
      </c>
      <c r="C13" s="3"/>
      <c r="D13" s="3"/>
      <c r="E13" s="3"/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</row>
    <row r="14" spans="1:10" x14ac:dyDescent="0.25">
      <c r="A14" s="3">
        <v>10</v>
      </c>
      <c r="B14" s="3" t="s">
        <v>17</v>
      </c>
      <c r="C14" s="3">
        <v>10000</v>
      </c>
      <c r="D14" s="3"/>
      <c r="E14" s="3"/>
      <c r="F14" s="3"/>
      <c r="G14" s="3">
        <v>10000</v>
      </c>
      <c r="H14" s="3">
        <f t="shared" si="0"/>
        <v>10000</v>
      </c>
      <c r="I14" s="3">
        <v>10000</v>
      </c>
      <c r="J14" s="3">
        <f t="shared" si="1"/>
        <v>0</v>
      </c>
    </row>
    <row r="15" spans="1:10" x14ac:dyDescent="0.25">
      <c r="A15" s="3">
        <v>11</v>
      </c>
      <c r="B15" s="3" t="s">
        <v>18</v>
      </c>
      <c r="C15" s="3"/>
      <c r="D15" s="3">
        <v>200</v>
      </c>
      <c r="E15" s="3">
        <v>600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</row>
    <row r="16" spans="1:10" x14ac:dyDescent="0.25">
      <c r="A16" s="3">
        <v>12</v>
      </c>
      <c r="B16" s="3"/>
      <c r="C16" s="3"/>
      <c r="D16" s="3"/>
      <c r="E16" s="3"/>
      <c r="F16" s="3"/>
      <c r="G16" s="3"/>
      <c r="H16" s="3">
        <f t="shared" si="0"/>
        <v>0</v>
      </c>
      <c r="I16" s="3"/>
      <c r="J16" s="3">
        <f t="shared" si="1"/>
        <v>0</v>
      </c>
    </row>
    <row r="17" spans="1:10" x14ac:dyDescent="0.25">
      <c r="A17" s="3">
        <v>13</v>
      </c>
      <c r="B17" s="3" t="s">
        <v>19</v>
      </c>
      <c r="C17" s="3"/>
      <c r="D17" s="3">
        <v>200</v>
      </c>
      <c r="E17" s="3">
        <v>700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</row>
    <row r="18" spans="1:10" x14ac:dyDescent="0.25">
      <c r="A18" s="3">
        <v>14</v>
      </c>
      <c r="B18" s="3"/>
      <c r="C18" s="3"/>
      <c r="D18" s="3"/>
      <c r="E18" s="3"/>
      <c r="F18" s="3"/>
      <c r="G18" s="3"/>
      <c r="H18" s="3">
        <f t="shared" si="0"/>
        <v>0</v>
      </c>
      <c r="I18" s="3"/>
      <c r="J18" s="3">
        <f t="shared" si="1"/>
        <v>0</v>
      </c>
    </row>
    <row r="19" spans="1:10" x14ac:dyDescent="0.25">
      <c r="A19" s="3">
        <v>15</v>
      </c>
      <c r="B19" s="3" t="s">
        <v>22</v>
      </c>
      <c r="C19" s="3">
        <v>10000</v>
      </c>
      <c r="D19" s="3"/>
      <c r="E19" s="3"/>
      <c r="F19" s="3"/>
      <c r="G19" s="3">
        <v>10000</v>
      </c>
      <c r="H19" s="3">
        <f t="shared" si="0"/>
        <v>10000</v>
      </c>
      <c r="I19" s="3"/>
      <c r="J19" s="3">
        <f t="shared" si="1"/>
        <v>10000</v>
      </c>
    </row>
    <row r="20" spans="1:10" x14ac:dyDescent="0.25">
      <c r="A20" s="3">
        <v>16</v>
      </c>
      <c r="B20" s="3" t="s">
        <v>20</v>
      </c>
      <c r="C20" s="3"/>
      <c r="D20" s="3"/>
      <c r="E20" s="3"/>
      <c r="F20" s="3"/>
      <c r="G20" s="3">
        <v>12000</v>
      </c>
      <c r="H20" s="3">
        <f t="shared" si="0"/>
        <v>12000</v>
      </c>
      <c r="I20" s="3"/>
      <c r="J20" s="3">
        <f t="shared" si="1"/>
        <v>12000</v>
      </c>
    </row>
    <row r="21" spans="1:10" x14ac:dyDescent="0.25">
      <c r="A21" s="3">
        <v>17</v>
      </c>
      <c r="B21" s="3"/>
      <c r="C21" s="3"/>
      <c r="D21" s="3"/>
      <c r="E21" s="3"/>
      <c r="F21" s="3"/>
      <c r="G21" s="3"/>
      <c r="H21" s="3">
        <f t="shared" si="0"/>
        <v>0</v>
      </c>
      <c r="I21" s="3"/>
      <c r="J21" s="3">
        <f t="shared" si="1"/>
        <v>0</v>
      </c>
    </row>
    <row r="22" spans="1:10" x14ac:dyDescent="0.25">
      <c r="A22" s="3">
        <v>18</v>
      </c>
      <c r="B22" s="3" t="s">
        <v>21</v>
      </c>
      <c r="C22" s="3"/>
      <c r="D22" s="3">
        <v>200</v>
      </c>
      <c r="E22" s="3">
        <v>900</v>
      </c>
      <c r="F22" s="3"/>
      <c r="G22" s="3">
        <v>10000</v>
      </c>
      <c r="H22" s="3">
        <f t="shared" si="0"/>
        <v>10000</v>
      </c>
      <c r="I22" s="3">
        <v>10000</v>
      </c>
      <c r="J22" s="3">
        <f>H22-I22</f>
        <v>0</v>
      </c>
    </row>
    <row r="23" spans="1:10" x14ac:dyDescent="0.25">
      <c r="A23" s="3">
        <v>19</v>
      </c>
      <c r="B23" s="3"/>
      <c r="C23" s="3"/>
      <c r="D23" s="3"/>
      <c r="E23" s="3"/>
      <c r="F23" s="3"/>
      <c r="G23" s="3"/>
      <c r="H23" s="3">
        <f t="shared" si="0"/>
        <v>0</v>
      </c>
      <c r="I23" s="3"/>
      <c r="J23" s="3">
        <f t="shared" si="1"/>
        <v>0</v>
      </c>
    </row>
    <row r="24" spans="1:10" x14ac:dyDescent="0.25">
      <c r="A24" s="3">
        <v>20</v>
      </c>
      <c r="B24" s="3" t="s">
        <v>22</v>
      </c>
      <c r="C24" s="3"/>
      <c r="D24" s="3" t="s">
        <v>77</v>
      </c>
      <c r="E24" s="3"/>
      <c r="F24" s="3"/>
      <c r="G24" s="3">
        <v>10000</v>
      </c>
      <c r="H24" s="3">
        <f t="shared" si="0"/>
        <v>10000</v>
      </c>
      <c r="I24" s="3"/>
      <c r="J24" s="3">
        <f t="shared" si="1"/>
        <v>10000</v>
      </c>
    </row>
    <row r="25" spans="1:10" x14ac:dyDescent="0.25">
      <c r="A25" s="2"/>
      <c r="B25" s="2" t="s">
        <v>33</v>
      </c>
      <c r="C25" s="2"/>
      <c r="D25" s="2">
        <f>SUM(D5:D24)</f>
        <v>800</v>
      </c>
      <c r="E25" s="2">
        <f>SUM(E5:E24)</f>
        <v>2350</v>
      </c>
      <c r="F25" s="2"/>
      <c r="G25" s="2">
        <f>SUM(G5:G24)</f>
        <v>148000</v>
      </c>
      <c r="H25" s="2">
        <f>SUM(H5:H24)</f>
        <v>148000</v>
      </c>
      <c r="I25" s="2">
        <f>SUM(I5:I24)</f>
        <v>94000</v>
      </c>
      <c r="J25" s="2">
        <f t="shared" si="1"/>
        <v>54000</v>
      </c>
    </row>
    <row r="27" spans="1:10" x14ac:dyDescent="0.25">
      <c r="B27" s="4" t="s">
        <v>23</v>
      </c>
      <c r="C27" s="5"/>
      <c r="D27" s="6"/>
      <c r="E27" s="7"/>
      <c r="F27" s="8"/>
      <c r="G27" s="9"/>
      <c r="H27" s="8"/>
    </row>
    <row r="28" spans="1:10" x14ac:dyDescent="0.25">
      <c r="B28" s="1" t="s">
        <v>24</v>
      </c>
      <c r="C28" s="1"/>
      <c r="D28" s="1"/>
      <c r="E28" s="10"/>
      <c r="F28" s="1" t="s">
        <v>8</v>
      </c>
      <c r="G28" s="11"/>
      <c r="H28" s="11"/>
      <c r="I28" s="11"/>
    </row>
    <row r="29" spans="1:10" x14ac:dyDescent="0.25">
      <c r="B29" s="2" t="s">
        <v>25</v>
      </c>
      <c r="C29" s="2" t="s">
        <v>26</v>
      </c>
      <c r="D29" s="2" t="s">
        <v>27</v>
      </c>
      <c r="E29" s="2" t="s">
        <v>28</v>
      </c>
      <c r="F29" s="2" t="s">
        <v>25</v>
      </c>
      <c r="G29" s="2" t="s">
        <v>26</v>
      </c>
      <c r="H29" s="2" t="s">
        <v>27</v>
      </c>
      <c r="I29" s="2" t="s">
        <v>28</v>
      </c>
    </row>
    <row r="30" spans="1:10" x14ac:dyDescent="0.25">
      <c r="B30" s="12" t="s">
        <v>29</v>
      </c>
      <c r="C30" s="13">
        <f>G25</f>
        <v>148000</v>
      </c>
      <c r="D30" s="12"/>
      <c r="E30" s="12"/>
      <c r="F30" s="12" t="s">
        <v>29</v>
      </c>
      <c r="G30" s="13">
        <f>I25</f>
        <v>94000</v>
      </c>
      <c r="H30" s="12"/>
      <c r="I30" s="12"/>
    </row>
    <row r="31" spans="1:10" x14ac:dyDescent="0.25">
      <c r="B31" s="12" t="s">
        <v>5</v>
      </c>
      <c r="C31" s="13"/>
      <c r="D31" s="12"/>
      <c r="E31" s="12"/>
      <c r="F31" s="12" t="s">
        <v>5</v>
      </c>
      <c r="G31" s="13"/>
      <c r="H31" s="12"/>
      <c r="I31" s="12"/>
    </row>
    <row r="32" spans="1:10" x14ac:dyDescent="0.25">
      <c r="B32" s="12" t="s">
        <v>30</v>
      </c>
      <c r="C32" s="14">
        <v>0.06</v>
      </c>
      <c r="D32" s="13">
        <f>C30*C32</f>
        <v>8880</v>
      </c>
      <c r="E32" s="12"/>
      <c r="F32" s="12" t="s">
        <v>30</v>
      </c>
      <c r="G32" s="14">
        <v>0.06</v>
      </c>
      <c r="H32" s="13">
        <f>G32*G30</f>
        <v>5640</v>
      </c>
      <c r="I32" s="12"/>
    </row>
    <row r="33" spans="1:9" x14ac:dyDescent="0.25">
      <c r="B33" s="15" t="s">
        <v>31</v>
      </c>
      <c r="C33" s="12" t="s">
        <v>32</v>
      </c>
      <c r="D33" s="12"/>
      <c r="E33" s="12"/>
      <c r="F33" s="15" t="s">
        <v>31</v>
      </c>
      <c r="G33" s="13"/>
      <c r="H33" s="12"/>
      <c r="I33" s="12"/>
    </row>
    <row r="34" spans="1:9" x14ac:dyDescent="0.25">
      <c r="B34" s="3"/>
      <c r="C34" s="3"/>
      <c r="D34" s="3"/>
      <c r="E34" s="3"/>
      <c r="F34" s="3"/>
      <c r="G34" s="12" t="s">
        <v>32</v>
      </c>
      <c r="H34" s="12"/>
      <c r="I34" s="12"/>
    </row>
    <row r="35" spans="1:9" x14ac:dyDescent="0.25">
      <c r="B35" s="3"/>
      <c r="C35" s="3"/>
      <c r="D35" s="3"/>
      <c r="E35" s="3"/>
      <c r="F35" s="3"/>
      <c r="G35" s="3"/>
      <c r="H35" s="3"/>
      <c r="I35" s="12"/>
    </row>
    <row r="36" spans="1:9" x14ac:dyDescent="0.25">
      <c r="B36" s="16"/>
      <c r="C36" s="12"/>
      <c r="D36" s="12"/>
      <c r="E36" s="12"/>
      <c r="F36" s="16"/>
      <c r="G36" s="12"/>
      <c r="H36" s="12"/>
      <c r="I36" s="12"/>
    </row>
    <row r="37" spans="1:9" x14ac:dyDescent="0.25">
      <c r="B37" s="17"/>
      <c r="C37" s="12"/>
      <c r="D37" s="12"/>
      <c r="E37" s="12"/>
      <c r="F37" s="3"/>
      <c r="G37" s="3"/>
      <c r="H37" s="3"/>
      <c r="I37" s="12"/>
    </row>
    <row r="38" spans="1:9" x14ac:dyDescent="0.25">
      <c r="B38" s="15" t="s">
        <v>33</v>
      </c>
      <c r="C38" s="18">
        <f>C30+C31</f>
        <v>148000</v>
      </c>
      <c r="D38" s="18">
        <f>SUM(D32:D37)</f>
        <v>8880</v>
      </c>
      <c r="E38" s="18">
        <f>C38-D38</f>
        <v>139120</v>
      </c>
      <c r="F38" s="15" t="s">
        <v>33</v>
      </c>
      <c r="G38" s="18">
        <f>G30+G31</f>
        <v>94000</v>
      </c>
      <c r="H38" s="18">
        <f>SUM(H32:H37)</f>
        <v>5640</v>
      </c>
      <c r="I38" s="13">
        <f>G38-H38</f>
        <v>88360</v>
      </c>
    </row>
    <row r="40" spans="1:9" ht="15.75" x14ac:dyDescent="0.25">
      <c r="B40" s="21" t="s">
        <v>45</v>
      </c>
    </row>
    <row r="41" spans="1:9" x14ac:dyDescent="0.25">
      <c r="A41">
        <v>1</v>
      </c>
      <c r="B41" t="s">
        <v>48</v>
      </c>
    </row>
    <row r="42" spans="1:9" x14ac:dyDescent="0.25">
      <c r="A42">
        <v>2</v>
      </c>
      <c r="B42" t="s">
        <v>53</v>
      </c>
    </row>
    <row r="43" spans="1:9" x14ac:dyDescent="0.25">
      <c r="B43" t="s">
        <v>47</v>
      </c>
    </row>
    <row r="44" spans="1:9" x14ac:dyDescent="0.25">
      <c r="A44">
        <v>3</v>
      </c>
      <c r="B44" t="s">
        <v>49</v>
      </c>
    </row>
    <row r="45" spans="1:9" x14ac:dyDescent="0.25">
      <c r="A45">
        <v>4</v>
      </c>
      <c r="B45" t="s">
        <v>50</v>
      </c>
    </row>
    <row r="46" spans="1:9" x14ac:dyDescent="0.25">
      <c r="A46">
        <v>5</v>
      </c>
      <c r="B46" t="s">
        <v>51</v>
      </c>
    </row>
    <row r="47" spans="1:9" x14ac:dyDescent="0.25">
      <c r="A47">
        <v>6</v>
      </c>
      <c r="B47" t="s">
        <v>52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13" workbookViewId="0">
      <selection activeCell="J50" sqref="J50"/>
    </sheetView>
  </sheetViews>
  <sheetFormatPr defaultRowHeight="15" x14ac:dyDescent="0.25"/>
  <cols>
    <col min="1" max="1" width="3.85546875" customWidth="1"/>
    <col min="2" max="2" width="18.85546875" customWidth="1"/>
    <col min="3" max="3" width="8.28515625" customWidth="1"/>
    <col min="4" max="4" width="9.28515625" customWidth="1"/>
    <col min="5" max="5" width="8.85546875" customWidth="1"/>
    <col min="6" max="6" width="14.5703125" customWidth="1"/>
    <col min="7" max="7" width="8.28515625" customWidth="1"/>
    <col min="8" max="8" width="10.28515625" customWidth="1"/>
    <col min="9" max="9" width="8.7109375" customWidth="1"/>
    <col min="10" max="10" width="8.85546875" customWidth="1"/>
    <col min="11" max="11" width="14.85546875" customWidth="1"/>
  </cols>
  <sheetData>
    <row r="1" spans="1:12" ht="15.75" x14ac:dyDescent="0.25">
      <c r="B1" s="1"/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2" ht="15.75" x14ac:dyDescent="0.25">
      <c r="A3" s="1"/>
      <c r="B3" s="1"/>
      <c r="C3" s="21" t="s">
        <v>126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/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300</v>
      </c>
      <c r="F6" s="3"/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12</v>
      </c>
      <c r="C7" s="3"/>
      <c r="D7" s="3">
        <v>200</v>
      </c>
      <c r="E7" s="3">
        <v>750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ref="J7:J22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138</v>
      </c>
      <c r="C9" s="3"/>
      <c r="D9" s="3"/>
      <c r="E9" s="3"/>
      <c r="F9" s="3">
        <f>MARCH!J9</f>
        <v>22100</v>
      </c>
      <c r="G9" s="3">
        <v>10000</v>
      </c>
      <c r="H9" s="3">
        <f t="shared" si="0"/>
        <v>32100</v>
      </c>
      <c r="I9" s="3">
        <v>10000</v>
      </c>
      <c r="J9" s="3">
        <f t="shared" si="1"/>
        <v>22100</v>
      </c>
      <c r="K9" s="3"/>
      <c r="L9" s="3"/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/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>
        <v>200</v>
      </c>
      <c r="E12" s="30">
        <v>300</v>
      </c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>
        <v>200</v>
      </c>
      <c r="E14" s="30">
        <v>450</v>
      </c>
      <c r="F14" s="3"/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750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2" x14ac:dyDescent="0.25">
      <c r="A16" s="3">
        <v>12</v>
      </c>
      <c r="B16" s="3"/>
      <c r="C16" s="3"/>
      <c r="D16" s="3"/>
      <c r="E16" s="3"/>
      <c r="F16" s="3"/>
      <c r="G16" s="3"/>
      <c r="H16" s="3">
        <f t="shared" si="0"/>
        <v>0</v>
      </c>
      <c r="I16" s="3"/>
      <c r="J16" s="3">
        <f t="shared" si="1"/>
        <v>0</v>
      </c>
      <c r="K16" s="3"/>
      <c r="L16" s="3"/>
    </row>
    <row r="17" spans="1:12" x14ac:dyDescent="0.25">
      <c r="A17" s="3">
        <v>13</v>
      </c>
      <c r="B17" s="12" t="s">
        <v>19</v>
      </c>
      <c r="C17" s="3"/>
      <c r="D17" s="3">
        <v>200</v>
      </c>
      <c r="E17" s="30">
        <v>750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</row>
    <row r="18" spans="1:12" x14ac:dyDescent="0.25">
      <c r="A18" s="3">
        <v>14</v>
      </c>
      <c r="B18" s="12" t="s">
        <v>70</v>
      </c>
      <c r="C18" s="3"/>
      <c r="D18">
        <v>200</v>
      </c>
      <c r="E18" s="3">
        <v>600</v>
      </c>
      <c r="F18" s="3"/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</row>
    <row r="19" spans="1:12" x14ac:dyDescent="0.25">
      <c r="A19" s="3">
        <v>15</v>
      </c>
      <c r="B19" s="3" t="s">
        <v>85</v>
      </c>
      <c r="C19" s="3"/>
      <c r="D19" s="3">
        <v>200</v>
      </c>
      <c r="E19" s="3">
        <v>300</v>
      </c>
      <c r="F19" s="3"/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111</v>
      </c>
      <c r="C20" s="3"/>
      <c r="D20" s="3">
        <v>200</v>
      </c>
      <c r="E20" s="3">
        <v>750</v>
      </c>
      <c r="F20" s="3"/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" t="s">
        <v>128</v>
      </c>
      <c r="C21" s="3">
        <v>10000</v>
      </c>
      <c r="D21" s="3">
        <v>200</v>
      </c>
      <c r="E21" s="3"/>
      <c r="F21" s="3"/>
      <c r="G21" s="3">
        <v>10000</v>
      </c>
      <c r="H21" s="3">
        <f t="shared" si="0"/>
        <v>20000</v>
      </c>
      <c r="I21" s="3">
        <v>20000</v>
      </c>
      <c r="J21" s="3">
        <f t="shared" si="1"/>
        <v>0</v>
      </c>
      <c r="K21" s="3">
        <v>1500</v>
      </c>
      <c r="L21" s="3">
        <v>600</v>
      </c>
    </row>
    <row r="22" spans="1:12" x14ac:dyDescent="0.25">
      <c r="A22" s="3">
        <v>18</v>
      </c>
      <c r="B22" s="3" t="s">
        <v>103</v>
      </c>
      <c r="C22" s="3"/>
      <c r="D22" s="3">
        <v>200</v>
      </c>
      <c r="E22" s="3">
        <v>450</v>
      </c>
      <c r="F22" s="3"/>
      <c r="G22" s="3">
        <v>10000</v>
      </c>
      <c r="H22" s="3">
        <f t="shared" si="0"/>
        <v>10000</v>
      </c>
      <c r="I22" s="3">
        <v>10000</v>
      </c>
      <c r="J22" s="3">
        <f t="shared" si="1"/>
        <v>0</v>
      </c>
      <c r="K22" s="3"/>
      <c r="L22" s="3">
        <v>600</v>
      </c>
    </row>
    <row r="23" spans="1:12" x14ac:dyDescent="0.25">
      <c r="A23" s="3">
        <v>19</v>
      </c>
      <c r="B23" s="3" t="s">
        <v>112</v>
      </c>
      <c r="C23" s="3"/>
      <c r="D23" s="3">
        <v>200</v>
      </c>
      <c r="E23" s="30">
        <v>900</v>
      </c>
      <c r="F23" s="3"/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2" x14ac:dyDescent="0.25">
      <c r="A24" s="3">
        <v>20</v>
      </c>
      <c r="B24" s="3" t="s">
        <v>55</v>
      </c>
      <c r="C24" s="3"/>
      <c r="D24" s="3">
        <v>200</v>
      </c>
      <c r="E24" s="3">
        <v>600</v>
      </c>
      <c r="F24" s="3"/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2" x14ac:dyDescent="0.25">
      <c r="A25" s="2"/>
      <c r="B25" s="2" t="s">
        <v>33</v>
      </c>
      <c r="C25" s="2">
        <f>SUM(C5:C24)</f>
        <v>10000</v>
      </c>
      <c r="D25" s="2">
        <f t="shared" ref="D25:K25" si="2">SUM(D5:D24)</f>
        <v>3400</v>
      </c>
      <c r="E25" s="2">
        <f>SUM(E5:E24)</f>
        <v>8400</v>
      </c>
      <c r="F25" s="2">
        <f t="shared" si="2"/>
        <v>22100</v>
      </c>
      <c r="G25" s="2">
        <f t="shared" si="2"/>
        <v>198000</v>
      </c>
      <c r="H25" s="2">
        <f t="shared" si="2"/>
        <v>230100</v>
      </c>
      <c r="I25" s="2">
        <f t="shared" si="2"/>
        <v>208000</v>
      </c>
      <c r="J25" s="2">
        <f t="shared" si="2"/>
        <v>22100</v>
      </c>
      <c r="K25" s="2">
        <f t="shared" si="2"/>
        <v>1500</v>
      </c>
      <c r="L25" s="2">
        <f>SUM(L5:L24)</f>
        <v>10800</v>
      </c>
    </row>
    <row r="26" spans="1:1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2" x14ac:dyDescent="0.25">
      <c r="B27" s="31" t="s">
        <v>23</v>
      </c>
      <c r="C27" s="32"/>
      <c r="D27" s="6"/>
      <c r="E27" s="33"/>
      <c r="F27" s="34"/>
      <c r="G27" s="9"/>
      <c r="H27" s="34"/>
      <c r="I27" s="31"/>
    </row>
    <row r="28" spans="1:12" x14ac:dyDescent="0.25">
      <c r="B28" s="35" t="s">
        <v>24</v>
      </c>
      <c r="C28" s="35"/>
      <c r="D28" s="35"/>
      <c r="E28" s="36"/>
      <c r="F28" s="35" t="s">
        <v>8</v>
      </c>
      <c r="G28" s="31"/>
      <c r="H28" s="31"/>
      <c r="I28" s="31"/>
    </row>
    <row r="29" spans="1:12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37" t="s">
        <v>26</v>
      </c>
      <c r="H29" s="37" t="s">
        <v>27</v>
      </c>
      <c r="I29" s="37" t="s">
        <v>28</v>
      </c>
    </row>
    <row r="30" spans="1:12" x14ac:dyDescent="0.25">
      <c r="B30" s="30" t="s">
        <v>127</v>
      </c>
      <c r="C30" s="38">
        <f>C25+G25</f>
        <v>208000</v>
      </c>
      <c r="D30" s="30"/>
      <c r="E30" s="30"/>
      <c r="F30" s="30" t="s">
        <v>127</v>
      </c>
      <c r="G30" s="38">
        <f>I25</f>
        <v>208000</v>
      </c>
      <c r="H30" s="30"/>
      <c r="I30" s="30"/>
    </row>
    <row r="31" spans="1:12" x14ac:dyDescent="0.25">
      <c r="B31" s="30" t="s">
        <v>5</v>
      </c>
      <c r="C31" s="38">
        <f>MARCH!E44</f>
        <v>200</v>
      </c>
      <c r="D31" s="30"/>
      <c r="E31" s="30"/>
      <c r="F31" s="30" t="s">
        <v>5</v>
      </c>
      <c r="G31" s="38">
        <f>MARCH!I44</f>
        <v>-21900</v>
      </c>
      <c r="H31" s="30"/>
      <c r="I31" s="30"/>
    </row>
    <row r="32" spans="1:12" x14ac:dyDescent="0.25">
      <c r="B32" s="30" t="s">
        <v>35</v>
      </c>
      <c r="C32" s="38">
        <f>E25</f>
        <v>8400</v>
      </c>
      <c r="D32" s="30"/>
      <c r="E32" s="30"/>
      <c r="F32" s="30" t="s">
        <v>35</v>
      </c>
      <c r="G32" s="38">
        <f>C32</f>
        <v>8400</v>
      </c>
      <c r="H32" s="30"/>
      <c r="I32" s="30"/>
    </row>
    <row r="33" spans="2:14" x14ac:dyDescent="0.25">
      <c r="B33" s="30" t="s">
        <v>86</v>
      </c>
      <c r="C33" s="38">
        <f>K25</f>
        <v>1500</v>
      </c>
      <c r="D33" s="30"/>
      <c r="E33" s="30"/>
      <c r="F33" s="30" t="s">
        <v>86</v>
      </c>
      <c r="G33" s="38">
        <f>C33</f>
        <v>1500</v>
      </c>
      <c r="H33" s="30"/>
      <c r="I33" s="30"/>
    </row>
    <row r="34" spans="2:14" x14ac:dyDescent="0.25">
      <c r="B34" s="30" t="s">
        <v>88</v>
      </c>
      <c r="C34" s="38">
        <f>L25</f>
        <v>10800</v>
      </c>
      <c r="D34" s="30"/>
      <c r="E34" s="30"/>
      <c r="F34" s="30" t="s">
        <v>88</v>
      </c>
      <c r="G34" s="38">
        <f>C34</f>
        <v>10800</v>
      </c>
      <c r="H34" s="30"/>
      <c r="I34" s="30"/>
    </row>
    <row r="35" spans="2:14" x14ac:dyDescent="0.25">
      <c r="B35" s="30" t="s">
        <v>30</v>
      </c>
      <c r="C35" s="39">
        <v>0.06</v>
      </c>
      <c r="D35" s="38">
        <f>C30*C35</f>
        <v>12480</v>
      </c>
      <c r="E35" s="30"/>
      <c r="F35" s="30" t="s">
        <v>30</v>
      </c>
      <c r="G35" s="39">
        <v>0.06</v>
      </c>
      <c r="H35" s="38">
        <f>D35</f>
        <v>12480</v>
      </c>
      <c r="I35" s="30"/>
    </row>
    <row r="36" spans="2:14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4" x14ac:dyDescent="0.25">
      <c r="B37" s="40" t="s">
        <v>129</v>
      </c>
      <c r="C37" s="30"/>
      <c r="D37" s="30">
        <v>10000</v>
      </c>
      <c r="E37" s="30"/>
      <c r="F37" s="40" t="s">
        <v>129</v>
      </c>
      <c r="G37" s="30"/>
      <c r="H37" s="30">
        <v>10000</v>
      </c>
      <c r="I37" s="30"/>
    </row>
    <row r="38" spans="2:14" x14ac:dyDescent="0.25">
      <c r="B38" s="40" t="s">
        <v>130</v>
      </c>
      <c r="C38" s="30"/>
      <c r="D38" s="30">
        <v>2796</v>
      </c>
      <c r="E38" s="30"/>
      <c r="F38" s="40" t="s">
        <v>130</v>
      </c>
      <c r="G38" s="30"/>
      <c r="H38" s="30">
        <v>2796</v>
      </c>
      <c r="I38" s="30"/>
    </row>
    <row r="39" spans="2:14" x14ac:dyDescent="0.25">
      <c r="B39" s="40" t="s">
        <v>131</v>
      </c>
      <c r="C39" s="30"/>
      <c r="D39" s="30">
        <v>10110</v>
      </c>
      <c r="E39" s="30"/>
      <c r="F39" s="40" t="s">
        <v>131</v>
      </c>
      <c r="G39" s="30"/>
      <c r="H39" s="30">
        <v>10110</v>
      </c>
      <c r="I39" s="30"/>
    </row>
    <row r="40" spans="2:14" x14ac:dyDescent="0.25">
      <c r="B40" s="40" t="s">
        <v>132</v>
      </c>
      <c r="C40" s="30"/>
      <c r="D40" s="30">
        <v>171100</v>
      </c>
      <c r="E40" s="30"/>
      <c r="F40" s="40" t="s">
        <v>132</v>
      </c>
      <c r="G40" s="30"/>
      <c r="H40" s="30">
        <v>171100</v>
      </c>
      <c r="I40" s="30"/>
    </row>
    <row r="41" spans="2:14" x14ac:dyDescent="0.25">
      <c r="B41" s="40" t="s">
        <v>137</v>
      </c>
      <c r="C41" s="30"/>
      <c r="D41" s="30">
        <v>10000</v>
      </c>
      <c r="E41" s="30"/>
      <c r="F41" s="40" t="s">
        <v>137</v>
      </c>
      <c r="G41" s="30"/>
      <c r="H41" s="30">
        <v>10000</v>
      </c>
      <c r="I41" s="30"/>
    </row>
    <row r="42" spans="2:14" x14ac:dyDescent="0.25">
      <c r="B42" s="40" t="s">
        <v>88</v>
      </c>
      <c r="C42" s="30"/>
      <c r="D42" s="30">
        <v>8000</v>
      </c>
      <c r="E42" s="30"/>
      <c r="F42" s="40" t="s">
        <v>88</v>
      </c>
      <c r="G42" s="30"/>
      <c r="H42" s="30">
        <v>8000</v>
      </c>
      <c r="I42" s="30"/>
      <c r="N42" t="s">
        <v>123</v>
      </c>
    </row>
    <row r="43" spans="2:14" x14ac:dyDescent="0.25">
      <c r="B43" s="41"/>
      <c r="C43" s="30"/>
      <c r="D43" s="30"/>
      <c r="E43" s="30"/>
      <c r="F43" s="30"/>
      <c r="G43" s="30"/>
      <c r="H43" s="30"/>
      <c r="I43" s="30"/>
    </row>
    <row r="44" spans="2:14" x14ac:dyDescent="0.25">
      <c r="B44" s="37" t="s">
        <v>33</v>
      </c>
      <c r="C44" s="42">
        <f>C30+C31+C32+C33+C34-D35</f>
        <v>216420</v>
      </c>
      <c r="D44" s="42">
        <f>SUM(D37:D43)</f>
        <v>212006</v>
      </c>
      <c r="E44" s="42">
        <f>C44-D44</f>
        <v>4414</v>
      </c>
      <c r="F44" s="37" t="s">
        <v>33</v>
      </c>
      <c r="G44" s="42">
        <f>G30+G31+G32+G33+G34-H35</f>
        <v>194320</v>
      </c>
      <c r="H44" s="42">
        <f>SUM(H37:H43)</f>
        <v>212006</v>
      </c>
      <c r="I44" s="42">
        <f>G44-H44</f>
        <v>-17686</v>
      </c>
    </row>
    <row r="46" spans="2:14" x14ac:dyDescent="0.25">
      <c r="K46" s="25"/>
    </row>
    <row r="47" spans="2:14" x14ac:dyDescent="0.25">
      <c r="B47" t="s">
        <v>37</v>
      </c>
      <c r="D47" t="s">
        <v>39</v>
      </c>
      <c r="G47" t="s">
        <v>41</v>
      </c>
    </row>
    <row r="48" spans="2:14" x14ac:dyDescent="0.25">
      <c r="K48" s="24"/>
    </row>
    <row r="49" spans="2:8" x14ac:dyDescent="0.25">
      <c r="B49" t="s">
        <v>38</v>
      </c>
      <c r="D49" t="s">
        <v>40</v>
      </c>
      <c r="G49" t="s">
        <v>42</v>
      </c>
    </row>
    <row r="50" spans="2:8" x14ac:dyDescent="0.25">
      <c r="C50" s="1"/>
      <c r="D50" s="1"/>
      <c r="E50" s="1"/>
      <c r="F50" s="22"/>
      <c r="G50" s="1"/>
      <c r="H50" s="1"/>
    </row>
    <row r="51" spans="2:8" x14ac:dyDescent="0.25">
      <c r="C51" s="1"/>
      <c r="D51" s="1"/>
      <c r="E51" s="1"/>
      <c r="F51" s="22"/>
      <c r="G51" s="1"/>
      <c r="H51" s="1"/>
    </row>
    <row r="52" spans="2:8" x14ac:dyDescent="0.25">
      <c r="C52" s="1"/>
      <c r="D52" s="1"/>
      <c r="E52" s="1"/>
      <c r="F52" s="22"/>
      <c r="G52" s="1"/>
      <c r="H52" s="1"/>
    </row>
    <row r="53" spans="2:8" x14ac:dyDescent="0.25">
      <c r="C53" s="1"/>
      <c r="D53" s="1"/>
      <c r="E53" s="1"/>
      <c r="F53" s="23"/>
      <c r="G53" s="1"/>
      <c r="H53" s="22"/>
    </row>
    <row r="59" spans="2:8" x14ac:dyDescent="0.25">
      <c r="B59" s="25"/>
    </row>
    <row r="60" spans="2:8" x14ac:dyDescent="0.25">
      <c r="B60" s="25"/>
      <c r="C60" s="24"/>
    </row>
  </sheetData>
  <pageMargins left="0.25" right="0.25" top="0.75" bottom="0.75" header="0.3" footer="0.3"/>
  <pageSetup paperSize="286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13" workbookViewId="0">
      <selection activeCell="J31" sqref="J31"/>
    </sheetView>
  </sheetViews>
  <sheetFormatPr defaultRowHeight="15" x14ac:dyDescent="0.25"/>
  <cols>
    <col min="1" max="1" width="3.85546875" customWidth="1"/>
    <col min="2" max="2" width="18.85546875" customWidth="1"/>
    <col min="3" max="3" width="8.28515625" customWidth="1"/>
    <col min="4" max="4" width="9.28515625" customWidth="1"/>
    <col min="5" max="5" width="8.85546875" customWidth="1"/>
    <col min="6" max="6" width="14.5703125" customWidth="1"/>
    <col min="7" max="7" width="8.28515625" customWidth="1"/>
    <col min="8" max="8" width="10.28515625" customWidth="1"/>
    <col min="9" max="9" width="8.7109375" customWidth="1"/>
    <col min="10" max="10" width="8.85546875" customWidth="1"/>
    <col min="11" max="11" width="14.85546875" customWidth="1"/>
  </cols>
  <sheetData>
    <row r="1" spans="1:12" ht="15.75" x14ac:dyDescent="0.25">
      <c r="B1" s="1"/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2" ht="15.75" x14ac:dyDescent="0.25">
      <c r="A3" s="1"/>
      <c r="B3" s="1"/>
      <c r="C3" s="21" t="s">
        <v>133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/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600</v>
      </c>
      <c r="F6" s="3"/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12</v>
      </c>
      <c r="C7" s="3"/>
      <c r="D7" s="3">
        <v>200</v>
      </c>
      <c r="E7" s="3">
        <v>900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ref="J7:J22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138</v>
      </c>
      <c r="C9" s="3"/>
      <c r="D9" s="3"/>
      <c r="E9" s="3"/>
      <c r="F9" s="3">
        <f>APRIL!J9</f>
        <v>22100</v>
      </c>
      <c r="G9" s="3">
        <v>10000</v>
      </c>
      <c r="H9" s="3">
        <f t="shared" si="0"/>
        <v>32100</v>
      </c>
      <c r="I9" s="3">
        <v>10000</v>
      </c>
      <c r="J9" s="3">
        <f t="shared" si="1"/>
        <v>22100</v>
      </c>
      <c r="K9" s="3"/>
      <c r="L9" s="3"/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/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900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/>
      <c r="E12" s="30">
        <v>150</v>
      </c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/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150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>
        <v>200</v>
      </c>
      <c r="E14" s="30">
        <v>450</v>
      </c>
      <c r="F14" s="3"/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600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>
        <v>10000</v>
      </c>
      <c r="D16" s="3">
        <v>200</v>
      </c>
      <c r="E16" s="3"/>
      <c r="F16" s="3"/>
      <c r="G16" s="3">
        <v>10000</v>
      </c>
      <c r="H16" s="3">
        <f t="shared" si="0"/>
        <v>20000</v>
      </c>
      <c r="I16" s="3">
        <v>20000</v>
      </c>
      <c r="J16" s="3">
        <f t="shared" si="1"/>
        <v>0</v>
      </c>
      <c r="K16" s="3">
        <v>1500</v>
      </c>
      <c r="L16" s="3">
        <v>600</v>
      </c>
    </row>
    <row r="17" spans="1:12" x14ac:dyDescent="0.25">
      <c r="A17" s="3">
        <v>13</v>
      </c>
      <c r="B17" s="12" t="s">
        <v>19</v>
      </c>
      <c r="C17" s="3"/>
      <c r="D17" s="3">
        <v>200</v>
      </c>
      <c r="E17" s="30">
        <v>600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</row>
    <row r="18" spans="1:12" x14ac:dyDescent="0.25">
      <c r="A18" s="3">
        <v>14</v>
      </c>
      <c r="B18" s="12" t="s">
        <v>70</v>
      </c>
      <c r="C18" s="3"/>
      <c r="D18">
        <v>200</v>
      </c>
      <c r="E18" s="3">
        <v>900</v>
      </c>
      <c r="F18" s="3"/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</row>
    <row r="19" spans="1:12" x14ac:dyDescent="0.25">
      <c r="A19" s="3">
        <v>15</v>
      </c>
      <c r="B19" s="3" t="s">
        <v>85</v>
      </c>
      <c r="C19" s="3"/>
      <c r="D19" s="3">
        <v>200</v>
      </c>
      <c r="E19" s="3">
        <v>450</v>
      </c>
      <c r="F19" s="3"/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111</v>
      </c>
      <c r="C20" s="3"/>
      <c r="D20" s="3">
        <v>200</v>
      </c>
      <c r="E20" s="3">
        <v>750</v>
      </c>
      <c r="F20" s="3"/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" t="s">
        <v>128</v>
      </c>
      <c r="C21" s="3"/>
      <c r="D21" s="3">
        <v>200</v>
      </c>
      <c r="E21" s="3">
        <v>150</v>
      </c>
      <c r="F21" s="3"/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103</v>
      </c>
      <c r="C22" s="3"/>
      <c r="D22" s="3">
        <v>200</v>
      </c>
      <c r="E22" s="3">
        <v>300</v>
      </c>
      <c r="F22" s="3"/>
      <c r="G22" s="3">
        <v>10000</v>
      </c>
      <c r="H22" s="3">
        <f t="shared" si="0"/>
        <v>10000</v>
      </c>
      <c r="I22" s="3">
        <v>10000</v>
      </c>
      <c r="J22" s="3">
        <f t="shared" si="1"/>
        <v>0</v>
      </c>
      <c r="K22" s="3"/>
      <c r="L22" s="3">
        <v>600</v>
      </c>
    </row>
    <row r="23" spans="1:12" x14ac:dyDescent="0.25">
      <c r="A23" s="3">
        <v>19</v>
      </c>
      <c r="B23" s="3" t="s">
        <v>112</v>
      </c>
      <c r="C23" s="3"/>
      <c r="D23" s="3">
        <v>200</v>
      </c>
      <c r="E23" s="30">
        <v>450</v>
      </c>
      <c r="F23" s="3"/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2" x14ac:dyDescent="0.25">
      <c r="A24" s="3">
        <v>20</v>
      </c>
      <c r="B24" s="3" t="s">
        <v>55</v>
      </c>
      <c r="C24" s="3"/>
      <c r="D24" s="3">
        <v>200</v>
      </c>
      <c r="E24" s="3">
        <v>450</v>
      </c>
      <c r="F24" s="3"/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2" x14ac:dyDescent="0.25">
      <c r="A25" s="2"/>
      <c r="B25" s="2" t="s">
        <v>33</v>
      </c>
      <c r="C25" s="2">
        <f>SUM(C5:C24)</f>
        <v>10000</v>
      </c>
      <c r="D25" s="2">
        <f t="shared" ref="D25:K25" si="2">SUM(D5:D24)</f>
        <v>3400</v>
      </c>
      <c r="E25" s="2">
        <f>SUM(E5:E24)</f>
        <v>8400</v>
      </c>
      <c r="F25" s="2">
        <f t="shared" si="2"/>
        <v>22100</v>
      </c>
      <c r="G25" s="2">
        <f t="shared" si="2"/>
        <v>208000</v>
      </c>
      <c r="H25" s="2">
        <f t="shared" si="2"/>
        <v>240100</v>
      </c>
      <c r="I25" s="2">
        <f t="shared" si="2"/>
        <v>218000</v>
      </c>
      <c r="J25" s="2">
        <f t="shared" si="2"/>
        <v>22100</v>
      </c>
      <c r="K25" s="2">
        <f t="shared" si="2"/>
        <v>1500</v>
      </c>
      <c r="L25" s="2">
        <f>SUM(L5:L24)</f>
        <v>10800</v>
      </c>
    </row>
    <row r="26" spans="1:1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2" x14ac:dyDescent="0.25">
      <c r="B27" s="31" t="s">
        <v>23</v>
      </c>
      <c r="C27" s="32"/>
      <c r="D27" s="6"/>
      <c r="E27" s="33"/>
      <c r="F27" s="34"/>
      <c r="G27" s="9"/>
      <c r="H27" s="34"/>
      <c r="I27" s="31"/>
    </row>
    <row r="28" spans="1:12" x14ac:dyDescent="0.25">
      <c r="B28" s="35" t="s">
        <v>24</v>
      </c>
      <c r="C28" s="35"/>
      <c r="D28" s="35"/>
      <c r="E28" s="36"/>
      <c r="F28" s="35" t="s">
        <v>8</v>
      </c>
      <c r="G28" s="31"/>
      <c r="H28" s="31"/>
      <c r="I28" s="31"/>
    </row>
    <row r="29" spans="1:12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37" t="s">
        <v>26</v>
      </c>
      <c r="H29" s="37" t="s">
        <v>27</v>
      </c>
      <c r="I29" s="37" t="s">
        <v>28</v>
      </c>
    </row>
    <row r="30" spans="1:12" x14ac:dyDescent="0.25">
      <c r="B30" s="30" t="s">
        <v>134</v>
      </c>
      <c r="C30" s="38">
        <f>C25+G25</f>
        <v>218000</v>
      </c>
      <c r="D30" s="30"/>
      <c r="E30" s="30"/>
      <c r="F30" s="30" t="s">
        <v>134</v>
      </c>
      <c r="G30" s="38">
        <f>I25</f>
        <v>218000</v>
      </c>
      <c r="H30" s="30"/>
      <c r="I30" s="30"/>
    </row>
    <row r="31" spans="1:12" x14ac:dyDescent="0.25">
      <c r="B31" s="30" t="s">
        <v>5</v>
      </c>
      <c r="C31" s="38">
        <f>APRIL!E44</f>
        <v>4414</v>
      </c>
      <c r="D31" s="30"/>
      <c r="E31" s="30"/>
      <c r="F31" s="30" t="s">
        <v>5</v>
      </c>
      <c r="G31" s="38">
        <f>APRIL!I44</f>
        <v>-17686</v>
      </c>
      <c r="H31" s="30"/>
      <c r="I31" s="30"/>
    </row>
    <row r="32" spans="1:12" x14ac:dyDescent="0.25">
      <c r="B32" s="30" t="s">
        <v>35</v>
      </c>
      <c r="C32" s="38">
        <f>E25</f>
        <v>8400</v>
      </c>
      <c r="D32" s="30"/>
      <c r="E32" s="30"/>
      <c r="F32" s="30" t="s">
        <v>35</v>
      </c>
      <c r="G32" s="38">
        <f>C32</f>
        <v>8400</v>
      </c>
      <c r="H32" s="30"/>
      <c r="I32" s="30"/>
    </row>
    <row r="33" spans="2:14" x14ac:dyDescent="0.25">
      <c r="B33" s="30" t="s">
        <v>86</v>
      </c>
      <c r="C33" s="38">
        <f>K25</f>
        <v>1500</v>
      </c>
      <c r="D33" s="30"/>
      <c r="E33" s="30"/>
      <c r="F33" s="30" t="s">
        <v>86</v>
      </c>
      <c r="G33" s="38">
        <f>C33</f>
        <v>1500</v>
      </c>
      <c r="H33" s="30"/>
      <c r="I33" s="30"/>
    </row>
    <row r="34" spans="2:14" x14ac:dyDescent="0.25">
      <c r="B34" s="30" t="s">
        <v>88</v>
      </c>
      <c r="C34" s="38">
        <f>L25</f>
        <v>10800</v>
      </c>
      <c r="D34" s="30"/>
      <c r="E34" s="30"/>
      <c r="F34" s="30" t="s">
        <v>88</v>
      </c>
      <c r="G34" s="38">
        <f>C34</f>
        <v>10800</v>
      </c>
      <c r="H34" s="30"/>
      <c r="I34" s="30"/>
    </row>
    <row r="35" spans="2:14" x14ac:dyDescent="0.25">
      <c r="B35" s="30" t="s">
        <v>30</v>
      </c>
      <c r="C35" s="39">
        <v>0.06</v>
      </c>
      <c r="D35" s="38">
        <f>C30*C35</f>
        <v>13080</v>
      </c>
      <c r="E35" s="30"/>
      <c r="F35" s="30" t="s">
        <v>30</v>
      </c>
      <c r="G35" s="39">
        <v>0.06</v>
      </c>
      <c r="H35" s="38">
        <f>D35</f>
        <v>13080</v>
      </c>
      <c r="I35" s="30"/>
    </row>
    <row r="36" spans="2:14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4" x14ac:dyDescent="0.25">
      <c r="B37" s="40" t="s">
        <v>131</v>
      </c>
      <c r="C37" s="30"/>
      <c r="D37" s="30">
        <v>10110</v>
      </c>
      <c r="E37" s="30"/>
      <c r="F37" s="40" t="s">
        <v>131</v>
      </c>
      <c r="G37" s="30"/>
      <c r="H37" s="30">
        <v>10110</v>
      </c>
      <c r="I37" s="30"/>
    </row>
    <row r="38" spans="2:14" x14ac:dyDescent="0.25">
      <c r="B38" s="40" t="s">
        <v>136</v>
      </c>
      <c r="C38" s="30"/>
      <c r="D38" s="30">
        <v>195300</v>
      </c>
      <c r="E38" s="30"/>
      <c r="F38" s="40" t="s">
        <v>136</v>
      </c>
      <c r="G38" s="30"/>
      <c r="H38" s="30">
        <v>195300</v>
      </c>
      <c r="I38" s="30"/>
    </row>
    <row r="39" spans="2:14" x14ac:dyDescent="0.25">
      <c r="B39" s="40" t="s">
        <v>137</v>
      </c>
      <c r="C39" s="30"/>
      <c r="D39" s="30">
        <v>10000</v>
      </c>
      <c r="E39" s="30"/>
      <c r="F39" s="40" t="s">
        <v>137</v>
      </c>
      <c r="G39" s="30"/>
      <c r="H39" s="30">
        <v>10000</v>
      </c>
      <c r="I39" s="30"/>
    </row>
    <row r="40" spans="2:14" x14ac:dyDescent="0.25">
      <c r="B40" s="40" t="s">
        <v>88</v>
      </c>
      <c r="C40" s="30"/>
      <c r="D40" s="30">
        <v>8000</v>
      </c>
      <c r="E40" s="30"/>
      <c r="F40" s="40" t="s">
        <v>88</v>
      </c>
      <c r="G40" s="30"/>
      <c r="H40" s="30">
        <v>8000</v>
      </c>
      <c r="I40" s="30"/>
    </row>
    <row r="41" spans="2:14" x14ac:dyDescent="0.25">
      <c r="B41" s="40"/>
      <c r="C41" s="30"/>
      <c r="D41" s="30"/>
      <c r="E41" s="30"/>
      <c r="F41" s="40"/>
      <c r="G41" s="30"/>
      <c r="H41" s="30"/>
      <c r="I41" s="30"/>
    </row>
    <row r="42" spans="2:14" x14ac:dyDescent="0.25">
      <c r="B42" s="40"/>
      <c r="C42" s="30"/>
      <c r="D42" s="30"/>
      <c r="E42" s="30"/>
      <c r="F42" s="40"/>
      <c r="G42" s="30"/>
      <c r="H42" s="30"/>
      <c r="I42" s="30"/>
      <c r="N42" t="s">
        <v>123</v>
      </c>
    </row>
    <row r="43" spans="2:14" x14ac:dyDescent="0.25">
      <c r="B43" s="41"/>
      <c r="C43" s="30"/>
      <c r="D43" s="30"/>
      <c r="E43" s="30"/>
      <c r="F43" s="30"/>
      <c r="G43" s="30"/>
      <c r="H43" s="30"/>
      <c r="I43" s="30"/>
    </row>
    <row r="44" spans="2:14" x14ac:dyDescent="0.25">
      <c r="B44" s="37" t="s">
        <v>33</v>
      </c>
      <c r="C44" s="42">
        <f>C30+C31+C32+C33+C34-D35</f>
        <v>230034</v>
      </c>
      <c r="D44" s="42">
        <f>SUM(D37:D43)</f>
        <v>223410</v>
      </c>
      <c r="E44" s="42">
        <f>C44-D44</f>
        <v>6624</v>
      </c>
      <c r="F44" s="37" t="s">
        <v>33</v>
      </c>
      <c r="G44" s="42">
        <f>G30+G31+G32+G33+G34-H35</f>
        <v>207934</v>
      </c>
      <c r="H44" s="42">
        <f>SUM(H37:H43)</f>
        <v>223410</v>
      </c>
      <c r="I44" s="42">
        <f>G44-H44</f>
        <v>-15476</v>
      </c>
    </row>
    <row r="46" spans="2:14" x14ac:dyDescent="0.25">
      <c r="K46" s="25"/>
    </row>
    <row r="47" spans="2:14" x14ac:dyDescent="0.25">
      <c r="B47" t="s">
        <v>37</v>
      </c>
      <c r="D47" t="s">
        <v>39</v>
      </c>
      <c r="G47" t="s">
        <v>41</v>
      </c>
    </row>
    <row r="48" spans="2:14" x14ac:dyDescent="0.25">
      <c r="K48" s="24"/>
    </row>
    <row r="49" spans="2:8" x14ac:dyDescent="0.25">
      <c r="B49" t="s">
        <v>38</v>
      </c>
      <c r="D49" t="s">
        <v>40</v>
      </c>
      <c r="G49" t="s">
        <v>42</v>
      </c>
    </row>
    <row r="50" spans="2:8" x14ac:dyDescent="0.25">
      <c r="C50" s="1"/>
      <c r="D50" s="1"/>
      <c r="E50" s="1"/>
      <c r="F50" s="22"/>
      <c r="G50" s="1"/>
      <c r="H50" s="1"/>
    </row>
    <row r="51" spans="2:8" x14ac:dyDescent="0.25">
      <c r="C51" s="1"/>
      <c r="D51" s="1"/>
      <c r="E51" s="1"/>
      <c r="F51" s="22"/>
      <c r="G51" s="1"/>
      <c r="H51" s="1"/>
    </row>
    <row r="52" spans="2:8" x14ac:dyDescent="0.25">
      <c r="C52" s="1"/>
      <c r="D52" s="1"/>
      <c r="E52" s="1"/>
      <c r="F52" s="22"/>
      <c r="G52" s="1"/>
      <c r="H52" s="1"/>
    </row>
    <row r="53" spans="2:8" x14ac:dyDescent="0.25">
      <c r="C53" s="1"/>
      <c r="D53" s="1"/>
      <c r="E53" s="1"/>
      <c r="F53" s="23"/>
      <c r="G53" s="1"/>
      <c r="H53" s="22"/>
    </row>
    <row r="59" spans="2:8" x14ac:dyDescent="0.25">
      <c r="B59" s="25"/>
    </row>
    <row r="60" spans="2:8" x14ac:dyDescent="0.25">
      <c r="B60" s="25"/>
      <c r="C60" s="24"/>
    </row>
  </sheetData>
  <pageMargins left="0.25" right="0.25" top="0.75" bottom="0.75" header="0.3" footer="0.3"/>
  <pageSetup paperSize="286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13" workbookViewId="0">
      <selection activeCell="K46" sqref="K46"/>
    </sheetView>
  </sheetViews>
  <sheetFormatPr defaultRowHeight="15" x14ac:dyDescent="0.25"/>
  <cols>
    <col min="1" max="1" width="3.85546875" customWidth="1"/>
    <col min="2" max="2" width="18.85546875" customWidth="1"/>
    <col min="3" max="3" width="8.28515625" customWidth="1"/>
    <col min="4" max="4" width="9.28515625" customWidth="1"/>
    <col min="5" max="5" width="8.85546875" customWidth="1"/>
    <col min="6" max="6" width="14.7109375" customWidth="1"/>
    <col min="7" max="7" width="8.28515625" customWidth="1"/>
    <col min="8" max="8" width="10.28515625" customWidth="1"/>
    <col min="9" max="9" width="8.7109375" customWidth="1"/>
    <col min="10" max="10" width="8.85546875" customWidth="1"/>
    <col min="11" max="11" width="14.85546875" customWidth="1"/>
  </cols>
  <sheetData>
    <row r="1" spans="1:12" ht="15.75" x14ac:dyDescent="0.25">
      <c r="B1" s="1"/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2" ht="15.75" x14ac:dyDescent="0.25">
      <c r="A3" s="1"/>
      <c r="B3" s="1"/>
      <c r="C3" s="21" t="s">
        <v>139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/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300</v>
      </c>
      <c r="F6" s="3"/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12</v>
      </c>
      <c r="C7" s="3"/>
      <c r="D7" s="3">
        <v>200</v>
      </c>
      <c r="E7" s="3">
        <v>900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ref="J7:J22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138</v>
      </c>
      <c r="C9" s="3"/>
      <c r="D9" s="3"/>
      <c r="E9" s="3"/>
      <c r="F9" s="3">
        <v>22100</v>
      </c>
      <c r="G9" s="3">
        <v>10000</v>
      </c>
      <c r="H9" s="3">
        <f t="shared" si="0"/>
        <v>32100</v>
      </c>
      <c r="I9" s="3">
        <v>10000</v>
      </c>
      <c r="J9" s="3">
        <f t="shared" si="1"/>
        <v>22100</v>
      </c>
      <c r="K9" s="3"/>
      <c r="L9" s="3"/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300</v>
      </c>
      <c r="F10" s="3"/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900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>
        <v>200</v>
      </c>
      <c r="E12" s="30">
        <v>300</v>
      </c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>
        <v>200</v>
      </c>
      <c r="E14" s="30">
        <v>450</v>
      </c>
      <c r="F14" s="3"/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/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900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/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s="3"/>
      <c r="L16" s="3">
        <v>600</v>
      </c>
    </row>
    <row r="17" spans="1:12" x14ac:dyDescent="0.25">
      <c r="A17" s="3">
        <v>13</v>
      </c>
      <c r="B17" s="12" t="s">
        <v>19</v>
      </c>
      <c r="C17" s="3"/>
      <c r="D17" s="3">
        <v>200</v>
      </c>
      <c r="E17" s="30">
        <v>900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</row>
    <row r="18" spans="1:12" x14ac:dyDescent="0.25">
      <c r="A18" s="3">
        <v>14</v>
      </c>
      <c r="B18" s="12" t="s">
        <v>70</v>
      </c>
      <c r="C18" s="3"/>
      <c r="D18">
        <v>200</v>
      </c>
      <c r="E18" s="3">
        <v>1050</v>
      </c>
      <c r="F18" s="3"/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</row>
    <row r="19" spans="1:12" x14ac:dyDescent="0.25">
      <c r="A19" s="3">
        <v>15</v>
      </c>
      <c r="B19" s="3" t="s">
        <v>85</v>
      </c>
      <c r="C19" s="3"/>
      <c r="D19" s="3">
        <v>200</v>
      </c>
      <c r="E19" s="3">
        <v>1050</v>
      </c>
      <c r="F19" s="3"/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111</v>
      </c>
      <c r="C20" s="3"/>
      <c r="D20" s="3">
        <v>200</v>
      </c>
      <c r="E20" s="3">
        <v>900</v>
      </c>
      <c r="F20" s="3"/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" t="s">
        <v>128</v>
      </c>
      <c r="C21" s="3"/>
      <c r="D21" s="3">
        <v>200</v>
      </c>
      <c r="E21" s="3">
        <v>600</v>
      </c>
      <c r="F21" s="3"/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103</v>
      </c>
      <c r="C22" s="3"/>
      <c r="D22" s="3">
        <v>200</v>
      </c>
      <c r="E22" s="3">
        <v>300</v>
      </c>
      <c r="F22" s="3"/>
      <c r="G22" s="3">
        <v>10000</v>
      </c>
      <c r="H22" s="3">
        <f t="shared" si="0"/>
        <v>10000</v>
      </c>
      <c r="I22" s="3">
        <v>10000</v>
      </c>
      <c r="J22" s="3">
        <f t="shared" si="1"/>
        <v>0</v>
      </c>
      <c r="K22" s="3"/>
      <c r="L22" s="3">
        <v>600</v>
      </c>
    </row>
    <row r="23" spans="1:12" x14ac:dyDescent="0.25">
      <c r="A23" s="3">
        <v>19</v>
      </c>
      <c r="B23" s="3" t="s">
        <v>112</v>
      </c>
      <c r="C23" s="3"/>
      <c r="D23" s="3">
        <v>200</v>
      </c>
      <c r="E23" s="30">
        <v>600</v>
      </c>
      <c r="F23" s="3"/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2" x14ac:dyDescent="0.25">
      <c r="A24" s="3">
        <v>20</v>
      </c>
      <c r="B24" s="3" t="s">
        <v>55</v>
      </c>
      <c r="C24" s="3"/>
      <c r="D24" s="3">
        <v>200</v>
      </c>
      <c r="E24" s="3">
        <v>450</v>
      </c>
      <c r="F24" s="3"/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2" x14ac:dyDescent="0.25">
      <c r="A25" s="2"/>
      <c r="B25" s="2" t="s">
        <v>33</v>
      </c>
      <c r="C25" s="2">
        <f>SUM(C5:C24)</f>
        <v>0</v>
      </c>
      <c r="D25" s="2">
        <f t="shared" ref="D25:K25" si="2">SUM(D5:D24)</f>
        <v>3600</v>
      </c>
      <c r="E25" s="2">
        <f>SUM(E5:E24)</f>
        <v>11400</v>
      </c>
      <c r="F25" s="2">
        <f t="shared" si="2"/>
        <v>22100</v>
      </c>
      <c r="G25" s="2">
        <f t="shared" si="2"/>
        <v>208000</v>
      </c>
      <c r="H25" s="2">
        <f t="shared" si="2"/>
        <v>230100</v>
      </c>
      <c r="I25" s="2">
        <f t="shared" si="2"/>
        <v>208000</v>
      </c>
      <c r="J25" s="2">
        <f t="shared" si="2"/>
        <v>22100</v>
      </c>
      <c r="K25" s="2">
        <f t="shared" si="2"/>
        <v>0</v>
      </c>
      <c r="L25" s="2">
        <f>SUM(L5:L24)</f>
        <v>10800</v>
      </c>
    </row>
    <row r="26" spans="1:1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2" x14ac:dyDescent="0.25">
      <c r="B27" s="31" t="s">
        <v>23</v>
      </c>
      <c r="C27" s="32"/>
      <c r="D27" s="6"/>
      <c r="E27" s="33"/>
      <c r="F27" s="34"/>
      <c r="G27" s="9"/>
      <c r="H27" s="34"/>
      <c r="I27" s="31"/>
    </row>
    <row r="28" spans="1:12" x14ac:dyDescent="0.25">
      <c r="B28" s="35" t="s">
        <v>24</v>
      </c>
      <c r="C28" s="35"/>
      <c r="D28" s="35"/>
      <c r="E28" s="36"/>
      <c r="F28" s="35" t="s">
        <v>8</v>
      </c>
      <c r="G28" s="31"/>
      <c r="H28" s="31"/>
      <c r="I28" s="31"/>
    </row>
    <row r="29" spans="1:12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37" t="s">
        <v>26</v>
      </c>
      <c r="H29" s="37" t="s">
        <v>27</v>
      </c>
      <c r="I29" s="37" t="s">
        <v>28</v>
      </c>
    </row>
    <row r="30" spans="1:12" x14ac:dyDescent="0.25">
      <c r="B30" s="30" t="s">
        <v>140</v>
      </c>
      <c r="C30" s="38">
        <f>C25+G25</f>
        <v>208000</v>
      </c>
      <c r="D30" s="30"/>
      <c r="E30" s="30"/>
      <c r="F30" s="30" t="s">
        <v>141</v>
      </c>
      <c r="G30" s="38">
        <f>I25</f>
        <v>208000</v>
      </c>
      <c r="H30" s="30"/>
      <c r="I30" s="30"/>
    </row>
    <row r="31" spans="1:12" x14ac:dyDescent="0.25">
      <c r="B31" s="30" t="s">
        <v>5</v>
      </c>
      <c r="C31" s="38">
        <f>MAY!E44</f>
        <v>6624</v>
      </c>
      <c r="D31" s="30"/>
      <c r="E31" s="30"/>
      <c r="F31" s="30" t="s">
        <v>5</v>
      </c>
      <c r="G31" s="38">
        <f>MAY!I44</f>
        <v>-15476</v>
      </c>
      <c r="H31" s="30"/>
      <c r="I31" s="30"/>
    </row>
    <row r="32" spans="1:12" x14ac:dyDescent="0.25">
      <c r="B32" s="30" t="s">
        <v>35</v>
      </c>
      <c r="C32" s="38">
        <f>E25</f>
        <v>11400</v>
      </c>
      <c r="D32" s="30"/>
      <c r="E32" s="30"/>
      <c r="F32" s="30" t="s">
        <v>35</v>
      </c>
      <c r="G32" s="38">
        <f>C32</f>
        <v>11400</v>
      </c>
      <c r="H32" s="30"/>
      <c r="I32" s="30"/>
    </row>
    <row r="33" spans="2:14" x14ac:dyDescent="0.25">
      <c r="B33" s="30" t="s">
        <v>86</v>
      </c>
      <c r="C33" s="38">
        <f>K25</f>
        <v>0</v>
      </c>
      <c r="D33" s="30"/>
      <c r="E33" s="30"/>
      <c r="F33" s="30" t="s">
        <v>86</v>
      </c>
      <c r="G33" s="38">
        <f>C33</f>
        <v>0</v>
      </c>
      <c r="H33" s="30"/>
      <c r="I33" s="30"/>
    </row>
    <row r="34" spans="2:14" x14ac:dyDescent="0.25">
      <c r="B34" s="30" t="s">
        <v>88</v>
      </c>
      <c r="C34" s="38">
        <f>L25</f>
        <v>10800</v>
      </c>
      <c r="D34" s="30"/>
      <c r="E34" s="30"/>
      <c r="F34" s="30" t="s">
        <v>88</v>
      </c>
      <c r="G34" s="38">
        <f>C34</f>
        <v>10800</v>
      </c>
      <c r="H34" s="30"/>
      <c r="I34" s="30"/>
    </row>
    <row r="35" spans="2:14" x14ac:dyDescent="0.25">
      <c r="B35" s="30" t="s">
        <v>30</v>
      </c>
      <c r="C35" s="39">
        <v>0.06</v>
      </c>
      <c r="D35" s="38">
        <f>C30*C35</f>
        <v>12480</v>
      </c>
      <c r="E35" s="30"/>
      <c r="F35" s="30" t="s">
        <v>30</v>
      </c>
      <c r="G35" s="39">
        <v>0.06</v>
      </c>
      <c r="H35" s="38">
        <f>D35</f>
        <v>12480</v>
      </c>
      <c r="I35" s="30"/>
    </row>
    <row r="36" spans="2:14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4" x14ac:dyDescent="0.25">
      <c r="B37" s="40" t="s">
        <v>137</v>
      </c>
      <c r="C37" s="30"/>
      <c r="D37" s="30">
        <v>10000</v>
      </c>
      <c r="E37" s="30"/>
      <c r="F37" s="40" t="s">
        <v>137</v>
      </c>
      <c r="G37" s="30"/>
      <c r="H37" s="30">
        <v>10000</v>
      </c>
      <c r="I37" s="30"/>
    </row>
    <row r="38" spans="2:14" x14ac:dyDescent="0.25">
      <c r="B38" s="40" t="s">
        <v>142</v>
      </c>
      <c r="C38" s="30"/>
      <c r="D38" s="30">
        <v>195200</v>
      </c>
      <c r="E38" s="30"/>
      <c r="F38" s="40" t="s">
        <v>142</v>
      </c>
      <c r="G38" s="30"/>
      <c r="H38" s="30">
        <v>195200</v>
      </c>
      <c r="I38" s="30"/>
    </row>
    <row r="39" spans="2:14" x14ac:dyDescent="0.25">
      <c r="B39" s="40" t="s">
        <v>88</v>
      </c>
      <c r="C39" s="30"/>
      <c r="D39" s="30">
        <v>8000</v>
      </c>
      <c r="E39" s="30"/>
      <c r="F39" s="40" t="s">
        <v>88</v>
      </c>
      <c r="G39" s="30"/>
      <c r="H39" s="30">
        <v>8000</v>
      </c>
      <c r="I39" s="30"/>
    </row>
    <row r="40" spans="2:14" x14ac:dyDescent="0.25">
      <c r="B40" s="40"/>
      <c r="C40" s="30"/>
      <c r="D40" s="30"/>
      <c r="E40" s="30"/>
      <c r="F40" s="40"/>
      <c r="G40" s="30"/>
      <c r="H40" s="30"/>
      <c r="I40" s="30"/>
    </row>
    <row r="41" spans="2:14" x14ac:dyDescent="0.25">
      <c r="B41" s="40"/>
      <c r="C41" s="30"/>
      <c r="D41" s="30"/>
      <c r="E41" s="30"/>
      <c r="F41" s="40"/>
      <c r="G41" s="30"/>
      <c r="H41" s="30"/>
      <c r="I41" s="30"/>
    </row>
    <row r="42" spans="2:14" x14ac:dyDescent="0.25">
      <c r="B42" s="40"/>
      <c r="C42" s="30"/>
      <c r="D42" s="30"/>
      <c r="E42" s="30"/>
      <c r="F42" s="40"/>
      <c r="G42" s="30"/>
      <c r="H42" s="30"/>
      <c r="I42" s="30"/>
      <c r="N42" t="s">
        <v>123</v>
      </c>
    </row>
    <row r="43" spans="2:14" x14ac:dyDescent="0.25">
      <c r="B43" s="41"/>
      <c r="C43" s="30"/>
      <c r="D43" s="30"/>
      <c r="E43" s="30"/>
      <c r="F43" s="30"/>
      <c r="G43" s="30"/>
      <c r="H43" s="30"/>
      <c r="I43" s="30"/>
    </row>
    <row r="44" spans="2:14" x14ac:dyDescent="0.25">
      <c r="B44" s="37" t="s">
        <v>33</v>
      </c>
      <c r="C44" s="42">
        <f>C30+C31+C32+C33+C34-D35</f>
        <v>224344</v>
      </c>
      <c r="D44" s="42">
        <f>SUM(D37:D43)</f>
        <v>213200</v>
      </c>
      <c r="E44" s="42">
        <f>C44-D44</f>
        <v>11144</v>
      </c>
      <c r="F44" s="37" t="s">
        <v>33</v>
      </c>
      <c r="G44" s="42">
        <f>G30+G31+G32+G33+G34-H35</f>
        <v>202244</v>
      </c>
      <c r="H44" s="42">
        <f>SUM(H37:H43)</f>
        <v>213200</v>
      </c>
      <c r="I44" s="42">
        <f>G44-H44</f>
        <v>-10956</v>
      </c>
    </row>
    <row r="46" spans="2:14" x14ac:dyDescent="0.25">
      <c r="K46" s="25"/>
    </row>
    <row r="47" spans="2:14" x14ac:dyDescent="0.25">
      <c r="B47" t="s">
        <v>37</v>
      </c>
      <c r="D47" t="s">
        <v>39</v>
      </c>
      <c r="G47" t="s">
        <v>41</v>
      </c>
    </row>
    <row r="48" spans="2:14" x14ac:dyDescent="0.25">
      <c r="K48" s="24"/>
    </row>
    <row r="49" spans="2:8" x14ac:dyDescent="0.25">
      <c r="B49" t="s">
        <v>38</v>
      </c>
      <c r="D49" t="s">
        <v>40</v>
      </c>
      <c r="G49" t="s">
        <v>42</v>
      </c>
    </row>
    <row r="50" spans="2:8" x14ac:dyDescent="0.25">
      <c r="C50" s="1"/>
      <c r="D50" s="1"/>
      <c r="E50" s="1"/>
      <c r="F50" s="22"/>
      <c r="G50" s="1"/>
      <c r="H50" s="1"/>
    </row>
    <row r="51" spans="2:8" x14ac:dyDescent="0.25">
      <c r="C51" s="1"/>
      <c r="D51" s="1"/>
      <c r="E51" s="1"/>
      <c r="F51" s="22"/>
      <c r="G51" s="1"/>
      <c r="H51" s="1"/>
    </row>
    <row r="52" spans="2:8" x14ac:dyDescent="0.25">
      <c r="C52" s="1"/>
      <c r="D52" s="1"/>
      <c r="E52" s="1"/>
      <c r="F52" s="22"/>
      <c r="G52" s="1"/>
      <c r="H52" s="1"/>
    </row>
    <row r="53" spans="2:8" x14ac:dyDescent="0.25">
      <c r="C53" s="1"/>
      <c r="D53" s="1"/>
      <c r="E53" s="1"/>
      <c r="F53" s="23"/>
      <c r="G53" s="1"/>
      <c r="H53" s="22"/>
    </row>
    <row r="59" spans="2:8" x14ac:dyDescent="0.25">
      <c r="B59" s="25"/>
    </row>
    <row r="60" spans="2:8" x14ac:dyDescent="0.25">
      <c r="B60" s="25"/>
      <c r="C60" s="24"/>
    </row>
  </sheetData>
  <pageMargins left="0.25" right="0.25" top="0.75" bottom="0.75" header="0.3" footer="0.3"/>
  <pageSetup paperSize="286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4" workbookViewId="0">
      <selection activeCell="K32" sqref="K32"/>
    </sheetView>
  </sheetViews>
  <sheetFormatPr defaultRowHeight="15" x14ac:dyDescent="0.25"/>
  <cols>
    <col min="1" max="1" width="3.85546875" customWidth="1"/>
    <col min="2" max="2" width="18.85546875" customWidth="1"/>
    <col min="3" max="3" width="8.28515625" customWidth="1"/>
    <col min="4" max="4" width="9.28515625" customWidth="1"/>
    <col min="5" max="5" width="8.85546875" customWidth="1"/>
    <col min="6" max="6" width="7.5703125" customWidth="1"/>
    <col min="7" max="7" width="8.28515625" customWidth="1"/>
    <col min="8" max="8" width="10.28515625" customWidth="1"/>
    <col min="9" max="9" width="8.7109375" customWidth="1"/>
    <col min="10" max="10" width="8.85546875" customWidth="1"/>
    <col min="11" max="11" width="10.28515625" customWidth="1"/>
    <col min="12" max="12" width="9.28515625" customWidth="1"/>
  </cols>
  <sheetData>
    <row r="1" spans="1:12" ht="15.75" x14ac:dyDescent="0.25">
      <c r="B1" s="1"/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2" ht="15.75" x14ac:dyDescent="0.25">
      <c r="A3" s="1"/>
      <c r="B3" s="1"/>
      <c r="C3" s="21" t="s">
        <v>144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/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/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12</v>
      </c>
      <c r="C7" s="3"/>
      <c r="D7" s="3">
        <v>200</v>
      </c>
      <c r="E7" s="3">
        <v>1050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ref="J7:J22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138</v>
      </c>
      <c r="C9" s="3"/>
      <c r="D9" s="3"/>
      <c r="E9" s="3"/>
      <c r="F9" s="3">
        <v>22100</v>
      </c>
      <c r="G9" s="3"/>
      <c r="H9" s="3">
        <f t="shared" si="0"/>
        <v>22100</v>
      </c>
      <c r="I9" s="3"/>
      <c r="J9" s="3">
        <f t="shared" si="1"/>
        <v>22100</v>
      </c>
      <c r="K9" s="3"/>
      <c r="L9" s="3"/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300</v>
      </c>
      <c r="F10" s="3"/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750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>
        <v>200</v>
      </c>
      <c r="E12" s="30">
        <v>150</v>
      </c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>
        <v>200</v>
      </c>
      <c r="E14" s="30">
        <v>450</v>
      </c>
      <c r="F14" s="3"/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/>
    </row>
    <row r="15" spans="1:12" x14ac:dyDescent="0.25">
      <c r="A15" s="3">
        <v>11</v>
      </c>
      <c r="B15" s="3" t="s">
        <v>18</v>
      </c>
      <c r="C15" s="3"/>
      <c r="D15" s="3"/>
      <c r="E15" s="30">
        <v>150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750</v>
      </c>
      <c r="F16" s="3"/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s="3"/>
      <c r="L16" s="3">
        <v>600</v>
      </c>
    </row>
    <row r="17" spans="1:12" x14ac:dyDescent="0.25">
      <c r="A17" s="3">
        <v>13</v>
      </c>
      <c r="B17" s="12" t="s">
        <v>19</v>
      </c>
      <c r="C17" s="3"/>
      <c r="D17" s="3">
        <v>200</v>
      </c>
      <c r="E17" s="30">
        <v>600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</row>
    <row r="18" spans="1:12" x14ac:dyDescent="0.25">
      <c r="A18" s="3">
        <v>14</v>
      </c>
      <c r="B18" s="12" t="s">
        <v>70</v>
      </c>
      <c r="C18" s="3"/>
      <c r="D18" s="43">
        <v>200</v>
      </c>
      <c r="E18" s="3">
        <v>750</v>
      </c>
      <c r="F18" s="3"/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</row>
    <row r="19" spans="1:12" x14ac:dyDescent="0.25">
      <c r="A19" s="3">
        <v>15</v>
      </c>
      <c r="B19" s="3"/>
      <c r="C19" s="3"/>
      <c r="D19" s="3"/>
      <c r="E19" s="3"/>
      <c r="F19" s="3"/>
      <c r="G19" s="3"/>
      <c r="H19" s="3">
        <f>C19+F19+G19</f>
        <v>0</v>
      </c>
      <c r="I19" s="3"/>
      <c r="J19" s="3">
        <f t="shared" si="1"/>
        <v>0</v>
      </c>
      <c r="K19" s="3"/>
      <c r="L19" s="3"/>
    </row>
    <row r="20" spans="1:12" x14ac:dyDescent="0.25">
      <c r="A20" s="3">
        <v>16</v>
      </c>
      <c r="B20" s="3" t="s">
        <v>111</v>
      </c>
      <c r="C20" s="3"/>
      <c r="D20" s="3">
        <v>200</v>
      </c>
      <c r="E20" s="3">
        <v>750</v>
      </c>
      <c r="F20" s="3"/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" t="s">
        <v>128</v>
      </c>
      <c r="C21" s="3"/>
      <c r="D21" s="3">
        <v>200</v>
      </c>
      <c r="E21" s="3">
        <v>300</v>
      </c>
      <c r="F21" s="3"/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103</v>
      </c>
      <c r="C22" s="3"/>
      <c r="D22" s="3">
        <v>200</v>
      </c>
      <c r="E22" s="3">
        <v>300</v>
      </c>
      <c r="F22" s="3"/>
      <c r="G22" s="3">
        <v>10000</v>
      </c>
      <c r="H22" s="3">
        <f t="shared" si="0"/>
        <v>10000</v>
      </c>
      <c r="I22" s="3">
        <v>10000</v>
      </c>
      <c r="J22" s="3">
        <f t="shared" si="1"/>
        <v>0</v>
      </c>
      <c r="K22" s="3"/>
      <c r="L22" s="3"/>
    </row>
    <row r="23" spans="1:12" x14ac:dyDescent="0.25">
      <c r="A23" s="3">
        <v>19</v>
      </c>
      <c r="B23" s="3" t="s">
        <v>112</v>
      </c>
      <c r="C23" s="3"/>
      <c r="D23" s="3"/>
      <c r="E23" s="30">
        <v>450</v>
      </c>
      <c r="F23" s="3"/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100</v>
      </c>
    </row>
    <row r="24" spans="1:12" x14ac:dyDescent="0.25">
      <c r="A24" s="3">
        <v>20</v>
      </c>
      <c r="B24" s="3" t="s">
        <v>55</v>
      </c>
      <c r="C24" s="3"/>
      <c r="D24" s="3">
        <v>200</v>
      </c>
      <c r="E24" s="3">
        <v>450</v>
      </c>
      <c r="F24" s="3"/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2" x14ac:dyDescent="0.25">
      <c r="A25" s="2"/>
      <c r="B25" s="2" t="s">
        <v>33</v>
      </c>
      <c r="C25" s="2">
        <f>SUM(C5:C24)</f>
        <v>0</v>
      </c>
      <c r="D25" s="2">
        <f t="shared" ref="D25:K25" si="2">SUM(D5:D24)</f>
        <v>3000</v>
      </c>
      <c r="E25" s="2">
        <f>SUM(E5:E24)</f>
        <v>8100</v>
      </c>
      <c r="F25" s="2">
        <f t="shared" si="2"/>
        <v>22100</v>
      </c>
      <c r="G25" s="2">
        <f>SUM(G5:G24)</f>
        <v>188000</v>
      </c>
      <c r="H25" s="2">
        <f t="shared" si="2"/>
        <v>210100</v>
      </c>
      <c r="I25" s="2">
        <f t="shared" si="2"/>
        <v>188000</v>
      </c>
      <c r="J25" s="2">
        <f t="shared" si="2"/>
        <v>22100</v>
      </c>
      <c r="K25" s="2">
        <f t="shared" si="2"/>
        <v>0</v>
      </c>
      <c r="L25" s="2">
        <f>SUM(L5:L24)</f>
        <v>9100</v>
      </c>
    </row>
    <row r="26" spans="1:1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2" x14ac:dyDescent="0.25">
      <c r="B27" s="31" t="s">
        <v>23</v>
      </c>
      <c r="C27" s="32"/>
      <c r="D27" s="6"/>
      <c r="E27" s="33"/>
      <c r="F27" s="34"/>
      <c r="G27" s="9"/>
      <c r="H27" s="34"/>
      <c r="I27" s="31"/>
    </row>
    <row r="28" spans="1:12" x14ac:dyDescent="0.25">
      <c r="B28" s="35" t="s">
        <v>24</v>
      </c>
      <c r="C28" s="35"/>
      <c r="D28" s="35"/>
      <c r="E28" s="36"/>
      <c r="F28" s="35" t="s">
        <v>8</v>
      </c>
      <c r="G28" s="31"/>
      <c r="H28" s="31"/>
      <c r="I28" s="31"/>
    </row>
    <row r="29" spans="1:12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37" t="s">
        <v>26</v>
      </c>
      <c r="H29" s="37" t="s">
        <v>27</v>
      </c>
      <c r="I29" s="37" t="s">
        <v>28</v>
      </c>
    </row>
    <row r="30" spans="1:12" x14ac:dyDescent="0.25">
      <c r="B30" s="30" t="s">
        <v>29</v>
      </c>
      <c r="C30" s="38">
        <f>C25+G25</f>
        <v>188000</v>
      </c>
      <c r="D30" s="30"/>
      <c r="E30" s="30"/>
      <c r="F30" s="30" t="s">
        <v>29</v>
      </c>
      <c r="G30" s="38">
        <f>I25</f>
        <v>188000</v>
      </c>
      <c r="H30" s="30"/>
      <c r="I30" s="30"/>
    </row>
    <row r="31" spans="1:12" x14ac:dyDescent="0.25">
      <c r="B31" s="30" t="s">
        <v>5</v>
      </c>
      <c r="C31" s="38">
        <f>JUNE!E44</f>
        <v>11144</v>
      </c>
      <c r="D31" s="30"/>
      <c r="E31" s="30"/>
      <c r="F31" s="30" t="s">
        <v>5</v>
      </c>
      <c r="G31" s="38">
        <f>JUNE!I44</f>
        <v>-10956</v>
      </c>
      <c r="H31" s="30"/>
      <c r="I31" s="30"/>
    </row>
    <row r="32" spans="1:12" x14ac:dyDescent="0.25">
      <c r="B32" s="30" t="s">
        <v>35</v>
      </c>
      <c r="C32" s="38">
        <f>E25</f>
        <v>8100</v>
      </c>
      <c r="D32" s="30"/>
      <c r="E32" s="30"/>
      <c r="F32" s="30" t="s">
        <v>35</v>
      </c>
      <c r="G32" s="38">
        <f>C32</f>
        <v>8100</v>
      </c>
      <c r="H32" s="30"/>
      <c r="I32" s="30"/>
    </row>
    <row r="33" spans="2:14" x14ac:dyDescent="0.25">
      <c r="B33" s="30" t="s">
        <v>86</v>
      </c>
      <c r="C33" s="38">
        <f>K25</f>
        <v>0</v>
      </c>
      <c r="D33" s="30"/>
      <c r="E33" s="30"/>
      <c r="F33" s="30" t="s">
        <v>86</v>
      </c>
      <c r="G33" s="38">
        <f>C33</f>
        <v>0</v>
      </c>
      <c r="H33" s="30"/>
      <c r="I33" s="30"/>
    </row>
    <row r="34" spans="2:14" x14ac:dyDescent="0.25">
      <c r="B34" s="30" t="s">
        <v>88</v>
      </c>
      <c r="C34" s="38">
        <f>L25</f>
        <v>9100</v>
      </c>
      <c r="D34" s="30"/>
      <c r="E34" s="30"/>
      <c r="F34" s="30" t="s">
        <v>88</v>
      </c>
      <c r="G34" s="38">
        <f>C34</f>
        <v>9100</v>
      </c>
      <c r="H34" s="30"/>
      <c r="I34" s="30"/>
    </row>
    <row r="35" spans="2:14" x14ac:dyDescent="0.25">
      <c r="B35" s="30" t="s">
        <v>30</v>
      </c>
      <c r="C35" s="39">
        <v>0.06</v>
      </c>
      <c r="D35" s="38">
        <f>C30*C35</f>
        <v>11280</v>
      </c>
      <c r="E35" s="30"/>
      <c r="F35" s="30" t="s">
        <v>30</v>
      </c>
      <c r="G35" s="39">
        <v>0.06</v>
      </c>
      <c r="H35" s="38">
        <f>D35</f>
        <v>11280</v>
      </c>
      <c r="I35" s="30"/>
    </row>
    <row r="36" spans="2:14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4" x14ac:dyDescent="0.25">
      <c r="B37" s="40" t="s">
        <v>88</v>
      </c>
      <c r="C37" s="30"/>
      <c r="D37" s="30">
        <v>8000</v>
      </c>
      <c r="E37" s="30"/>
      <c r="F37" s="40" t="s">
        <v>88</v>
      </c>
      <c r="G37" s="30"/>
      <c r="H37" s="30">
        <v>8000</v>
      </c>
      <c r="I37" s="30"/>
    </row>
    <row r="38" spans="2:14" x14ac:dyDescent="0.25">
      <c r="B38" s="40" t="s">
        <v>143</v>
      </c>
      <c r="C38" s="30"/>
      <c r="D38" s="30">
        <v>196000</v>
      </c>
      <c r="E38" s="30"/>
      <c r="F38" s="40" t="s">
        <v>143</v>
      </c>
      <c r="G38" s="30"/>
      <c r="H38" s="30">
        <v>196000</v>
      </c>
      <c r="I38" s="30"/>
    </row>
    <row r="39" spans="2:14" x14ac:dyDescent="0.25">
      <c r="B39" s="3" t="s">
        <v>145</v>
      </c>
      <c r="C39" s="3"/>
      <c r="D39" s="3">
        <v>2100</v>
      </c>
      <c r="E39" s="3"/>
      <c r="F39" s="3" t="s">
        <v>145</v>
      </c>
      <c r="G39" s="3"/>
      <c r="H39" s="3">
        <v>2100</v>
      </c>
      <c r="I39" s="30"/>
    </row>
    <row r="40" spans="2:14" x14ac:dyDescent="0.25">
      <c r="B40" s="40"/>
      <c r="C40" s="30"/>
      <c r="D40" s="30"/>
      <c r="E40" s="30"/>
      <c r="F40" s="40"/>
      <c r="G40" s="30"/>
      <c r="H40" s="30"/>
      <c r="I40" s="30"/>
    </row>
    <row r="41" spans="2:14" x14ac:dyDescent="0.25">
      <c r="B41" s="40"/>
      <c r="C41" s="30"/>
      <c r="D41" s="30"/>
      <c r="E41" s="30"/>
      <c r="F41" s="40"/>
      <c r="G41" s="30"/>
      <c r="H41" s="30"/>
      <c r="I41" s="30"/>
    </row>
    <row r="42" spans="2:14" x14ac:dyDescent="0.25">
      <c r="B42" s="40"/>
      <c r="C42" s="30"/>
      <c r="D42" s="30"/>
      <c r="E42" s="30"/>
      <c r="F42" s="40"/>
      <c r="G42" s="30"/>
      <c r="H42" s="30"/>
      <c r="I42" s="30"/>
      <c r="N42" t="s">
        <v>123</v>
      </c>
    </row>
    <row r="43" spans="2:14" x14ac:dyDescent="0.25">
      <c r="B43" s="41"/>
      <c r="C43" s="30"/>
      <c r="D43" s="30"/>
      <c r="E43" s="30"/>
      <c r="F43" s="30"/>
      <c r="G43" s="30"/>
      <c r="H43" s="30"/>
      <c r="I43" s="30"/>
    </row>
    <row r="44" spans="2:14" x14ac:dyDescent="0.25">
      <c r="B44" s="37" t="s">
        <v>33</v>
      </c>
      <c r="C44" s="42">
        <f>C30+C31+C32+C33+C34-D35</f>
        <v>205064</v>
      </c>
      <c r="D44" s="42">
        <f>SUM(D37:D43)</f>
        <v>206100</v>
      </c>
      <c r="E44" s="42">
        <f>C44-D44</f>
        <v>-1036</v>
      </c>
      <c r="F44" s="37" t="s">
        <v>33</v>
      </c>
      <c r="G44" s="42">
        <f>G30+G31+G32+G33+G34-H35</f>
        <v>182964</v>
      </c>
      <c r="H44" s="42">
        <f>SUM(H37:H43)</f>
        <v>206100</v>
      </c>
      <c r="I44" s="42">
        <f>G44-H44</f>
        <v>-23136</v>
      </c>
    </row>
    <row r="46" spans="2:14" x14ac:dyDescent="0.25">
      <c r="K46" s="25"/>
    </row>
    <row r="47" spans="2:14" x14ac:dyDescent="0.25">
      <c r="B47" t="s">
        <v>37</v>
      </c>
      <c r="D47" t="s">
        <v>39</v>
      </c>
      <c r="G47" t="s">
        <v>41</v>
      </c>
    </row>
    <row r="48" spans="2:14" x14ac:dyDescent="0.25">
      <c r="K48" s="24"/>
    </row>
    <row r="49" spans="2:8" x14ac:dyDescent="0.25">
      <c r="B49" t="s">
        <v>38</v>
      </c>
      <c r="D49" t="s">
        <v>40</v>
      </c>
      <c r="G49" t="s">
        <v>42</v>
      </c>
    </row>
    <row r="50" spans="2:8" x14ac:dyDescent="0.25">
      <c r="C50" s="1"/>
      <c r="D50" s="1"/>
      <c r="E50" s="1"/>
      <c r="F50" s="22"/>
      <c r="G50" s="1"/>
      <c r="H50" s="1"/>
    </row>
    <row r="51" spans="2:8" x14ac:dyDescent="0.25">
      <c r="C51" s="1"/>
      <c r="D51" s="1"/>
      <c r="E51" s="1"/>
      <c r="F51" s="22"/>
      <c r="G51" s="1"/>
      <c r="H51" s="1"/>
    </row>
    <row r="52" spans="2:8" x14ac:dyDescent="0.25">
      <c r="C52" s="1"/>
      <c r="D52" s="1"/>
      <c r="E52" s="1"/>
      <c r="F52" s="22"/>
      <c r="G52" s="1"/>
      <c r="H52" s="1"/>
    </row>
    <row r="53" spans="2:8" x14ac:dyDescent="0.25">
      <c r="C53" s="1"/>
      <c r="D53" s="1"/>
      <c r="E53" s="1"/>
      <c r="F53" s="23"/>
      <c r="G53" s="1"/>
      <c r="H53" s="22"/>
    </row>
    <row r="59" spans="2:8" x14ac:dyDescent="0.25">
      <c r="B59" s="25"/>
    </row>
    <row r="60" spans="2:8" x14ac:dyDescent="0.25">
      <c r="B60" s="25"/>
      <c r="C60" s="24"/>
    </row>
  </sheetData>
  <pageMargins left="0.25" right="0.25" top="0.75" bottom="0.75" header="0.3" footer="0.3"/>
  <pageSetup paperSize="286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9" workbookViewId="0">
      <selection activeCell="M35" sqref="M35"/>
    </sheetView>
  </sheetViews>
  <sheetFormatPr defaultRowHeight="15" x14ac:dyDescent="0.25"/>
  <sheetData>
    <row r="1" spans="1:16" ht="15.75" x14ac:dyDescent="0.25">
      <c r="B1" s="1"/>
      <c r="C1" s="21" t="s">
        <v>0</v>
      </c>
      <c r="D1" s="21"/>
      <c r="E1" s="21"/>
      <c r="F1" s="27"/>
      <c r="G1" s="27"/>
      <c r="I1" s="1"/>
      <c r="J1" s="1"/>
    </row>
    <row r="2" spans="1:16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6" ht="15.75" x14ac:dyDescent="0.25">
      <c r="A3" s="1"/>
      <c r="B3" s="1"/>
      <c r="C3" s="21" t="s">
        <v>160</v>
      </c>
      <c r="D3" s="21"/>
      <c r="E3" s="21"/>
      <c r="F3" s="27"/>
      <c r="G3" s="27"/>
      <c r="I3" s="1"/>
      <c r="J3" s="1"/>
    </row>
    <row r="4" spans="1:16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6" x14ac:dyDescent="0.25">
      <c r="A5" s="3">
        <v>1</v>
      </c>
      <c r="B5" s="3" t="s">
        <v>94</v>
      </c>
      <c r="C5" s="3"/>
      <c r="D5" s="3"/>
      <c r="E5" s="3"/>
      <c r="F5" s="3">
        <f>'JULY '!J5:J25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6" x14ac:dyDescent="0.25">
      <c r="A6" s="3">
        <v>2</v>
      </c>
      <c r="B6" t="s">
        <v>69</v>
      </c>
      <c r="C6" s="3"/>
      <c r="D6" s="3">
        <v>200</v>
      </c>
      <c r="E6" s="3">
        <v>600</v>
      </c>
      <c r="F6" s="3">
        <f>'JULY '!J6:J26</f>
        <v>0</v>
      </c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6" x14ac:dyDescent="0.25">
      <c r="A7" s="3">
        <v>3</v>
      </c>
      <c r="B7" s="3" t="s">
        <v>12</v>
      </c>
      <c r="C7" s="3"/>
      <c r="D7" s="3">
        <v>200</v>
      </c>
      <c r="E7" s="3">
        <v>1050</v>
      </c>
      <c r="F7" s="3">
        <f>'JULY '!J7:J27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2" si="1">H7-I7</f>
        <v>0</v>
      </c>
      <c r="K7" s="3"/>
      <c r="L7" s="3">
        <v>600</v>
      </c>
    </row>
    <row r="8" spans="1:16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>
        <f>'JULY '!J8:J28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  <c r="O8" s="4"/>
      <c r="P8" s="4"/>
    </row>
    <row r="9" spans="1:16" x14ac:dyDescent="0.25">
      <c r="A9" s="3">
        <v>5</v>
      </c>
      <c r="B9" s="3" t="s">
        <v>138</v>
      </c>
      <c r="C9" s="3"/>
      <c r="D9" s="3"/>
      <c r="E9" s="3"/>
      <c r="F9" s="3">
        <f>'JULY '!J9:J29</f>
        <v>22100</v>
      </c>
      <c r="G9" s="3"/>
      <c r="H9" s="3">
        <f t="shared" si="0"/>
        <v>22100</v>
      </c>
      <c r="I9" s="3"/>
      <c r="J9" s="3">
        <f t="shared" si="1"/>
        <v>22100</v>
      </c>
      <c r="K9" s="3"/>
      <c r="L9" s="3"/>
      <c r="O9" s="4" t="s">
        <v>150</v>
      </c>
      <c r="P9" s="4">
        <v>6800</v>
      </c>
    </row>
    <row r="10" spans="1:16" x14ac:dyDescent="0.25">
      <c r="A10" s="3">
        <v>6</v>
      </c>
      <c r="B10" s="3" t="s">
        <v>13</v>
      </c>
      <c r="C10" s="3"/>
      <c r="D10" s="3">
        <v>200</v>
      </c>
      <c r="E10" s="30">
        <v>600</v>
      </c>
      <c r="F10" s="3">
        <f>'JULY '!J10:J30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  <c r="O10" s="4" t="s">
        <v>151</v>
      </c>
      <c r="P10" s="4">
        <v>7800</v>
      </c>
    </row>
    <row r="11" spans="1:16" x14ac:dyDescent="0.25">
      <c r="A11" s="3">
        <v>7</v>
      </c>
      <c r="B11" s="3" t="s">
        <v>14</v>
      </c>
      <c r="C11" s="3"/>
      <c r="D11" s="3">
        <v>200</v>
      </c>
      <c r="E11" s="30">
        <v>1050</v>
      </c>
      <c r="F11" s="3">
        <f>'JULY '!J11:J31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6" x14ac:dyDescent="0.25">
      <c r="A12" s="3">
        <v>8</v>
      </c>
      <c r="B12" s="3" t="s">
        <v>15</v>
      </c>
      <c r="C12" s="3"/>
      <c r="D12" s="3">
        <v>200</v>
      </c>
      <c r="E12" s="30">
        <v>750</v>
      </c>
      <c r="F12" s="3">
        <f>'JULY '!J12:J32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6" x14ac:dyDescent="0.25">
      <c r="A13" s="3">
        <v>9</v>
      </c>
      <c r="B13" s="3" t="s">
        <v>16</v>
      </c>
      <c r="C13" s="3"/>
      <c r="D13" s="3">
        <v>200</v>
      </c>
      <c r="E13" s="3">
        <v>150</v>
      </c>
      <c r="F13" s="3">
        <f>'JULY '!J13:J33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6" x14ac:dyDescent="0.25">
      <c r="A14" s="3">
        <v>10</v>
      </c>
      <c r="B14" s="3" t="s">
        <v>99</v>
      </c>
      <c r="C14" s="3"/>
      <c r="D14" s="3">
        <v>200</v>
      </c>
      <c r="E14" s="30">
        <v>600</v>
      </c>
      <c r="F14" s="3">
        <f>'JULY '!J14:J34</f>
        <v>0</v>
      </c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>
        <v>200</v>
      </c>
    </row>
    <row r="15" spans="1:16" x14ac:dyDescent="0.25">
      <c r="A15" s="3">
        <v>11</v>
      </c>
      <c r="B15" s="3" t="s">
        <v>18</v>
      </c>
      <c r="C15" s="3"/>
      <c r="D15" s="3">
        <v>200</v>
      </c>
      <c r="E15" s="30">
        <v>300</v>
      </c>
      <c r="F15" s="3">
        <f>'JULY '!J15:J35</f>
        <v>0</v>
      </c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6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>
        <f>'JULY '!J16:J36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</row>
    <row r="17" spans="1:12" x14ac:dyDescent="0.25">
      <c r="A17" s="3">
        <v>13</v>
      </c>
      <c r="B17" s="12" t="s">
        <v>19</v>
      </c>
      <c r="C17" s="3"/>
      <c r="D17" s="3">
        <v>200</v>
      </c>
      <c r="E17" s="30"/>
      <c r="F17" s="3">
        <f>'JULY '!J17:J37</f>
        <v>0</v>
      </c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</row>
    <row r="18" spans="1:12" x14ac:dyDescent="0.25">
      <c r="A18" s="3">
        <v>14</v>
      </c>
      <c r="B18" s="12" t="s">
        <v>70</v>
      </c>
      <c r="C18" s="3"/>
      <c r="D18" s="43">
        <v>200</v>
      </c>
      <c r="E18" s="3">
        <v>900</v>
      </c>
      <c r="F18" s="3">
        <f>'JULY '!J18:J38</f>
        <v>0</v>
      </c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</row>
    <row r="19" spans="1:12" x14ac:dyDescent="0.25">
      <c r="A19" s="3">
        <v>15</v>
      </c>
      <c r="B19" s="3"/>
      <c r="C19" s="3"/>
      <c r="D19" s="3"/>
      <c r="E19" s="3"/>
      <c r="F19" s="3">
        <f>'JULY '!J19:J39</f>
        <v>0</v>
      </c>
      <c r="G19" s="3"/>
      <c r="H19" s="3">
        <f>C19+F19+G19</f>
        <v>0</v>
      </c>
      <c r="I19" s="3"/>
      <c r="J19" s="3">
        <f t="shared" si="1"/>
        <v>0</v>
      </c>
      <c r="K19" s="3"/>
      <c r="L19" s="3"/>
    </row>
    <row r="20" spans="1:12" x14ac:dyDescent="0.25">
      <c r="A20" s="3">
        <v>16</v>
      </c>
      <c r="B20" s="3" t="s">
        <v>111</v>
      </c>
      <c r="C20" s="3"/>
      <c r="D20" s="3">
        <v>200</v>
      </c>
      <c r="E20" s="3">
        <v>1350</v>
      </c>
      <c r="F20" s="3">
        <f>'JULY '!J20:J40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" t="s">
        <v>128</v>
      </c>
      <c r="C21" s="3"/>
      <c r="D21" s="3">
        <v>200</v>
      </c>
      <c r="E21" s="3">
        <v>450</v>
      </c>
      <c r="F21" s="3">
        <f>'JULY '!J21:J41</f>
        <v>0</v>
      </c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103</v>
      </c>
      <c r="C22" s="3"/>
      <c r="D22" s="3">
        <v>200</v>
      </c>
      <c r="E22" s="3">
        <v>300</v>
      </c>
      <c r="F22" s="3">
        <f>'JULY '!J22:J42</f>
        <v>0</v>
      </c>
      <c r="G22" s="3">
        <v>10000</v>
      </c>
      <c r="H22" s="3">
        <f t="shared" si="0"/>
        <v>10000</v>
      </c>
      <c r="I22" s="3">
        <v>10000</v>
      </c>
      <c r="J22" s="3">
        <f t="shared" si="1"/>
        <v>0</v>
      </c>
      <c r="K22" s="3"/>
      <c r="L22" s="3">
        <v>600</v>
      </c>
    </row>
    <row r="23" spans="1:12" x14ac:dyDescent="0.25">
      <c r="A23" s="3">
        <v>19</v>
      </c>
      <c r="B23" s="3" t="s">
        <v>112</v>
      </c>
      <c r="C23" s="3"/>
      <c r="D23" s="3">
        <v>600</v>
      </c>
      <c r="E23" s="30">
        <v>300</v>
      </c>
      <c r="F23" s="3">
        <f>'JULY '!J23:J43</f>
        <v>0</v>
      </c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1400</v>
      </c>
    </row>
    <row r="24" spans="1:12" x14ac:dyDescent="0.25">
      <c r="A24" s="3">
        <v>20</v>
      </c>
      <c r="B24" s="3" t="s">
        <v>55</v>
      </c>
      <c r="C24" s="3"/>
      <c r="D24" s="3">
        <v>200</v>
      </c>
      <c r="E24" s="3">
        <v>600</v>
      </c>
      <c r="F24" s="3">
        <f>'JULY '!J24:J44</f>
        <v>0</v>
      </c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2" x14ac:dyDescent="0.25">
      <c r="A25" s="2"/>
      <c r="B25" s="2" t="s">
        <v>33</v>
      </c>
      <c r="C25" s="2">
        <f>SUM(C5:C24)</f>
        <v>0</v>
      </c>
      <c r="D25" s="2">
        <f>SUM(D5:D24)</f>
        <v>3800</v>
      </c>
      <c r="E25" s="2">
        <f>SUM(E5:E24)</f>
        <v>10200</v>
      </c>
      <c r="F25" s="3">
        <f>'JULY '!J25:J45</f>
        <v>22100</v>
      </c>
      <c r="G25" s="2">
        <f t="shared" ref="G25:L25" si="2">SUM(G5:G24)</f>
        <v>188000</v>
      </c>
      <c r="H25" s="2">
        <f t="shared" si="2"/>
        <v>210100</v>
      </c>
      <c r="I25" s="2">
        <f t="shared" si="2"/>
        <v>188000</v>
      </c>
      <c r="J25" s="2">
        <f t="shared" si="2"/>
        <v>22100</v>
      </c>
      <c r="K25" s="2">
        <f t="shared" si="2"/>
        <v>0</v>
      </c>
      <c r="L25" s="2">
        <f t="shared" si="2"/>
        <v>11200</v>
      </c>
    </row>
    <row r="26" spans="1:12" x14ac:dyDescent="0.25">
      <c r="A26" s="7"/>
      <c r="B26" s="7"/>
      <c r="C26" s="7"/>
      <c r="D26" s="7"/>
      <c r="E26" s="7"/>
      <c r="F26" s="7"/>
      <c r="G26" s="40"/>
      <c r="H26" s="30"/>
      <c r="I26" s="30"/>
      <c r="J26" s="7"/>
    </row>
    <row r="27" spans="1:12" x14ac:dyDescent="0.25">
      <c r="B27" s="31" t="s">
        <v>23</v>
      </c>
      <c r="C27" s="32"/>
      <c r="D27" s="6"/>
      <c r="E27" s="33"/>
      <c r="F27" s="34"/>
      <c r="G27" s="40"/>
      <c r="H27" s="30"/>
      <c r="I27" s="30"/>
      <c r="J27">
        <f>E25+I25+L25</f>
        <v>209400</v>
      </c>
    </row>
    <row r="28" spans="1:12" x14ac:dyDescent="0.25">
      <c r="B28" s="35" t="s">
        <v>24</v>
      </c>
      <c r="C28" s="35"/>
      <c r="D28" s="35"/>
      <c r="E28" s="36"/>
      <c r="F28" s="35" t="s">
        <v>8</v>
      </c>
      <c r="G28" s="31"/>
      <c r="H28" s="31"/>
      <c r="I28" s="31"/>
    </row>
    <row r="29" spans="1:12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41"/>
      <c r="H29" s="30"/>
      <c r="I29" s="30"/>
    </row>
    <row r="30" spans="1:12" x14ac:dyDescent="0.25">
      <c r="B30" s="30" t="s">
        <v>146</v>
      </c>
      <c r="C30" s="38">
        <f>C25+G25</f>
        <v>188000</v>
      </c>
      <c r="D30" s="30"/>
      <c r="E30" s="30"/>
      <c r="F30" s="30" t="s">
        <v>146</v>
      </c>
      <c r="G30" s="38">
        <f>I25</f>
        <v>188000</v>
      </c>
      <c r="H30" s="30"/>
      <c r="I30" s="30"/>
    </row>
    <row r="31" spans="1:12" x14ac:dyDescent="0.25">
      <c r="B31" s="30" t="s">
        <v>5</v>
      </c>
      <c r="C31" s="38">
        <f>'JULY '!E44</f>
        <v>-1036</v>
      </c>
      <c r="D31" s="30"/>
      <c r="E31" s="30"/>
      <c r="F31" s="30" t="s">
        <v>5</v>
      </c>
      <c r="G31" s="38">
        <f>'JULY '!I44</f>
        <v>-23136</v>
      </c>
      <c r="H31" s="30"/>
      <c r="I31" s="30"/>
    </row>
    <row r="32" spans="1:12" x14ac:dyDescent="0.25">
      <c r="B32" s="30" t="s">
        <v>35</v>
      </c>
      <c r="C32" s="38">
        <f>E25</f>
        <v>10200</v>
      </c>
      <c r="D32" s="30"/>
      <c r="E32" s="30"/>
      <c r="F32" s="30" t="s">
        <v>35</v>
      </c>
      <c r="G32" s="38">
        <f>C32</f>
        <v>10200</v>
      </c>
      <c r="H32" s="30"/>
      <c r="I32" s="30"/>
    </row>
    <row r="33" spans="2:14" x14ac:dyDescent="0.25">
      <c r="B33" s="30" t="s">
        <v>86</v>
      </c>
      <c r="C33" s="38">
        <f>K25</f>
        <v>0</v>
      </c>
      <c r="D33" s="30"/>
      <c r="E33" s="30"/>
      <c r="F33" s="30" t="s">
        <v>86</v>
      </c>
      <c r="G33" s="38">
        <f>C33</f>
        <v>0</v>
      </c>
      <c r="H33" s="30"/>
      <c r="I33" s="30"/>
    </row>
    <row r="34" spans="2:14" x14ac:dyDescent="0.25">
      <c r="B34" s="30" t="s">
        <v>88</v>
      </c>
      <c r="C34" s="38">
        <v>8000</v>
      </c>
      <c r="D34" s="30"/>
      <c r="E34" s="30"/>
      <c r="F34" s="30" t="s">
        <v>88</v>
      </c>
      <c r="G34" s="38">
        <f>C34</f>
        <v>8000</v>
      </c>
      <c r="H34" s="30"/>
      <c r="I34" s="30"/>
    </row>
    <row r="35" spans="2:14" x14ac:dyDescent="0.25">
      <c r="B35" s="30" t="s">
        <v>30</v>
      </c>
      <c r="C35" s="39">
        <v>0.06</v>
      </c>
      <c r="D35" s="38">
        <f>C30*C35</f>
        <v>11280</v>
      </c>
      <c r="E35" s="30"/>
      <c r="F35" s="30" t="s">
        <v>30</v>
      </c>
      <c r="G35" s="39">
        <v>0.06</v>
      </c>
      <c r="H35" s="38">
        <f>D35</f>
        <v>11280</v>
      </c>
      <c r="I35" s="30"/>
    </row>
    <row r="36" spans="2:14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4" x14ac:dyDescent="0.25">
      <c r="B37" s="40" t="s">
        <v>147</v>
      </c>
      <c r="C37" s="30"/>
      <c r="D37" s="30">
        <v>8000</v>
      </c>
      <c r="E37" s="30"/>
      <c r="F37" s="40" t="s">
        <v>147</v>
      </c>
      <c r="G37" s="30"/>
      <c r="H37" s="30">
        <v>8000</v>
      </c>
      <c r="I37" s="30"/>
    </row>
    <row r="38" spans="2:14" x14ac:dyDescent="0.25">
      <c r="B38" s="40" t="s">
        <v>148</v>
      </c>
      <c r="C38" s="30"/>
      <c r="D38" s="30">
        <v>10087</v>
      </c>
      <c r="E38" s="30"/>
      <c r="F38" s="40" t="s">
        <v>148</v>
      </c>
      <c r="G38" s="30"/>
      <c r="H38" s="30">
        <v>10087</v>
      </c>
      <c r="I38" s="30"/>
    </row>
    <row r="39" spans="2:14" x14ac:dyDescent="0.25">
      <c r="B39" s="3" t="s">
        <v>149</v>
      </c>
      <c r="C39" s="3"/>
      <c r="D39" s="3">
        <v>172000</v>
      </c>
      <c r="E39" s="3"/>
      <c r="F39" s="3" t="s">
        <v>149</v>
      </c>
      <c r="G39" s="3"/>
      <c r="H39" s="3">
        <v>172000</v>
      </c>
      <c r="I39" s="30"/>
    </row>
    <row r="40" spans="2:14" x14ac:dyDescent="0.25">
      <c r="B40" s="40" t="s">
        <v>152</v>
      </c>
      <c r="C40" s="30"/>
      <c r="D40" s="30">
        <v>900</v>
      </c>
      <c r="E40" s="30"/>
      <c r="F40" s="40" t="s">
        <v>153</v>
      </c>
      <c r="G40" s="30"/>
      <c r="H40" s="30">
        <v>900</v>
      </c>
      <c r="I40" s="30"/>
    </row>
    <row r="41" spans="2:14" x14ac:dyDescent="0.25">
      <c r="B41" s="40" t="s">
        <v>157</v>
      </c>
      <c r="C41" s="30"/>
      <c r="D41" s="30">
        <v>4500</v>
      </c>
      <c r="E41" s="30"/>
      <c r="F41" s="40" t="s">
        <v>157</v>
      </c>
      <c r="G41" s="30"/>
      <c r="H41" s="30">
        <v>4500</v>
      </c>
      <c r="I41" s="30"/>
      <c r="L41" s="41" t="s">
        <v>154</v>
      </c>
      <c r="M41" s="30"/>
      <c r="N41">
        <v>22100</v>
      </c>
    </row>
    <row r="42" spans="2:14" x14ac:dyDescent="0.25">
      <c r="B42" s="40"/>
      <c r="C42" s="44"/>
      <c r="D42" s="30"/>
      <c r="E42" s="30"/>
      <c r="F42" s="40"/>
      <c r="G42" s="44"/>
      <c r="H42" s="30"/>
      <c r="I42" s="30"/>
      <c r="N42" t="s">
        <v>123</v>
      </c>
    </row>
    <row r="43" spans="2:14" x14ac:dyDescent="0.25">
      <c r="B43" s="41" t="s">
        <v>154</v>
      </c>
      <c r="C43" s="30"/>
      <c r="D43" s="30"/>
      <c r="E43" s="30"/>
      <c r="F43" s="41" t="s">
        <v>155</v>
      </c>
      <c r="G43" s="30"/>
      <c r="H43" s="30"/>
      <c r="I43" s="30"/>
    </row>
    <row r="44" spans="2:14" x14ac:dyDescent="0.25">
      <c r="B44" s="37" t="s">
        <v>33</v>
      </c>
      <c r="C44" s="42">
        <f>C30+C31+C32+C33+C34-D35</f>
        <v>193884</v>
      </c>
      <c r="D44" s="42">
        <f>SUM(D37:D43)</f>
        <v>195487</v>
      </c>
      <c r="E44" s="42">
        <f>C44-D44</f>
        <v>-1603</v>
      </c>
      <c r="F44" s="37" t="s">
        <v>33</v>
      </c>
      <c r="G44" s="42">
        <f>G30+G31+G32+G33+G34-H35</f>
        <v>171784</v>
      </c>
      <c r="H44" s="42">
        <f>SUM(H37:H43)</f>
        <v>195487</v>
      </c>
      <c r="I44" s="42">
        <f>G44-H44</f>
        <v>-23703</v>
      </c>
    </row>
    <row r="46" spans="2:14" x14ac:dyDescent="0.25">
      <c r="K46" s="25"/>
    </row>
    <row r="47" spans="2:14" x14ac:dyDescent="0.25">
      <c r="B47" t="s">
        <v>37</v>
      </c>
      <c r="D47" t="s">
        <v>39</v>
      </c>
      <c r="G47" t="s">
        <v>41</v>
      </c>
    </row>
    <row r="48" spans="2:14" x14ac:dyDescent="0.25">
      <c r="K48" s="24"/>
    </row>
    <row r="49" spans="2:8" x14ac:dyDescent="0.25">
      <c r="B49" t="s">
        <v>137</v>
      </c>
      <c r="D49" t="s">
        <v>40</v>
      </c>
      <c r="G49" t="s">
        <v>42</v>
      </c>
    </row>
    <row r="50" spans="2:8" x14ac:dyDescent="0.25">
      <c r="C50" s="1"/>
      <c r="D50" s="1"/>
      <c r="E50" s="1"/>
      <c r="F50" s="22"/>
      <c r="G50" s="1"/>
      <c r="H50" s="1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K38" sqref="K38"/>
    </sheetView>
  </sheetViews>
  <sheetFormatPr defaultRowHeight="15" x14ac:dyDescent="0.25"/>
  <cols>
    <col min="1" max="1" width="3.85546875" customWidth="1"/>
    <col min="2" max="2" width="16.5703125" customWidth="1"/>
    <col min="3" max="3" width="8" customWidth="1"/>
    <col min="4" max="5" width="7.5703125" customWidth="1"/>
    <col min="6" max="6" width="6.140625" customWidth="1"/>
    <col min="7" max="7" width="7.7109375" customWidth="1"/>
    <col min="8" max="8" width="8.7109375" customWidth="1"/>
    <col min="9" max="9" width="8.28515625" customWidth="1"/>
    <col min="10" max="10" width="7.28515625" customWidth="1"/>
    <col min="11" max="11" width="7.42578125" customWidth="1"/>
  </cols>
  <sheetData>
    <row r="1" spans="1:12" ht="15.75" x14ac:dyDescent="0.25">
      <c r="B1" s="1"/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2" ht="15.75" x14ac:dyDescent="0.25">
      <c r="A3" s="1"/>
      <c r="B3" s="1"/>
      <c r="C3" s="21" t="s">
        <v>163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>
        <f>'JULY '!J5:J25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'JULY '!J6:J26</f>
        <v>0</v>
      </c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12</v>
      </c>
      <c r="C7" s="3"/>
      <c r="D7" s="3">
        <v>200</v>
      </c>
      <c r="E7" s="3">
        <v>900</v>
      </c>
      <c r="F7" s="3">
        <f>'JULY '!J7:J27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2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>
        <f>'JULY '!J8:J28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159</v>
      </c>
      <c r="C9" s="3">
        <v>10000</v>
      </c>
      <c r="D9" s="3">
        <v>200</v>
      </c>
      <c r="E9" s="3"/>
      <c r="F9" s="3"/>
      <c r="G9" s="3">
        <v>10000</v>
      </c>
      <c r="H9" s="3">
        <f t="shared" si="0"/>
        <v>20000</v>
      </c>
      <c r="I9" s="3">
        <v>20000</v>
      </c>
      <c r="J9" s="3">
        <f t="shared" si="1"/>
        <v>0</v>
      </c>
      <c r="K9" s="3">
        <v>1500</v>
      </c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>
        <f>'JULY '!J10:J30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900</v>
      </c>
      <c r="F11" s="3">
        <f>'JULY '!J11:J31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>
        <v>200</v>
      </c>
      <c r="E12" s="30">
        <v>1200</v>
      </c>
      <c r="F12" s="3">
        <f>'JULY '!J12:J32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>
        <f>'JULY '!J13:J33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>
        <v>100</v>
      </c>
      <c r="E14" s="30">
        <v>300</v>
      </c>
      <c r="F14" s="3">
        <f>'JULY '!J14:J34</f>
        <v>0</v>
      </c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150</v>
      </c>
      <c r="F15" s="3">
        <f>'JULY '!J15:J35</f>
        <v>0</v>
      </c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  <c r="L15" s="3"/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900</v>
      </c>
      <c r="F16" s="3">
        <f>'JULY '!J16:J36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</row>
    <row r="17" spans="1:17" x14ac:dyDescent="0.25">
      <c r="A17" s="3">
        <v>13</v>
      </c>
      <c r="B17" s="12" t="s">
        <v>19</v>
      </c>
      <c r="C17" s="3"/>
      <c r="D17" s="3">
        <v>200</v>
      </c>
      <c r="E17" s="30">
        <v>1650</v>
      </c>
      <c r="F17" s="3">
        <f>'JULY '!J17:J37</f>
        <v>0</v>
      </c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</row>
    <row r="18" spans="1:17" x14ac:dyDescent="0.25">
      <c r="A18" s="3">
        <v>14</v>
      </c>
      <c r="B18" s="12" t="s">
        <v>70</v>
      </c>
      <c r="C18" s="3"/>
      <c r="D18" s="43">
        <v>200</v>
      </c>
      <c r="E18" s="3">
        <v>900</v>
      </c>
      <c r="F18" s="3">
        <f>'JULY '!J18:J38</f>
        <v>0</v>
      </c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  <c r="O18" s="3"/>
      <c r="P18" s="45"/>
      <c r="Q18" s="3"/>
    </row>
    <row r="19" spans="1:17" x14ac:dyDescent="0.25">
      <c r="A19" s="3">
        <v>15</v>
      </c>
      <c r="B19" s="3" t="s">
        <v>158</v>
      </c>
      <c r="C19" s="3">
        <v>10000</v>
      </c>
      <c r="D19" s="3">
        <v>200</v>
      </c>
      <c r="E19" s="3"/>
      <c r="F19" s="3">
        <f>'JULY '!J19:J39</f>
        <v>0</v>
      </c>
      <c r="G19" s="3">
        <v>10000</v>
      </c>
      <c r="H19" s="3">
        <f>C19+F19+G19</f>
        <v>20000</v>
      </c>
      <c r="I19" s="3">
        <v>20000</v>
      </c>
      <c r="J19" s="3">
        <f t="shared" si="1"/>
        <v>0</v>
      </c>
      <c r="K19" s="3">
        <v>1500</v>
      </c>
      <c r="L19" s="3">
        <v>600</v>
      </c>
    </row>
    <row r="20" spans="1:17" x14ac:dyDescent="0.25">
      <c r="A20" s="3">
        <v>16</v>
      </c>
      <c r="B20" s="3" t="s">
        <v>111</v>
      </c>
      <c r="C20" s="3"/>
      <c r="D20" s="3">
        <v>200</v>
      </c>
      <c r="E20" s="3">
        <v>550</v>
      </c>
      <c r="F20" s="3">
        <f>'JULY '!J20:J40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7" x14ac:dyDescent="0.25">
      <c r="A21" s="3">
        <v>17</v>
      </c>
      <c r="B21" s="3" t="s">
        <v>128</v>
      </c>
      <c r="C21" s="3"/>
      <c r="D21" s="3">
        <v>200</v>
      </c>
      <c r="E21" s="3"/>
      <c r="F21" s="3">
        <f>'JULY '!J21:J41</f>
        <v>0</v>
      </c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s="3"/>
      <c r="L21" s="3"/>
    </row>
    <row r="22" spans="1:17" x14ac:dyDescent="0.25">
      <c r="A22" s="3">
        <v>18</v>
      </c>
      <c r="B22" s="3" t="s">
        <v>103</v>
      </c>
      <c r="C22" s="3"/>
      <c r="D22" s="3">
        <v>200</v>
      </c>
      <c r="E22" s="3">
        <v>450</v>
      </c>
      <c r="F22" s="3">
        <f>'JULY '!J22:J42</f>
        <v>0</v>
      </c>
      <c r="G22" s="3">
        <v>10000</v>
      </c>
      <c r="H22" s="3">
        <f t="shared" si="0"/>
        <v>10000</v>
      </c>
      <c r="I22" s="3">
        <v>10000</v>
      </c>
      <c r="J22" s="3">
        <f t="shared" si="1"/>
        <v>0</v>
      </c>
      <c r="K22" s="3"/>
      <c r="L22" s="3">
        <v>600</v>
      </c>
    </row>
    <row r="23" spans="1:17" x14ac:dyDescent="0.25">
      <c r="A23" s="3">
        <v>19</v>
      </c>
      <c r="B23" s="3" t="s">
        <v>112</v>
      </c>
      <c r="C23" s="3"/>
      <c r="D23" s="3">
        <v>200</v>
      </c>
      <c r="E23" s="30"/>
      <c r="F23" s="3">
        <f>'JULY '!J23:J43</f>
        <v>0</v>
      </c>
      <c r="G23" s="3">
        <v>10000</v>
      </c>
      <c r="H23" s="3">
        <f t="shared" si="0"/>
        <v>10000</v>
      </c>
      <c r="I23" s="3">
        <v>4500</v>
      </c>
      <c r="J23" s="3">
        <f>H23-I23</f>
        <v>5500</v>
      </c>
      <c r="K23" s="3"/>
      <c r="L23" s="3"/>
    </row>
    <row r="24" spans="1:17" x14ac:dyDescent="0.25">
      <c r="A24" s="3">
        <v>20</v>
      </c>
      <c r="B24" s="3" t="s">
        <v>55</v>
      </c>
      <c r="C24" s="3"/>
      <c r="D24" s="3">
        <v>200</v>
      </c>
      <c r="E24" s="3">
        <v>450</v>
      </c>
      <c r="F24" s="3">
        <f>'JULY '!J24:J44</f>
        <v>0</v>
      </c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7" x14ac:dyDescent="0.25">
      <c r="A25" s="2"/>
      <c r="B25" s="2" t="s">
        <v>33</v>
      </c>
      <c r="C25" s="2">
        <f>SUM(C5:C24)</f>
        <v>20000</v>
      </c>
      <c r="D25" s="2">
        <f>SUM(D5:D24)</f>
        <v>3700</v>
      </c>
      <c r="E25" s="2">
        <f>SUM(E5:E24)</f>
        <v>9700</v>
      </c>
      <c r="F25" s="3">
        <f>'JULY '!J25:J45</f>
        <v>22100</v>
      </c>
      <c r="G25" s="2">
        <f>SUM(G5:G24)</f>
        <v>208000</v>
      </c>
      <c r="H25" s="2">
        <f>SUM(H5:H24)+22100</f>
        <v>250100</v>
      </c>
      <c r="I25" s="2">
        <f>SUM(I5:I24)+8500</f>
        <v>231000</v>
      </c>
      <c r="J25" s="2">
        <f>SUM(J5:J24)+13600</f>
        <v>19100</v>
      </c>
      <c r="K25" s="2">
        <f>SUM(K5:K24)</f>
        <v>3000</v>
      </c>
      <c r="L25" s="2">
        <f>SUM(L5:L24)</f>
        <v>10200</v>
      </c>
    </row>
    <row r="26" spans="1:17" x14ac:dyDescent="0.25">
      <c r="A26" s="7"/>
      <c r="B26" s="7"/>
      <c r="C26" s="7"/>
      <c r="D26" s="7"/>
      <c r="E26" s="7"/>
      <c r="F26" s="7"/>
      <c r="G26" s="40"/>
      <c r="H26" s="30"/>
      <c r="I26" s="30"/>
      <c r="J26" s="7"/>
    </row>
    <row r="27" spans="1:17" x14ac:dyDescent="0.25">
      <c r="B27" s="31" t="s">
        <v>23</v>
      </c>
      <c r="C27" s="32"/>
      <c r="D27" s="6"/>
      <c r="E27" s="33"/>
      <c r="F27" s="40"/>
      <c r="G27" s="30"/>
      <c r="H27" s="30"/>
      <c r="I27" s="30"/>
      <c r="J27">
        <f>E25+I25+L25</f>
        <v>250900</v>
      </c>
      <c r="N27">
        <f>F25-D38</f>
        <v>13600</v>
      </c>
    </row>
    <row r="28" spans="1:17" x14ac:dyDescent="0.25">
      <c r="B28" s="35" t="s">
        <v>24</v>
      </c>
      <c r="C28" s="35"/>
      <c r="D28" s="35"/>
      <c r="E28" s="36"/>
      <c r="F28" s="40"/>
      <c r="G28" s="44"/>
      <c r="H28" s="30"/>
      <c r="I28" s="31"/>
      <c r="N28">
        <f>N27+J25</f>
        <v>32700</v>
      </c>
      <c r="O28" t="s">
        <v>9</v>
      </c>
    </row>
    <row r="29" spans="1:17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41"/>
      <c r="H29" s="30"/>
      <c r="I29" s="30"/>
    </row>
    <row r="30" spans="1:17" x14ac:dyDescent="0.25">
      <c r="B30" s="30" t="s">
        <v>161</v>
      </c>
      <c r="C30" s="38">
        <f>C25+G25</f>
        <v>228000</v>
      </c>
      <c r="D30" s="30"/>
      <c r="E30" s="30"/>
      <c r="F30" s="30" t="s">
        <v>162</v>
      </c>
      <c r="G30" s="38">
        <f>I25</f>
        <v>231000</v>
      </c>
      <c r="H30" s="30"/>
      <c r="I30" s="30"/>
    </row>
    <row r="31" spans="1:17" x14ac:dyDescent="0.25">
      <c r="B31" s="30" t="s">
        <v>5</v>
      </c>
      <c r="C31" s="38">
        <f>AUGUST19!E44</f>
        <v>-1603</v>
      </c>
      <c r="D31" s="30"/>
      <c r="E31" s="30"/>
      <c r="F31" s="30" t="s">
        <v>5</v>
      </c>
      <c r="G31" s="38">
        <f>AUGUST19!I44</f>
        <v>-23703</v>
      </c>
      <c r="H31" s="30"/>
      <c r="I31" s="30"/>
    </row>
    <row r="32" spans="1:17" x14ac:dyDescent="0.25">
      <c r="B32" s="30" t="s">
        <v>35</v>
      </c>
      <c r="C32" s="38">
        <f>E25</f>
        <v>9700</v>
      </c>
      <c r="D32" s="30"/>
      <c r="E32" s="30"/>
      <c r="F32" s="30" t="s">
        <v>35</v>
      </c>
      <c r="G32" s="38">
        <f>C32</f>
        <v>9700</v>
      </c>
      <c r="H32" s="30"/>
      <c r="I32" s="30"/>
    </row>
    <row r="33" spans="2:11" x14ac:dyDescent="0.25">
      <c r="B33" s="30" t="s">
        <v>86</v>
      </c>
      <c r="C33" s="38">
        <f>K25</f>
        <v>3000</v>
      </c>
      <c r="D33" s="30"/>
      <c r="E33" s="30"/>
      <c r="F33" s="30" t="s">
        <v>86</v>
      </c>
      <c r="G33" s="38">
        <f>C33</f>
        <v>3000</v>
      </c>
      <c r="H33" s="30"/>
      <c r="I33" s="30"/>
      <c r="K33" s="24">
        <f>C30+C32+C33+C34</f>
        <v>250900</v>
      </c>
    </row>
    <row r="34" spans="2:11" x14ac:dyDescent="0.25">
      <c r="B34" s="30" t="s">
        <v>88</v>
      </c>
      <c r="C34" s="38">
        <f>L25</f>
        <v>10200</v>
      </c>
      <c r="D34" s="30"/>
      <c r="E34" s="30"/>
      <c r="F34" s="30" t="s">
        <v>88</v>
      </c>
      <c r="G34" s="38">
        <f>C34</f>
        <v>10200</v>
      </c>
      <c r="H34" s="30"/>
      <c r="I34" s="30"/>
    </row>
    <row r="35" spans="2:11" x14ac:dyDescent="0.25">
      <c r="B35" s="30" t="s">
        <v>30</v>
      </c>
      <c r="C35" s="39">
        <v>0.06</v>
      </c>
      <c r="D35" s="38">
        <f>C30*C35</f>
        <v>13680</v>
      </c>
      <c r="E35" s="30"/>
      <c r="F35" s="30" t="s">
        <v>30</v>
      </c>
      <c r="G35" s="39">
        <v>0.06</v>
      </c>
      <c r="H35" s="38">
        <f>D35</f>
        <v>13680</v>
      </c>
      <c r="I35" s="30"/>
    </row>
    <row r="36" spans="2:11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1" x14ac:dyDescent="0.25">
      <c r="B37" s="40" t="s">
        <v>164</v>
      </c>
      <c r="C37" s="30"/>
      <c r="D37">
        <v>8000</v>
      </c>
      <c r="E37" s="30"/>
      <c r="F37" s="40" t="s">
        <v>156</v>
      </c>
      <c r="G37" s="44">
        <v>43717</v>
      </c>
      <c r="H37" s="30">
        <v>8000</v>
      </c>
      <c r="I37" s="30"/>
    </row>
    <row r="38" spans="2:11" x14ac:dyDescent="0.25">
      <c r="B38" s="40" t="s">
        <v>165</v>
      </c>
      <c r="C38" s="30"/>
      <c r="D38" s="30">
        <v>8500</v>
      </c>
      <c r="E38" s="30"/>
      <c r="F38" s="40" t="s">
        <v>165</v>
      </c>
      <c r="G38" s="30"/>
      <c r="H38" s="30">
        <v>8500</v>
      </c>
      <c r="I38" s="30"/>
    </row>
    <row r="39" spans="2:11" x14ac:dyDescent="0.25">
      <c r="B39" s="40" t="s">
        <v>148</v>
      </c>
      <c r="C39" s="30"/>
      <c r="D39" s="30">
        <v>1500</v>
      </c>
      <c r="E39" s="30"/>
      <c r="F39" s="40" t="s">
        <v>148</v>
      </c>
      <c r="G39" s="30"/>
      <c r="H39" s="30">
        <v>1500</v>
      </c>
      <c r="I39" s="30"/>
    </row>
    <row r="40" spans="2:11" x14ac:dyDescent="0.25">
      <c r="B40" s="40" t="s">
        <v>166</v>
      </c>
      <c r="C40" s="44"/>
      <c r="D40" s="30">
        <v>209000</v>
      </c>
      <c r="E40" s="30"/>
      <c r="F40" s="40" t="s">
        <v>166</v>
      </c>
      <c r="G40" s="44"/>
      <c r="H40" s="30">
        <v>209000</v>
      </c>
      <c r="I40" s="30"/>
    </row>
    <row r="41" spans="2:11" x14ac:dyDescent="0.25">
      <c r="B41" s="40"/>
      <c r="C41" s="30"/>
      <c r="D41" s="30"/>
      <c r="E41" s="30"/>
      <c r="F41" s="40"/>
      <c r="G41" s="30"/>
      <c r="H41" s="30"/>
      <c r="I41" s="30"/>
    </row>
    <row r="42" spans="2:11" x14ac:dyDescent="0.25">
      <c r="B42" s="40"/>
      <c r="C42" s="44"/>
      <c r="D42" s="30"/>
      <c r="E42" s="30"/>
      <c r="F42" s="40"/>
      <c r="G42" s="44"/>
      <c r="H42" s="30"/>
      <c r="I42" s="30"/>
    </row>
    <row r="43" spans="2:11" x14ac:dyDescent="0.25">
      <c r="B43" s="41"/>
      <c r="C43" s="30"/>
      <c r="D43" s="30"/>
      <c r="E43" s="30"/>
      <c r="F43" s="41"/>
      <c r="G43" s="30"/>
      <c r="H43" s="30"/>
      <c r="I43" s="30"/>
    </row>
    <row r="44" spans="2:11" x14ac:dyDescent="0.25">
      <c r="B44" s="37" t="s">
        <v>33</v>
      </c>
      <c r="C44" s="42">
        <f>C30+C31+C32+C33+C34-D35</f>
        <v>235617</v>
      </c>
      <c r="D44" s="42">
        <f>SUM(D37:D43)</f>
        <v>227000</v>
      </c>
      <c r="E44" s="42">
        <f>C44-D44</f>
        <v>8617</v>
      </c>
      <c r="F44" s="37" t="s">
        <v>33</v>
      </c>
      <c r="G44" s="42">
        <f>G30+G31+G32+G33+G34-H35</f>
        <v>216517</v>
      </c>
      <c r="H44" s="42">
        <f>SUM(H37:H43)</f>
        <v>227000</v>
      </c>
      <c r="I44" s="42">
        <f>G44-H44</f>
        <v>-10483</v>
      </c>
    </row>
    <row r="45" spans="2:11" x14ac:dyDescent="0.25">
      <c r="B45" t="s">
        <v>37</v>
      </c>
      <c r="D45" t="s">
        <v>39</v>
      </c>
      <c r="G45" t="s">
        <v>41</v>
      </c>
    </row>
    <row r="46" spans="2:11" x14ac:dyDescent="0.25">
      <c r="K46" s="25"/>
    </row>
    <row r="47" spans="2:11" x14ac:dyDescent="0.25">
      <c r="B47" t="s">
        <v>137</v>
      </c>
      <c r="D47" t="s">
        <v>40</v>
      </c>
      <c r="G47" t="s">
        <v>42</v>
      </c>
    </row>
    <row r="48" spans="2:11" x14ac:dyDescent="0.25">
      <c r="C48" s="1"/>
      <c r="D48" s="1"/>
      <c r="E48" s="1"/>
      <c r="F48" s="22"/>
      <c r="G48" s="1"/>
      <c r="H48" s="1"/>
      <c r="K48" s="24"/>
    </row>
  </sheetData>
  <pageMargins left="0.7" right="0.7" top="0.75" bottom="0.75" header="0.3" footer="0.3"/>
  <pageSetup paperSize="286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4" workbookViewId="0">
      <selection activeCell="J42" sqref="J42"/>
    </sheetView>
  </sheetViews>
  <sheetFormatPr defaultRowHeight="15" x14ac:dyDescent="0.25"/>
  <sheetData>
    <row r="1" spans="1:12" ht="15.75" x14ac:dyDescent="0.25">
      <c r="B1" s="1"/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2" ht="15.75" x14ac:dyDescent="0.25">
      <c r="A3" s="1"/>
      <c r="B3" s="1"/>
      <c r="C3" s="21" t="s">
        <v>167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>
        <f>'SEPTEMBER 19'!J5:J25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600</v>
      </c>
      <c r="F6" s="3">
        <f>'SEPTEMBER 19'!J6:J26</f>
        <v>0</v>
      </c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12</v>
      </c>
      <c r="C7" s="3"/>
      <c r="D7" s="3">
        <v>200</v>
      </c>
      <c r="E7" s="3">
        <v>1050</v>
      </c>
      <c r="F7" s="3">
        <f>'SEPTEMBER 19'!J7:J27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2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>
        <f>'SEPTEMBER 19'!J8:J28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159</v>
      </c>
      <c r="C9" s="3"/>
      <c r="D9" s="3">
        <v>200</v>
      </c>
      <c r="E9" s="3">
        <v>900</v>
      </c>
      <c r="F9" s="3">
        <f>'SEPTEMBER 19'!J9:J29</f>
        <v>0</v>
      </c>
      <c r="G9" s="3">
        <v>10000</v>
      </c>
      <c r="H9" s="3">
        <f t="shared" si="0"/>
        <v>10000</v>
      </c>
      <c r="I9" s="3">
        <v>10000</v>
      </c>
      <c r="J9" s="3">
        <f t="shared" si="1"/>
        <v>0</v>
      </c>
      <c r="K9" s="3"/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>
        <f>'SEPTEMBER 19'!J10:J30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900</v>
      </c>
      <c r="F11" s="3">
        <f>'SEPTEMBER 19'!J11:J31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>
        <v>200</v>
      </c>
      <c r="E12" s="30">
        <v>900</v>
      </c>
      <c r="F12" s="3">
        <f>'SEPTEMBER 19'!J12:J32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>
        <f>'SEPTEMBER 19'!J13:J33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/>
      <c r="E14" s="30"/>
      <c r="F14" s="3">
        <f>'SEPTEMBER 19'!J14:J34</f>
        <v>0</v>
      </c>
      <c r="G14" s="3">
        <v>10000</v>
      </c>
      <c r="H14" s="3">
        <f>C14+F14+G14</f>
        <v>10000</v>
      </c>
      <c r="I14" s="3"/>
      <c r="J14" s="3">
        <f t="shared" si="1"/>
        <v>10000</v>
      </c>
      <c r="K14" s="3"/>
      <c r="L14" s="3"/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600</v>
      </c>
      <c r="F15" s="3">
        <f>'SEPTEMBER 19'!J15:J35</f>
        <v>0</v>
      </c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  <c r="L15" s="3">
        <f>600+600</f>
        <v>1200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>
        <f>'SEPTEMBER 19'!J16:J36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</row>
    <row r="17" spans="1:14" x14ac:dyDescent="0.25">
      <c r="A17" s="3">
        <v>13</v>
      </c>
      <c r="B17" s="12" t="s">
        <v>19</v>
      </c>
      <c r="C17" s="3"/>
      <c r="D17" s="3">
        <v>200</v>
      </c>
      <c r="E17" s="30">
        <f>200+550</f>
        <v>750</v>
      </c>
      <c r="F17" s="3">
        <f>'SEPTEMBER 19'!J17:J37</f>
        <v>0</v>
      </c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</row>
    <row r="18" spans="1:14" x14ac:dyDescent="0.25">
      <c r="A18" s="3">
        <v>14</v>
      </c>
      <c r="B18" s="12" t="s">
        <v>70</v>
      </c>
      <c r="C18" s="3"/>
      <c r="D18" s="43">
        <v>200</v>
      </c>
      <c r="E18" s="3">
        <v>750</v>
      </c>
      <c r="F18" s="3">
        <f>'SEPTEMBER 19'!J18:J38</f>
        <v>0</v>
      </c>
      <c r="G18" s="3">
        <v>10000</v>
      </c>
      <c r="H18" s="3">
        <f t="shared" si="0"/>
        <v>10000</v>
      </c>
      <c r="I18" s="3">
        <f>6450+1000+1000</f>
        <v>8450</v>
      </c>
      <c r="J18" s="3">
        <f>H18-I18</f>
        <v>1550</v>
      </c>
      <c r="K18" s="3"/>
      <c r="L18" s="3">
        <v>600</v>
      </c>
    </row>
    <row r="19" spans="1:14" x14ac:dyDescent="0.25">
      <c r="A19" s="3">
        <v>15</v>
      </c>
      <c r="B19" s="3" t="s">
        <v>158</v>
      </c>
      <c r="C19" s="3"/>
      <c r="D19" s="3">
        <v>200</v>
      </c>
      <c r="E19" s="3">
        <v>750</v>
      </c>
      <c r="F19" s="3">
        <f>'SEPTEMBER 19'!J19:J39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4" x14ac:dyDescent="0.25">
      <c r="A20" s="3">
        <v>16</v>
      </c>
      <c r="B20" s="3" t="s">
        <v>111</v>
      </c>
      <c r="C20" s="3"/>
      <c r="D20" s="3">
        <v>200</v>
      </c>
      <c r="E20" s="3">
        <v>1050</v>
      </c>
      <c r="F20" s="3">
        <f>'SEPTEMBER 19'!J20:J40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4" x14ac:dyDescent="0.25">
      <c r="A21" s="3">
        <v>17</v>
      </c>
      <c r="B21" s="3" t="s">
        <v>128</v>
      </c>
      <c r="C21" s="3"/>
      <c r="D21" s="3">
        <v>200</v>
      </c>
      <c r="E21" s="3">
        <f>500+400</f>
        <v>900</v>
      </c>
      <c r="F21" s="3">
        <f>'SEPTEMBER 19'!J21:J41</f>
        <v>0</v>
      </c>
      <c r="G21" s="3">
        <v>10000</v>
      </c>
      <c r="H21" s="3">
        <f t="shared" si="0"/>
        <v>10000</v>
      </c>
      <c r="I21" s="3">
        <f>7900+2100</f>
        <v>10000</v>
      </c>
      <c r="J21" s="3">
        <f t="shared" si="1"/>
        <v>0</v>
      </c>
      <c r="K21" s="3"/>
      <c r="L21" s="3">
        <v>1200</v>
      </c>
    </row>
    <row r="22" spans="1:14" x14ac:dyDescent="0.25">
      <c r="A22" s="3">
        <v>18</v>
      </c>
      <c r="B22" s="3" t="s">
        <v>103</v>
      </c>
      <c r="C22" s="3"/>
      <c r="D22" s="3">
        <v>200</v>
      </c>
      <c r="E22" s="3">
        <v>300</v>
      </c>
      <c r="F22" s="3">
        <f>'SEPTEMBER 19'!J22:J42</f>
        <v>0</v>
      </c>
      <c r="G22" s="3">
        <v>10000</v>
      </c>
      <c r="H22" s="3">
        <f t="shared" si="0"/>
        <v>10000</v>
      </c>
      <c r="I22" s="3">
        <v>10000</v>
      </c>
      <c r="J22" s="3">
        <f t="shared" si="1"/>
        <v>0</v>
      </c>
      <c r="K22" s="3"/>
      <c r="L22" s="3">
        <v>600</v>
      </c>
      <c r="N22" s="24"/>
    </row>
    <row r="23" spans="1:14" x14ac:dyDescent="0.25">
      <c r="A23" s="3">
        <v>19</v>
      </c>
      <c r="B23" s="3" t="s">
        <v>112</v>
      </c>
      <c r="C23" s="3"/>
      <c r="D23" s="3">
        <v>200</v>
      </c>
      <c r="E23" s="30">
        <v>900</v>
      </c>
      <c r="F23" s="3">
        <f>'SEPTEMBER 19'!J23:J43</f>
        <v>5500</v>
      </c>
      <c r="G23" s="3">
        <v>10000</v>
      </c>
      <c r="H23" s="3">
        <f t="shared" si="0"/>
        <v>15500</v>
      </c>
      <c r="I23" s="3">
        <f>7000+6000+500+1000+1000</f>
        <v>15500</v>
      </c>
      <c r="J23" s="3">
        <f>H23-I23</f>
        <v>0</v>
      </c>
      <c r="K23" s="3"/>
      <c r="L23" s="3">
        <v>1200</v>
      </c>
    </row>
    <row r="24" spans="1:14" x14ac:dyDescent="0.25">
      <c r="A24" s="3">
        <v>20</v>
      </c>
      <c r="B24" s="3" t="s">
        <v>55</v>
      </c>
      <c r="C24" s="3"/>
      <c r="D24" s="3">
        <v>200</v>
      </c>
      <c r="E24" s="3">
        <v>450</v>
      </c>
      <c r="F24" s="3">
        <f>'SEPTEMBER 19'!J24:J44</f>
        <v>0</v>
      </c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4" x14ac:dyDescent="0.25">
      <c r="A25" s="2"/>
      <c r="B25" s="2" t="s">
        <v>33</v>
      </c>
      <c r="C25" s="2">
        <f>SUM(C5:C24)</f>
        <v>0</v>
      </c>
      <c r="D25" s="2">
        <f>SUM(D5:D24)</f>
        <v>3600</v>
      </c>
      <c r="E25" s="2">
        <f>SUM(E5:E24)</f>
        <v>12750</v>
      </c>
      <c r="F25" s="3">
        <f>'SEPTEMBER 19'!J25:J45</f>
        <v>19100</v>
      </c>
      <c r="G25" s="2">
        <f>SUM(G5:G24)</f>
        <v>208000</v>
      </c>
      <c r="H25" s="2">
        <f>SUM(H5:H24)</f>
        <v>213500</v>
      </c>
      <c r="I25" s="2">
        <f>SUM(I5:I24)+8500</f>
        <v>210450</v>
      </c>
      <c r="J25" s="2">
        <f>SUM(J5:J24)+5100</f>
        <v>16650</v>
      </c>
      <c r="K25" s="2">
        <f>SUM(K5:K24)</f>
        <v>0</v>
      </c>
      <c r="L25" s="2">
        <f>SUM(L5:L24)</f>
        <v>13200</v>
      </c>
    </row>
    <row r="26" spans="1:14" x14ac:dyDescent="0.25">
      <c r="A26" s="7"/>
      <c r="B26" s="7"/>
      <c r="C26" s="7"/>
      <c r="D26" s="7"/>
      <c r="E26" s="7"/>
      <c r="F26" s="7"/>
      <c r="G26" s="40"/>
      <c r="H26" s="30"/>
      <c r="I26" s="30"/>
      <c r="J26" s="7"/>
    </row>
    <row r="27" spans="1:14" x14ac:dyDescent="0.25">
      <c r="B27" s="31" t="s">
        <v>23</v>
      </c>
      <c r="C27" s="32"/>
      <c r="D27" s="6"/>
      <c r="E27" s="33"/>
      <c r="F27" s="40"/>
      <c r="G27" s="30"/>
      <c r="H27" s="30"/>
      <c r="I27" s="30"/>
      <c r="J27">
        <f>E25+I25+L25</f>
        <v>236400</v>
      </c>
    </row>
    <row r="28" spans="1:14" x14ac:dyDescent="0.25">
      <c r="B28" s="35" t="s">
        <v>24</v>
      </c>
      <c r="C28" s="35"/>
      <c r="D28" s="35"/>
      <c r="E28" s="36"/>
      <c r="F28" s="40"/>
      <c r="G28" s="44"/>
      <c r="H28" s="30"/>
      <c r="I28" s="31"/>
    </row>
    <row r="29" spans="1:14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41"/>
      <c r="H29" s="30"/>
      <c r="I29" s="30"/>
    </row>
    <row r="30" spans="1:14" x14ac:dyDescent="0.25">
      <c r="B30" s="30" t="s">
        <v>168</v>
      </c>
      <c r="C30" s="38">
        <f>C25+G25</f>
        <v>208000</v>
      </c>
      <c r="D30" s="30"/>
      <c r="E30" s="30"/>
      <c r="F30" s="30" t="s">
        <v>168</v>
      </c>
      <c r="G30" s="38">
        <f>I25</f>
        <v>210450</v>
      </c>
      <c r="H30" s="30"/>
      <c r="I30" s="30"/>
    </row>
    <row r="31" spans="1:14" x14ac:dyDescent="0.25">
      <c r="B31" s="30" t="s">
        <v>5</v>
      </c>
      <c r="C31" s="38">
        <f>'SEPTEMBER 19'!E44</f>
        <v>8617</v>
      </c>
      <c r="D31" s="30"/>
      <c r="E31" s="30"/>
      <c r="F31" s="30" t="s">
        <v>5</v>
      </c>
      <c r="G31" s="38">
        <f>'SEPTEMBER 19'!I44</f>
        <v>-10483</v>
      </c>
      <c r="H31" s="30"/>
      <c r="I31" s="30"/>
      <c r="N31" s="24"/>
    </row>
    <row r="32" spans="1:14" x14ac:dyDescent="0.25">
      <c r="B32" s="30" t="s">
        <v>35</v>
      </c>
      <c r="C32" s="38">
        <f>E25</f>
        <v>12750</v>
      </c>
      <c r="D32" s="30"/>
      <c r="E32" s="30"/>
      <c r="F32" s="30" t="s">
        <v>35</v>
      </c>
      <c r="G32" s="38">
        <f>C32</f>
        <v>12750</v>
      </c>
      <c r="H32" s="30"/>
      <c r="I32" s="30"/>
    </row>
    <row r="33" spans="2:11" x14ac:dyDescent="0.25">
      <c r="B33" s="30" t="s">
        <v>86</v>
      </c>
      <c r="C33" s="38">
        <f>K25</f>
        <v>0</v>
      </c>
      <c r="D33" s="30"/>
      <c r="E33" s="30"/>
      <c r="F33" s="30" t="s">
        <v>86</v>
      </c>
      <c r="G33" s="38">
        <f>C33</f>
        <v>0</v>
      </c>
      <c r="H33" s="30"/>
      <c r="I33" s="30"/>
      <c r="K33" s="24">
        <f>C30+C32+C33+C34</f>
        <v>233950</v>
      </c>
    </row>
    <row r="34" spans="2:11" x14ac:dyDescent="0.25">
      <c r="B34" s="30" t="s">
        <v>88</v>
      </c>
      <c r="C34" s="38">
        <f>L25</f>
        <v>13200</v>
      </c>
      <c r="D34" s="30"/>
      <c r="E34" s="30"/>
      <c r="F34" s="30" t="s">
        <v>88</v>
      </c>
      <c r="G34" s="38">
        <f>C34</f>
        <v>13200</v>
      </c>
      <c r="H34" s="30"/>
      <c r="I34" s="30"/>
    </row>
    <row r="35" spans="2:11" x14ac:dyDescent="0.25">
      <c r="B35" s="30" t="s">
        <v>30</v>
      </c>
      <c r="C35" s="39">
        <v>0.06</v>
      </c>
      <c r="D35" s="38">
        <f>C30*C35</f>
        <v>12480</v>
      </c>
      <c r="E35" s="30"/>
      <c r="F35" s="30" t="s">
        <v>30</v>
      </c>
      <c r="G35" s="39">
        <v>0.06</v>
      </c>
      <c r="H35" s="38">
        <f>D35</f>
        <v>12480</v>
      </c>
      <c r="I35" s="30"/>
    </row>
    <row r="36" spans="2:11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1" x14ac:dyDescent="0.25">
      <c r="B37" s="40" t="s">
        <v>171</v>
      </c>
      <c r="C37" s="30"/>
      <c r="D37">
        <v>8000</v>
      </c>
      <c r="E37" s="30"/>
      <c r="F37" s="40" t="s">
        <v>156</v>
      </c>
      <c r="G37" s="44">
        <v>43747</v>
      </c>
      <c r="H37" s="30">
        <v>8000</v>
      </c>
      <c r="I37" s="30"/>
    </row>
    <row r="38" spans="2:11" x14ac:dyDescent="0.25">
      <c r="B38" s="40" t="s">
        <v>169</v>
      </c>
      <c r="C38" s="39"/>
      <c r="D38" s="30">
        <v>8617</v>
      </c>
      <c r="E38" s="30"/>
      <c r="F38" s="40" t="s">
        <v>169</v>
      </c>
      <c r="G38" s="39"/>
      <c r="H38" s="30">
        <v>8617</v>
      </c>
      <c r="I38" s="30"/>
    </row>
    <row r="39" spans="2:11" x14ac:dyDescent="0.25">
      <c r="B39" s="3"/>
      <c r="C39" s="45"/>
      <c r="D39" s="3"/>
      <c r="E39" s="3"/>
      <c r="F39" s="3"/>
      <c r="G39" s="45"/>
      <c r="H39" s="3"/>
      <c r="I39" s="30"/>
    </row>
    <row r="40" spans="2:11" x14ac:dyDescent="0.25">
      <c r="B40" s="40" t="s">
        <v>165</v>
      </c>
      <c r="C40" s="30"/>
      <c r="D40" s="30">
        <v>8500</v>
      </c>
      <c r="E40" s="30"/>
      <c r="F40" s="40" t="s">
        <v>165</v>
      </c>
      <c r="G40" s="30"/>
      <c r="H40" s="30">
        <v>8500</v>
      </c>
      <c r="I40" s="30"/>
    </row>
    <row r="41" spans="2:11" x14ac:dyDescent="0.25">
      <c r="B41" s="40" t="s">
        <v>170</v>
      </c>
      <c r="C41" s="30"/>
      <c r="D41" s="30">
        <v>198720</v>
      </c>
      <c r="E41" s="30"/>
      <c r="F41" s="40" t="s">
        <v>170</v>
      </c>
      <c r="G41" s="30"/>
      <c r="H41" s="30">
        <v>198720</v>
      </c>
      <c r="I41" s="30"/>
    </row>
    <row r="42" spans="2:11" x14ac:dyDescent="0.25">
      <c r="B42" s="40"/>
      <c r="C42" s="44"/>
      <c r="D42" s="30"/>
      <c r="E42" s="30"/>
      <c r="F42" s="40"/>
      <c r="G42" s="44"/>
      <c r="H42" s="30"/>
      <c r="I42" s="30"/>
      <c r="K42" s="24"/>
    </row>
    <row r="43" spans="2:11" x14ac:dyDescent="0.25">
      <c r="B43" s="41"/>
      <c r="C43" s="30"/>
      <c r="D43" s="30"/>
      <c r="E43" s="30"/>
      <c r="F43" s="41"/>
      <c r="G43" s="30"/>
      <c r="H43" s="30"/>
      <c r="I43" s="30"/>
    </row>
    <row r="44" spans="2:11" x14ac:dyDescent="0.25">
      <c r="B44" s="37" t="s">
        <v>33</v>
      </c>
      <c r="C44" s="42">
        <f>C30+C31+C32+C33+C34-D35</f>
        <v>230087</v>
      </c>
      <c r="D44" s="42">
        <f>SUM(D37:D43)</f>
        <v>223837</v>
      </c>
      <c r="E44" s="42">
        <f>C44-D44</f>
        <v>6250</v>
      </c>
      <c r="F44" s="37" t="s">
        <v>33</v>
      </c>
      <c r="G44" s="42">
        <f>G30+G31+G32+G33+G34-H35</f>
        <v>213437</v>
      </c>
      <c r="H44" s="42">
        <f>SUM(H37:H43)</f>
        <v>223837</v>
      </c>
      <c r="I44" s="42">
        <f>G44-H44</f>
        <v>-10400</v>
      </c>
    </row>
    <row r="45" spans="2:11" x14ac:dyDescent="0.25">
      <c r="B45" t="s">
        <v>37</v>
      </c>
      <c r="D45" t="s">
        <v>39</v>
      </c>
      <c r="G45" t="s">
        <v>41</v>
      </c>
    </row>
    <row r="46" spans="2:11" x14ac:dyDescent="0.25">
      <c r="K46" s="25"/>
    </row>
    <row r="47" spans="2:11" x14ac:dyDescent="0.25">
      <c r="B47" t="s">
        <v>137</v>
      </c>
      <c r="D47" t="s">
        <v>40</v>
      </c>
      <c r="G47" t="s">
        <v>42</v>
      </c>
    </row>
    <row r="48" spans="2:11" x14ac:dyDescent="0.25">
      <c r="C48" s="1"/>
      <c r="D48" s="1"/>
      <c r="E48" s="1"/>
      <c r="F48" s="22"/>
      <c r="G48" s="1"/>
      <c r="H48" s="1"/>
      <c r="K48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C1" sqref="C1:D1"/>
    </sheetView>
  </sheetViews>
  <sheetFormatPr defaultRowHeight="15" x14ac:dyDescent="0.25"/>
  <cols>
    <col min="1" max="1" width="5.28515625" customWidth="1"/>
  </cols>
  <sheetData>
    <row r="1" spans="1:14" ht="15.75" x14ac:dyDescent="0.25">
      <c r="B1" s="21"/>
      <c r="C1" s="21" t="s">
        <v>0</v>
      </c>
      <c r="D1" s="21"/>
      <c r="E1" s="21"/>
      <c r="F1" s="27"/>
      <c r="G1" s="27"/>
      <c r="I1" s="1"/>
      <c r="J1" s="1"/>
    </row>
    <row r="2" spans="1:14" ht="15.75" x14ac:dyDescent="0.25">
      <c r="B2" s="1"/>
      <c r="C2" s="21" t="s">
        <v>1</v>
      </c>
      <c r="E2" s="21"/>
      <c r="F2" s="27"/>
      <c r="G2" s="27"/>
      <c r="I2" s="1"/>
      <c r="J2" s="1"/>
    </row>
    <row r="3" spans="1:14" ht="15.75" x14ac:dyDescent="0.25">
      <c r="A3" s="1"/>
      <c r="B3" s="1"/>
      <c r="C3" s="21" t="s">
        <v>173</v>
      </c>
      <c r="D3" s="21"/>
      <c r="E3" s="21"/>
      <c r="F3" s="27"/>
      <c r="G3" s="27"/>
      <c r="I3" s="1"/>
      <c r="J3" s="1"/>
    </row>
    <row r="4" spans="1:14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4" x14ac:dyDescent="0.25">
      <c r="A5" s="3">
        <v>1</v>
      </c>
      <c r="B5" s="3" t="s">
        <v>94</v>
      </c>
      <c r="C5" s="3"/>
      <c r="D5" s="3"/>
      <c r="E5" s="3">
        <v>300</v>
      </c>
      <c r="F5" s="3">
        <f>'OCTOBER 19'!J5:J25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4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'OCTOBER 19'!J6:J26</f>
        <v>0</v>
      </c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4" x14ac:dyDescent="0.25">
      <c r="A7" s="3">
        <v>3</v>
      </c>
      <c r="B7" s="3" t="s">
        <v>12</v>
      </c>
      <c r="C7" s="3"/>
      <c r="D7" s="3">
        <v>200</v>
      </c>
      <c r="E7" s="3">
        <v>900</v>
      </c>
      <c r="F7" s="3">
        <f>'OCTOBER 19'!J7:J27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4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>
        <f>'OCTOBER 19'!J8:J28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4" x14ac:dyDescent="0.25">
      <c r="A9" s="3">
        <v>5</v>
      </c>
      <c r="B9" s="3" t="s">
        <v>159</v>
      </c>
      <c r="C9" s="3"/>
      <c r="D9" s="3">
        <v>200</v>
      </c>
      <c r="E9" s="3">
        <v>750</v>
      </c>
      <c r="F9" s="3">
        <f>'OCTOBER 19'!J9:J29</f>
        <v>0</v>
      </c>
      <c r="G9" s="3">
        <v>10000</v>
      </c>
      <c r="H9" s="3">
        <f t="shared" si="0"/>
        <v>10000</v>
      </c>
      <c r="I9" s="3">
        <f>6450+2000</f>
        <v>8450</v>
      </c>
      <c r="J9" s="3">
        <f t="shared" si="1"/>
        <v>1550</v>
      </c>
      <c r="K9" s="3"/>
      <c r="L9" s="3">
        <v>600</v>
      </c>
    </row>
    <row r="10" spans="1:14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>
        <f>'OCTOBER 19'!J10:J30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4" x14ac:dyDescent="0.25">
      <c r="A11" s="3">
        <v>7</v>
      </c>
      <c r="B11" s="3" t="s">
        <v>14</v>
      </c>
      <c r="C11" s="3"/>
      <c r="D11" s="3">
        <v>200</v>
      </c>
      <c r="E11" s="30">
        <v>900</v>
      </c>
      <c r="F11" s="3">
        <f>'OCTOBER 19'!J11:J31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4" x14ac:dyDescent="0.25">
      <c r="A12" s="3">
        <v>8</v>
      </c>
      <c r="B12" s="3" t="s">
        <v>15</v>
      </c>
      <c r="C12" s="3"/>
      <c r="D12" s="3">
        <v>200</v>
      </c>
      <c r="E12" s="30">
        <v>1050</v>
      </c>
      <c r="F12" s="3">
        <f>'OCTOBER 19'!J12:J32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4" x14ac:dyDescent="0.25">
      <c r="A13" s="3">
        <v>9</v>
      </c>
      <c r="B13" s="3" t="s">
        <v>16</v>
      </c>
      <c r="C13" s="3"/>
      <c r="D13" s="3">
        <v>200</v>
      </c>
      <c r="E13" s="3">
        <v>450</v>
      </c>
      <c r="F13" s="3">
        <f>'OCTOBER 19'!J13:J33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4" x14ac:dyDescent="0.25">
      <c r="A14" s="3">
        <v>10</v>
      </c>
      <c r="B14" s="3" t="s">
        <v>99</v>
      </c>
      <c r="C14" s="3"/>
      <c r="D14" s="3"/>
      <c r="E14" s="30"/>
      <c r="F14" s="3">
        <f>'OCTOBER 19'!J14:J34</f>
        <v>10000</v>
      </c>
      <c r="G14" s="3">
        <v>10000</v>
      </c>
      <c r="H14" s="3">
        <f>C14+F14+G14</f>
        <v>20000</v>
      </c>
      <c r="I14" s="3">
        <v>20000</v>
      </c>
      <c r="J14" s="3">
        <f t="shared" si="1"/>
        <v>0</v>
      </c>
      <c r="K14" s="3"/>
      <c r="L14" s="3"/>
      <c r="M14" t="s">
        <v>179</v>
      </c>
    </row>
    <row r="15" spans="1:14" x14ac:dyDescent="0.25">
      <c r="A15" s="3">
        <v>11</v>
      </c>
      <c r="B15" s="3" t="s">
        <v>18</v>
      </c>
      <c r="C15" s="3"/>
      <c r="D15" s="3">
        <v>200</v>
      </c>
      <c r="E15" s="30">
        <v>600</v>
      </c>
      <c r="F15" s="3">
        <f>'OCTOBER 19'!J15:J35</f>
        <v>0</v>
      </c>
      <c r="G15" s="3">
        <v>12000</v>
      </c>
      <c r="H15" s="3">
        <f t="shared" si="0"/>
        <v>12000</v>
      </c>
      <c r="I15" s="3">
        <f>8400+2400+1200</f>
        <v>12000</v>
      </c>
      <c r="J15" s="3">
        <f t="shared" si="1"/>
        <v>0</v>
      </c>
      <c r="K15" s="3"/>
      <c r="L15" s="3">
        <v>600</v>
      </c>
    </row>
    <row r="16" spans="1:14" x14ac:dyDescent="0.25">
      <c r="A16" s="3">
        <v>12</v>
      </c>
      <c r="B16" s="3" t="s">
        <v>135</v>
      </c>
      <c r="C16" s="3"/>
      <c r="D16" s="3">
        <v>200</v>
      </c>
      <c r="E16" s="3">
        <v>750</v>
      </c>
      <c r="F16" s="3">
        <f>'OCTOBER 19'!J16:J36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  <c r="N16" t="s">
        <v>174</v>
      </c>
    </row>
    <row r="17" spans="1:14" x14ac:dyDescent="0.25">
      <c r="A17" s="3">
        <v>13</v>
      </c>
      <c r="B17" s="12" t="s">
        <v>19</v>
      </c>
      <c r="C17" s="3"/>
      <c r="D17" s="3">
        <v>200</v>
      </c>
      <c r="E17" s="30">
        <v>750</v>
      </c>
      <c r="F17" s="3">
        <f>'OCTOBER 19'!J17:J37</f>
        <v>0</v>
      </c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  <c r="N17" t="s">
        <v>175</v>
      </c>
    </row>
    <row r="18" spans="1:14" x14ac:dyDescent="0.25">
      <c r="A18" s="3">
        <v>14</v>
      </c>
      <c r="B18" s="12" t="s">
        <v>70</v>
      </c>
      <c r="C18" s="3"/>
      <c r="D18" s="43">
        <v>200</v>
      </c>
      <c r="E18" s="3">
        <v>750</v>
      </c>
      <c r="F18" s="3">
        <f>'OCTOBER 19'!J18:J38</f>
        <v>1550</v>
      </c>
      <c r="G18" s="3">
        <v>10000</v>
      </c>
      <c r="H18" s="3">
        <f t="shared" si="0"/>
        <v>11550</v>
      </c>
      <c r="I18" s="3">
        <f>10000+1550</f>
        <v>11550</v>
      </c>
      <c r="J18" s="3">
        <f>H18-I18</f>
        <v>0</v>
      </c>
      <c r="K18" s="3"/>
      <c r="L18" s="3">
        <v>600</v>
      </c>
    </row>
    <row r="19" spans="1:14" x14ac:dyDescent="0.25">
      <c r="A19" s="3">
        <v>15</v>
      </c>
      <c r="B19" s="3" t="s">
        <v>158</v>
      </c>
      <c r="C19" s="3"/>
      <c r="D19" s="3">
        <v>200</v>
      </c>
      <c r="E19" s="3">
        <v>750</v>
      </c>
      <c r="F19" s="3">
        <f>'OCTOBER 19'!J19:J39</f>
        <v>0</v>
      </c>
      <c r="G19" s="3">
        <v>10000</v>
      </c>
      <c r="H19" s="3">
        <f>C19+F19+G19</f>
        <v>10000</v>
      </c>
      <c r="I19" s="3">
        <f>9600+400</f>
        <v>10000</v>
      </c>
      <c r="J19" s="3">
        <f t="shared" si="1"/>
        <v>0</v>
      </c>
      <c r="K19" s="3"/>
      <c r="L19" s="3">
        <v>600</v>
      </c>
    </row>
    <row r="20" spans="1:14" x14ac:dyDescent="0.25">
      <c r="A20" s="3">
        <v>16</v>
      </c>
      <c r="B20" s="3" t="s">
        <v>111</v>
      </c>
      <c r="C20" s="3"/>
      <c r="D20" s="3">
        <v>200</v>
      </c>
      <c r="E20" s="3">
        <v>900</v>
      </c>
      <c r="F20" s="3">
        <f>'OCTOBER 19'!J20:J40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4" x14ac:dyDescent="0.25">
      <c r="A21" s="3">
        <v>17</v>
      </c>
      <c r="B21" s="3" t="s">
        <v>128</v>
      </c>
      <c r="C21" s="3"/>
      <c r="D21" s="3">
        <v>200</v>
      </c>
      <c r="E21" s="3">
        <v>600</v>
      </c>
      <c r="F21" s="3">
        <f>'OCTOBER 19'!J21:J41</f>
        <v>0</v>
      </c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4" x14ac:dyDescent="0.25">
      <c r="A22" s="3">
        <v>18</v>
      </c>
      <c r="B22" s="3" t="s">
        <v>103</v>
      </c>
      <c r="C22" s="3"/>
      <c r="D22" s="3">
        <v>200</v>
      </c>
      <c r="E22" s="3">
        <v>300</v>
      </c>
      <c r="F22" s="3">
        <f>'OCTOBER 19'!J22:J42</f>
        <v>0</v>
      </c>
      <c r="G22" s="3">
        <v>10000</v>
      </c>
      <c r="H22" s="3">
        <f t="shared" si="0"/>
        <v>10000</v>
      </c>
      <c r="I22" s="3">
        <v>10000</v>
      </c>
      <c r="J22" s="3">
        <f>H22-I22</f>
        <v>0</v>
      </c>
      <c r="K22" s="3"/>
      <c r="L22" s="3">
        <v>600</v>
      </c>
      <c r="N22" s="24"/>
    </row>
    <row r="23" spans="1:14" x14ac:dyDescent="0.25">
      <c r="A23" s="3">
        <v>19</v>
      </c>
      <c r="B23" s="3" t="s">
        <v>112</v>
      </c>
      <c r="C23" s="3"/>
      <c r="D23" s="3">
        <v>200</v>
      </c>
      <c r="E23" s="30">
        <v>150</v>
      </c>
      <c r="F23" s="3">
        <f>'OCTOBER 19'!J23:J43</f>
        <v>0</v>
      </c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4" x14ac:dyDescent="0.25">
      <c r="A24" s="3">
        <v>20</v>
      </c>
      <c r="B24" s="3" t="s">
        <v>55</v>
      </c>
      <c r="C24" s="3"/>
      <c r="D24" s="3">
        <v>200</v>
      </c>
      <c r="E24" s="3">
        <v>450</v>
      </c>
      <c r="F24" s="3">
        <f>'OCTOBER 19'!J24:J44</f>
        <v>0</v>
      </c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4" x14ac:dyDescent="0.25">
      <c r="A25" s="2"/>
      <c r="B25" s="2" t="s">
        <v>33</v>
      </c>
      <c r="C25" s="2">
        <f>SUM(C5:C24)</f>
        <v>0</v>
      </c>
      <c r="D25" s="2">
        <f>SUM(D5:D24)</f>
        <v>3600</v>
      </c>
      <c r="E25" s="2">
        <f>SUM(E5:E24)</f>
        <v>11400</v>
      </c>
      <c r="F25" s="3">
        <f>SUM(F5:F24)+5100</f>
        <v>16650</v>
      </c>
      <c r="G25" s="2">
        <f>SUM(G5:G24)</f>
        <v>208000</v>
      </c>
      <c r="H25" s="2">
        <f>SUM(H5:H24)</f>
        <v>219550</v>
      </c>
      <c r="I25" s="2">
        <f>SUM(I5:I24)+5100</f>
        <v>223100</v>
      </c>
      <c r="J25" s="2">
        <f>SUM(J5:J24)</f>
        <v>1550</v>
      </c>
      <c r="K25" s="2">
        <f>SUM(K5:K24)</f>
        <v>0</v>
      </c>
      <c r="L25" s="2">
        <f>SUM(L5:L24)</f>
        <v>11400</v>
      </c>
    </row>
    <row r="26" spans="1:14" x14ac:dyDescent="0.25">
      <c r="A26" s="7"/>
      <c r="B26" s="7"/>
      <c r="C26" s="7"/>
      <c r="D26" s="7"/>
      <c r="E26" s="7"/>
      <c r="F26" s="7"/>
      <c r="G26" s="40"/>
      <c r="H26" s="30"/>
      <c r="I26" s="30"/>
      <c r="J26" s="7"/>
    </row>
    <row r="27" spans="1:14" x14ac:dyDescent="0.25">
      <c r="B27" s="31" t="s">
        <v>23</v>
      </c>
      <c r="C27" s="32"/>
      <c r="D27" s="6"/>
      <c r="E27" s="33"/>
      <c r="F27" s="40"/>
      <c r="G27" s="30"/>
      <c r="H27" s="30"/>
      <c r="I27" s="30"/>
      <c r="J27">
        <f>E25+I25+L25</f>
        <v>245900</v>
      </c>
    </row>
    <row r="28" spans="1:14" x14ac:dyDescent="0.25">
      <c r="B28" s="35" t="s">
        <v>24</v>
      </c>
      <c r="C28" s="35"/>
      <c r="D28" s="35"/>
      <c r="E28" s="36"/>
      <c r="F28" s="40"/>
      <c r="G28" s="44"/>
      <c r="H28" s="30"/>
      <c r="I28" s="31"/>
    </row>
    <row r="29" spans="1:14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41"/>
      <c r="H29" s="30"/>
      <c r="I29" s="30"/>
    </row>
    <row r="30" spans="1:14" x14ac:dyDescent="0.25">
      <c r="B30" s="30" t="s">
        <v>172</v>
      </c>
      <c r="C30" s="38">
        <f>C25+G25</f>
        <v>208000</v>
      </c>
      <c r="D30" s="30"/>
      <c r="E30" s="30"/>
      <c r="F30" s="30" t="s">
        <v>172</v>
      </c>
      <c r="G30" s="38">
        <f>I25</f>
        <v>223100</v>
      </c>
      <c r="H30" s="30"/>
      <c r="I30" s="30"/>
    </row>
    <row r="31" spans="1:14" x14ac:dyDescent="0.25">
      <c r="B31" s="30" t="s">
        <v>5</v>
      </c>
      <c r="C31" s="38">
        <f>'OCTOBER 19'!E44</f>
        <v>6250</v>
      </c>
      <c r="D31" s="30"/>
      <c r="E31" s="30"/>
      <c r="F31" s="30" t="s">
        <v>5</v>
      </c>
      <c r="G31" s="38">
        <f>'OCTOBER 19'!I44</f>
        <v>-10400</v>
      </c>
      <c r="H31" s="30"/>
      <c r="I31" s="30"/>
      <c r="N31" s="24"/>
    </row>
    <row r="32" spans="1:14" x14ac:dyDescent="0.25">
      <c r="B32" s="30" t="s">
        <v>35</v>
      </c>
      <c r="C32" s="38">
        <f>E25</f>
        <v>11400</v>
      </c>
      <c r="D32" s="30"/>
      <c r="E32" s="30"/>
      <c r="F32" s="30" t="s">
        <v>35</v>
      </c>
      <c r="G32" s="38">
        <f>C32</f>
        <v>11400</v>
      </c>
      <c r="H32" s="30"/>
      <c r="I32" s="30"/>
      <c r="N32" s="24"/>
    </row>
    <row r="33" spans="2:15" x14ac:dyDescent="0.25">
      <c r="B33" s="30" t="s">
        <v>86</v>
      </c>
      <c r="C33" s="38">
        <f>K25</f>
        <v>0</v>
      </c>
      <c r="D33" s="30"/>
      <c r="E33" s="30"/>
      <c r="F33" s="30" t="s">
        <v>86</v>
      </c>
      <c r="G33" s="38">
        <f>C33</f>
        <v>0</v>
      </c>
      <c r="H33" s="30"/>
      <c r="I33" s="30"/>
      <c r="K33" s="24">
        <f>C30+C32+C33+C34</f>
        <v>230800</v>
      </c>
      <c r="M33" s="24"/>
      <c r="N33" s="24"/>
    </row>
    <row r="34" spans="2:15" x14ac:dyDescent="0.25">
      <c r="B34" s="30" t="s">
        <v>88</v>
      </c>
      <c r="C34" s="38">
        <f>L25</f>
        <v>11400</v>
      </c>
      <c r="D34" s="30"/>
      <c r="E34" s="30"/>
      <c r="F34" s="30" t="s">
        <v>88</v>
      </c>
      <c r="G34" s="38">
        <f>C34</f>
        <v>11400</v>
      </c>
      <c r="H34" s="30"/>
      <c r="I34" s="30"/>
      <c r="M34" s="24"/>
      <c r="N34" s="24"/>
    </row>
    <row r="35" spans="2:15" x14ac:dyDescent="0.25">
      <c r="B35" s="30" t="s">
        <v>30</v>
      </c>
      <c r="C35" s="39">
        <v>0.06</v>
      </c>
      <c r="D35" s="38">
        <f>C30*C35</f>
        <v>12480</v>
      </c>
      <c r="E35" s="30"/>
      <c r="F35" s="30" t="s">
        <v>30</v>
      </c>
      <c r="G35" s="39">
        <v>0.06</v>
      </c>
      <c r="H35" s="38">
        <f>D35</f>
        <v>12480</v>
      </c>
      <c r="I35" s="30"/>
      <c r="M35" s="24"/>
      <c r="N35" s="24"/>
      <c r="O35" s="24"/>
    </row>
    <row r="36" spans="2:15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5" x14ac:dyDescent="0.25">
      <c r="B37" s="40" t="s">
        <v>88</v>
      </c>
      <c r="C37" s="30"/>
      <c r="D37">
        <v>8000</v>
      </c>
      <c r="E37" s="30"/>
      <c r="F37" s="40" t="s">
        <v>88</v>
      </c>
      <c r="G37" s="44"/>
      <c r="H37" s="30">
        <v>8000</v>
      </c>
      <c r="I37" s="30"/>
    </row>
    <row r="38" spans="2:15" x14ac:dyDescent="0.25">
      <c r="B38" s="40"/>
      <c r="C38" s="39"/>
      <c r="D38" s="30"/>
      <c r="E38" s="30"/>
      <c r="F38" s="40"/>
      <c r="G38" s="39"/>
      <c r="H38" s="30"/>
      <c r="I38" s="30"/>
      <c r="M38" s="24">
        <f>C30-D35</f>
        <v>195520</v>
      </c>
    </row>
    <row r="39" spans="2:15" x14ac:dyDescent="0.25">
      <c r="B39" s="3"/>
      <c r="C39" s="45"/>
      <c r="D39" s="3"/>
      <c r="E39" s="3"/>
      <c r="F39" s="3"/>
      <c r="G39" s="45"/>
      <c r="H39" s="3"/>
      <c r="I39" s="30"/>
      <c r="M39" s="24">
        <f>M38+C32+C34</f>
        <v>218320</v>
      </c>
    </row>
    <row r="40" spans="2:15" x14ac:dyDescent="0.25">
      <c r="B40" s="40" t="s">
        <v>165</v>
      </c>
      <c r="C40" s="30"/>
      <c r="D40" s="30">
        <v>5100</v>
      </c>
      <c r="E40" s="30"/>
      <c r="F40" s="40" t="s">
        <v>165</v>
      </c>
      <c r="G40" s="30"/>
      <c r="H40" s="30">
        <v>5100</v>
      </c>
      <c r="I40" s="30"/>
      <c r="M40" s="24">
        <f>M39+C31</f>
        <v>224570</v>
      </c>
    </row>
    <row r="41" spans="2:15" x14ac:dyDescent="0.25">
      <c r="B41" s="40" t="s">
        <v>176</v>
      </c>
      <c r="C41" s="30"/>
      <c r="D41" s="30">
        <v>192300</v>
      </c>
      <c r="E41" s="30"/>
      <c r="F41" s="40" t="s">
        <v>176</v>
      </c>
      <c r="G41" s="30"/>
      <c r="H41" s="30">
        <v>192300</v>
      </c>
      <c r="I41" s="30"/>
      <c r="M41" s="24">
        <f>M40-D37</f>
        <v>216570</v>
      </c>
    </row>
    <row r="42" spans="2:15" x14ac:dyDescent="0.25">
      <c r="B42" s="40"/>
      <c r="C42" s="44"/>
      <c r="D42" s="30"/>
      <c r="E42" s="30"/>
      <c r="F42" s="40"/>
      <c r="G42" s="44"/>
      <c r="H42" s="30"/>
      <c r="I42" s="30"/>
      <c r="M42" s="24">
        <f>M41-D40</f>
        <v>211470</v>
      </c>
    </row>
    <row r="43" spans="2:15" x14ac:dyDescent="0.25">
      <c r="B43" s="41"/>
      <c r="C43" s="30"/>
      <c r="D43" s="30"/>
      <c r="E43" s="30"/>
      <c r="F43" s="41"/>
      <c r="G43" s="30"/>
      <c r="H43" s="30"/>
      <c r="I43" s="30"/>
    </row>
    <row r="44" spans="2:15" x14ac:dyDescent="0.25">
      <c r="B44" s="37" t="s">
        <v>33</v>
      </c>
      <c r="C44" s="42">
        <f>C30+C31+C32+C33+C34-D35</f>
        <v>224570</v>
      </c>
      <c r="D44" s="42">
        <f>SUM(D37:D43)</f>
        <v>205400</v>
      </c>
      <c r="E44" s="42">
        <f>C44-D44</f>
        <v>19170</v>
      </c>
      <c r="F44" s="37" t="s">
        <v>33</v>
      </c>
      <c r="G44" s="42">
        <f>G30+G31+G32+G33+G34-H35</f>
        <v>223020</v>
      </c>
      <c r="H44" s="42">
        <f>SUM(H37:H43)</f>
        <v>205400</v>
      </c>
      <c r="I44" s="42">
        <f>G44-H44</f>
        <v>17620</v>
      </c>
    </row>
    <row r="45" spans="2:15" x14ac:dyDescent="0.25">
      <c r="B45" t="s">
        <v>37</v>
      </c>
      <c r="D45" t="s">
        <v>39</v>
      </c>
      <c r="G45" t="s">
        <v>41</v>
      </c>
    </row>
    <row r="46" spans="2:15" x14ac:dyDescent="0.25">
      <c r="K46" s="25"/>
    </row>
    <row r="47" spans="2:15" x14ac:dyDescent="0.25">
      <c r="B47" t="s">
        <v>137</v>
      </c>
      <c r="D47" t="s">
        <v>40</v>
      </c>
      <c r="G47" t="s">
        <v>42</v>
      </c>
    </row>
    <row r="48" spans="2:15" x14ac:dyDescent="0.25">
      <c r="C48" s="1"/>
      <c r="D48" s="1"/>
      <c r="E48" s="1"/>
      <c r="F48" s="22"/>
      <c r="G48" s="1"/>
      <c r="H48" s="1"/>
      <c r="K48" s="24"/>
    </row>
  </sheetData>
  <pageMargins left="0.1" right="0.1" top="0.1" bottom="0.1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N3" sqref="N3"/>
    </sheetView>
  </sheetViews>
  <sheetFormatPr defaultRowHeight="15" x14ac:dyDescent="0.25"/>
  <cols>
    <col min="4" max="4" width="10.5703125" bestFit="1" customWidth="1"/>
    <col min="6" max="7" width="9.140625" customWidth="1"/>
    <col min="9" max="10" width="9.140625" customWidth="1"/>
  </cols>
  <sheetData>
    <row r="1" spans="1:17" ht="15.75" x14ac:dyDescent="0.25">
      <c r="E1" s="21"/>
      <c r="F1" s="27"/>
      <c r="G1" s="27"/>
      <c r="I1" s="1"/>
      <c r="J1" s="1"/>
    </row>
    <row r="2" spans="1:17" ht="15.75" x14ac:dyDescent="0.25">
      <c r="B2" s="1"/>
      <c r="C2" s="21" t="s">
        <v>1</v>
      </c>
      <c r="E2" s="21"/>
      <c r="G2" s="27"/>
      <c r="I2" s="1"/>
      <c r="J2" s="1"/>
    </row>
    <row r="3" spans="1:17" ht="15.75" x14ac:dyDescent="0.25">
      <c r="A3" s="1"/>
      <c r="B3" s="1"/>
      <c r="C3" s="21" t="s">
        <v>178</v>
      </c>
      <c r="D3" s="21"/>
      <c r="E3" s="21"/>
      <c r="F3" s="27"/>
      <c r="G3" s="27"/>
      <c r="I3" s="1"/>
      <c r="J3" s="1"/>
    </row>
    <row r="4" spans="1:17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7" x14ac:dyDescent="0.25">
      <c r="A5" s="3">
        <v>1</v>
      </c>
      <c r="B5" s="3" t="s">
        <v>94</v>
      </c>
      <c r="C5" s="3"/>
      <c r="D5" s="3"/>
      <c r="E5" s="3"/>
      <c r="F5" s="3">
        <f>'NOVEMBER 19'!J5:J24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7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'NOVEMBER 19'!J6:J25</f>
        <v>0</v>
      </c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7" x14ac:dyDescent="0.25">
      <c r="A7" s="3">
        <v>3</v>
      </c>
      <c r="B7" s="3" t="s">
        <v>12</v>
      </c>
      <c r="C7" s="3"/>
      <c r="D7" s="3">
        <v>200</v>
      </c>
      <c r="E7" s="3">
        <v>1350</v>
      </c>
      <c r="F7" s="3">
        <f>'NOVEMBER 19'!J7:J26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7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>
        <f>'NOVEMBER 19'!J8:J27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7" x14ac:dyDescent="0.25">
      <c r="A9" s="3">
        <v>5</v>
      </c>
      <c r="B9" s="3" t="s">
        <v>159</v>
      </c>
      <c r="C9" s="3"/>
      <c r="D9" s="3">
        <v>200</v>
      </c>
      <c r="E9" s="3"/>
      <c r="F9" s="3">
        <f>'NOVEMBER 19'!J9:J28</f>
        <v>1550</v>
      </c>
      <c r="G9" s="3">
        <v>10000</v>
      </c>
      <c r="H9" s="3">
        <f t="shared" si="0"/>
        <v>11550</v>
      </c>
      <c r="I9" s="3">
        <v>11550</v>
      </c>
      <c r="J9" s="3">
        <f t="shared" si="1"/>
        <v>0</v>
      </c>
      <c r="K9" s="3"/>
      <c r="L9" s="3">
        <v>600</v>
      </c>
    </row>
    <row r="10" spans="1:17" x14ac:dyDescent="0.25">
      <c r="A10" s="3">
        <v>6</v>
      </c>
      <c r="B10" s="3" t="s">
        <v>13</v>
      </c>
      <c r="C10" s="3"/>
      <c r="D10" s="3">
        <v>200</v>
      </c>
      <c r="E10" s="30">
        <v>300</v>
      </c>
      <c r="F10" s="3">
        <f>'NOVEMBER 19'!J10:J29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7" x14ac:dyDescent="0.25">
      <c r="A11" s="3">
        <v>7</v>
      </c>
      <c r="B11" s="3" t="s">
        <v>14</v>
      </c>
      <c r="C11" s="3"/>
      <c r="D11" s="3">
        <v>200</v>
      </c>
      <c r="E11" s="30">
        <v>750</v>
      </c>
      <c r="F11" s="3">
        <f>'NOVEMBER 19'!J11:J30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7" x14ac:dyDescent="0.25">
      <c r="A12" s="3">
        <v>8</v>
      </c>
      <c r="B12" s="3" t="s">
        <v>15</v>
      </c>
      <c r="C12" s="3"/>
      <c r="D12" s="3">
        <v>200</v>
      </c>
      <c r="E12" s="30">
        <v>900</v>
      </c>
      <c r="F12" s="3">
        <f>'NOVEMBER 19'!J12:J31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7" ht="15.75" x14ac:dyDescent="0.25">
      <c r="A13" s="3">
        <v>9</v>
      </c>
      <c r="B13" s="3" t="s">
        <v>16</v>
      </c>
      <c r="C13" s="3"/>
      <c r="D13" s="3">
        <v>200</v>
      </c>
      <c r="E13" s="3">
        <v>150</v>
      </c>
      <c r="F13" s="3">
        <f>'NOVEMBER 19'!J13:J32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  <c r="Q13" s="27"/>
    </row>
    <row r="14" spans="1:17" x14ac:dyDescent="0.25">
      <c r="A14" s="3">
        <v>10</v>
      </c>
      <c r="B14" s="3" t="s">
        <v>99</v>
      </c>
      <c r="C14" s="3"/>
      <c r="D14" s="3">
        <v>200</v>
      </c>
      <c r="E14" s="30">
        <v>300</v>
      </c>
      <c r="F14" s="3">
        <f>'NOVEMBER 19'!J14:J33</f>
        <v>0</v>
      </c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>
        <v>1000</v>
      </c>
    </row>
    <row r="15" spans="1:17" x14ac:dyDescent="0.25">
      <c r="A15" s="3">
        <v>11</v>
      </c>
      <c r="B15" s="3" t="s">
        <v>18</v>
      </c>
      <c r="C15" s="3"/>
      <c r="D15" s="3">
        <v>200</v>
      </c>
      <c r="E15" s="30">
        <v>600</v>
      </c>
      <c r="F15" s="3">
        <f>'NOVEMBER 19'!J15:J34</f>
        <v>0</v>
      </c>
      <c r="G15" s="3">
        <v>12000</v>
      </c>
      <c r="H15" s="3">
        <f t="shared" si="0"/>
        <v>12000</v>
      </c>
      <c r="I15" s="3">
        <f>9600+2400</f>
        <v>12000</v>
      </c>
      <c r="J15" s="3">
        <f t="shared" si="1"/>
        <v>0</v>
      </c>
      <c r="K15" s="3"/>
      <c r="L15" s="3">
        <v>600</v>
      </c>
    </row>
    <row r="16" spans="1:17" x14ac:dyDescent="0.25">
      <c r="A16" s="3">
        <v>12</v>
      </c>
      <c r="B16" s="3" t="s">
        <v>135</v>
      </c>
      <c r="C16" s="3"/>
      <c r="D16" s="3">
        <v>200</v>
      </c>
      <c r="E16" s="3">
        <v>900</v>
      </c>
      <c r="F16" s="3">
        <f>'NOVEMBER 19'!J16:J35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  <c r="N16" t="s">
        <v>181</v>
      </c>
    </row>
    <row r="17" spans="1:14" x14ac:dyDescent="0.25">
      <c r="A17" s="3">
        <v>13</v>
      </c>
      <c r="B17" s="12" t="s">
        <v>19</v>
      </c>
      <c r="C17" s="3"/>
      <c r="D17" s="3">
        <v>200</v>
      </c>
      <c r="E17" s="30">
        <v>600</v>
      </c>
      <c r="F17" s="3">
        <f>'NOVEMBER 19'!J17:J36</f>
        <v>0</v>
      </c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  <c r="N17" t="s">
        <v>182</v>
      </c>
    </row>
    <row r="18" spans="1:14" x14ac:dyDescent="0.25">
      <c r="A18" s="3">
        <v>14</v>
      </c>
      <c r="B18" s="12" t="s">
        <v>70</v>
      </c>
      <c r="C18" s="3"/>
      <c r="D18" s="43">
        <v>200</v>
      </c>
      <c r="E18" s="3">
        <v>750</v>
      </c>
      <c r="F18" s="3">
        <f>'NOVEMBER 19'!J18:J37</f>
        <v>0</v>
      </c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</row>
    <row r="19" spans="1:14" x14ac:dyDescent="0.25">
      <c r="A19" s="3">
        <v>15</v>
      </c>
      <c r="B19" s="3" t="s">
        <v>158</v>
      </c>
      <c r="C19" s="3"/>
      <c r="D19" s="3">
        <v>200</v>
      </c>
      <c r="E19" s="3">
        <v>450</v>
      </c>
      <c r="F19" s="3">
        <f>'NOVEMBER 19'!J19:J38</f>
        <v>0</v>
      </c>
      <c r="G19" s="3">
        <v>10000</v>
      </c>
      <c r="H19" s="3">
        <f>C19+F19+G19</f>
        <v>10000</v>
      </c>
      <c r="I19" s="3">
        <f>4375+5625</f>
        <v>10000</v>
      </c>
      <c r="J19" s="3">
        <f t="shared" si="1"/>
        <v>0</v>
      </c>
      <c r="K19" s="3"/>
      <c r="L19" s="3">
        <v>600</v>
      </c>
    </row>
    <row r="20" spans="1:14" x14ac:dyDescent="0.25">
      <c r="A20" s="3">
        <v>16</v>
      </c>
      <c r="B20" s="3" t="s">
        <v>111</v>
      </c>
      <c r="C20" s="3"/>
      <c r="D20" s="3">
        <v>200</v>
      </c>
      <c r="E20" s="3">
        <v>750</v>
      </c>
      <c r="F20" s="3">
        <f>'NOVEMBER 19'!J20:J39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4" x14ac:dyDescent="0.25">
      <c r="A21" s="3">
        <v>17</v>
      </c>
      <c r="B21" s="3" t="s">
        <v>128</v>
      </c>
      <c r="C21" s="3"/>
      <c r="D21" s="3">
        <v>200</v>
      </c>
      <c r="E21" s="3">
        <v>300</v>
      </c>
      <c r="F21" s="3">
        <f>'NOVEMBER 19'!J21:J40</f>
        <v>0</v>
      </c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4" x14ac:dyDescent="0.25">
      <c r="A22" s="3">
        <v>18</v>
      </c>
      <c r="B22" s="3" t="s">
        <v>103</v>
      </c>
      <c r="C22" s="3"/>
      <c r="D22" s="3">
        <v>200</v>
      </c>
      <c r="E22" s="3">
        <v>450</v>
      </c>
      <c r="F22" s="3">
        <f>'NOVEMBER 19'!J22:J41</f>
        <v>0</v>
      </c>
      <c r="G22" s="3">
        <v>10000</v>
      </c>
      <c r="H22" s="3">
        <f t="shared" si="0"/>
        <v>10000</v>
      </c>
      <c r="I22" s="3">
        <v>10000</v>
      </c>
      <c r="J22" s="3">
        <f>H22-I22</f>
        <v>0</v>
      </c>
      <c r="K22" s="3"/>
      <c r="L22" s="3">
        <v>600</v>
      </c>
      <c r="N22" s="24"/>
    </row>
    <row r="23" spans="1:14" x14ac:dyDescent="0.25">
      <c r="A23" s="3">
        <v>19</v>
      </c>
      <c r="B23" s="3" t="s">
        <v>112</v>
      </c>
      <c r="C23" s="3"/>
      <c r="D23" s="3">
        <v>200</v>
      </c>
      <c r="E23" s="30">
        <v>450</v>
      </c>
      <c r="F23" s="3">
        <f>'NOVEMBER 19'!J23:J42</f>
        <v>0</v>
      </c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4" x14ac:dyDescent="0.25">
      <c r="A24" s="3">
        <v>20</v>
      </c>
      <c r="B24" s="3" t="s">
        <v>55</v>
      </c>
      <c r="C24" s="3"/>
      <c r="D24" s="3">
        <v>200</v>
      </c>
      <c r="E24" s="3">
        <v>300</v>
      </c>
      <c r="F24" s="3">
        <f>'NOVEMBER 19'!J24:J43</f>
        <v>0</v>
      </c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4" x14ac:dyDescent="0.25">
      <c r="A25" s="2"/>
      <c r="B25" s="2" t="s">
        <v>33</v>
      </c>
      <c r="C25" s="2">
        <f t="shared" ref="C25:L25" si="2">SUM(C5:C24)</f>
        <v>0</v>
      </c>
      <c r="D25" s="2">
        <f t="shared" si="2"/>
        <v>3800</v>
      </c>
      <c r="E25" s="2">
        <f t="shared" si="2"/>
        <v>9900</v>
      </c>
      <c r="F25" s="3">
        <f t="shared" si="2"/>
        <v>1550</v>
      </c>
      <c r="G25" s="2">
        <f t="shared" si="2"/>
        <v>208000</v>
      </c>
      <c r="H25" s="2">
        <f t="shared" si="2"/>
        <v>209550</v>
      </c>
      <c r="I25" s="2">
        <f t="shared" si="2"/>
        <v>209550</v>
      </c>
      <c r="J25" s="2">
        <f t="shared" si="2"/>
        <v>0</v>
      </c>
      <c r="K25" s="2">
        <f t="shared" si="2"/>
        <v>0</v>
      </c>
      <c r="L25" s="2">
        <f t="shared" si="2"/>
        <v>12400</v>
      </c>
    </row>
    <row r="26" spans="1:14" x14ac:dyDescent="0.25">
      <c r="A26" s="7"/>
      <c r="B26" s="7"/>
      <c r="C26" s="7"/>
      <c r="D26" s="7"/>
      <c r="E26" s="7"/>
      <c r="F26" s="7"/>
      <c r="G26" s="40"/>
      <c r="H26" s="30"/>
      <c r="I26" s="30"/>
      <c r="J26" s="7"/>
    </row>
    <row r="27" spans="1:14" x14ac:dyDescent="0.25">
      <c r="B27" s="31" t="s">
        <v>23</v>
      </c>
      <c r="C27" s="32"/>
      <c r="D27" s="6"/>
      <c r="E27" s="33"/>
      <c r="F27" s="40"/>
      <c r="G27" s="30"/>
      <c r="H27" s="30"/>
      <c r="I27" s="30"/>
      <c r="J27">
        <f>E25+I25+L25</f>
        <v>231850</v>
      </c>
    </row>
    <row r="28" spans="1:14" x14ac:dyDescent="0.25">
      <c r="B28" s="35" t="s">
        <v>24</v>
      </c>
      <c r="C28" s="35"/>
      <c r="D28" s="35"/>
      <c r="E28" s="36"/>
      <c r="F28" s="40"/>
      <c r="G28" s="44"/>
      <c r="H28" s="30"/>
      <c r="I28" s="31"/>
    </row>
    <row r="29" spans="1:14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41"/>
      <c r="H29" s="30"/>
      <c r="I29" s="30"/>
    </row>
    <row r="30" spans="1:14" x14ac:dyDescent="0.25">
      <c r="B30" s="30" t="s">
        <v>177</v>
      </c>
      <c r="C30" s="38">
        <f>C25+G25</f>
        <v>208000</v>
      </c>
      <c r="D30" s="30"/>
      <c r="E30" s="30"/>
      <c r="F30" s="30" t="s">
        <v>177</v>
      </c>
      <c r="G30" s="38">
        <f>I25</f>
        <v>209550</v>
      </c>
      <c r="H30" s="30"/>
      <c r="I30" s="30"/>
    </row>
    <row r="31" spans="1:14" x14ac:dyDescent="0.25">
      <c r="B31" s="30" t="s">
        <v>5</v>
      </c>
      <c r="C31" s="38">
        <f>'NOVEMBER 19'!E44</f>
        <v>19170</v>
      </c>
      <c r="D31" s="30"/>
      <c r="E31" s="30"/>
      <c r="F31" s="30" t="s">
        <v>5</v>
      </c>
      <c r="G31" s="38">
        <f>'NOVEMBER 19'!I44</f>
        <v>17620</v>
      </c>
      <c r="H31" s="30"/>
      <c r="I31" s="30"/>
      <c r="N31" s="24"/>
    </row>
    <row r="32" spans="1:14" x14ac:dyDescent="0.25">
      <c r="B32" s="30" t="s">
        <v>35</v>
      </c>
      <c r="C32" s="38">
        <f>E25</f>
        <v>9900</v>
      </c>
      <c r="D32" s="30"/>
      <c r="E32" s="30"/>
      <c r="F32" s="30" t="s">
        <v>35</v>
      </c>
      <c r="G32" s="38">
        <f>C32</f>
        <v>9900</v>
      </c>
      <c r="H32" s="30"/>
      <c r="I32" s="30"/>
    </row>
    <row r="33" spans="2:13" x14ac:dyDescent="0.25">
      <c r="B33" s="30" t="s">
        <v>86</v>
      </c>
      <c r="C33" s="38">
        <f>K25</f>
        <v>0</v>
      </c>
      <c r="D33" s="30"/>
      <c r="E33" s="30"/>
      <c r="F33" s="30" t="s">
        <v>86</v>
      </c>
      <c r="G33" s="38">
        <f>C33</f>
        <v>0</v>
      </c>
      <c r="H33" s="30"/>
      <c r="I33" s="30"/>
      <c r="K33" s="24"/>
      <c r="M33" s="24"/>
    </row>
    <row r="34" spans="2:13" x14ac:dyDescent="0.25">
      <c r="B34" s="30" t="s">
        <v>88</v>
      </c>
      <c r="C34" s="38">
        <f>L25</f>
        <v>12400</v>
      </c>
      <c r="D34" s="30"/>
      <c r="E34" s="30"/>
      <c r="F34" s="30" t="s">
        <v>88</v>
      </c>
      <c r="G34" s="38">
        <f>C34</f>
        <v>12400</v>
      </c>
      <c r="H34" s="30"/>
      <c r="I34" s="30"/>
      <c r="M34" s="24"/>
    </row>
    <row r="35" spans="2:13" x14ac:dyDescent="0.25">
      <c r="B35" s="30" t="s">
        <v>30</v>
      </c>
      <c r="C35" s="39">
        <v>0.06</v>
      </c>
      <c r="D35" s="38">
        <f>C30*C35</f>
        <v>12480</v>
      </c>
      <c r="E35" s="30"/>
      <c r="F35" s="30" t="s">
        <v>30</v>
      </c>
      <c r="G35" s="39">
        <v>0.06</v>
      </c>
      <c r="H35" s="38">
        <f>D35</f>
        <v>12480</v>
      </c>
      <c r="I35" s="30"/>
      <c r="M35" s="24"/>
    </row>
    <row r="36" spans="2:13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3" x14ac:dyDescent="0.25">
      <c r="B37" s="40" t="s">
        <v>88</v>
      </c>
      <c r="C37" s="30"/>
      <c r="D37">
        <v>8000</v>
      </c>
      <c r="E37" s="30"/>
      <c r="F37" s="40" t="s">
        <v>88</v>
      </c>
      <c r="G37" s="44"/>
      <c r="H37" s="30">
        <v>8000</v>
      </c>
      <c r="I37" s="30"/>
    </row>
    <row r="38" spans="2:13" x14ac:dyDescent="0.25">
      <c r="B38" s="40" t="s">
        <v>180</v>
      </c>
      <c r="C38" s="39"/>
      <c r="D38" s="30">
        <v>9087</v>
      </c>
      <c r="E38" s="30"/>
      <c r="F38" s="40" t="s">
        <v>180</v>
      </c>
      <c r="G38" s="39"/>
      <c r="H38" s="30">
        <v>9087</v>
      </c>
      <c r="I38" s="30"/>
      <c r="M38" s="24"/>
    </row>
    <row r="39" spans="2:13" x14ac:dyDescent="0.25">
      <c r="B39" s="3"/>
      <c r="D39" s="45"/>
      <c r="E39" s="3"/>
      <c r="F39" s="3"/>
      <c r="G39" s="45"/>
      <c r="H39" s="3"/>
      <c r="I39" s="30"/>
      <c r="M39" s="24"/>
    </row>
    <row r="40" spans="2:13" x14ac:dyDescent="0.25">
      <c r="B40" s="40" t="s">
        <v>183</v>
      </c>
      <c r="C40" s="30"/>
      <c r="D40" s="30">
        <v>213150</v>
      </c>
      <c r="E40" s="30"/>
      <c r="F40" s="40" t="s">
        <v>183</v>
      </c>
      <c r="G40" s="30"/>
      <c r="H40" s="30">
        <v>213150</v>
      </c>
      <c r="I40" s="30"/>
      <c r="M40" s="24"/>
    </row>
    <row r="41" spans="2:13" x14ac:dyDescent="0.25">
      <c r="B41" s="40" t="s">
        <v>184</v>
      </c>
      <c r="C41" s="30"/>
      <c r="D41" s="30">
        <v>6150</v>
      </c>
      <c r="E41" s="30"/>
      <c r="F41" s="40" t="s">
        <v>184</v>
      </c>
      <c r="G41" s="30"/>
      <c r="H41" s="30">
        <v>6150</v>
      </c>
      <c r="I41" s="30"/>
      <c r="M41" s="24"/>
    </row>
    <row r="42" spans="2:13" x14ac:dyDescent="0.25">
      <c r="B42" s="40"/>
      <c r="C42" s="44"/>
      <c r="D42" s="30"/>
      <c r="E42" s="30"/>
      <c r="F42" s="40"/>
      <c r="G42" s="44"/>
      <c r="H42" s="30"/>
      <c r="I42" s="30"/>
      <c r="M42" s="24"/>
    </row>
    <row r="43" spans="2:13" x14ac:dyDescent="0.25">
      <c r="B43" s="41"/>
      <c r="C43" s="30"/>
      <c r="D43" s="30"/>
      <c r="E43" s="30"/>
      <c r="F43" s="41"/>
      <c r="G43" s="30"/>
      <c r="H43" s="30"/>
      <c r="I43" s="30"/>
    </row>
    <row r="44" spans="2:13" x14ac:dyDescent="0.25">
      <c r="B44" s="37" t="s">
        <v>33</v>
      </c>
      <c r="C44" s="42">
        <f>C30+C31+C32+C33+C34-D35</f>
        <v>236990</v>
      </c>
      <c r="D44" s="42">
        <f>SUM(D37:D43)</f>
        <v>236387</v>
      </c>
      <c r="E44" s="42">
        <f>C44-D44</f>
        <v>603</v>
      </c>
      <c r="F44" s="37" t="s">
        <v>33</v>
      </c>
      <c r="G44" s="42">
        <f>G30+G31+G32+G33+G34-H35</f>
        <v>236990</v>
      </c>
      <c r="H44" s="42">
        <f>SUM(H37:H43)</f>
        <v>236387</v>
      </c>
      <c r="I44" s="42">
        <f>G44-H44</f>
        <v>603</v>
      </c>
    </row>
    <row r="45" spans="2:13" x14ac:dyDescent="0.25">
      <c r="B45" t="s">
        <v>37</v>
      </c>
      <c r="D45" t="s">
        <v>39</v>
      </c>
      <c r="G45" t="s">
        <v>41</v>
      </c>
    </row>
    <row r="47" spans="2:13" x14ac:dyDescent="0.25">
      <c r="B47" t="s">
        <v>137</v>
      </c>
      <c r="D47" t="s">
        <v>40</v>
      </c>
      <c r="G47" t="s">
        <v>42</v>
      </c>
    </row>
    <row r="48" spans="2:13" x14ac:dyDescent="0.25">
      <c r="C48" s="1"/>
      <c r="D48" s="1"/>
      <c r="E48" s="1"/>
      <c r="F48" s="22"/>
      <c r="G48" s="1"/>
      <c r="H48" s="1"/>
      <c r="K48" s="24"/>
    </row>
  </sheetData>
  <pageMargins left="0.1" right="0.1" top="0.75" bottom="0.75" header="0.3" footer="0.3"/>
  <pageSetup orientation="portrait" horizontalDpi="203" verticalDpi="20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M43" sqref="M43"/>
    </sheetView>
  </sheetViews>
  <sheetFormatPr defaultRowHeight="15" x14ac:dyDescent="0.25"/>
  <cols>
    <col min="2" max="2" width="16.28515625" customWidth="1"/>
    <col min="3" max="3" width="7.42578125" customWidth="1"/>
    <col min="6" max="6" width="6.85546875" customWidth="1"/>
    <col min="7" max="7" width="8" customWidth="1"/>
    <col min="10" max="10" width="6" customWidth="1"/>
    <col min="11" max="12" width="7.28515625" customWidth="1"/>
    <col min="13" max="13" width="10" bestFit="1" customWidth="1"/>
  </cols>
  <sheetData>
    <row r="1" spans="1:14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4" ht="15.75" x14ac:dyDescent="0.25">
      <c r="C2" s="21" t="s">
        <v>1</v>
      </c>
      <c r="E2" s="21"/>
      <c r="G2" s="27"/>
      <c r="I2" s="1"/>
      <c r="J2" s="1"/>
    </row>
    <row r="3" spans="1:14" ht="15.75" x14ac:dyDescent="0.25">
      <c r="A3" s="1"/>
      <c r="B3" s="1"/>
      <c r="C3" s="21" t="s">
        <v>186</v>
      </c>
      <c r="D3" s="21"/>
      <c r="E3" s="21"/>
      <c r="F3" s="27"/>
      <c r="G3" s="27"/>
      <c r="I3" s="1"/>
      <c r="J3" s="1"/>
    </row>
    <row r="4" spans="1:14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4" x14ac:dyDescent="0.25">
      <c r="A5" s="3">
        <v>1</v>
      </c>
      <c r="B5" s="3" t="s">
        <v>94</v>
      </c>
      <c r="C5" s="3"/>
      <c r="D5" s="3"/>
      <c r="E5" s="3"/>
      <c r="F5" s="3">
        <f>'DECEMBER 19'!J5:J25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4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'DECEMBER 19'!J6:J26</f>
        <v>0</v>
      </c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4" x14ac:dyDescent="0.25">
      <c r="A7" s="3">
        <v>3</v>
      </c>
      <c r="B7" s="3" t="s">
        <v>187</v>
      </c>
      <c r="C7" s="3">
        <v>10000</v>
      </c>
      <c r="D7" s="3">
        <v>200</v>
      </c>
      <c r="E7" s="3"/>
      <c r="F7" s="3">
        <f>'DECEMBER 19'!J7:J27</f>
        <v>0</v>
      </c>
      <c r="G7" s="3">
        <v>10000</v>
      </c>
      <c r="H7" s="3">
        <f t="shared" si="0"/>
        <v>20000</v>
      </c>
      <c r="I7" s="3">
        <v>20000</v>
      </c>
      <c r="J7" s="3">
        <f t="shared" ref="J7:J21" si="1">H7-I7</f>
        <v>0</v>
      </c>
      <c r="K7" s="3">
        <v>1500</v>
      </c>
      <c r="L7" s="3">
        <v>600</v>
      </c>
      <c r="M7">
        <v>714528391</v>
      </c>
    </row>
    <row r="8" spans="1:14" x14ac:dyDescent="0.25">
      <c r="A8" s="3">
        <v>4</v>
      </c>
      <c r="B8" s="3" t="s">
        <v>89</v>
      </c>
      <c r="C8" s="3"/>
      <c r="D8" s="3">
        <v>200</v>
      </c>
      <c r="E8" s="3">
        <v>200</v>
      </c>
      <c r="F8" s="3">
        <f>'DECEMBER 19'!J8:J28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4" x14ac:dyDescent="0.25">
      <c r="A9" s="3">
        <v>5</v>
      </c>
      <c r="B9" s="3" t="s">
        <v>159</v>
      </c>
      <c r="C9" s="3"/>
      <c r="D9" s="3">
        <v>200</v>
      </c>
      <c r="E9" s="3">
        <v>900</v>
      </c>
      <c r="F9" s="3">
        <f>'DECEMBER 19'!J9:J29</f>
        <v>0</v>
      </c>
      <c r="G9" s="3">
        <v>10000</v>
      </c>
      <c r="H9" s="3">
        <f t="shared" si="0"/>
        <v>10000</v>
      </c>
      <c r="I9" s="3">
        <v>10000</v>
      </c>
      <c r="J9" s="3">
        <f t="shared" si="1"/>
        <v>0</v>
      </c>
      <c r="K9" s="3"/>
      <c r="L9" s="3">
        <v>600</v>
      </c>
    </row>
    <row r="10" spans="1:14" x14ac:dyDescent="0.25">
      <c r="A10" s="3">
        <v>6</v>
      </c>
      <c r="B10" s="3" t="s">
        <v>13</v>
      </c>
      <c r="C10" s="3"/>
      <c r="D10" s="3">
        <v>200</v>
      </c>
      <c r="E10" s="30">
        <v>600</v>
      </c>
      <c r="F10" s="3">
        <f>'DECEMBER 19'!J10:J30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4" x14ac:dyDescent="0.25">
      <c r="A11" s="3">
        <v>7</v>
      </c>
      <c r="B11" s="3" t="s">
        <v>14</v>
      </c>
      <c r="C11" s="3"/>
      <c r="D11" s="3">
        <v>200</v>
      </c>
      <c r="E11" s="30">
        <v>1200</v>
      </c>
      <c r="F11" s="3">
        <f>'DECEMBER 19'!J11:J31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4" x14ac:dyDescent="0.25">
      <c r="A12" s="3">
        <v>8</v>
      </c>
      <c r="B12" s="3" t="s">
        <v>15</v>
      </c>
      <c r="C12" s="3"/>
      <c r="D12" s="3">
        <v>200</v>
      </c>
      <c r="E12" s="30">
        <v>750</v>
      </c>
      <c r="F12" s="3">
        <f>'DECEMBER 19'!J12:J32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4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>
        <f>'DECEMBER 19'!J13:J33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4" x14ac:dyDescent="0.25">
      <c r="A14" s="3">
        <v>10</v>
      </c>
      <c r="B14" s="3" t="s">
        <v>99</v>
      </c>
      <c r="C14" s="3"/>
      <c r="D14" s="3">
        <v>200</v>
      </c>
      <c r="E14" s="30"/>
      <c r="F14" s="3">
        <f>'DECEMBER 19'!J14:J34</f>
        <v>0</v>
      </c>
      <c r="G14" s="3">
        <v>10000</v>
      </c>
      <c r="H14" s="3">
        <f>C14+F14+G14</f>
        <v>10000</v>
      </c>
      <c r="I14" s="3">
        <v>10000</v>
      </c>
      <c r="J14" s="3">
        <f>H14-I14</f>
        <v>0</v>
      </c>
      <c r="K14" s="3"/>
      <c r="L14" s="3">
        <v>600</v>
      </c>
    </row>
    <row r="15" spans="1:14" x14ac:dyDescent="0.25">
      <c r="A15" s="3">
        <v>11</v>
      </c>
      <c r="B15" s="3" t="s">
        <v>18</v>
      </c>
      <c r="C15" s="3"/>
      <c r="D15" s="3">
        <v>200</v>
      </c>
      <c r="E15" s="30">
        <v>400</v>
      </c>
      <c r="F15" s="3">
        <f>'DECEMBER 19'!J15:J35</f>
        <v>0</v>
      </c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4" x14ac:dyDescent="0.25">
      <c r="A16" s="3">
        <v>12</v>
      </c>
      <c r="B16" s="3" t="s">
        <v>135</v>
      </c>
      <c r="C16" s="3"/>
      <c r="D16" s="3">
        <v>200</v>
      </c>
      <c r="E16" s="3">
        <v>750</v>
      </c>
      <c r="F16" s="3">
        <f>'DECEMBER 19'!J16:J36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  <c r="N16" t="s">
        <v>181</v>
      </c>
    </row>
    <row r="17" spans="1:14" x14ac:dyDescent="0.25">
      <c r="A17" s="3">
        <v>13</v>
      </c>
      <c r="B17" s="12" t="s">
        <v>19</v>
      </c>
      <c r="C17" s="3"/>
      <c r="D17" s="3">
        <v>200</v>
      </c>
      <c r="E17" s="30">
        <v>1000</v>
      </c>
      <c r="F17" s="3">
        <f>'DECEMBER 19'!J17:J37</f>
        <v>0</v>
      </c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  <c r="N17" t="s">
        <v>182</v>
      </c>
    </row>
    <row r="18" spans="1:14" x14ac:dyDescent="0.25">
      <c r="A18" s="3">
        <v>14</v>
      </c>
      <c r="B18" s="12" t="s">
        <v>70</v>
      </c>
      <c r="C18" s="3"/>
      <c r="D18" s="43">
        <v>200</v>
      </c>
      <c r="E18" s="3">
        <v>600</v>
      </c>
      <c r="F18" s="3">
        <f>'DECEMBER 19'!J18:J38</f>
        <v>0</v>
      </c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</row>
    <row r="19" spans="1:14" x14ac:dyDescent="0.25">
      <c r="A19" s="3">
        <v>15</v>
      </c>
      <c r="B19" s="3" t="s">
        <v>158</v>
      </c>
      <c r="C19" s="3"/>
      <c r="D19" s="3">
        <v>200</v>
      </c>
      <c r="E19" s="3">
        <v>300</v>
      </c>
      <c r="F19" s="3">
        <f>'DECEMBER 19'!J19:J39</f>
        <v>0</v>
      </c>
      <c r="G19" s="3">
        <v>10000</v>
      </c>
      <c r="H19" s="3">
        <f>C19+F19+G19</f>
        <v>10000</v>
      </c>
      <c r="I19" s="3">
        <f>5550+4450</f>
        <v>10000</v>
      </c>
      <c r="J19" s="3">
        <f t="shared" si="1"/>
        <v>0</v>
      </c>
      <c r="K19" s="3"/>
      <c r="L19" s="3">
        <v>550</v>
      </c>
    </row>
    <row r="20" spans="1:14" x14ac:dyDescent="0.25">
      <c r="A20" s="3">
        <v>16</v>
      </c>
      <c r="B20" s="3" t="s">
        <v>12</v>
      </c>
      <c r="C20" s="3">
        <v>2000</v>
      </c>
      <c r="D20" s="3">
        <v>200</v>
      </c>
      <c r="E20" s="3">
        <v>1200</v>
      </c>
      <c r="F20" s="3">
        <f>'DECEMBER 19'!J20:J40</f>
        <v>0</v>
      </c>
      <c r="G20" s="3">
        <v>12000</v>
      </c>
      <c r="H20" s="3">
        <f>C20+F20+G20</f>
        <v>14000</v>
      </c>
      <c r="I20" s="3">
        <v>14000</v>
      </c>
      <c r="J20" s="3">
        <f t="shared" si="1"/>
        <v>0</v>
      </c>
      <c r="K20" s="3"/>
      <c r="L20" s="3">
        <v>600</v>
      </c>
    </row>
    <row r="21" spans="1:14" x14ac:dyDescent="0.25">
      <c r="A21" s="3">
        <v>17</v>
      </c>
      <c r="B21" s="3" t="s">
        <v>128</v>
      </c>
      <c r="C21" s="3"/>
      <c r="D21" s="3">
        <v>200</v>
      </c>
      <c r="E21" s="3">
        <v>300</v>
      </c>
      <c r="F21" s="3">
        <f>'DECEMBER 19'!J21:J41</f>
        <v>0</v>
      </c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4" x14ac:dyDescent="0.25">
      <c r="A22" s="3">
        <v>18</v>
      </c>
      <c r="B22" s="3" t="s">
        <v>103</v>
      </c>
      <c r="C22" s="3"/>
      <c r="D22" s="3">
        <v>200</v>
      </c>
      <c r="E22" s="3">
        <v>450</v>
      </c>
      <c r="F22" s="3">
        <f>'DECEMBER 19'!J22:J42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v>600</v>
      </c>
      <c r="N22" s="24"/>
    </row>
    <row r="23" spans="1:14" x14ac:dyDescent="0.25">
      <c r="A23" s="3">
        <v>19</v>
      </c>
      <c r="B23" s="3" t="s">
        <v>112</v>
      </c>
      <c r="C23" s="3"/>
      <c r="D23" s="3">
        <v>200</v>
      </c>
      <c r="E23" s="30">
        <v>600</v>
      </c>
      <c r="F23" s="3">
        <f>'DECEMBER 19'!J23:J43</f>
        <v>0</v>
      </c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4" x14ac:dyDescent="0.25">
      <c r="A24" s="3">
        <v>20</v>
      </c>
      <c r="B24" s="3" t="s">
        <v>55</v>
      </c>
      <c r="C24" s="3"/>
      <c r="D24" s="3">
        <v>200</v>
      </c>
      <c r="E24" s="3">
        <v>300</v>
      </c>
      <c r="F24" s="3">
        <f>'DECEMBER 19'!J24:J44</f>
        <v>0</v>
      </c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4" x14ac:dyDescent="0.25">
      <c r="A25" s="2"/>
      <c r="B25" s="2" t="s">
        <v>33</v>
      </c>
      <c r="C25" s="2">
        <f t="shared" ref="C25:L25" si="2">SUM(C5:C24)</f>
        <v>12000</v>
      </c>
      <c r="D25" s="2">
        <f t="shared" si="2"/>
        <v>3800</v>
      </c>
      <c r="E25" s="2">
        <f t="shared" si="2"/>
        <v>10300</v>
      </c>
      <c r="F25" s="3">
        <f>SUM(F5:F24)</f>
        <v>0</v>
      </c>
      <c r="G25" s="2">
        <f t="shared" si="2"/>
        <v>208000</v>
      </c>
      <c r="H25" s="2">
        <f t="shared" si="2"/>
        <v>220000</v>
      </c>
      <c r="I25" s="2">
        <f t="shared" si="2"/>
        <v>220000</v>
      </c>
      <c r="J25" s="2">
        <f t="shared" si="2"/>
        <v>0</v>
      </c>
      <c r="K25" s="2">
        <f t="shared" si="2"/>
        <v>1500</v>
      </c>
      <c r="L25" s="2">
        <f t="shared" si="2"/>
        <v>11950</v>
      </c>
    </row>
    <row r="26" spans="1:14" x14ac:dyDescent="0.25">
      <c r="A26" s="7"/>
      <c r="B26" s="7"/>
      <c r="C26" s="7"/>
      <c r="D26" s="7"/>
      <c r="E26" s="7"/>
      <c r="F26" s="7"/>
      <c r="G26" s="40"/>
      <c r="H26" s="30"/>
      <c r="I26" s="30"/>
      <c r="J26" s="7"/>
    </row>
    <row r="27" spans="1:14" x14ac:dyDescent="0.25">
      <c r="B27" s="31" t="s">
        <v>23</v>
      </c>
      <c r="C27" s="32"/>
      <c r="D27" s="6"/>
      <c r="E27" s="33"/>
      <c r="F27" s="40"/>
      <c r="G27" s="30"/>
      <c r="H27" s="30"/>
      <c r="I27" s="30"/>
      <c r="J27">
        <f>E25+I25+L25</f>
        <v>242250</v>
      </c>
    </row>
    <row r="28" spans="1:14" x14ac:dyDescent="0.25">
      <c r="B28" s="35" t="s">
        <v>24</v>
      </c>
      <c r="C28" s="35"/>
      <c r="D28" s="35"/>
      <c r="E28" s="36"/>
      <c r="F28" s="40"/>
      <c r="G28" s="44"/>
      <c r="H28" s="30"/>
      <c r="I28" s="31"/>
    </row>
    <row r="29" spans="1:14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41"/>
      <c r="H29" s="30"/>
      <c r="I29" s="30"/>
    </row>
    <row r="30" spans="1:14" x14ac:dyDescent="0.25">
      <c r="B30" s="30" t="s">
        <v>185</v>
      </c>
      <c r="C30" s="38">
        <f>C25+G25</f>
        <v>220000</v>
      </c>
      <c r="D30" s="30"/>
      <c r="E30" s="30"/>
      <c r="F30" s="30" t="s">
        <v>185</v>
      </c>
      <c r="G30" s="38">
        <f>I25</f>
        <v>220000</v>
      </c>
      <c r="H30" s="30"/>
      <c r="I30" s="30"/>
    </row>
    <row r="31" spans="1:14" x14ac:dyDescent="0.25">
      <c r="B31" s="30" t="s">
        <v>5</v>
      </c>
      <c r="C31" s="38">
        <f>'DECEMBER 19'!E44</f>
        <v>603</v>
      </c>
      <c r="D31" s="30"/>
      <c r="E31" s="30"/>
      <c r="F31" s="30" t="s">
        <v>5</v>
      </c>
      <c r="G31" s="38">
        <f>'DECEMBER 19'!I44</f>
        <v>603</v>
      </c>
      <c r="H31" s="30"/>
      <c r="I31" s="30"/>
      <c r="N31" s="24"/>
    </row>
    <row r="32" spans="1:14" x14ac:dyDescent="0.25">
      <c r="B32" s="30" t="s">
        <v>35</v>
      </c>
      <c r="C32" s="38">
        <f>E25</f>
        <v>10300</v>
      </c>
      <c r="D32" s="30"/>
      <c r="E32" s="30"/>
      <c r="F32" s="30" t="s">
        <v>35</v>
      </c>
      <c r="G32" s="38">
        <f>C32</f>
        <v>10300</v>
      </c>
      <c r="H32" s="30"/>
      <c r="I32" s="30"/>
    </row>
    <row r="33" spans="2:13" x14ac:dyDescent="0.25">
      <c r="B33" s="30" t="s">
        <v>86</v>
      </c>
      <c r="C33" s="38">
        <f>K25</f>
        <v>1500</v>
      </c>
      <c r="D33" s="30"/>
      <c r="E33" s="30"/>
      <c r="F33" s="30" t="s">
        <v>86</v>
      </c>
      <c r="G33" s="38">
        <f>C33</f>
        <v>1500</v>
      </c>
      <c r="H33" s="30"/>
      <c r="I33" s="30"/>
      <c r="K33" s="24"/>
      <c r="M33" s="24"/>
    </row>
    <row r="34" spans="2:13" x14ac:dyDescent="0.25">
      <c r="B34" s="30" t="s">
        <v>88</v>
      </c>
      <c r="C34" s="38">
        <f>L25</f>
        <v>11950</v>
      </c>
      <c r="D34" s="30"/>
      <c r="E34" s="30"/>
      <c r="F34" s="30" t="s">
        <v>88</v>
      </c>
      <c r="G34" s="38">
        <f>C34</f>
        <v>11950</v>
      </c>
      <c r="H34" s="30"/>
      <c r="I34" s="30"/>
      <c r="M34" s="24"/>
    </row>
    <row r="35" spans="2:13" x14ac:dyDescent="0.25">
      <c r="B35" s="30" t="s">
        <v>30</v>
      </c>
      <c r="C35" s="39">
        <v>0.06</v>
      </c>
      <c r="D35" s="38">
        <f>C30*C35</f>
        <v>13200</v>
      </c>
      <c r="E35" s="30"/>
      <c r="F35" s="30" t="s">
        <v>30</v>
      </c>
      <c r="G35" s="39">
        <v>0.06</v>
      </c>
      <c r="H35" s="38">
        <f>D35</f>
        <v>13200</v>
      </c>
      <c r="I35" s="30"/>
      <c r="L35" s="24"/>
      <c r="M35" s="24"/>
    </row>
    <row r="36" spans="2:13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3" x14ac:dyDescent="0.25">
      <c r="B37" s="40" t="s">
        <v>88</v>
      </c>
      <c r="C37" s="30"/>
      <c r="D37">
        <v>8000</v>
      </c>
      <c r="E37" s="30"/>
      <c r="F37" s="40" t="s">
        <v>88</v>
      </c>
      <c r="G37" s="44"/>
      <c r="H37" s="30">
        <v>8000</v>
      </c>
      <c r="I37" s="30"/>
    </row>
    <row r="38" spans="2:13" x14ac:dyDescent="0.25">
      <c r="B38" s="46" t="s">
        <v>188</v>
      </c>
      <c r="D38" s="30">
        <v>213700</v>
      </c>
      <c r="E38" s="30"/>
      <c r="F38" s="46" t="s">
        <v>188</v>
      </c>
      <c r="H38" s="30">
        <v>213700</v>
      </c>
      <c r="I38" s="30"/>
      <c r="M38" s="24"/>
    </row>
    <row r="39" spans="2:13" x14ac:dyDescent="0.25">
      <c r="B39" s="3"/>
      <c r="C39" s="40"/>
      <c r="D39" s="45"/>
      <c r="E39" s="3"/>
      <c r="F39" s="3"/>
      <c r="G39" s="45"/>
      <c r="H39" s="3"/>
      <c r="I39" s="30"/>
      <c r="M39" s="24"/>
    </row>
    <row r="40" spans="2:13" x14ac:dyDescent="0.25">
      <c r="B40" s="40" t="s">
        <v>189</v>
      </c>
      <c r="C40" s="30"/>
      <c r="D40" s="30">
        <v>7953</v>
      </c>
      <c r="E40" s="30"/>
      <c r="F40" s="40" t="s">
        <v>189</v>
      </c>
      <c r="G40" s="30"/>
      <c r="H40" s="30">
        <v>7953</v>
      </c>
      <c r="I40" s="30"/>
      <c r="M40" s="24"/>
    </row>
    <row r="41" spans="2:13" x14ac:dyDescent="0.25">
      <c r="B41" s="40"/>
      <c r="C41" s="30"/>
      <c r="D41" s="30"/>
      <c r="E41" s="30"/>
      <c r="F41" s="40"/>
      <c r="G41" s="30"/>
      <c r="H41" s="30"/>
      <c r="I41" s="30"/>
      <c r="M41" s="24"/>
    </row>
    <row r="42" spans="2:13" x14ac:dyDescent="0.25">
      <c r="B42" s="40"/>
      <c r="C42" s="44"/>
      <c r="D42" s="30"/>
      <c r="E42" s="30"/>
      <c r="F42" s="40"/>
      <c r="G42" s="44"/>
      <c r="H42" s="30"/>
      <c r="I42" s="30"/>
      <c r="M42" s="24"/>
    </row>
    <row r="43" spans="2:13" x14ac:dyDescent="0.25">
      <c r="B43" s="41"/>
      <c r="C43" s="30"/>
      <c r="D43" s="30"/>
      <c r="E43" s="30"/>
      <c r="F43" s="41"/>
      <c r="G43" s="30"/>
      <c r="H43" s="30"/>
      <c r="I43" s="30"/>
    </row>
    <row r="44" spans="2:13" x14ac:dyDescent="0.25">
      <c r="B44" s="37" t="s">
        <v>33</v>
      </c>
      <c r="C44" s="42">
        <f>C30+C31+C32+C33+C34-D35</f>
        <v>231153</v>
      </c>
      <c r="D44" s="42">
        <f>SUM(D37:D43)</f>
        <v>229653</v>
      </c>
      <c r="E44" s="42">
        <f>C44-D44</f>
        <v>1500</v>
      </c>
      <c r="F44" s="37" t="s">
        <v>33</v>
      </c>
      <c r="G44" s="42">
        <f>G30+G31+G32+G33+G34-H35</f>
        <v>231153</v>
      </c>
      <c r="H44" s="42">
        <f>SUM(H37:H43)</f>
        <v>229653</v>
      </c>
      <c r="I44" s="42">
        <f>G44-H44</f>
        <v>1500</v>
      </c>
    </row>
    <row r="45" spans="2:13" x14ac:dyDescent="0.25">
      <c r="B45" t="s">
        <v>37</v>
      </c>
      <c r="D45" t="s">
        <v>39</v>
      </c>
      <c r="G45" t="s">
        <v>41</v>
      </c>
    </row>
    <row r="47" spans="2:13" x14ac:dyDescent="0.25">
      <c r="B47" t="s">
        <v>137</v>
      </c>
      <c r="D47" t="s">
        <v>40</v>
      </c>
      <c r="G47" t="s">
        <v>42</v>
      </c>
    </row>
    <row r="48" spans="2:13" x14ac:dyDescent="0.25">
      <c r="C48" s="1"/>
      <c r="D48" s="1"/>
      <c r="E48" s="1"/>
      <c r="F48" s="22"/>
      <c r="G48" s="1"/>
      <c r="H48" s="1"/>
      <c r="K48" s="24"/>
    </row>
  </sheetData>
  <pageMargins left="0" right="0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9" workbookViewId="0">
      <selection activeCell="C31" sqref="C31"/>
    </sheetView>
  </sheetViews>
  <sheetFormatPr defaultRowHeight="15" x14ac:dyDescent="0.25"/>
  <cols>
    <col min="1" max="1" width="4.140625" customWidth="1"/>
    <col min="2" max="2" width="18.42578125" customWidth="1"/>
    <col min="3" max="3" width="8.28515625" customWidth="1"/>
    <col min="4" max="4" width="9.28515625" customWidth="1"/>
    <col min="6" max="6" width="8.7109375" customWidth="1"/>
    <col min="7" max="7" width="8.28515625" customWidth="1"/>
    <col min="8" max="8" width="10.140625" customWidth="1"/>
  </cols>
  <sheetData>
    <row r="1" spans="1:11" ht="18.75" x14ac:dyDescent="0.3">
      <c r="A1" s="1"/>
      <c r="B1" s="1"/>
      <c r="C1" s="20" t="s">
        <v>0</v>
      </c>
      <c r="D1" s="20"/>
      <c r="E1" s="20"/>
      <c r="I1" s="1"/>
      <c r="J1" s="1"/>
    </row>
    <row r="2" spans="1:11" ht="18.75" x14ac:dyDescent="0.3">
      <c r="A2" s="1"/>
      <c r="B2" s="1"/>
      <c r="C2" s="20" t="s">
        <v>1</v>
      </c>
      <c r="D2" s="20"/>
      <c r="E2" s="20"/>
      <c r="I2" s="1"/>
      <c r="J2" s="1"/>
    </row>
    <row r="3" spans="1:11" ht="18.75" x14ac:dyDescent="0.3">
      <c r="A3" s="1"/>
      <c r="B3" s="1"/>
      <c r="C3" s="20" t="s">
        <v>44</v>
      </c>
      <c r="D3" s="20"/>
      <c r="E3" s="20"/>
      <c r="I3" s="1"/>
      <c r="J3" s="1"/>
    </row>
    <row r="4" spans="1:11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1" x14ac:dyDescent="0.25">
      <c r="A5" s="3">
        <v>1</v>
      </c>
      <c r="B5" s="3" t="s">
        <v>11</v>
      </c>
      <c r="C5" s="3"/>
      <c r="D5" s="3"/>
      <c r="E5" s="3"/>
      <c r="F5" s="3"/>
      <c r="G5" s="3">
        <v>12000</v>
      </c>
      <c r="H5" s="3">
        <f>F5+G5</f>
        <v>12000</v>
      </c>
      <c r="I5" s="3"/>
      <c r="J5" s="3">
        <f>H5-I5</f>
        <v>12000</v>
      </c>
      <c r="K5" t="s">
        <v>60</v>
      </c>
    </row>
    <row r="6" spans="1:11" x14ac:dyDescent="0.25">
      <c r="A6" s="3">
        <v>2</v>
      </c>
      <c r="B6" s="3" t="s">
        <v>54</v>
      </c>
      <c r="C6" s="3">
        <v>10000</v>
      </c>
      <c r="D6" s="3">
        <v>200</v>
      </c>
      <c r="E6" s="3" t="s">
        <v>46</v>
      </c>
      <c r="F6" s="3"/>
      <c r="G6" s="3">
        <v>10000</v>
      </c>
      <c r="H6" s="3">
        <f t="shared" ref="H6:H24" si="0">F6+G6</f>
        <v>10000</v>
      </c>
      <c r="I6" s="3">
        <v>10000</v>
      </c>
      <c r="J6" s="3">
        <f t="shared" ref="J6:J25" si="1">H6-I6</f>
        <v>0</v>
      </c>
      <c r="K6" t="s">
        <v>43</v>
      </c>
    </row>
    <row r="7" spans="1:11" x14ac:dyDescent="0.25">
      <c r="A7" s="3">
        <v>3</v>
      </c>
      <c r="B7" s="3" t="s">
        <v>12</v>
      </c>
      <c r="C7" s="3"/>
      <c r="D7" s="3">
        <v>200</v>
      </c>
      <c r="E7" s="3">
        <v>450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si="1"/>
        <v>0</v>
      </c>
    </row>
    <row r="8" spans="1:11" x14ac:dyDescent="0.25">
      <c r="A8" s="3">
        <v>4</v>
      </c>
      <c r="B8" s="3"/>
      <c r="C8" s="3"/>
      <c r="D8" s="3"/>
      <c r="E8" s="3"/>
      <c r="F8" s="3"/>
      <c r="G8" s="3"/>
      <c r="H8" s="3">
        <f t="shared" si="0"/>
        <v>0</v>
      </c>
      <c r="I8" s="3"/>
      <c r="J8" s="3">
        <f t="shared" si="1"/>
        <v>0</v>
      </c>
    </row>
    <row r="9" spans="1:11" x14ac:dyDescent="0.25">
      <c r="A9" s="3">
        <v>5</v>
      </c>
      <c r="B9" s="3" t="s">
        <v>36</v>
      </c>
      <c r="C9" s="3"/>
      <c r="D9" s="3">
        <v>400</v>
      </c>
      <c r="E9" s="3">
        <v>150</v>
      </c>
      <c r="F9" s="3"/>
      <c r="G9" s="3">
        <v>10000</v>
      </c>
      <c r="H9" s="3">
        <f t="shared" si="0"/>
        <v>10000</v>
      </c>
      <c r="I9" s="3">
        <v>10000</v>
      </c>
      <c r="J9" s="3">
        <f t="shared" si="1"/>
        <v>0</v>
      </c>
    </row>
    <row r="10" spans="1:11" x14ac:dyDescent="0.25">
      <c r="A10" s="3">
        <v>6</v>
      </c>
      <c r="B10" s="3" t="s">
        <v>13</v>
      </c>
      <c r="C10" s="3"/>
      <c r="D10" s="3">
        <v>400</v>
      </c>
      <c r="E10" s="3">
        <v>900</v>
      </c>
      <c r="F10" s="3"/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</row>
    <row r="11" spans="1:11" x14ac:dyDescent="0.25">
      <c r="A11" s="3">
        <v>7</v>
      </c>
      <c r="B11" s="3" t="s">
        <v>14</v>
      </c>
      <c r="C11" s="3"/>
      <c r="D11" s="3">
        <v>130</v>
      </c>
      <c r="E11" s="3">
        <v>600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</row>
    <row r="12" spans="1:11" x14ac:dyDescent="0.25">
      <c r="A12" s="3">
        <v>8</v>
      </c>
      <c r="B12" s="3" t="s">
        <v>15</v>
      </c>
      <c r="C12" s="3"/>
      <c r="D12" s="3"/>
      <c r="E12" s="3"/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</row>
    <row r="13" spans="1:11" x14ac:dyDescent="0.25">
      <c r="A13" s="3">
        <v>9</v>
      </c>
      <c r="B13" s="3" t="s">
        <v>16</v>
      </c>
      <c r="C13" s="3"/>
      <c r="D13" s="3">
        <v>400</v>
      </c>
      <c r="E13" s="3">
        <v>200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</row>
    <row r="14" spans="1:11" x14ac:dyDescent="0.25">
      <c r="A14" s="3">
        <v>10</v>
      </c>
      <c r="B14" s="3" t="s">
        <v>57</v>
      </c>
      <c r="C14" s="3"/>
      <c r="D14" s="3">
        <v>400</v>
      </c>
      <c r="E14" s="3">
        <v>150</v>
      </c>
      <c r="F14" s="3"/>
      <c r="G14" s="3">
        <v>10000</v>
      </c>
      <c r="H14" s="3">
        <f t="shared" si="0"/>
        <v>10000</v>
      </c>
      <c r="I14" s="3">
        <v>10000</v>
      </c>
      <c r="J14" s="3">
        <f t="shared" si="1"/>
        <v>0</v>
      </c>
    </row>
    <row r="15" spans="1:11" x14ac:dyDescent="0.25">
      <c r="A15" s="3">
        <v>11</v>
      </c>
      <c r="B15" s="3" t="s">
        <v>18</v>
      </c>
      <c r="C15" s="3"/>
      <c r="D15" s="3">
        <v>200</v>
      </c>
      <c r="E15" s="3">
        <v>900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</row>
    <row r="16" spans="1:11" x14ac:dyDescent="0.25">
      <c r="A16" s="3">
        <v>12</v>
      </c>
      <c r="B16" s="3" t="s">
        <v>22</v>
      </c>
      <c r="C16" s="3">
        <v>10000</v>
      </c>
      <c r="D16" s="3"/>
      <c r="E16" s="3" t="s">
        <v>46</v>
      </c>
      <c r="F16" s="3"/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t="s">
        <v>43</v>
      </c>
    </row>
    <row r="17" spans="1:11" x14ac:dyDescent="0.25">
      <c r="A17" s="3">
        <v>13</v>
      </c>
      <c r="B17" s="3" t="s">
        <v>19</v>
      </c>
      <c r="C17" s="3"/>
      <c r="D17" s="3"/>
      <c r="E17" s="3">
        <v>1050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</row>
    <row r="18" spans="1:11" x14ac:dyDescent="0.25">
      <c r="A18" s="3">
        <v>14</v>
      </c>
      <c r="B18" s="3" t="s">
        <v>22</v>
      </c>
      <c r="C18" s="3">
        <v>10000</v>
      </c>
      <c r="D18" s="3"/>
      <c r="E18" s="3" t="s">
        <v>46</v>
      </c>
      <c r="F18" s="3"/>
      <c r="G18" s="3">
        <v>10000</v>
      </c>
      <c r="H18" s="3">
        <f t="shared" si="0"/>
        <v>10000</v>
      </c>
      <c r="I18" s="3">
        <v>8000</v>
      </c>
      <c r="J18" s="3">
        <f t="shared" si="1"/>
        <v>2000</v>
      </c>
      <c r="K18" t="s">
        <v>43</v>
      </c>
    </row>
    <row r="19" spans="1:11" x14ac:dyDescent="0.25">
      <c r="A19" s="3">
        <v>15</v>
      </c>
      <c r="B19" s="3" t="s">
        <v>56</v>
      </c>
      <c r="C19" s="3"/>
      <c r="D19" s="3">
        <v>200</v>
      </c>
      <c r="E19" s="3">
        <v>450</v>
      </c>
      <c r="F19" s="3"/>
      <c r="G19" s="3">
        <v>10000</v>
      </c>
      <c r="H19" s="3">
        <f t="shared" si="0"/>
        <v>10000</v>
      </c>
      <c r="I19" s="3">
        <v>10000</v>
      </c>
      <c r="J19" s="3">
        <f t="shared" si="1"/>
        <v>0</v>
      </c>
    </row>
    <row r="20" spans="1:11" x14ac:dyDescent="0.25">
      <c r="A20" s="3">
        <v>16</v>
      </c>
      <c r="B20" s="3" t="s">
        <v>20</v>
      </c>
      <c r="C20" s="3"/>
      <c r="D20" s="3"/>
      <c r="E20" s="3"/>
      <c r="F20" s="3"/>
      <c r="G20" s="3">
        <v>12000</v>
      </c>
      <c r="H20" s="3">
        <f t="shared" si="0"/>
        <v>12000</v>
      </c>
      <c r="I20" s="3">
        <v>9000</v>
      </c>
      <c r="J20" s="3">
        <f t="shared" si="1"/>
        <v>3000</v>
      </c>
    </row>
    <row r="21" spans="1:11" x14ac:dyDescent="0.25">
      <c r="A21" s="3">
        <v>17</v>
      </c>
      <c r="B21" s="3" t="s">
        <v>22</v>
      </c>
      <c r="C21" s="3">
        <v>10000</v>
      </c>
      <c r="D21" s="3"/>
      <c r="E21" s="3" t="s">
        <v>46</v>
      </c>
      <c r="F21" s="3"/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t="s">
        <v>43</v>
      </c>
    </row>
    <row r="22" spans="1:11" x14ac:dyDescent="0.25">
      <c r="A22" s="3">
        <v>18</v>
      </c>
      <c r="B22" s="3" t="s">
        <v>21</v>
      </c>
      <c r="C22" s="3"/>
      <c r="D22" s="3">
        <v>200</v>
      </c>
      <c r="E22" s="3">
        <v>450</v>
      </c>
      <c r="F22" s="3"/>
      <c r="G22" s="3">
        <v>10000</v>
      </c>
      <c r="H22" s="3">
        <f t="shared" si="0"/>
        <v>10000</v>
      </c>
      <c r="I22" s="3">
        <v>10000</v>
      </c>
      <c r="J22" s="3">
        <f>H22-I22</f>
        <v>0</v>
      </c>
    </row>
    <row r="23" spans="1:11" x14ac:dyDescent="0.25">
      <c r="A23" s="3">
        <v>19</v>
      </c>
      <c r="B23" s="3" t="s">
        <v>22</v>
      </c>
      <c r="C23" s="3"/>
      <c r="D23" s="3"/>
      <c r="E23" s="3"/>
      <c r="F23" s="3"/>
      <c r="G23" s="3">
        <v>10000</v>
      </c>
      <c r="H23" s="3">
        <f t="shared" si="0"/>
        <v>10000</v>
      </c>
      <c r="I23" s="3">
        <v>10000</v>
      </c>
      <c r="J23" s="3">
        <f t="shared" si="1"/>
        <v>0</v>
      </c>
    </row>
    <row r="24" spans="1:11" x14ac:dyDescent="0.25">
      <c r="A24" s="3">
        <v>20</v>
      </c>
      <c r="B24" s="3" t="s">
        <v>55</v>
      </c>
      <c r="C24" s="3"/>
      <c r="D24" s="3" t="s">
        <v>77</v>
      </c>
      <c r="E24" s="3"/>
      <c r="F24" s="3"/>
      <c r="G24" s="3">
        <v>10000</v>
      </c>
      <c r="H24" s="3">
        <f t="shared" si="0"/>
        <v>10000</v>
      </c>
      <c r="I24" s="3">
        <v>10000</v>
      </c>
      <c r="J24" s="3">
        <f t="shared" si="1"/>
        <v>0</v>
      </c>
    </row>
    <row r="25" spans="1:11" x14ac:dyDescent="0.25">
      <c r="A25" s="2"/>
      <c r="B25" s="2" t="s">
        <v>33</v>
      </c>
      <c r="C25" s="2"/>
      <c r="D25" s="2">
        <f>SUM(D5:D24)</f>
        <v>2730</v>
      </c>
      <c r="E25" s="2">
        <f>SUM(E5:E24)</f>
        <v>5300</v>
      </c>
      <c r="F25" s="2"/>
      <c r="G25" s="2">
        <f>SUM(G5:G24)</f>
        <v>198000</v>
      </c>
      <c r="H25" s="2">
        <f>SUM(H5:H24)</f>
        <v>198000</v>
      </c>
      <c r="I25" s="2">
        <f>SUM(I5:I24)</f>
        <v>181000</v>
      </c>
      <c r="J25" s="2">
        <f t="shared" si="1"/>
        <v>17000</v>
      </c>
    </row>
    <row r="27" spans="1:11" x14ac:dyDescent="0.25">
      <c r="B27" s="4" t="s">
        <v>23</v>
      </c>
      <c r="C27" s="5"/>
      <c r="D27" s="6"/>
      <c r="E27" s="7"/>
      <c r="F27" s="8"/>
      <c r="G27" s="9"/>
      <c r="H27" s="8"/>
    </row>
    <row r="28" spans="1:11" x14ac:dyDescent="0.25">
      <c r="B28" s="1" t="s">
        <v>24</v>
      </c>
      <c r="C28" s="1"/>
      <c r="D28" s="1"/>
      <c r="E28" s="10"/>
      <c r="F28" s="1" t="s">
        <v>8</v>
      </c>
      <c r="G28" s="11"/>
      <c r="H28" s="11"/>
      <c r="I28" s="11"/>
    </row>
    <row r="29" spans="1:11" x14ac:dyDescent="0.25">
      <c r="B29" s="2" t="s">
        <v>25</v>
      </c>
      <c r="C29" s="2" t="s">
        <v>26</v>
      </c>
      <c r="D29" s="2" t="s">
        <v>27</v>
      </c>
      <c r="E29" s="2" t="s">
        <v>28</v>
      </c>
      <c r="F29" s="2" t="s">
        <v>25</v>
      </c>
      <c r="G29" s="2" t="s">
        <v>26</v>
      </c>
      <c r="H29" s="2" t="s">
        <v>27</v>
      </c>
      <c r="I29" s="2" t="s">
        <v>28</v>
      </c>
    </row>
    <row r="30" spans="1:11" x14ac:dyDescent="0.25">
      <c r="B30" s="12" t="s">
        <v>43</v>
      </c>
      <c r="C30" s="13">
        <f>G25</f>
        <v>198000</v>
      </c>
      <c r="D30" s="12"/>
      <c r="E30" s="12"/>
      <c r="F30" s="12" t="s">
        <v>43</v>
      </c>
      <c r="G30" s="13">
        <f>I25</f>
        <v>181000</v>
      </c>
      <c r="H30" s="12"/>
      <c r="I30" s="12"/>
    </row>
    <row r="31" spans="1:11" x14ac:dyDescent="0.25">
      <c r="B31" s="12" t="s">
        <v>5</v>
      </c>
      <c r="C31" s="13"/>
      <c r="D31" s="12"/>
      <c r="E31" s="12"/>
      <c r="F31" s="12" t="s">
        <v>5</v>
      </c>
      <c r="G31" s="13"/>
      <c r="H31" s="12"/>
      <c r="I31" s="12"/>
    </row>
    <row r="32" spans="1:11" x14ac:dyDescent="0.25">
      <c r="B32" s="12" t="s">
        <v>30</v>
      </c>
      <c r="C32" s="14">
        <v>0.06</v>
      </c>
      <c r="D32" s="13">
        <f>C30*C32</f>
        <v>11880</v>
      </c>
      <c r="E32" s="12"/>
      <c r="F32" s="12" t="s">
        <v>30</v>
      </c>
      <c r="G32" s="14">
        <v>0.06</v>
      </c>
      <c r="H32" s="13">
        <f>D32</f>
        <v>11880</v>
      </c>
      <c r="I32" s="12"/>
    </row>
    <row r="33" spans="2:9" x14ac:dyDescent="0.25">
      <c r="B33" s="15" t="s">
        <v>31</v>
      </c>
      <c r="C33" s="12" t="s">
        <v>32</v>
      </c>
      <c r="D33" s="12"/>
      <c r="E33" s="12"/>
      <c r="F33" s="15" t="s">
        <v>31</v>
      </c>
      <c r="G33" s="13"/>
      <c r="H33" s="12"/>
      <c r="I33" s="12"/>
    </row>
    <row r="34" spans="2:9" x14ac:dyDescent="0.25">
      <c r="B34" s="3"/>
      <c r="C34" s="3"/>
      <c r="D34" s="3"/>
      <c r="E34" s="3"/>
      <c r="F34" s="3"/>
      <c r="G34" s="12" t="s">
        <v>32</v>
      </c>
      <c r="H34" s="12"/>
      <c r="I34" s="12"/>
    </row>
    <row r="35" spans="2:9" x14ac:dyDescent="0.25">
      <c r="B35" s="3"/>
      <c r="C35" s="3"/>
      <c r="D35" s="3"/>
      <c r="E35" s="3"/>
      <c r="F35" s="3"/>
      <c r="G35" s="3"/>
      <c r="H35" s="3"/>
      <c r="I35" s="12"/>
    </row>
    <row r="36" spans="2:9" x14ac:dyDescent="0.25">
      <c r="B36" s="16"/>
      <c r="C36" s="12"/>
      <c r="D36" s="12"/>
      <c r="E36" s="12"/>
      <c r="F36" s="16"/>
      <c r="G36" s="12"/>
      <c r="H36" s="12"/>
      <c r="I36" s="12"/>
    </row>
    <row r="37" spans="2:9" x14ac:dyDescent="0.25">
      <c r="B37" s="17"/>
      <c r="C37" s="12"/>
      <c r="D37" s="12"/>
      <c r="E37" s="12"/>
      <c r="F37" s="3"/>
      <c r="G37" s="3"/>
      <c r="H37" s="3"/>
      <c r="I37" s="12"/>
    </row>
    <row r="38" spans="2:9" x14ac:dyDescent="0.25">
      <c r="B38" s="15" t="s">
        <v>33</v>
      </c>
      <c r="C38" s="18">
        <f>C30+C31</f>
        <v>198000</v>
      </c>
      <c r="D38" s="18">
        <f>SUM(D32:D37)</f>
        <v>11880</v>
      </c>
      <c r="E38" s="18">
        <f>C38-D38</f>
        <v>186120</v>
      </c>
      <c r="F38" s="15" t="s">
        <v>33</v>
      </c>
      <c r="G38" s="18">
        <f>G30+G31</f>
        <v>181000</v>
      </c>
      <c r="H38" s="18">
        <f>SUM(H32:H37)</f>
        <v>11880</v>
      </c>
      <c r="I38" s="13">
        <f>G38-H38</f>
        <v>169120</v>
      </c>
    </row>
    <row r="40" spans="2:9" x14ac:dyDescent="0.25">
      <c r="B40" t="s">
        <v>37</v>
      </c>
      <c r="D40" t="s">
        <v>39</v>
      </c>
      <c r="G40" t="s">
        <v>41</v>
      </c>
    </row>
    <row r="42" spans="2:9" x14ac:dyDescent="0.25">
      <c r="B42" t="s">
        <v>38</v>
      </c>
      <c r="D42" t="s">
        <v>40</v>
      </c>
      <c r="G42" t="s">
        <v>42</v>
      </c>
    </row>
    <row r="44" spans="2:9" x14ac:dyDescent="0.25">
      <c r="G44" s="1"/>
      <c r="H44" s="1"/>
    </row>
    <row r="45" spans="2:9" x14ac:dyDescent="0.25">
      <c r="G45" s="1" t="s">
        <v>8</v>
      </c>
      <c r="H45" s="1" t="s">
        <v>61</v>
      </c>
    </row>
    <row r="46" spans="2:9" x14ac:dyDescent="0.25">
      <c r="B46">
        <v>1</v>
      </c>
      <c r="C46" s="1" t="s">
        <v>58</v>
      </c>
      <c r="D46" s="1"/>
      <c r="E46" s="1"/>
      <c r="F46" s="22">
        <f>JULY!H32</f>
        <v>5640</v>
      </c>
      <c r="G46" s="1"/>
      <c r="H46" s="1"/>
    </row>
    <row r="47" spans="2:9" x14ac:dyDescent="0.25">
      <c r="B47">
        <v>2</v>
      </c>
      <c r="C47" s="1" t="s">
        <v>59</v>
      </c>
      <c r="D47" s="1"/>
      <c r="E47" s="1"/>
      <c r="F47" s="22">
        <f>D32</f>
        <v>11880</v>
      </c>
      <c r="G47" s="1"/>
      <c r="H47" s="1"/>
    </row>
    <row r="48" spans="2:9" x14ac:dyDescent="0.25">
      <c r="B48">
        <v>3</v>
      </c>
      <c r="C48" s="1" t="s">
        <v>62</v>
      </c>
      <c r="D48" s="1"/>
      <c r="E48" s="1"/>
      <c r="F48" s="22">
        <v>1500</v>
      </c>
      <c r="G48" s="1"/>
      <c r="H48" s="1"/>
    </row>
    <row r="49" spans="3:8" x14ac:dyDescent="0.25">
      <c r="C49" s="1"/>
      <c r="D49" s="1" t="s">
        <v>33</v>
      </c>
      <c r="E49" s="1"/>
      <c r="F49" s="23">
        <f>SUM(F46:F48)</f>
        <v>19020</v>
      </c>
      <c r="G49" s="1">
        <v>10000</v>
      </c>
      <c r="H49" s="22">
        <f>F49-G49</f>
        <v>9020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P39" sqref="P39"/>
    </sheetView>
  </sheetViews>
  <sheetFormatPr defaultRowHeight="15" x14ac:dyDescent="0.25"/>
  <cols>
    <col min="1" max="1" width="4.5703125" customWidth="1"/>
    <col min="5" max="6" width="7.5703125" customWidth="1"/>
  </cols>
  <sheetData>
    <row r="1" spans="1:12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190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>
        <f>'DECEMBER 19'!J5:J25</f>
        <v>0</v>
      </c>
      <c r="G5" s="3">
        <v>12000</v>
      </c>
      <c r="H5" s="3">
        <f>C5+F5+G5</f>
        <v>12000</v>
      </c>
      <c r="I5" s="3">
        <f>3000+6000</f>
        <v>9000</v>
      </c>
      <c r="J5" s="3">
        <f>H5-I5</f>
        <v>3000</v>
      </c>
      <c r="K5" s="3"/>
      <c r="L5" s="3"/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'DECEMBER 19'!J6:J26</f>
        <v>0</v>
      </c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187</v>
      </c>
      <c r="C7" s="3"/>
      <c r="D7" s="3">
        <v>200</v>
      </c>
      <c r="E7" s="3">
        <v>900</v>
      </c>
      <c r="F7" s="3">
        <f>'DECEMBER 19'!J7:J27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200</v>
      </c>
      <c r="F8" s="3">
        <f>'DECEMBER 19'!J8:J28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/>
      <c r="C9" s="3"/>
      <c r="D9" s="3"/>
      <c r="E9" s="3"/>
      <c r="F9" s="3">
        <f>'DECEMBER 19'!J9:J29</f>
        <v>0</v>
      </c>
      <c r="G9" s="3"/>
      <c r="H9" s="3">
        <f t="shared" si="0"/>
        <v>0</v>
      </c>
      <c r="I9" s="3"/>
      <c r="J9" s="3">
        <f t="shared" si="1"/>
        <v>0</v>
      </c>
      <c r="K9" s="3"/>
      <c r="L9" s="3"/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>
        <f>'DECEMBER 19'!J10:J30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900</v>
      </c>
      <c r="F11" s="3">
        <f>'DECEMBER 19'!J11:J31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>
        <v>200</v>
      </c>
      <c r="E12" s="30">
        <v>1050</v>
      </c>
      <c r="F12" s="3">
        <f>'DECEMBER 19'!J12:J32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150</v>
      </c>
      <c r="F13" s="3">
        <f>'DECEMBER 19'!J13:J33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/>
      <c r="E14" s="30"/>
      <c r="F14" s="3">
        <f>'DECEMBER 19'!J14:J34</f>
        <v>0</v>
      </c>
      <c r="G14" s="3">
        <v>10000</v>
      </c>
      <c r="H14" s="3">
        <f>C14+F14+G14</f>
        <v>10000</v>
      </c>
      <c r="I14" s="3"/>
      <c r="J14" s="3">
        <f>H14-I14</f>
        <v>10000</v>
      </c>
      <c r="K14" s="3"/>
      <c r="L14" s="3"/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450</v>
      </c>
      <c r="F15" s="3">
        <f>'DECEMBER 19'!J15:J35</f>
        <v>0</v>
      </c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>
        <f>'DECEMBER 19'!J16:J36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</row>
    <row r="17" spans="1:12" x14ac:dyDescent="0.25">
      <c r="A17" s="3">
        <v>13</v>
      </c>
      <c r="B17" s="12" t="s">
        <v>19</v>
      </c>
      <c r="C17" s="3"/>
      <c r="D17" s="3">
        <v>200</v>
      </c>
      <c r="E17" s="30">
        <v>750</v>
      </c>
      <c r="F17" s="3">
        <f>'DECEMBER 19'!J17:J37</f>
        <v>0</v>
      </c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</row>
    <row r="18" spans="1:12" x14ac:dyDescent="0.25">
      <c r="A18" s="3">
        <v>14</v>
      </c>
      <c r="B18" s="12" t="s">
        <v>70</v>
      </c>
      <c r="C18" s="3"/>
      <c r="D18" s="43">
        <v>200</v>
      </c>
      <c r="E18" s="3">
        <v>450</v>
      </c>
      <c r="F18" s="3">
        <f>'DECEMBER 19'!J18:J38</f>
        <v>0</v>
      </c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</row>
    <row r="19" spans="1:12" x14ac:dyDescent="0.25">
      <c r="A19" s="3">
        <v>15</v>
      </c>
      <c r="B19" s="3" t="s">
        <v>158</v>
      </c>
      <c r="C19" s="3"/>
      <c r="D19" s="3">
        <v>200</v>
      </c>
      <c r="E19" s="3">
        <v>750</v>
      </c>
      <c r="F19" s="3">
        <f>'DECEMBER 19'!J19:J39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12</v>
      </c>
      <c r="C20" s="3"/>
      <c r="D20" s="3">
        <v>200</v>
      </c>
      <c r="E20" s="3">
        <v>900</v>
      </c>
      <c r="F20" s="3">
        <f>'DECEMBER 19'!J20:J40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" t="s">
        <v>192</v>
      </c>
      <c r="C21" s="3">
        <v>10000</v>
      </c>
      <c r="D21" s="3"/>
      <c r="E21" s="3">
        <v>150</v>
      </c>
      <c r="F21" s="3">
        <f>'DECEMBER 19'!J21:J41</f>
        <v>0</v>
      </c>
      <c r="G21" s="3">
        <v>10000</v>
      </c>
      <c r="H21" s="3">
        <f t="shared" si="0"/>
        <v>20000</v>
      </c>
      <c r="I21" s="3">
        <v>10000</v>
      </c>
      <c r="J21" s="3">
        <f t="shared" si="1"/>
        <v>10000</v>
      </c>
      <c r="K21" s="3">
        <v>1500</v>
      </c>
      <c r="L21" s="3"/>
    </row>
    <row r="22" spans="1:12" x14ac:dyDescent="0.25">
      <c r="A22" s="3">
        <v>18</v>
      </c>
      <c r="B22" s="3" t="s">
        <v>103</v>
      </c>
      <c r="C22" s="3"/>
      <c r="D22" s="3">
        <v>200</v>
      </c>
      <c r="E22" s="3">
        <v>300</v>
      </c>
      <c r="F22" s="3">
        <f>'DECEMBER 19'!J22:J42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v>600</v>
      </c>
    </row>
    <row r="23" spans="1:12" x14ac:dyDescent="0.25">
      <c r="A23" s="3">
        <v>19</v>
      </c>
      <c r="B23" s="3" t="s">
        <v>112</v>
      </c>
      <c r="C23" s="3"/>
      <c r="D23" s="3">
        <v>200</v>
      </c>
      <c r="E23" s="30">
        <v>450</v>
      </c>
      <c r="F23" s="3">
        <f>'DECEMBER 19'!J23:J43</f>
        <v>0</v>
      </c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2" x14ac:dyDescent="0.25">
      <c r="A24" s="3">
        <v>20</v>
      </c>
      <c r="B24" s="3" t="s">
        <v>55</v>
      </c>
      <c r="C24" s="3"/>
      <c r="D24" s="3">
        <v>200</v>
      </c>
      <c r="E24" s="3">
        <v>300</v>
      </c>
      <c r="F24" s="3">
        <f>'DECEMBER 19'!J24:J44</f>
        <v>0</v>
      </c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2" x14ac:dyDescent="0.25">
      <c r="A25" s="2"/>
      <c r="B25" s="2" t="s">
        <v>33</v>
      </c>
      <c r="C25" s="2">
        <f t="shared" ref="C25:L25" si="2">SUM(C5:C24)</f>
        <v>10000</v>
      </c>
      <c r="D25" s="2">
        <f t="shared" si="2"/>
        <v>3200</v>
      </c>
      <c r="E25" s="2">
        <f>SUM(E5:E24)</f>
        <v>9650</v>
      </c>
      <c r="F25" s="3">
        <f>SUM(F5:F24)</f>
        <v>0</v>
      </c>
      <c r="G25" s="2">
        <f t="shared" si="2"/>
        <v>198000</v>
      </c>
      <c r="H25" s="2">
        <f t="shared" si="2"/>
        <v>208000</v>
      </c>
      <c r="I25" s="2">
        <f t="shared" si="2"/>
        <v>185000</v>
      </c>
      <c r="J25" s="2">
        <f t="shared" si="2"/>
        <v>23000</v>
      </c>
      <c r="K25" s="2">
        <f t="shared" si="2"/>
        <v>1500</v>
      </c>
      <c r="L25" s="2">
        <f t="shared" si="2"/>
        <v>9600</v>
      </c>
    </row>
    <row r="26" spans="1:12" x14ac:dyDescent="0.25">
      <c r="A26" s="7"/>
      <c r="B26" s="7"/>
      <c r="C26" s="7"/>
      <c r="D26" s="7"/>
      <c r="E26" s="7"/>
      <c r="F26" s="7"/>
      <c r="G26" s="40"/>
      <c r="H26" s="30"/>
      <c r="I26" s="30"/>
      <c r="J26" s="7"/>
    </row>
    <row r="27" spans="1:12" x14ac:dyDescent="0.25">
      <c r="B27" s="31" t="s">
        <v>23</v>
      </c>
      <c r="C27" s="32"/>
      <c r="D27" s="6"/>
      <c r="E27" s="33"/>
      <c r="F27" s="40"/>
      <c r="G27" s="30"/>
      <c r="H27" s="30"/>
      <c r="I27" s="30"/>
      <c r="J27">
        <f>E25+I25+L25</f>
        <v>204250</v>
      </c>
    </row>
    <row r="28" spans="1:12" x14ac:dyDescent="0.25">
      <c r="B28" s="35" t="s">
        <v>24</v>
      </c>
      <c r="C28" s="35"/>
      <c r="D28" s="35"/>
      <c r="E28" s="36"/>
      <c r="F28" s="40"/>
      <c r="G28" s="44"/>
      <c r="H28" s="30"/>
      <c r="I28" s="31"/>
    </row>
    <row r="29" spans="1:12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41"/>
      <c r="H29" s="30"/>
      <c r="I29" s="30"/>
    </row>
    <row r="30" spans="1:12" x14ac:dyDescent="0.25">
      <c r="B30" s="30" t="s">
        <v>191</v>
      </c>
      <c r="C30" s="38">
        <f>C25+G25</f>
        <v>208000</v>
      </c>
      <c r="D30" s="30"/>
      <c r="E30" s="30"/>
      <c r="F30" s="30" t="s">
        <v>191</v>
      </c>
      <c r="G30" s="38">
        <f>I25</f>
        <v>185000</v>
      </c>
      <c r="H30" s="30"/>
      <c r="I30" s="30"/>
    </row>
    <row r="31" spans="1:12" x14ac:dyDescent="0.25">
      <c r="B31" s="30" t="s">
        <v>5</v>
      </c>
      <c r="C31" s="38">
        <f>'JANUARY 20'!E44</f>
        <v>1500</v>
      </c>
      <c r="D31" s="30"/>
      <c r="E31" s="30"/>
      <c r="F31" s="30" t="s">
        <v>5</v>
      </c>
      <c r="G31" s="38">
        <f>'JANUARY 20'!I44</f>
        <v>1500</v>
      </c>
      <c r="H31" s="30"/>
      <c r="I31" s="30"/>
    </row>
    <row r="32" spans="1:12" x14ac:dyDescent="0.25">
      <c r="B32" s="30" t="s">
        <v>35</v>
      </c>
      <c r="C32" s="38">
        <f>E25</f>
        <v>9650</v>
      </c>
      <c r="D32" s="30"/>
      <c r="E32" s="30"/>
      <c r="F32" s="30" t="s">
        <v>35</v>
      </c>
      <c r="G32" s="38">
        <f>C32</f>
        <v>9650</v>
      </c>
      <c r="H32" s="30"/>
      <c r="I32" s="30"/>
    </row>
    <row r="33" spans="2:13" x14ac:dyDescent="0.25">
      <c r="B33" s="30" t="s">
        <v>86</v>
      </c>
      <c r="C33" s="38">
        <f>K25</f>
        <v>1500</v>
      </c>
      <c r="D33" s="30"/>
      <c r="E33" s="30"/>
      <c r="F33" s="30" t="s">
        <v>86</v>
      </c>
      <c r="G33" s="38">
        <f>C33</f>
        <v>1500</v>
      </c>
      <c r="H33" s="30"/>
      <c r="I33" s="30"/>
      <c r="K33" s="24"/>
      <c r="M33" s="24"/>
    </row>
    <row r="34" spans="2:13" x14ac:dyDescent="0.25">
      <c r="B34" s="30" t="s">
        <v>88</v>
      </c>
      <c r="C34" s="38">
        <f>L25</f>
        <v>9600</v>
      </c>
      <c r="D34" s="30"/>
      <c r="E34" s="30"/>
      <c r="F34" s="30" t="s">
        <v>88</v>
      </c>
      <c r="G34" s="38">
        <f>C34</f>
        <v>9600</v>
      </c>
      <c r="H34" s="30"/>
      <c r="I34" s="30"/>
      <c r="M34" s="24"/>
    </row>
    <row r="35" spans="2:13" x14ac:dyDescent="0.25">
      <c r="B35" s="30" t="s">
        <v>30</v>
      </c>
      <c r="C35" s="39">
        <v>0.06</v>
      </c>
      <c r="D35" s="38">
        <f>C30*C35</f>
        <v>12480</v>
      </c>
      <c r="E35" s="30"/>
      <c r="F35" s="30" t="s">
        <v>30</v>
      </c>
      <c r="G35" s="39">
        <v>0.06</v>
      </c>
      <c r="H35" s="38">
        <f>D35</f>
        <v>12480</v>
      </c>
      <c r="I35" s="30"/>
      <c r="L35" s="24"/>
      <c r="M35" s="24"/>
    </row>
    <row r="36" spans="2:13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3" x14ac:dyDescent="0.25">
      <c r="B37" s="40" t="s">
        <v>88</v>
      </c>
      <c r="C37" s="30"/>
      <c r="D37">
        <v>8000</v>
      </c>
      <c r="E37" s="30"/>
      <c r="F37" s="40" t="s">
        <v>88</v>
      </c>
      <c r="G37" s="44"/>
      <c r="H37" s="30">
        <v>8000</v>
      </c>
      <c r="I37" s="30"/>
    </row>
    <row r="38" spans="2:13" x14ac:dyDescent="0.25">
      <c r="B38" s="46" t="s">
        <v>148</v>
      </c>
      <c r="D38" s="30">
        <v>10200</v>
      </c>
      <c r="E38" s="30"/>
      <c r="F38" s="46" t="s">
        <v>148</v>
      </c>
      <c r="H38" s="30">
        <v>10200</v>
      </c>
      <c r="I38" s="30"/>
      <c r="M38" s="24"/>
    </row>
    <row r="39" spans="2:13" x14ac:dyDescent="0.25">
      <c r="B39" s="3"/>
      <c r="C39" s="40"/>
      <c r="D39" s="45"/>
      <c r="E39" s="3"/>
      <c r="F39" s="3"/>
      <c r="G39" s="45"/>
      <c r="H39" s="3"/>
      <c r="I39" s="30"/>
      <c r="M39" s="24"/>
    </row>
    <row r="40" spans="2:13" x14ac:dyDescent="0.25">
      <c r="B40" s="3" t="s">
        <v>193</v>
      </c>
      <c r="C40" s="30"/>
      <c r="D40" s="30">
        <v>198970</v>
      </c>
      <c r="E40" s="30"/>
      <c r="F40" s="3" t="s">
        <v>193</v>
      </c>
      <c r="G40" s="30"/>
      <c r="H40" s="30">
        <v>198970</v>
      </c>
      <c r="I40" s="30"/>
      <c r="M40" s="24"/>
    </row>
    <row r="41" spans="2:13" x14ac:dyDescent="0.25">
      <c r="B41" s="40" t="s">
        <v>195</v>
      </c>
      <c r="C41" s="30"/>
      <c r="D41" s="30">
        <v>6550</v>
      </c>
      <c r="E41" s="30"/>
      <c r="F41" s="40" t="s">
        <v>195</v>
      </c>
      <c r="G41" s="30"/>
      <c r="H41" s="30">
        <v>6550</v>
      </c>
      <c r="I41" s="30"/>
      <c r="M41" s="24"/>
    </row>
    <row r="42" spans="2:13" x14ac:dyDescent="0.25">
      <c r="B42" s="40" t="s">
        <v>194</v>
      </c>
      <c r="C42" s="44"/>
      <c r="D42" s="30">
        <v>4400</v>
      </c>
      <c r="E42" s="30"/>
      <c r="F42" s="40" t="s">
        <v>194</v>
      </c>
      <c r="G42" s="44"/>
      <c r="H42" s="30">
        <v>4400</v>
      </c>
      <c r="I42" s="30"/>
      <c r="M42" s="24"/>
    </row>
    <row r="43" spans="2:13" x14ac:dyDescent="0.25">
      <c r="B43" s="41" t="s">
        <v>219</v>
      </c>
      <c r="C43" s="30"/>
      <c r="D43" s="30">
        <v>10000</v>
      </c>
      <c r="E43" s="30"/>
      <c r="F43" s="41"/>
      <c r="G43" s="30"/>
      <c r="H43" s="30"/>
      <c r="I43" s="30"/>
    </row>
    <row r="44" spans="2:13" x14ac:dyDescent="0.25">
      <c r="B44" s="37" t="s">
        <v>33</v>
      </c>
      <c r="C44" s="42">
        <f>C30+C31+C32+C33+C34-D35</f>
        <v>217770</v>
      </c>
      <c r="D44" s="42">
        <f>SUM(D37:D43)</f>
        <v>238120</v>
      </c>
      <c r="E44" s="42">
        <f>C44-D44</f>
        <v>-20350</v>
      </c>
      <c r="F44" s="37" t="s">
        <v>33</v>
      </c>
      <c r="G44" s="42">
        <f>G30+G31+G32+G33+G34-H35</f>
        <v>194770</v>
      </c>
      <c r="H44" s="42">
        <f>SUM(H37:H43)</f>
        <v>228120</v>
      </c>
      <c r="I44" s="42">
        <f>G44-H44</f>
        <v>-33350</v>
      </c>
    </row>
    <row r="45" spans="2:13" x14ac:dyDescent="0.25">
      <c r="B45" t="s">
        <v>37</v>
      </c>
      <c r="D45" t="s">
        <v>39</v>
      </c>
      <c r="G45" t="s">
        <v>41</v>
      </c>
    </row>
    <row r="47" spans="2:13" x14ac:dyDescent="0.25">
      <c r="B47" t="s">
        <v>137</v>
      </c>
      <c r="D47" t="s">
        <v>40</v>
      </c>
      <c r="G47" t="s">
        <v>42</v>
      </c>
    </row>
    <row r="48" spans="2:13" x14ac:dyDescent="0.25">
      <c r="C48" s="1"/>
      <c r="D48" s="1"/>
      <c r="E48" s="1"/>
      <c r="F48" s="22"/>
      <c r="G48" s="1"/>
      <c r="H48" s="1"/>
      <c r="K48" s="24"/>
    </row>
  </sheetData>
  <pageMargins left="0" right="0" top="0" bottom="0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0" workbookViewId="0">
      <selection activeCell="K44" sqref="K44"/>
    </sheetView>
  </sheetViews>
  <sheetFormatPr defaultRowHeight="15" x14ac:dyDescent="0.25"/>
  <cols>
    <col min="1" max="1" width="3" customWidth="1"/>
    <col min="2" max="2" width="11.85546875" customWidth="1"/>
    <col min="5" max="5" width="7.42578125" customWidth="1"/>
    <col min="6" max="6" width="9.5703125" customWidth="1"/>
    <col min="9" max="9" width="8.28515625" customWidth="1"/>
    <col min="10" max="10" width="8.42578125" customWidth="1"/>
  </cols>
  <sheetData>
    <row r="1" spans="1:12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196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>
        <f>'FEBRUARY 20'!J5:J24</f>
        <v>3000</v>
      </c>
      <c r="G5" s="3">
        <v>12000</v>
      </c>
      <c r="H5" s="3">
        <f>C5+F5+G5</f>
        <v>15000</v>
      </c>
      <c r="I5" s="3">
        <v>15000</v>
      </c>
      <c r="J5" s="3">
        <f>H5-I5</f>
        <v>0</v>
      </c>
      <c r="K5" s="3"/>
      <c r="L5" s="3">
        <v>1200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'FEBRUARY 20'!J6:J25</f>
        <v>0</v>
      </c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187</v>
      </c>
      <c r="C7" s="3"/>
      <c r="D7" s="3">
        <v>200</v>
      </c>
      <c r="E7" s="3">
        <v>600</v>
      </c>
      <c r="F7" s="3">
        <f>'FEBRUARY 20'!J7:J26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>
        <f>'FEBRUARY 20'!J8:J27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200</v>
      </c>
      <c r="C9" s="3"/>
      <c r="D9" s="3"/>
      <c r="E9" s="3"/>
      <c r="F9" s="3">
        <f>'FEBRUARY 20'!J9:J28</f>
        <v>0</v>
      </c>
      <c r="G9" s="3">
        <v>3000</v>
      </c>
      <c r="H9" s="3">
        <f t="shared" si="0"/>
        <v>3000</v>
      </c>
      <c r="I9" s="3">
        <v>3000</v>
      </c>
      <c r="J9" s="3">
        <f t="shared" si="1"/>
        <v>0</v>
      </c>
      <c r="K9" s="3"/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>
        <f>'FEBRUARY 20'!J10:J29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750</v>
      </c>
      <c r="F11" s="3">
        <f>'FEBRUARY 20'!J11:J30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>
        <v>200</v>
      </c>
      <c r="E12" s="30">
        <v>600</v>
      </c>
      <c r="F12" s="3">
        <f>'FEBRUARY 20'!J12:J31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/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>
        <f>'FEBRUARY 20'!J13:J32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>
        <v>200</v>
      </c>
      <c r="E14" s="30">
        <v>150</v>
      </c>
      <c r="F14" s="3">
        <f>'FEBRUARY 20'!J14:J33</f>
        <v>10000</v>
      </c>
      <c r="G14" s="3">
        <v>10000</v>
      </c>
      <c r="H14" s="3">
        <f>C14+F14+G14</f>
        <v>20000</v>
      </c>
      <c r="I14" s="3">
        <v>20000</v>
      </c>
      <c r="J14" s="3">
        <f>H14-I14</f>
        <v>0</v>
      </c>
      <c r="K14" s="3"/>
      <c r="L14" s="3">
        <v>1200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600</v>
      </c>
      <c r="F15" s="3">
        <f>'FEBRUARY 20'!J15:J34</f>
        <v>0</v>
      </c>
      <c r="G15" s="3">
        <v>12000</v>
      </c>
      <c r="H15" s="3">
        <f t="shared" si="0"/>
        <v>12000</v>
      </c>
      <c r="I15" s="3"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600</v>
      </c>
      <c r="F16" s="3">
        <f>'FEBRUARY 20'!J16:J35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</row>
    <row r="17" spans="1:13" x14ac:dyDescent="0.25">
      <c r="A17" s="3">
        <v>13</v>
      </c>
      <c r="B17" s="12" t="s">
        <v>19</v>
      </c>
      <c r="C17" s="3"/>
      <c r="D17" s="3"/>
      <c r="E17" s="30"/>
      <c r="F17" s="3">
        <f>'FEBRUARY 20'!J17:J36</f>
        <v>0</v>
      </c>
      <c r="G17" s="3">
        <v>10000</v>
      </c>
      <c r="H17" s="3">
        <f t="shared" si="0"/>
        <v>10000</v>
      </c>
      <c r="I17" s="3">
        <f>1650+8350</f>
        <v>10000</v>
      </c>
      <c r="J17" s="3">
        <f>H17-I17</f>
        <v>0</v>
      </c>
      <c r="K17" s="3"/>
      <c r="L17" s="3"/>
      <c r="M17" t="s">
        <v>205</v>
      </c>
    </row>
    <row r="18" spans="1:13" x14ac:dyDescent="0.25">
      <c r="A18" s="3">
        <v>14</v>
      </c>
      <c r="B18" s="12" t="s">
        <v>70</v>
      </c>
      <c r="C18" s="3"/>
      <c r="D18" s="43">
        <v>200</v>
      </c>
      <c r="E18" s="3">
        <v>300</v>
      </c>
      <c r="F18" s="3">
        <f>'FEBRUARY 20'!J18:J37</f>
        <v>0</v>
      </c>
      <c r="G18" s="3">
        <v>10000</v>
      </c>
      <c r="H18" s="3">
        <f t="shared" si="0"/>
        <v>10000</v>
      </c>
      <c r="I18" s="3">
        <f>6000+4000</f>
        <v>10000</v>
      </c>
      <c r="J18" s="3">
        <f>H18-I18</f>
        <v>0</v>
      </c>
      <c r="K18" s="3"/>
      <c r="L18" s="3">
        <v>600</v>
      </c>
    </row>
    <row r="19" spans="1:13" x14ac:dyDescent="0.25">
      <c r="A19" s="3">
        <v>15</v>
      </c>
      <c r="B19" s="3" t="s">
        <v>158</v>
      </c>
      <c r="C19" s="3"/>
      <c r="D19" s="3">
        <v>200</v>
      </c>
      <c r="E19" s="3">
        <v>450</v>
      </c>
      <c r="F19" s="3">
        <f>'FEBRUARY 20'!J19:J38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550</v>
      </c>
    </row>
    <row r="20" spans="1:13" x14ac:dyDescent="0.25">
      <c r="A20" s="3">
        <v>16</v>
      </c>
      <c r="B20" s="3" t="s">
        <v>12</v>
      </c>
      <c r="C20" s="3"/>
      <c r="D20" s="3">
        <v>200</v>
      </c>
      <c r="E20" s="3">
        <v>900</v>
      </c>
      <c r="F20" s="3">
        <f>'FEBRUARY 20'!J20:J39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3" x14ac:dyDescent="0.25">
      <c r="A21" s="3">
        <v>17</v>
      </c>
      <c r="B21" s="3" t="s">
        <v>197</v>
      </c>
      <c r="C21" s="3">
        <v>10000</v>
      </c>
      <c r="D21" s="3"/>
      <c r="E21" s="3"/>
      <c r="F21" s="3"/>
      <c r="G21" s="3">
        <v>10000</v>
      </c>
      <c r="H21" s="3">
        <f t="shared" si="0"/>
        <v>20000</v>
      </c>
      <c r="I21" s="3">
        <f>10000+7000</f>
        <v>17000</v>
      </c>
      <c r="J21" s="3">
        <f t="shared" si="1"/>
        <v>3000</v>
      </c>
      <c r="K21" s="3"/>
      <c r="L21" s="3"/>
    </row>
    <row r="22" spans="1:13" x14ac:dyDescent="0.25">
      <c r="A22" s="3">
        <v>18</v>
      </c>
      <c r="B22" s="3" t="s">
        <v>103</v>
      </c>
      <c r="C22" s="3"/>
      <c r="D22" s="3">
        <v>200</v>
      </c>
      <c r="E22" s="3">
        <v>450</v>
      </c>
      <c r="F22" s="3">
        <f>'FEBRUARY 20'!J22:J41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v>600</v>
      </c>
    </row>
    <row r="23" spans="1:13" x14ac:dyDescent="0.25">
      <c r="A23" s="3">
        <v>19</v>
      </c>
      <c r="B23" s="3" t="s">
        <v>112</v>
      </c>
      <c r="C23" s="3"/>
      <c r="D23" s="3">
        <v>200</v>
      </c>
      <c r="E23" s="30">
        <v>300</v>
      </c>
      <c r="F23" s="3">
        <f>'FEBRUARY 20'!J23:J42</f>
        <v>0</v>
      </c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3" x14ac:dyDescent="0.25">
      <c r="A24" s="3">
        <v>20</v>
      </c>
      <c r="B24" s="3" t="s">
        <v>55</v>
      </c>
      <c r="C24" s="3"/>
      <c r="D24" s="3">
        <v>200</v>
      </c>
      <c r="E24" s="3">
        <v>450</v>
      </c>
      <c r="F24" s="3">
        <f>'FEBRUARY 20'!J24:J43</f>
        <v>0</v>
      </c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/>
    </row>
    <row r="25" spans="1:13" x14ac:dyDescent="0.25">
      <c r="A25" s="2"/>
      <c r="B25" s="2" t="s">
        <v>33</v>
      </c>
      <c r="C25" s="2">
        <f t="shared" ref="C25:L25" si="2">SUM(C5:C24)</f>
        <v>10000</v>
      </c>
      <c r="D25" s="2">
        <f t="shared" si="2"/>
        <v>3200</v>
      </c>
      <c r="E25" s="2">
        <f>SUM(E5:E24)</f>
        <v>7500</v>
      </c>
      <c r="F25" s="3">
        <f>SUM(F5:F24)</f>
        <v>13000</v>
      </c>
      <c r="G25" s="2">
        <f t="shared" si="2"/>
        <v>201000</v>
      </c>
      <c r="H25" s="2">
        <f t="shared" si="2"/>
        <v>224000</v>
      </c>
      <c r="I25" s="2">
        <f t="shared" si="2"/>
        <v>221000</v>
      </c>
      <c r="J25" s="2">
        <f t="shared" si="2"/>
        <v>3000</v>
      </c>
      <c r="K25" s="2">
        <f t="shared" si="2"/>
        <v>0</v>
      </c>
      <c r="L25" s="2">
        <f t="shared" si="2"/>
        <v>10750</v>
      </c>
    </row>
    <row r="26" spans="1:13" x14ac:dyDescent="0.25">
      <c r="A26" s="7"/>
      <c r="B26" s="7"/>
      <c r="C26" s="7"/>
      <c r="D26" s="7"/>
      <c r="E26" s="7"/>
      <c r="F26" s="7"/>
      <c r="G26" s="40"/>
      <c r="H26" s="30"/>
      <c r="I26" s="30"/>
      <c r="J26" s="7"/>
    </row>
    <row r="27" spans="1:13" x14ac:dyDescent="0.25">
      <c r="B27" s="31" t="s">
        <v>23</v>
      </c>
      <c r="C27" s="32"/>
      <c r="D27" s="6"/>
      <c r="E27" s="33"/>
      <c r="F27" s="40"/>
      <c r="G27" s="30"/>
      <c r="H27" s="30"/>
      <c r="I27" s="30"/>
    </row>
    <row r="28" spans="1:13" x14ac:dyDescent="0.25">
      <c r="B28" s="35" t="s">
        <v>24</v>
      </c>
      <c r="C28" s="35"/>
      <c r="D28" s="35"/>
      <c r="E28" s="36"/>
      <c r="F28" s="40"/>
      <c r="G28" s="44"/>
      <c r="H28" s="30"/>
      <c r="I28" s="31"/>
    </row>
    <row r="29" spans="1:13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47" t="s">
        <v>199</v>
      </c>
      <c r="H29" s="37" t="s">
        <v>27</v>
      </c>
      <c r="I29" s="37" t="s">
        <v>28</v>
      </c>
    </row>
    <row r="30" spans="1:13" x14ac:dyDescent="0.25">
      <c r="B30" s="30" t="s">
        <v>121</v>
      </c>
      <c r="C30" s="38">
        <f>C25+G25</f>
        <v>211000</v>
      </c>
      <c r="D30" s="30"/>
      <c r="E30" s="30"/>
      <c r="F30" s="30" t="s">
        <v>121</v>
      </c>
      <c r="G30" s="38">
        <f>I25</f>
        <v>221000</v>
      </c>
      <c r="H30" s="30"/>
      <c r="I30" s="30"/>
    </row>
    <row r="31" spans="1:13" x14ac:dyDescent="0.25">
      <c r="B31" s="30" t="s">
        <v>5</v>
      </c>
      <c r="C31" s="38">
        <f>'FEBRUARY 20'!E44</f>
        <v>-20350</v>
      </c>
      <c r="D31" s="30"/>
      <c r="E31" s="30"/>
      <c r="F31" s="30" t="s">
        <v>5</v>
      </c>
      <c r="G31" s="38">
        <f>'FEBRUARY 20'!I44</f>
        <v>-33350</v>
      </c>
      <c r="H31" s="30"/>
      <c r="I31" s="30"/>
    </row>
    <row r="32" spans="1:13" x14ac:dyDescent="0.25">
      <c r="B32" s="30" t="s">
        <v>35</v>
      </c>
      <c r="C32" s="38">
        <f>E25</f>
        <v>7500</v>
      </c>
      <c r="D32" s="30"/>
      <c r="E32" s="30"/>
      <c r="F32" s="30" t="s">
        <v>35</v>
      </c>
      <c r="G32" s="38">
        <f>C32</f>
        <v>7500</v>
      </c>
      <c r="H32" s="30"/>
      <c r="I32" s="30"/>
    </row>
    <row r="33" spans="2:13" x14ac:dyDescent="0.25">
      <c r="B33" s="30" t="s">
        <v>86</v>
      </c>
      <c r="C33" s="38">
        <f>K25</f>
        <v>0</v>
      </c>
      <c r="D33" s="30"/>
      <c r="E33" s="30"/>
      <c r="F33" s="30" t="s">
        <v>86</v>
      </c>
      <c r="G33" s="38">
        <f>C33</f>
        <v>0</v>
      </c>
      <c r="H33" s="30"/>
      <c r="I33" s="30"/>
      <c r="K33" s="24"/>
      <c r="M33" s="24"/>
    </row>
    <row r="34" spans="2:13" x14ac:dyDescent="0.25">
      <c r="B34" s="30" t="s">
        <v>88</v>
      </c>
      <c r="C34" s="38">
        <f>L25</f>
        <v>10750</v>
      </c>
      <c r="D34" s="30"/>
      <c r="E34" s="30"/>
      <c r="F34" s="30" t="s">
        <v>88</v>
      </c>
      <c r="G34" s="38">
        <f>C34</f>
        <v>10750</v>
      </c>
      <c r="H34" s="30"/>
      <c r="I34" s="30"/>
      <c r="M34" s="24"/>
    </row>
    <row r="35" spans="2:13" x14ac:dyDescent="0.25">
      <c r="B35" s="30" t="s">
        <v>30</v>
      </c>
      <c r="C35" s="39">
        <v>0.06</v>
      </c>
      <c r="D35" s="38">
        <f>C35*C30</f>
        <v>12660</v>
      </c>
      <c r="E35" s="30"/>
      <c r="F35" s="30" t="s">
        <v>30</v>
      </c>
      <c r="G35" s="39">
        <v>0.06</v>
      </c>
      <c r="H35" s="38">
        <f>D35</f>
        <v>12660</v>
      </c>
      <c r="I35" s="30"/>
      <c r="L35" s="24"/>
      <c r="M35" s="24"/>
    </row>
    <row r="36" spans="2:13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3" x14ac:dyDescent="0.25">
      <c r="B37" s="40" t="s">
        <v>88</v>
      </c>
      <c r="C37" s="30"/>
      <c r="D37">
        <v>10000</v>
      </c>
      <c r="E37" s="30"/>
      <c r="F37" s="40" t="s">
        <v>88</v>
      </c>
      <c r="G37" s="30"/>
      <c r="H37">
        <v>10000</v>
      </c>
      <c r="I37" s="30"/>
    </row>
    <row r="38" spans="2:13" x14ac:dyDescent="0.25">
      <c r="B38" s="46" t="s">
        <v>198</v>
      </c>
      <c r="D38" s="30">
        <v>179520</v>
      </c>
      <c r="E38" s="30"/>
      <c r="F38" s="46" t="s">
        <v>198</v>
      </c>
      <c r="H38" s="30">
        <v>179520</v>
      </c>
      <c r="I38" s="30"/>
      <c r="M38" s="24"/>
    </row>
    <row r="39" spans="2:13" x14ac:dyDescent="0.25">
      <c r="B39" s="3"/>
      <c r="C39" s="40"/>
      <c r="D39" s="45"/>
      <c r="E39" s="3"/>
      <c r="F39" s="3"/>
      <c r="G39" s="45"/>
      <c r="H39" s="3"/>
      <c r="I39" s="30"/>
      <c r="M39" s="24"/>
    </row>
    <row r="40" spans="2:13" x14ac:dyDescent="0.25">
      <c r="B40" s="3" t="s">
        <v>203</v>
      </c>
      <c r="C40" s="30"/>
      <c r="D40" s="30">
        <v>6700</v>
      </c>
      <c r="E40" s="30"/>
      <c r="F40" s="3" t="s">
        <v>203</v>
      </c>
      <c r="G40" s="30"/>
      <c r="H40" s="30">
        <v>6700</v>
      </c>
      <c r="I40" s="30"/>
      <c r="M40" s="24"/>
    </row>
    <row r="41" spans="2:13" x14ac:dyDescent="0.25">
      <c r="B41" s="40" t="s">
        <v>218</v>
      </c>
      <c r="C41" s="30"/>
      <c r="D41" s="30">
        <v>8350</v>
      </c>
      <c r="E41" s="30"/>
      <c r="F41" s="40" t="s">
        <v>19</v>
      </c>
      <c r="G41" s="30"/>
      <c r="H41" s="30">
        <v>8350</v>
      </c>
      <c r="I41" s="30"/>
      <c r="M41" s="24"/>
    </row>
    <row r="42" spans="2:13" x14ac:dyDescent="0.25">
      <c r="B42" s="40"/>
      <c r="C42" s="44"/>
      <c r="D42" s="30"/>
      <c r="E42" s="30"/>
      <c r="F42" s="40"/>
      <c r="G42" s="44"/>
      <c r="H42" s="30"/>
      <c r="I42" s="30"/>
      <c r="M42" s="24"/>
    </row>
    <row r="43" spans="2:13" x14ac:dyDescent="0.25">
      <c r="B43" s="41"/>
      <c r="C43" s="30"/>
      <c r="D43" s="30"/>
      <c r="E43" s="30"/>
      <c r="F43" s="41"/>
      <c r="G43" s="30"/>
      <c r="H43" s="30"/>
      <c r="I43" s="30"/>
    </row>
    <row r="44" spans="2:13" x14ac:dyDescent="0.25">
      <c r="B44" s="37" t="s">
        <v>33</v>
      </c>
      <c r="C44" s="42">
        <f>C30+C31+C32+C33+C34-D35</f>
        <v>196240</v>
      </c>
      <c r="D44" s="42">
        <f>SUM(D37:D43)</f>
        <v>204570</v>
      </c>
      <c r="E44" s="42">
        <f>C44-D44</f>
        <v>-8330</v>
      </c>
      <c r="F44" s="37" t="s">
        <v>33</v>
      </c>
      <c r="G44" s="42">
        <f>G30+G31+G32+G33+G34-H35</f>
        <v>193240</v>
      </c>
      <c r="H44" s="42">
        <f>SUM(H37:H43)</f>
        <v>204570</v>
      </c>
      <c r="I44" s="42">
        <f>G44-H44</f>
        <v>-11330</v>
      </c>
    </row>
    <row r="45" spans="2:13" x14ac:dyDescent="0.25">
      <c r="B45" t="s">
        <v>37</v>
      </c>
      <c r="D45" t="s">
        <v>39</v>
      </c>
      <c r="G45" t="s">
        <v>41</v>
      </c>
    </row>
    <row r="47" spans="2:13" x14ac:dyDescent="0.25">
      <c r="B47" t="s">
        <v>137</v>
      </c>
      <c r="D47" t="s">
        <v>40</v>
      </c>
      <c r="G47" t="s">
        <v>42</v>
      </c>
    </row>
    <row r="48" spans="2:13" x14ac:dyDescent="0.25">
      <c r="C48" s="1"/>
      <c r="D48" s="1"/>
      <c r="E48" s="1"/>
      <c r="F48" s="22"/>
      <c r="G48" s="1"/>
      <c r="H48" s="1"/>
      <c r="K48" s="24"/>
    </row>
  </sheetData>
  <pageMargins left="0" right="0" top="0" bottom="0" header="0.3" footer="0.3"/>
  <pageSetup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7" workbookViewId="0">
      <selection activeCell="P31" sqref="P31"/>
    </sheetView>
  </sheetViews>
  <sheetFormatPr defaultRowHeight="15" x14ac:dyDescent="0.25"/>
  <cols>
    <col min="2" max="2" width="20.5703125" customWidth="1"/>
    <col min="4" max="4" width="10.42578125" customWidth="1"/>
    <col min="11" max="11" width="13.42578125" customWidth="1"/>
  </cols>
  <sheetData>
    <row r="1" spans="1:12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201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>
        <f>'MARCH 20'!J5:J24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300</v>
      </c>
      <c r="F6" s="3">
        <f>'MARCH 20'!J6:J25</f>
        <v>0</v>
      </c>
      <c r="G6" s="3">
        <v>10000</v>
      </c>
      <c r="H6" s="3">
        <f t="shared" ref="H6:H23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187</v>
      </c>
      <c r="C7" s="3"/>
      <c r="D7" s="3">
        <v>200</v>
      </c>
      <c r="E7" s="3"/>
      <c r="F7" s="3">
        <f>'MARCH 20'!J7:J26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450</v>
      </c>
      <c r="F8" s="3">
        <f>'MARCH 20'!J8:J27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200</v>
      </c>
      <c r="C9" s="3">
        <v>10000</v>
      </c>
      <c r="D9" s="3">
        <v>200</v>
      </c>
      <c r="E9" s="3">
        <v>300</v>
      </c>
      <c r="F9" s="3">
        <f>'MARCH 20'!J9:J28</f>
        <v>0</v>
      </c>
      <c r="G9" s="3">
        <v>10000</v>
      </c>
      <c r="H9" s="3">
        <f t="shared" si="0"/>
        <v>20000</v>
      </c>
      <c r="I9" s="3">
        <f>7000+3000+10000</f>
        <v>20000</v>
      </c>
      <c r="J9" s="3">
        <f t="shared" si="1"/>
        <v>0</v>
      </c>
      <c r="K9" s="3">
        <v>1500</v>
      </c>
      <c r="L9" s="3"/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300</v>
      </c>
      <c r="F10" s="3">
        <f>'MARCH 20'!J10:J29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/>
      <c r="F11" s="3">
        <f>'MARCH 20'!J11:J30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/>
      <c r="E12" s="30"/>
      <c r="F12" s="3">
        <f>'MARCH 20'!J12:J31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>
        <f>'MARCH 20'!J13:J32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/>
    </row>
    <row r="14" spans="1:12" x14ac:dyDescent="0.25">
      <c r="A14" s="3">
        <v>10</v>
      </c>
      <c r="B14" s="3" t="s">
        <v>99</v>
      </c>
      <c r="C14" s="3"/>
      <c r="D14" s="3"/>
      <c r="E14" s="30"/>
      <c r="F14" s="3">
        <f>'MARCH 20'!J14:J33</f>
        <v>0</v>
      </c>
      <c r="G14" s="3">
        <v>10000</v>
      </c>
      <c r="H14" s="3">
        <f>C14+F14+G14</f>
        <v>10000</v>
      </c>
      <c r="I14" s="3">
        <v>10000</v>
      </c>
      <c r="J14" s="3">
        <f>H14-I14</f>
        <v>0</v>
      </c>
      <c r="K14" s="3"/>
      <c r="L14" s="3"/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600</v>
      </c>
      <c r="F15" s="3">
        <f>'MARCH 20'!J15:J34</f>
        <v>0</v>
      </c>
      <c r="G15" s="3">
        <v>12000</v>
      </c>
      <c r="H15" s="3">
        <f>C15+F15+G15</f>
        <v>12000</v>
      </c>
      <c r="I15" s="3"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900</v>
      </c>
      <c r="F16" s="3">
        <f>'MARCH 20'!J16:J35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</row>
    <row r="17" spans="1:12" x14ac:dyDescent="0.25">
      <c r="A17" s="3">
        <v>13</v>
      </c>
      <c r="B17" s="12" t="s">
        <v>19</v>
      </c>
      <c r="C17" s="3"/>
      <c r="D17" s="3"/>
      <c r="E17" s="30">
        <v>1200</v>
      </c>
      <c r="F17" s="3"/>
      <c r="G17" s="3">
        <v>2700</v>
      </c>
      <c r="H17" s="3">
        <f t="shared" si="0"/>
        <v>2700</v>
      </c>
      <c r="I17" s="3">
        <v>2700</v>
      </c>
      <c r="J17" s="3">
        <f>H17-I17</f>
        <v>0</v>
      </c>
      <c r="K17" s="3"/>
      <c r="L17" s="3"/>
    </row>
    <row r="18" spans="1:12" x14ac:dyDescent="0.25">
      <c r="A18" s="3">
        <v>14</v>
      </c>
      <c r="B18" s="12" t="s">
        <v>70</v>
      </c>
      <c r="C18" s="3"/>
      <c r="D18" s="43"/>
      <c r="E18" s="3"/>
      <c r="F18" s="3">
        <f>'MARCH 20'!J18:J37</f>
        <v>0</v>
      </c>
      <c r="G18" s="3">
        <v>10000</v>
      </c>
      <c r="H18" s="3">
        <f t="shared" si="0"/>
        <v>10000</v>
      </c>
      <c r="I18" s="3">
        <v>7000</v>
      </c>
      <c r="J18" s="3">
        <f>H18-I18</f>
        <v>3000</v>
      </c>
      <c r="K18" s="3"/>
      <c r="L18" s="3"/>
    </row>
    <row r="19" spans="1:12" x14ac:dyDescent="0.25">
      <c r="A19" s="3">
        <v>15</v>
      </c>
      <c r="B19" s="3" t="s">
        <v>158</v>
      </c>
      <c r="C19" s="3"/>
      <c r="D19" s="3">
        <v>200</v>
      </c>
      <c r="E19" s="3">
        <v>375</v>
      </c>
      <c r="F19" s="3">
        <f>'MARCH 20'!J19:J38</f>
        <v>0</v>
      </c>
      <c r="G19" s="3">
        <v>10000</v>
      </c>
      <c r="H19" s="3">
        <f>C19+F19+G19</f>
        <v>10000</v>
      </c>
      <c r="I19" s="3">
        <f>5550+4450</f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12</v>
      </c>
      <c r="C20" s="3"/>
      <c r="D20" s="3">
        <v>200</v>
      </c>
      <c r="E20" s="3">
        <v>900</v>
      </c>
      <c r="F20" s="3">
        <f>'MARCH 20'!J20:J39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" t="s">
        <v>197</v>
      </c>
      <c r="C21" s="3"/>
      <c r="D21" s="3">
        <v>200</v>
      </c>
      <c r="E21" s="3">
        <v>1050</v>
      </c>
      <c r="F21" s="3">
        <f>'MARCH 20'!J21:J40</f>
        <v>3000</v>
      </c>
      <c r="G21" s="3">
        <v>10000</v>
      </c>
      <c r="H21" s="3">
        <f>C21+G21+F21</f>
        <v>13000</v>
      </c>
      <c r="I21" s="3">
        <v>13000</v>
      </c>
      <c r="J21" s="3">
        <f t="shared" si="1"/>
        <v>0</v>
      </c>
      <c r="K21" s="3">
        <v>1500</v>
      </c>
      <c r="L21" s="3">
        <v>1200</v>
      </c>
    </row>
    <row r="22" spans="1:12" x14ac:dyDescent="0.25">
      <c r="A22" s="3">
        <v>18</v>
      </c>
      <c r="B22" s="3" t="s">
        <v>103</v>
      </c>
      <c r="C22" s="3"/>
      <c r="D22" s="3"/>
      <c r="E22" s="3">
        <v>750</v>
      </c>
      <c r="F22" s="3">
        <f>'MARCH 20'!J22:J41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/>
    </row>
    <row r="23" spans="1:12" x14ac:dyDescent="0.25">
      <c r="A23" s="3">
        <v>19</v>
      </c>
      <c r="B23" s="3" t="s">
        <v>112</v>
      </c>
      <c r="C23" s="3"/>
      <c r="D23" s="3"/>
      <c r="E23" s="30"/>
      <c r="F23" s="3">
        <f>'MARCH 20'!J23:J42</f>
        <v>0</v>
      </c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/>
    </row>
    <row r="24" spans="1:12" x14ac:dyDescent="0.25">
      <c r="A24" s="3">
        <v>20</v>
      </c>
      <c r="B24" s="3" t="s">
        <v>55</v>
      </c>
      <c r="C24" s="3"/>
      <c r="D24" s="3">
        <v>200</v>
      </c>
      <c r="E24" s="30">
        <v>450</v>
      </c>
      <c r="F24" s="3"/>
      <c r="G24" s="3">
        <v>10000</v>
      </c>
      <c r="H24" s="3">
        <f>C24+F24+G24</f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2" x14ac:dyDescent="0.25">
      <c r="A25" s="3">
        <v>21</v>
      </c>
      <c r="B25" s="3" t="s">
        <v>202</v>
      </c>
      <c r="C25" s="3">
        <v>12000</v>
      </c>
      <c r="D25" s="3"/>
      <c r="E25" s="30"/>
      <c r="F25" s="3"/>
      <c r="G25" s="3"/>
      <c r="H25" s="3">
        <f>C25+F25+G25</f>
        <v>12000</v>
      </c>
      <c r="I25" s="3">
        <v>12000</v>
      </c>
      <c r="J25" s="3">
        <f>H25-I25</f>
        <v>0</v>
      </c>
      <c r="K25" s="3"/>
      <c r="L25" s="3"/>
    </row>
    <row r="26" spans="1:12" x14ac:dyDescent="0.25">
      <c r="A26" s="3">
        <v>22</v>
      </c>
      <c r="B26" s="3" t="s">
        <v>204</v>
      </c>
      <c r="C26" s="3">
        <v>10000</v>
      </c>
      <c r="D26" s="3">
        <v>200</v>
      </c>
      <c r="E26" s="3"/>
      <c r="F26" s="3"/>
      <c r="G26" s="3">
        <v>10000</v>
      </c>
      <c r="H26" s="3">
        <f>C26+F26+G26</f>
        <v>20000</v>
      </c>
      <c r="I26" s="3">
        <v>20000</v>
      </c>
      <c r="J26" s="3">
        <f>H26-I26</f>
        <v>0</v>
      </c>
      <c r="K26" s="3">
        <v>1500</v>
      </c>
      <c r="L26" s="3">
        <v>600</v>
      </c>
    </row>
    <row r="27" spans="1:12" x14ac:dyDescent="0.25">
      <c r="A27" s="2"/>
      <c r="B27" s="2" t="s">
        <v>33</v>
      </c>
      <c r="C27" s="2">
        <f t="shared" ref="C27:L27" si="2">SUM(C5:C26)</f>
        <v>32000</v>
      </c>
      <c r="D27" s="2">
        <f t="shared" si="2"/>
        <v>2800</v>
      </c>
      <c r="E27" s="2">
        <f>SUM(E5:E26)</f>
        <v>7875</v>
      </c>
      <c r="F27" s="3">
        <f>SUM(F5:F26)</f>
        <v>3000</v>
      </c>
      <c r="G27" s="2">
        <f t="shared" si="2"/>
        <v>210700</v>
      </c>
      <c r="H27" s="2">
        <f>SUM(H5:H26)</f>
        <v>245700</v>
      </c>
      <c r="I27" s="2">
        <f t="shared" si="2"/>
        <v>242700</v>
      </c>
      <c r="J27" s="2">
        <f>SUM(J5:J26)</f>
        <v>3000</v>
      </c>
      <c r="K27" s="2">
        <f t="shared" si="2"/>
        <v>4500</v>
      </c>
      <c r="L27" s="2">
        <f t="shared" si="2"/>
        <v>9000</v>
      </c>
    </row>
    <row r="28" spans="1:12" x14ac:dyDescent="0.25">
      <c r="A28" s="7"/>
      <c r="B28" s="7"/>
      <c r="C28" s="7"/>
      <c r="D28" s="7"/>
      <c r="E28" s="7"/>
      <c r="F28" s="7"/>
      <c r="G28" s="40"/>
      <c r="H28" s="30"/>
      <c r="I28" s="30"/>
      <c r="J28" s="7"/>
    </row>
    <row r="29" spans="1:12" x14ac:dyDescent="0.25">
      <c r="B29" s="31" t="s">
        <v>23</v>
      </c>
      <c r="C29" s="32"/>
      <c r="D29" s="6"/>
      <c r="E29" s="33"/>
      <c r="F29" s="40"/>
      <c r="G29" s="30"/>
      <c r="H29" s="30"/>
      <c r="I29" s="30"/>
    </row>
    <row r="30" spans="1:12" x14ac:dyDescent="0.25">
      <c r="B30" s="35" t="s">
        <v>24</v>
      </c>
      <c r="C30" s="35"/>
      <c r="D30" s="35"/>
      <c r="E30" s="36"/>
      <c r="F30" s="40"/>
      <c r="G30" s="44"/>
      <c r="H30" s="30"/>
      <c r="I30" s="31"/>
    </row>
    <row r="31" spans="1:12" x14ac:dyDescent="0.25">
      <c r="B31" s="37" t="s">
        <v>25</v>
      </c>
      <c r="C31" s="37" t="s">
        <v>26</v>
      </c>
      <c r="D31" s="37" t="s">
        <v>27</v>
      </c>
      <c r="E31" s="37" t="s">
        <v>28</v>
      </c>
      <c r="F31" s="37" t="s">
        <v>25</v>
      </c>
      <c r="G31" s="47" t="s">
        <v>199</v>
      </c>
      <c r="H31" s="37" t="s">
        <v>27</v>
      </c>
      <c r="I31" s="37" t="s">
        <v>28</v>
      </c>
    </row>
    <row r="32" spans="1:12" x14ac:dyDescent="0.25">
      <c r="B32" s="30" t="s">
        <v>127</v>
      </c>
      <c r="C32" s="38">
        <f>C27+G27</f>
        <v>242700</v>
      </c>
      <c r="D32" s="30"/>
      <c r="E32" s="30"/>
      <c r="F32" s="30" t="s">
        <v>127</v>
      </c>
      <c r="G32" s="38">
        <f>I27</f>
        <v>242700</v>
      </c>
      <c r="H32" s="30"/>
      <c r="I32" s="30"/>
    </row>
    <row r="33" spans="2:13" x14ac:dyDescent="0.25">
      <c r="B33" s="30" t="s">
        <v>5</v>
      </c>
      <c r="C33" s="38">
        <f>'MARCH 20'!E44</f>
        <v>-8330</v>
      </c>
      <c r="D33" s="30"/>
      <c r="E33" s="30"/>
      <c r="F33" s="30" t="s">
        <v>5</v>
      </c>
      <c r="G33" s="38">
        <f>'MARCH 20'!I44</f>
        <v>-11330</v>
      </c>
      <c r="H33" s="30"/>
      <c r="I33" s="30"/>
    </row>
    <row r="34" spans="2:13" x14ac:dyDescent="0.25">
      <c r="B34" s="30" t="s">
        <v>35</v>
      </c>
      <c r="C34" s="38">
        <f>E27</f>
        <v>7875</v>
      </c>
      <c r="D34" s="30"/>
      <c r="E34" s="30"/>
      <c r="F34" s="30" t="s">
        <v>35</v>
      </c>
      <c r="G34" s="38">
        <f>E27</f>
        <v>7875</v>
      </c>
      <c r="H34" s="30"/>
      <c r="I34" s="30"/>
    </row>
    <row r="35" spans="2:13" x14ac:dyDescent="0.25">
      <c r="B35" s="30" t="s">
        <v>86</v>
      </c>
      <c r="C35" s="38">
        <f>K27</f>
        <v>4500</v>
      </c>
      <c r="D35" s="30"/>
      <c r="E35" s="30"/>
      <c r="F35" s="30" t="s">
        <v>86</v>
      </c>
      <c r="G35" s="38">
        <f>C35</f>
        <v>4500</v>
      </c>
      <c r="H35" s="30"/>
      <c r="I35" s="30"/>
      <c r="K35" s="24">
        <f>G32+G34+G35+G36</f>
        <v>264075</v>
      </c>
      <c r="M35" s="24"/>
    </row>
    <row r="36" spans="2:13" x14ac:dyDescent="0.25">
      <c r="B36" s="30" t="s">
        <v>88</v>
      </c>
      <c r="C36" s="38">
        <f>L27</f>
        <v>9000</v>
      </c>
      <c r="D36" s="30"/>
      <c r="E36" s="30"/>
      <c r="F36" s="30" t="s">
        <v>88</v>
      </c>
      <c r="G36" s="38">
        <f>L27</f>
        <v>9000</v>
      </c>
      <c r="H36" s="30"/>
      <c r="I36" s="30"/>
      <c r="M36" s="24"/>
    </row>
    <row r="37" spans="2:13" x14ac:dyDescent="0.25">
      <c r="B37" s="30" t="s">
        <v>30</v>
      </c>
      <c r="C37" s="39">
        <v>0.06</v>
      </c>
      <c r="D37" s="38">
        <f>C37*C32</f>
        <v>14562</v>
      </c>
      <c r="E37" s="30"/>
      <c r="F37" s="30" t="s">
        <v>30</v>
      </c>
      <c r="G37" s="39">
        <v>0.06</v>
      </c>
      <c r="H37" s="38">
        <f>D37</f>
        <v>14562</v>
      </c>
      <c r="I37" s="30"/>
      <c r="L37" s="24"/>
      <c r="M37" s="24"/>
    </row>
    <row r="38" spans="2:13" x14ac:dyDescent="0.25">
      <c r="B38" s="37" t="s">
        <v>31</v>
      </c>
      <c r="C38" s="30" t="s">
        <v>32</v>
      </c>
      <c r="D38" s="30"/>
      <c r="E38" s="30"/>
      <c r="F38" s="37" t="s">
        <v>31</v>
      </c>
      <c r="G38" s="38"/>
      <c r="H38" s="30"/>
      <c r="I38" s="30"/>
    </row>
    <row r="39" spans="2:13" x14ac:dyDescent="0.25">
      <c r="B39" s="40" t="s">
        <v>88</v>
      </c>
      <c r="C39" s="30"/>
      <c r="D39">
        <v>10000</v>
      </c>
      <c r="E39" s="30"/>
      <c r="F39" s="40" t="s">
        <v>88</v>
      </c>
      <c r="G39" s="30"/>
      <c r="H39">
        <v>10000</v>
      </c>
      <c r="I39" s="30"/>
    </row>
    <row r="40" spans="2:13" x14ac:dyDescent="0.25">
      <c r="B40" s="46" t="s">
        <v>206</v>
      </c>
      <c r="D40" s="30">
        <v>212000</v>
      </c>
      <c r="E40" s="30"/>
      <c r="F40" s="46" t="s">
        <v>206</v>
      </c>
      <c r="H40" s="30">
        <v>212000</v>
      </c>
      <c r="I40" s="30"/>
      <c r="M40" s="24"/>
    </row>
    <row r="41" spans="2:13" x14ac:dyDescent="0.25">
      <c r="B41" s="3"/>
      <c r="C41" s="40"/>
      <c r="D41" s="45"/>
      <c r="E41" s="3"/>
      <c r="F41" s="3"/>
      <c r="G41" s="45"/>
      <c r="H41" s="3"/>
      <c r="I41" s="30"/>
      <c r="M41" s="24"/>
    </row>
    <row r="42" spans="2:13" x14ac:dyDescent="0.25">
      <c r="B42" s="3" t="s">
        <v>209</v>
      </c>
      <c r="C42" s="30"/>
      <c r="D42" s="30">
        <v>9000</v>
      </c>
      <c r="E42" s="30"/>
      <c r="F42" s="3" t="s">
        <v>209</v>
      </c>
      <c r="G42" s="30"/>
      <c r="H42" s="30">
        <v>9000</v>
      </c>
      <c r="I42" s="30"/>
      <c r="J42" s="24"/>
      <c r="M42" s="24"/>
    </row>
    <row r="43" spans="2:13" x14ac:dyDescent="0.25">
      <c r="B43" s="40"/>
      <c r="C43" s="30"/>
      <c r="D43" s="30"/>
      <c r="E43" s="30"/>
      <c r="F43" s="40"/>
      <c r="G43" s="30"/>
      <c r="H43" s="30"/>
      <c r="I43" s="30"/>
      <c r="M43" s="24"/>
    </row>
    <row r="44" spans="2:13" x14ac:dyDescent="0.25">
      <c r="B44" s="40"/>
      <c r="C44" s="44"/>
      <c r="D44" s="30"/>
      <c r="E44" s="30"/>
      <c r="F44" s="40"/>
      <c r="G44" s="44"/>
      <c r="H44" s="30"/>
      <c r="I44" s="30"/>
      <c r="M44" s="24"/>
    </row>
    <row r="45" spans="2:13" x14ac:dyDescent="0.25">
      <c r="B45" s="41"/>
      <c r="C45" s="30"/>
      <c r="D45" s="30"/>
      <c r="E45" s="30"/>
      <c r="F45" s="41"/>
      <c r="G45" s="30"/>
      <c r="H45" s="30"/>
      <c r="I45" s="30"/>
      <c r="L45" s="24"/>
    </row>
    <row r="46" spans="2:13" x14ac:dyDescent="0.25">
      <c r="B46" s="37" t="s">
        <v>33</v>
      </c>
      <c r="C46" s="42">
        <f>C32+C33+C34+C35+C36-D37</f>
        <v>241183</v>
      </c>
      <c r="D46" s="42">
        <f>SUM(D39:D45)</f>
        <v>231000</v>
      </c>
      <c r="E46" s="42">
        <f>C46-D46</f>
        <v>10183</v>
      </c>
      <c r="F46" s="37" t="s">
        <v>33</v>
      </c>
      <c r="G46" s="42">
        <f>G32+G33+G34+G35+G36-H37</f>
        <v>238183</v>
      </c>
      <c r="H46" s="42">
        <f>SUM(H39:H45)</f>
        <v>231000</v>
      </c>
      <c r="I46" s="42">
        <f>G46-H46</f>
        <v>7183</v>
      </c>
    </row>
    <row r="47" spans="2:13" x14ac:dyDescent="0.25">
      <c r="B47" t="s">
        <v>37</v>
      </c>
      <c r="D47" t="s">
        <v>39</v>
      </c>
      <c r="G47" t="s">
        <v>41</v>
      </c>
    </row>
    <row r="49" spans="2:11" x14ac:dyDescent="0.25">
      <c r="B49" t="s">
        <v>137</v>
      </c>
      <c r="D49" t="s">
        <v>40</v>
      </c>
      <c r="G49" t="s">
        <v>42</v>
      </c>
    </row>
    <row r="50" spans="2:11" x14ac:dyDescent="0.25">
      <c r="C50" s="1"/>
      <c r="D50" s="1"/>
      <c r="E50" s="1"/>
      <c r="F50" s="22"/>
      <c r="G50" s="1"/>
      <c r="H50" s="1"/>
      <c r="K50" s="2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4" workbookViewId="0">
      <selection activeCell="D14" sqref="D14"/>
    </sheetView>
  </sheetViews>
  <sheetFormatPr defaultRowHeight="15" x14ac:dyDescent="0.25"/>
  <cols>
    <col min="1" max="1" width="4.28515625" customWidth="1"/>
    <col min="2" max="2" width="20.5703125" customWidth="1"/>
    <col min="5" max="5" width="7.5703125" customWidth="1"/>
    <col min="6" max="6" width="7" customWidth="1"/>
    <col min="7" max="7" width="7.7109375" customWidth="1"/>
    <col min="8" max="8" width="10.28515625" customWidth="1"/>
    <col min="9" max="9" width="6.85546875" customWidth="1"/>
    <col min="10" max="10" width="8.7109375" customWidth="1"/>
  </cols>
  <sheetData>
    <row r="1" spans="1:12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208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>
        <f>'APRIL 20'!J5:J26</f>
        <v>0</v>
      </c>
      <c r="G5" s="3">
        <v>12000</v>
      </c>
      <c r="H5" s="3">
        <f>C5+F5+G5</f>
        <v>12000</v>
      </c>
      <c r="I5" s="3"/>
      <c r="J5" s="3">
        <f>H5-I5</f>
        <v>12000</v>
      </c>
      <c r="K5" s="3"/>
      <c r="L5" s="3"/>
    </row>
    <row r="6" spans="1:12" x14ac:dyDescent="0.25">
      <c r="A6" s="3">
        <v>2</v>
      </c>
      <c r="B6" t="s">
        <v>69</v>
      </c>
      <c r="C6" s="3"/>
      <c r="D6" s="3">
        <v>200</v>
      </c>
      <c r="E6" s="3">
        <v>600</v>
      </c>
      <c r="F6" s="3">
        <f>'APRIL 20'!J6:J27</f>
        <v>0</v>
      </c>
      <c r="G6" s="3">
        <v>10000</v>
      </c>
      <c r="H6" s="3">
        <f t="shared" ref="H6:H23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187</v>
      </c>
      <c r="C7" s="3"/>
      <c r="D7" s="3">
        <v>200</v>
      </c>
      <c r="E7" s="3">
        <v>1800</v>
      </c>
      <c r="F7" s="3">
        <f>'APRIL 20'!J7:J28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900</v>
      </c>
      <c r="F8" s="3">
        <f>'APRIL 20'!J8:J29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200</v>
      </c>
      <c r="C9" s="3"/>
      <c r="D9" s="3">
        <v>200</v>
      </c>
      <c r="E9" s="3">
        <v>600</v>
      </c>
      <c r="F9" s="3">
        <f>'APRIL 20'!J9:J30</f>
        <v>0</v>
      </c>
      <c r="G9" s="3">
        <v>10000</v>
      </c>
      <c r="H9" s="3">
        <f t="shared" si="0"/>
        <v>10000</v>
      </c>
      <c r="I9" s="3">
        <v>10000</v>
      </c>
      <c r="J9" s="3">
        <f t="shared" si="1"/>
        <v>0</v>
      </c>
      <c r="K9" s="3"/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300</v>
      </c>
      <c r="F10" s="3">
        <f>'APRIL 20'!J10:J31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900</v>
      </c>
      <c r="F11" s="3">
        <f>'APRIL 20'!J11:J32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/>
      <c r="E12" s="30"/>
      <c r="F12" s="3">
        <f>'APRIL 20'!J12:J33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/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>
        <f>'APRIL 20'!J13:J34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>
        <v>350</v>
      </c>
      <c r="E14" s="30">
        <v>450</v>
      </c>
      <c r="F14" s="3">
        <f>'APRIL 20'!J14:J35</f>
        <v>0</v>
      </c>
      <c r="G14" s="3">
        <v>10000</v>
      </c>
      <c r="H14" s="3">
        <f>C14+F14+G14</f>
        <v>10000</v>
      </c>
      <c r="I14" s="3">
        <v>10000</v>
      </c>
      <c r="J14" s="3">
        <f>H14-I14</f>
        <v>0</v>
      </c>
      <c r="K14" s="3"/>
      <c r="L14" s="3">
        <v>1200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750</v>
      </c>
      <c r="F15" s="3">
        <f>'APRIL 20'!J15:J36</f>
        <v>0</v>
      </c>
      <c r="G15" s="3">
        <v>12000</v>
      </c>
      <c r="H15" s="3">
        <f>C15+F15+G15</f>
        <v>12000</v>
      </c>
      <c r="I15" s="3"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/>
      <c r="F16" s="3">
        <f>'APRIL 20'!J16:J37</f>
        <v>0</v>
      </c>
      <c r="G16" s="3">
        <v>10000</v>
      </c>
      <c r="H16" s="3">
        <f t="shared" si="0"/>
        <v>10000</v>
      </c>
      <c r="I16" s="3">
        <f>6000</f>
        <v>6000</v>
      </c>
      <c r="J16" s="3">
        <f>H16-I16</f>
        <v>4000</v>
      </c>
      <c r="K16" s="3"/>
      <c r="L16" s="3"/>
    </row>
    <row r="17" spans="1:13" x14ac:dyDescent="0.25">
      <c r="A17" s="3">
        <v>13</v>
      </c>
      <c r="B17" s="12" t="s">
        <v>192</v>
      </c>
      <c r="C17" s="3"/>
      <c r="D17" s="3"/>
      <c r="E17" s="30"/>
      <c r="F17" s="3">
        <f>'APRIL 20'!J17:J38</f>
        <v>0</v>
      </c>
      <c r="G17" s="3">
        <v>3000</v>
      </c>
      <c r="H17" s="3">
        <f t="shared" si="0"/>
        <v>3000</v>
      </c>
      <c r="I17" s="3">
        <v>3000</v>
      </c>
      <c r="J17" s="3">
        <f>H17-I17</f>
        <v>0</v>
      </c>
      <c r="K17" s="3"/>
      <c r="L17" s="3"/>
    </row>
    <row r="18" spans="1:13" x14ac:dyDescent="0.25">
      <c r="A18" s="3">
        <v>14</v>
      </c>
      <c r="B18" s="12" t="s">
        <v>70</v>
      </c>
      <c r="C18" s="3"/>
      <c r="D18" s="43"/>
      <c r="E18" s="3"/>
      <c r="F18" s="3">
        <f>'APRIL 20'!J18:J39</f>
        <v>3000</v>
      </c>
      <c r="G18" s="3">
        <v>10000</v>
      </c>
      <c r="H18" s="3">
        <f t="shared" si="0"/>
        <v>13000</v>
      </c>
      <c r="I18" s="3">
        <v>13000</v>
      </c>
      <c r="J18" s="3">
        <f>H18-I18</f>
        <v>0</v>
      </c>
      <c r="K18" s="3"/>
      <c r="L18" s="3"/>
    </row>
    <row r="19" spans="1:13" x14ac:dyDescent="0.25">
      <c r="A19" s="3">
        <v>15</v>
      </c>
      <c r="B19" s="3" t="s">
        <v>158</v>
      </c>
      <c r="C19" s="3"/>
      <c r="D19" s="3"/>
      <c r="E19" s="3"/>
      <c r="F19" s="3">
        <f>'APRIL 20'!J19:J40</f>
        <v>0</v>
      </c>
      <c r="G19" s="3">
        <v>10000</v>
      </c>
      <c r="H19" s="3">
        <f>C19+F19+G19</f>
        <v>10000</v>
      </c>
      <c r="I19" s="3">
        <f>5300+4700</f>
        <v>10000</v>
      </c>
      <c r="J19" s="3">
        <f t="shared" si="1"/>
        <v>0</v>
      </c>
      <c r="K19" s="3"/>
      <c r="L19" s="3">
        <v>600</v>
      </c>
    </row>
    <row r="20" spans="1:13" x14ac:dyDescent="0.25">
      <c r="A20" s="3">
        <v>16</v>
      </c>
      <c r="B20" s="3" t="s">
        <v>12</v>
      </c>
      <c r="C20" s="3"/>
      <c r="D20" s="3">
        <v>200</v>
      </c>
      <c r="E20" s="3">
        <v>1200</v>
      </c>
      <c r="F20" s="3">
        <f>'APRIL 20'!J20:J41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3" x14ac:dyDescent="0.25">
      <c r="A21" s="3">
        <v>17</v>
      </c>
      <c r="B21" s="3" t="s">
        <v>197</v>
      </c>
      <c r="C21" s="3"/>
      <c r="D21" s="3"/>
      <c r="E21" s="3"/>
      <c r="F21" s="3">
        <f>'APRIL 20'!J21:J42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/>
      <c r="M21" t="s">
        <v>60</v>
      </c>
    </row>
    <row r="22" spans="1:13" x14ac:dyDescent="0.25">
      <c r="A22" s="3">
        <v>18</v>
      </c>
      <c r="B22" s="3" t="s">
        <v>103</v>
      </c>
      <c r="C22" s="3"/>
      <c r="D22" s="3">
        <v>400</v>
      </c>
      <c r="E22" s="3">
        <v>600</v>
      </c>
      <c r="F22" s="3">
        <f>'APRIL 20'!J22:J43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v>1200</v>
      </c>
    </row>
    <row r="23" spans="1:13" x14ac:dyDescent="0.25">
      <c r="A23" s="3">
        <v>19</v>
      </c>
      <c r="B23" s="3" t="s">
        <v>112</v>
      </c>
      <c r="C23" s="3"/>
      <c r="D23" s="3"/>
      <c r="E23" s="30">
        <v>1200</v>
      </c>
      <c r="F23" s="3">
        <f>'APRIL 20'!J23:J44</f>
        <v>0</v>
      </c>
      <c r="G23" s="3">
        <v>10000</v>
      </c>
      <c r="H23" s="3">
        <f t="shared" si="0"/>
        <v>10000</v>
      </c>
      <c r="I23" s="3">
        <f>4300+5700</f>
        <v>10000</v>
      </c>
      <c r="J23" s="3">
        <f>H23-I23</f>
        <v>0</v>
      </c>
      <c r="K23" s="3"/>
      <c r="L23" s="3"/>
    </row>
    <row r="24" spans="1:13" x14ac:dyDescent="0.25">
      <c r="A24" s="3">
        <v>20</v>
      </c>
      <c r="B24" s="3" t="s">
        <v>55</v>
      </c>
      <c r="C24" s="3"/>
      <c r="D24" s="3">
        <v>200</v>
      </c>
      <c r="E24" s="30">
        <v>450</v>
      </c>
      <c r="F24" s="3">
        <f>'APRIL 20'!J24:J45</f>
        <v>0</v>
      </c>
      <c r="G24" s="3">
        <v>10000</v>
      </c>
      <c r="H24" s="3">
        <f t="shared" ref="H24:H29" si="2">C24+F24+G24</f>
        <v>10000</v>
      </c>
      <c r="I24" s="3">
        <v>10000</v>
      </c>
      <c r="J24" s="3">
        <f t="shared" ref="J24:J29" si="3">H24-I24</f>
        <v>0</v>
      </c>
      <c r="K24" s="3"/>
      <c r="L24" s="3">
        <v>600</v>
      </c>
    </row>
    <row r="25" spans="1:13" x14ac:dyDescent="0.25">
      <c r="A25" s="3">
        <v>21</v>
      </c>
      <c r="B25" s="3" t="s">
        <v>202</v>
      </c>
      <c r="C25" s="3"/>
      <c r="D25" s="3">
        <v>200</v>
      </c>
      <c r="E25" s="30"/>
      <c r="F25" s="3">
        <f>'APRIL 20'!J25:J46</f>
        <v>0</v>
      </c>
      <c r="G25" s="3">
        <v>12000</v>
      </c>
      <c r="H25" s="3">
        <f t="shared" si="2"/>
        <v>12000</v>
      </c>
      <c r="I25" s="3">
        <v>12000</v>
      </c>
      <c r="J25" s="3">
        <f t="shared" si="3"/>
        <v>0</v>
      </c>
      <c r="K25" s="3">
        <v>1500</v>
      </c>
      <c r="L25" s="3">
        <v>600</v>
      </c>
    </row>
    <row r="26" spans="1:13" x14ac:dyDescent="0.25">
      <c r="A26" s="3">
        <v>22</v>
      </c>
      <c r="B26" s="3" t="s">
        <v>207</v>
      </c>
      <c r="C26" s="3">
        <v>10000</v>
      </c>
      <c r="D26" s="3">
        <v>200</v>
      </c>
      <c r="E26" s="3"/>
      <c r="F26" s="3">
        <f>'APRIL 20'!J23:J44</f>
        <v>0</v>
      </c>
      <c r="G26" s="3">
        <v>10000</v>
      </c>
      <c r="H26" s="3">
        <f t="shared" si="2"/>
        <v>20000</v>
      </c>
      <c r="I26" s="3">
        <v>20000</v>
      </c>
      <c r="J26" s="3">
        <f t="shared" si="3"/>
        <v>0</v>
      </c>
      <c r="K26" s="3">
        <v>1500</v>
      </c>
      <c r="L26" s="3">
        <v>600</v>
      </c>
    </row>
    <row r="27" spans="1:13" x14ac:dyDescent="0.25">
      <c r="A27" s="3">
        <v>23</v>
      </c>
      <c r="B27" s="3" t="s">
        <v>204</v>
      </c>
      <c r="C27" s="3"/>
      <c r="D27" s="3">
        <v>200</v>
      </c>
      <c r="E27" s="30">
        <v>300</v>
      </c>
      <c r="F27" s="3"/>
      <c r="G27" s="3">
        <v>10000</v>
      </c>
      <c r="H27" s="3">
        <f t="shared" si="2"/>
        <v>10000</v>
      </c>
      <c r="I27" s="3">
        <v>10000</v>
      </c>
      <c r="J27" s="3">
        <f t="shared" si="3"/>
        <v>0</v>
      </c>
      <c r="K27" s="3"/>
      <c r="L27" s="3">
        <v>600</v>
      </c>
    </row>
    <row r="28" spans="1:13" x14ac:dyDescent="0.25">
      <c r="A28" s="3">
        <v>24</v>
      </c>
      <c r="B28" s="3"/>
      <c r="C28" s="3"/>
      <c r="D28" s="3"/>
      <c r="E28" s="30"/>
      <c r="F28" s="3"/>
      <c r="G28" s="3"/>
      <c r="H28" s="3">
        <f t="shared" si="2"/>
        <v>0</v>
      </c>
      <c r="I28" s="3"/>
      <c r="J28" s="3">
        <f t="shared" si="3"/>
        <v>0</v>
      </c>
      <c r="K28" s="3"/>
      <c r="L28" s="3"/>
    </row>
    <row r="29" spans="1:13" x14ac:dyDescent="0.25">
      <c r="A29" s="3">
        <v>25</v>
      </c>
      <c r="B29" s="3"/>
      <c r="C29" s="3"/>
      <c r="D29" s="3"/>
      <c r="E29" s="3"/>
      <c r="F29" s="3">
        <f>'APRIL 20'!J26:J47</f>
        <v>0</v>
      </c>
      <c r="G29" s="3"/>
      <c r="H29" s="3">
        <f t="shared" si="2"/>
        <v>0</v>
      </c>
      <c r="I29" s="3"/>
      <c r="J29" s="3">
        <f t="shared" si="3"/>
        <v>0</v>
      </c>
      <c r="K29" s="3"/>
      <c r="L29" s="3"/>
    </row>
    <row r="30" spans="1:13" x14ac:dyDescent="0.25">
      <c r="A30" s="2"/>
      <c r="B30" s="2" t="s">
        <v>33</v>
      </c>
      <c r="C30" s="2">
        <f t="shared" ref="C30:L30" si="4">SUM(C5:C29)</f>
        <v>10000</v>
      </c>
      <c r="D30" s="2">
        <f t="shared" si="4"/>
        <v>3550</v>
      </c>
      <c r="E30" s="2">
        <f>SUM(E5:E29)</f>
        <v>10350</v>
      </c>
      <c r="F30" s="3">
        <f>SUM(F5:F29)</f>
        <v>3000</v>
      </c>
      <c r="G30" s="2">
        <f t="shared" si="4"/>
        <v>233000</v>
      </c>
      <c r="H30" s="2">
        <f>SUM(H5:H29)</f>
        <v>246000</v>
      </c>
      <c r="I30" s="2">
        <f t="shared" si="4"/>
        <v>230000</v>
      </c>
      <c r="J30" s="2">
        <f>SUM(J5:J29)</f>
        <v>16000</v>
      </c>
      <c r="K30" s="2">
        <f t="shared" si="4"/>
        <v>3000</v>
      </c>
      <c r="L30" s="2">
        <f t="shared" si="4"/>
        <v>10800</v>
      </c>
    </row>
    <row r="31" spans="1:13" x14ac:dyDescent="0.25">
      <c r="A31" s="7"/>
      <c r="B31" s="7"/>
      <c r="C31" s="7"/>
      <c r="D31" s="7"/>
      <c r="E31" s="7"/>
      <c r="F31" s="7"/>
      <c r="G31" s="40"/>
      <c r="H31" s="30"/>
      <c r="I31" s="30"/>
      <c r="J31" s="7"/>
    </row>
    <row r="32" spans="1:13" x14ac:dyDescent="0.25">
      <c r="B32" s="31" t="s">
        <v>23</v>
      </c>
      <c r="C32" s="32"/>
      <c r="D32" s="6"/>
      <c r="E32" s="33"/>
      <c r="F32" s="40"/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134</v>
      </c>
      <c r="C35" s="38">
        <f>C30+G30</f>
        <v>243000</v>
      </c>
      <c r="D35" s="30"/>
      <c r="E35" s="30"/>
      <c r="F35" s="30" t="s">
        <v>134</v>
      </c>
      <c r="G35" s="38">
        <f>I30</f>
        <v>230000</v>
      </c>
      <c r="H35" s="30"/>
      <c r="I35" s="30"/>
    </row>
    <row r="36" spans="2:13" x14ac:dyDescent="0.25">
      <c r="B36" s="30" t="s">
        <v>5</v>
      </c>
      <c r="C36" s="38">
        <f>'APRIL 20'!E46</f>
        <v>10183</v>
      </c>
      <c r="D36" s="30"/>
      <c r="E36" s="30"/>
      <c r="F36" s="30" t="s">
        <v>5</v>
      </c>
      <c r="G36" s="38">
        <f>'APRIL 20'!I46</f>
        <v>7183</v>
      </c>
      <c r="H36" s="30"/>
      <c r="I36" s="30"/>
    </row>
    <row r="37" spans="2:13" x14ac:dyDescent="0.25">
      <c r="B37" s="30" t="s">
        <v>35</v>
      </c>
      <c r="C37" s="38">
        <f>E30</f>
        <v>10350</v>
      </c>
      <c r="D37" s="30"/>
      <c r="E37" s="30"/>
      <c r="F37" s="30" t="s">
        <v>35</v>
      </c>
      <c r="G37" s="38">
        <f>E30</f>
        <v>10350</v>
      </c>
      <c r="H37" s="30"/>
      <c r="I37" s="30"/>
    </row>
    <row r="38" spans="2:13" x14ac:dyDescent="0.25">
      <c r="B38" s="30" t="s">
        <v>86</v>
      </c>
      <c r="C38" s="38">
        <f>K30</f>
        <v>3000</v>
      </c>
      <c r="D38" s="30"/>
      <c r="E38" s="30"/>
      <c r="F38" s="30" t="s">
        <v>86</v>
      </c>
      <c r="G38" s="38">
        <f>C38</f>
        <v>3000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10800</v>
      </c>
      <c r="D39" s="30"/>
      <c r="E39" s="30"/>
      <c r="F39" s="30" t="s">
        <v>88</v>
      </c>
      <c r="G39" s="38">
        <f>L30</f>
        <v>10800</v>
      </c>
      <c r="H39" s="30"/>
      <c r="I39" s="30"/>
      <c r="M39" s="24"/>
    </row>
    <row r="40" spans="2:13" x14ac:dyDescent="0.25">
      <c r="B40" s="30" t="s">
        <v>30</v>
      </c>
      <c r="C40" s="39">
        <v>0.06</v>
      </c>
      <c r="D40" s="38">
        <f>C40*C35</f>
        <v>14580</v>
      </c>
      <c r="E40" s="30"/>
      <c r="F40" s="30" t="s">
        <v>30</v>
      </c>
      <c r="G40" s="39">
        <v>0.06</v>
      </c>
      <c r="H40" s="38">
        <f>G40*C35</f>
        <v>14580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210</v>
      </c>
      <c r="D43" s="30">
        <v>178250</v>
      </c>
      <c r="E43" s="30"/>
      <c r="F43" s="46" t="s">
        <v>210</v>
      </c>
      <c r="H43" s="30">
        <v>178250</v>
      </c>
      <c r="I43" s="30"/>
      <c r="M43" s="24"/>
    </row>
    <row r="44" spans="2:13" x14ac:dyDescent="0.25">
      <c r="B44" s="3"/>
      <c r="C44" s="40"/>
      <c r="D44" s="45"/>
      <c r="E44" s="3"/>
      <c r="F44" s="3"/>
      <c r="G44" s="45"/>
      <c r="H44" s="3"/>
      <c r="I44" s="30"/>
      <c r="M44" s="24"/>
    </row>
    <row r="45" spans="2:13" x14ac:dyDescent="0.25">
      <c r="B45" s="3" t="s">
        <v>211</v>
      </c>
      <c r="C45" s="30"/>
      <c r="D45" s="30">
        <v>10900</v>
      </c>
      <c r="E45" s="30"/>
      <c r="F45" s="3" t="s">
        <v>211</v>
      </c>
      <c r="G45" s="30"/>
      <c r="H45" s="30">
        <v>10900</v>
      </c>
      <c r="I45" s="30"/>
      <c r="J45" s="24"/>
      <c r="M45" s="24"/>
    </row>
    <row r="46" spans="2:13" x14ac:dyDescent="0.25">
      <c r="B46" s="40" t="s">
        <v>212</v>
      </c>
      <c r="C46" s="30"/>
      <c r="D46" s="30">
        <v>16000</v>
      </c>
      <c r="E46" s="30"/>
      <c r="F46" s="40" t="s">
        <v>212</v>
      </c>
      <c r="G46" s="30"/>
      <c r="H46" s="30">
        <v>16000</v>
      </c>
      <c r="I46" s="30"/>
      <c r="M46" s="24"/>
    </row>
    <row r="47" spans="2:13" x14ac:dyDescent="0.25">
      <c r="B47" s="40" t="s">
        <v>197</v>
      </c>
      <c r="C47" s="44"/>
      <c r="D47" s="30">
        <v>10000</v>
      </c>
      <c r="E47" s="30"/>
      <c r="F47" s="40" t="s">
        <v>197</v>
      </c>
      <c r="G47" s="44"/>
      <c r="H47" s="30">
        <v>10000</v>
      </c>
      <c r="I47" s="30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262753</v>
      </c>
      <c r="D49" s="42">
        <f>SUM(D42:D48)</f>
        <v>225150</v>
      </c>
      <c r="E49" s="42">
        <f>C49-D49</f>
        <v>37603</v>
      </c>
      <c r="F49" s="37" t="s">
        <v>33</v>
      </c>
      <c r="G49" s="42">
        <f>G35+G36+G37+G38+G39-H40</f>
        <v>246753</v>
      </c>
      <c r="H49" s="42">
        <f>SUM(H42:H48)</f>
        <v>225150</v>
      </c>
      <c r="I49" s="42">
        <f>G49-H49</f>
        <v>21603</v>
      </c>
    </row>
    <row r="50" spans="2:11" x14ac:dyDescent="0.25">
      <c r="B50" t="s">
        <v>37</v>
      </c>
      <c r="D50" t="s">
        <v>39</v>
      </c>
      <c r="G50" t="s">
        <v>41</v>
      </c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1"/>
      <c r="K53" s="24"/>
    </row>
  </sheetData>
  <pageMargins left="0" right="0" top="0" bottom="0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K38" sqref="K38"/>
    </sheetView>
  </sheetViews>
  <sheetFormatPr defaultRowHeight="15" x14ac:dyDescent="0.25"/>
  <cols>
    <col min="1" max="1" width="4.7109375" customWidth="1"/>
  </cols>
  <sheetData>
    <row r="1" spans="1:12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213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>
        <f>'MAY 20'!J5:J29</f>
        <v>12000</v>
      </c>
      <c r="G5" s="3">
        <v>12000</v>
      </c>
      <c r="H5" s="3">
        <f>C5+F5+G5</f>
        <v>24000</v>
      </c>
      <c r="I5" s="3">
        <v>24000</v>
      </c>
      <c r="J5" s="3">
        <f>H5-I5</f>
        <v>0</v>
      </c>
      <c r="K5" s="3"/>
      <c r="L5" s="3">
        <v>1200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'MAY 20'!J6:J30</f>
        <v>0</v>
      </c>
      <c r="G6" s="3">
        <v>10000</v>
      </c>
      <c r="H6" s="3">
        <f t="shared" ref="H6:H23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187</v>
      </c>
      <c r="C7" s="3"/>
      <c r="D7" s="3">
        <v>200</v>
      </c>
      <c r="E7" s="3">
        <v>900</v>
      </c>
      <c r="F7" s="3">
        <f>'MAY 20'!J7:J31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300</v>
      </c>
      <c r="F8" s="3">
        <f>'MAY 20'!J8:J32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200</v>
      </c>
      <c r="C9" s="3"/>
      <c r="D9" s="3">
        <v>200</v>
      </c>
      <c r="E9" s="3"/>
      <c r="F9" s="3">
        <f>'MAY 20'!J9:J33</f>
        <v>0</v>
      </c>
      <c r="G9" s="3">
        <v>10000</v>
      </c>
      <c r="H9" s="3">
        <f t="shared" si="0"/>
        <v>10000</v>
      </c>
      <c r="I9" s="3">
        <v>10000</v>
      </c>
      <c r="J9" s="3">
        <f t="shared" si="1"/>
        <v>0</v>
      </c>
      <c r="K9" s="3"/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>
        <f>'MAY 20'!J10:J34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/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150</v>
      </c>
      <c r="F11" s="3">
        <f>'MAY 20'!J11:J35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>
        <f>350</f>
        <v>350</v>
      </c>
      <c r="E12" s="30"/>
      <c r="F12" s="3">
        <f>'MAY 20'!J12:J36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f>1200</f>
        <v>1200</v>
      </c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>
        <f>'MAY 20'!J13:J37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>
        <v>200</v>
      </c>
      <c r="E14" s="30">
        <v>150</v>
      </c>
      <c r="F14" s="3">
        <f>'MAY 20'!J14:J38</f>
        <v>0</v>
      </c>
      <c r="G14" s="3">
        <v>10000</v>
      </c>
      <c r="H14" s="3">
        <f>C14+F14+G14</f>
        <v>10000</v>
      </c>
      <c r="I14" s="3">
        <v>10000</v>
      </c>
      <c r="J14" s="3">
        <f>H14-I14</f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600</v>
      </c>
      <c r="F15" s="3">
        <f>'MAY 20'!J15:J39</f>
        <v>0</v>
      </c>
      <c r="G15" s="3">
        <v>12000</v>
      </c>
      <c r="H15" s="3">
        <f>C15+F15+G15</f>
        <v>12000</v>
      </c>
      <c r="I15" s="3"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f>750+900</f>
        <v>1650</v>
      </c>
      <c r="F16" s="3">
        <f>'MAY 20'!J16:J40</f>
        <v>4000</v>
      </c>
      <c r="G16" s="3">
        <v>10000</v>
      </c>
      <c r="H16" s="3">
        <f t="shared" si="0"/>
        <v>14000</v>
      </c>
      <c r="I16" s="3">
        <f>10000+4000</f>
        <v>14000</v>
      </c>
      <c r="J16" s="3">
        <f>H16-I16</f>
        <v>0</v>
      </c>
      <c r="K16" s="3"/>
      <c r="L16" s="3">
        <f>600+600</f>
        <v>1200</v>
      </c>
    </row>
    <row r="17" spans="1:15" x14ac:dyDescent="0.25">
      <c r="A17" s="3">
        <v>13</v>
      </c>
      <c r="B17" s="12" t="s">
        <v>192</v>
      </c>
      <c r="C17" s="3"/>
      <c r="D17" s="3">
        <v>250</v>
      </c>
      <c r="E17" s="30"/>
      <c r="F17" s="3">
        <f>'MAY 20'!J17:J41</f>
        <v>0</v>
      </c>
      <c r="G17" s="3">
        <v>10000</v>
      </c>
      <c r="H17" s="3">
        <f t="shared" si="0"/>
        <v>10000</v>
      </c>
      <c r="I17" s="3">
        <v>10000</v>
      </c>
      <c r="J17" s="3">
        <f>H17-I17</f>
        <v>0</v>
      </c>
      <c r="K17" s="3"/>
      <c r="L17" s="3">
        <v>600</v>
      </c>
    </row>
    <row r="18" spans="1:15" x14ac:dyDescent="0.25">
      <c r="A18" s="3">
        <v>14</v>
      </c>
      <c r="B18" s="12" t="s">
        <v>70</v>
      </c>
      <c r="C18" s="3"/>
      <c r="D18" s="43">
        <f>200+400</f>
        <v>600</v>
      </c>
      <c r="E18" s="3">
        <v>600</v>
      </c>
      <c r="F18" s="3">
        <f>'MAY 20'!J18:J42</f>
        <v>0</v>
      </c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  <c r="O18">
        <f>20000+1500+850</f>
        <v>22350</v>
      </c>
    </row>
    <row r="19" spans="1:15" x14ac:dyDescent="0.25">
      <c r="A19" s="3">
        <v>15</v>
      </c>
      <c r="B19" s="3" t="s">
        <v>158</v>
      </c>
      <c r="C19" s="3"/>
      <c r="D19" s="3"/>
      <c r="E19" s="3"/>
      <c r="F19" s="3">
        <f>'MAY 20'!J19:J43</f>
        <v>0</v>
      </c>
      <c r="G19" s="3">
        <v>10000</v>
      </c>
      <c r="H19" s="3">
        <f>C19+F19+G19</f>
        <v>10000</v>
      </c>
      <c r="I19" s="3">
        <f>3300+5300+1400</f>
        <v>10000</v>
      </c>
      <c r="J19" s="3">
        <f t="shared" si="1"/>
        <v>0</v>
      </c>
      <c r="K19" s="3"/>
      <c r="L19" s="3">
        <v>600</v>
      </c>
    </row>
    <row r="20" spans="1:15" x14ac:dyDescent="0.25">
      <c r="A20" s="3">
        <v>16</v>
      </c>
      <c r="B20" s="3" t="s">
        <v>12</v>
      </c>
      <c r="C20" s="3"/>
      <c r="D20" s="3">
        <v>200</v>
      </c>
      <c r="E20" s="3">
        <v>900</v>
      </c>
      <c r="F20" s="3">
        <f>'MAY 20'!J20:J44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/>
    </row>
    <row r="21" spans="1:15" x14ac:dyDescent="0.25">
      <c r="A21" s="3">
        <v>17</v>
      </c>
      <c r="B21" s="3" t="s">
        <v>214</v>
      </c>
      <c r="C21" s="3"/>
      <c r="D21" s="3"/>
      <c r="E21" s="3"/>
      <c r="F21" s="3">
        <f>'MAY 20'!J21:J45</f>
        <v>0</v>
      </c>
      <c r="G21" s="3"/>
      <c r="H21" s="3">
        <f>C21+F21+G21</f>
        <v>0</v>
      </c>
      <c r="I21" s="3"/>
      <c r="J21" s="3">
        <f t="shared" si="1"/>
        <v>0</v>
      </c>
      <c r="K21" s="3"/>
      <c r="L21" s="3"/>
    </row>
    <row r="22" spans="1:15" x14ac:dyDescent="0.25">
      <c r="A22" s="3">
        <v>18</v>
      </c>
      <c r="B22" s="3" t="s">
        <v>103</v>
      </c>
      <c r="C22" s="3"/>
      <c r="D22" s="3">
        <v>200</v>
      </c>
      <c r="E22" s="3">
        <v>600</v>
      </c>
      <c r="F22" s="3">
        <f>'MAY 20'!J22:J46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v>600</v>
      </c>
    </row>
    <row r="23" spans="1:15" x14ac:dyDescent="0.25">
      <c r="A23" s="3">
        <v>19</v>
      </c>
      <c r="B23" s="3" t="s">
        <v>215</v>
      </c>
      <c r="C23" s="3"/>
      <c r="D23" s="3"/>
      <c r="E23" s="30"/>
      <c r="F23" s="3">
        <f>'MAY 20'!J23:J47</f>
        <v>0</v>
      </c>
      <c r="G23" s="3"/>
      <c r="H23" s="3">
        <f t="shared" si="0"/>
        <v>0</v>
      </c>
      <c r="I23" s="3"/>
      <c r="J23" s="3">
        <f>H23-I23</f>
        <v>0</v>
      </c>
      <c r="K23" s="3"/>
      <c r="L23" s="3"/>
    </row>
    <row r="24" spans="1:15" x14ac:dyDescent="0.25">
      <c r="A24" s="3">
        <v>20</v>
      </c>
      <c r="B24" s="3" t="s">
        <v>55</v>
      </c>
      <c r="C24" s="3"/>
      <c r="D24" s="3"/>
      <c r="E24" s="30"/>
      <c r="F24" s="3">
        <f>'MAY 20'!J24:J48</f>
        <v>0</v>
      </c>
      <c r="G24" s="3">
        <v>10000</v>
      </c>
      <c r="H24" s="3">
        <f t="shared" ref="H24:H29" si="2">C24+F24+G24</f>
        <v>10000</v>
      </c>
      <c r="I24" s="3">
        <v>10000</v>
      </c>
      <c r="J24" s="3">
        <f t="shared" ref="J24:J29" si="3">H24-I24</f>
        <v>0</v>
      </c>
      <c r="K24" s="3"/>
      <c r="L24" s="3"/>
    </row>
    <row r="25" spans="1:15" x14ac:dyDescent="0.25">
      <c r="A25" s="3">
        <v>21</v>
      </c>
      <c r="B25" s="3" t="s">
        <v>202</v>
      </c>
      <c r="C25" s="3"/>
      <c r="D25" s="3">
        <v>250</v>
      </c>
      <c r="E25" s="30"/>
      <c r="F25" s="3">
        <f>'MAY 20'!J25:J49</f>
        <v>0</v>
      </c>
      <c r="G25" s="3">
        <v>12000</v>
      </c>
      <c r="H25" s="3">
        <f t="shared" si="2"/>
        <v>12000</v>
      </c>
      <c r="I25" s="3">
        <v>12000</v>
      </c>
      <c r="J25" s="3">
        <f t="shared" si="3"/>
        <v>0</v>
      </c>
      <c r="K25" s="3"/>
      <c r="L25" s="3">
        <v>600</v>
      </c>
    </row>
    <row r="26" spans="1:15" x14ac:dyDescent="0.25">
      <c r="A26" s="3">
        <v>22</v>
      </c>
      <c r="B26" s="3" t="s">
        <v>207</v>
      </c>
      <c r="C26" s="3"/>
      <c r="D26" s="3">
        <v>250</v>
      </c>
      <c r="E26" s="3">
        <f>150+900</f>
        <v>1050</v>
      </c>
      <c r="F26" s="3">
        <f>'MAY 20'!J26:J50</f>
        <v>0</v>
      </c>
      <c r="G26" s="3">
        <v>10000</v>
      </c>
      <c r="H26" s="3">
        <f t="shared" si="2"/>
        <v>10000</v>
      </c>
      <c r="I26" s="3">
        <v>10000</v>
      </c>
      <c r="J26" s="3">
        <f t="shared" si="3"/>
        <v>0</v>
      </c>
      <c r="K26" s="3"/>
      <c r="L26" s="3">
        <v>600</v>
      </c>
    </row>
    <row r="27" spans="1:15" x14ac:dyDescent="0.25">
      <c r="A27" s="3">
        <v>23</v>
      </c>
      <c r="B27" s="3" t="s">
        <v>204</v>
      </c>
      <c r="C27" s="3"/>
      <c r="D27" s="3">
        <v>250</v>
      </c>
      <c r="E27" s="30">
        <v>300</v>
      </c>
      <c r="F27" s="3">
        <f>'MAY 20'!J27:J51</f>
        <v>0</v>
      </c>
      <c r="G27" s="3">
        <v>10000</v>
      </c>
      <c r="H27" s="3">
        <f t="shared" si="2"/>
        <v>10000</v>
      </c>
      <c r="I27" s="3">
        <v>10000</v>
      </c>
      <c r="J27" s="3">
        <f t="shared" si="3"/>
        <v>0</v>
      </c>
      <c r="K27" s="3"/>
      <c r="L27" s="3">
        <v>600</v>
      </c>
    </row>
    <row r="28" spans="1:15" x14ac:dyDescent="0.25">
      <c r="A28" s="3">
        <v>24</v>
      </c>
      <c r="B28" s="3" t="s">
        <v>220</v>
      </c>
      <c r="C28" s="3">
        <v>10000</v>
      </c>
      <c r="D28" s="3">
        <v>250</v>
      </c>
      <c r="E28" s="30"/>
      <c r="F28" s="3">
        <f>'MAY 20'!J28:J52</f>
        <v>0</v>
      </c>
      <c r="G28" s="3">
        <v>6667</v>
      </c>
      <c r="H28" s="3">
        <f t="shared" si="2"/>
        <v>16667</v>
      </c>
      <c r="I28" s="3">
        <v>16667</v>
      </c>
      <c r="J28" s="3">
        <f t="shared" si="3"/>
        <v>0</v>
      </c>
      <c r="K28" s="3">
        <v>1500</v>
      </c>
      <c r="L28" s="3">
        <v>600</v>
      </c>
    </row>
    <row r="29" spans="1:15" x14ac:dyDescent="0.25">
      <c r="A29" s="3">
        <v>25</v>
      </c>
      <c r="B29" s="3"/>
      <c r="C29" s="3"/>
      <c r="D29" s="3"/>
      <c r="E29" s="3"/>
      <c r="F29" s="3">
        <f>'APRIL 20'!J26:J47</f>
        <v>0</v>
      </c>
      <c r="G29" s="3"/>
      <c r="H29" s="3">
        <f t="shared" si="2"/>
        <v>0</v>
      </c>
      <c r="I29" s="3"/>
      <c r="J29" s="3">
        <f t="shared" si="3"/>
        <v>0</v>
      </c>
      <c r="K29" s="3"/>
      <c r="L29" s="3"/>
    </row>
    <row r="30" spans="1:15" x14ac:dyDescent="0.25">
      <c r="A30" s="2"/>
      <c r="B30" s="2" t="s">
        <v>33</v>
      </c>
      <c r="C30" s="2">
        <f t="shared" ref="C30:L30" si="4">SUM(C5:C29)</f>
        <v>10000</v>
      </c>
      <c r="D30" s="2">
        <f t="shared" si="4"/>
        <v>4600</v>
      </c>
      <c r="E30" s="2">
        <f>SUM(E5:E29)</f>
        <v>8400</v>
      </c>
      <c r="F30" s="3">
        <f>SUM(F5:F29)</f>
        <v>16000</v>
      </c>
      <c r="G30" s="2">
        <f t="shared" si="4"/>
        <v>226667</v>
      </c>
      <c r="H30" s="2">
        <f>SUM(H5:H29)</f>
        <v>252667</v>
      </c>
      <c r="I30" s="2">
        <f t="shared" si="4"/>
        <v>252667</v>
      </c>
      <c r="J30" s="2">
        <f>SUM(J5:J29)</f>
        <v>0</v>
      </c>
      <c r="K30" s="2">
        <f t="shared" si="4"/>
        <v>1500</v>
      </c>
      <c r="L30" s="2">
        <f t="shared" si="4"/>
        <v>13200</v>
      </c>
    </row>
    <row r="31" spans="1:15" x14ac:dyDescent="0.25">
      <c r="A31" s="7"/>
      <c r="B31" s="7"/>
      <c r="C31" s="7"/>
      <c r="D31" s="7"/>
      <c r="E31" s="7"/>
      <c r="F31" s="7"/>
      <c r="G31" s="40"/>
      <c r="H31" s="30"/>
      <c r="I31" s="30"/>
      <c r="J31" s="7"/>
    </row>
    <row r="32" spans="1:15" x14ac:dyDescent="0.25">
      <c r="B32" s="31" t="s">
        <v>23</v>
      </c>
      <c r="C32" s="32"/>
      <c r="D32" s="6"/>
      <c r="E32" s="33"/>
      <c r="F32" s="40"/>
      <c r="G32" s="30"/>
      <c r="H32" s="30"/>
      <c r="I32" s="30"/>
    </row>
    <row r="33" spans="2:17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7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7" x14ac:dyDescent="0.25">
      <c r="B35" s="30" t="s">
        <v>140</v>
      </c>
      <c r="C35" s="38">
        <f>C30+G30</f>
        <v>236667</v>
      </c>
      <c r="D35" s="30"/>
      <c r="E35" s="30"/>
      <c r="F35" s="30" t="s">
        <v>140</v>
      </c>
      <c r="G35" s="38">
        <f>I30</f>
        <v>252667</v>
      </c>
      <c r="H35" s="30"/>
      <c r="I35" s="30"/>
      <c r="Q35">
        <f>Q34-23000</f>
        <v>-23000</v>
      </c>
    </row>
    <row r="36" spans="2:17" x14ac:dyDescent="0.25">
      <c r="B36" s="30" t="s">
        <v>5</v>
      </c>
      <c r="C36" s="38">
        <f>'MAY 20'!E49</f>
        <v>37603</v>
      </c>
      <c r="D36" s="30"/>
      <c r="E36" s="30"/>
      <c r="F36" s="30" t="s">
        <v>5</v>
      </c>
      <c r="G36" s="38">
        <f>'MAY 20'!I49</f>
        <v>21603</v>
      </c>
      <c r="H36" s="30"/>
      <c r="I36" s="30"/>
    </row>
    <row r="37" spans="2:17" x14ac:dyDescent="0.25">
      <c r="B37" s="30" t="s">
        <v>35</v>
      </c>
      <c r="C37" s="38">
        <f>E30</f>
        <v>8400</v>
      </c>
      <c r="D37" s="30"/>
      <c r="E37" s="30"/>
      <c r="F37" s="30" t="s">
        <v>35</v>
      </c>
      <c r="G37" s="38">
        <f>E30</f>
        <v>8400</v>
      </c>
      <c r="H37" s="30"/>
      <c r="I37" s="30"/>
      <c r="K37">
        <f>21603+12600</f>
        <v>34203</v>
      </c>
    </row>
    <row r="38" spans="2:17" x14ac:dyDescent="0.25">
      <c r="B38" s="30" t="s">
        <v>86</v>
      </c>
      <c r="C38" s="38">
        <f>K30</f>
        <v>1500</v>
      </c>
      <c r="D38" s="30"/>
      <c r="E38" s="30"/>
      <c r="F38" s="30" t="s">
        <v>86</v>
      </c>
      <c r="G38" s="38">
        <f>C38</f>
        <v>1500</v>
      </c>
      <c r="H38" s="30"/>
      <c r="I38" s="30"/>
      <c r="K38" s="24"/>
      <c r="M38" s="24"/>
    </row>
    <row r="39" spans="2:17" x14ac:dyDescent="0.25">
      <c r="B39" s="30" t="s">
        <v>88</v>
      </c>
      <c r="C39" s="38">
        <f>L30</f>
        <v>13200</v>
      </c>
      <c r="D39" s="30"/>
      <c r="E39" s="30"/>
      <c r="F39" s="30" t="s">
        <v>88</v>
      </c>
      <c r="G39" s="38">
        <f>L30</f>
        <v>13200</v>
      </c>
      <c r="H39" s="30"/>
      <c r="I39" s="30"/>
      <c r="M39" s="24"/>
    </row>
    <row r="40" spans="2:17" x14ac:dyDescent="0.25">
      <c r="B40" s="30" t="s">
        <v>30</v>
      </c>
      <c r="C40" s="39">
        <v>0.06</v>
      </c>
      <c r="D40" s="38">
        <f>C40*C35</f>
        <v>14200.019999999999</v>
      </c>
      <c r="E40" s="30"/>
      <c r="F40" s="30" t="s">
        <v>30</v>
      </c>
      <c r="G40" s="39">
        <v>0.06</v>
      </c>
      <c r="H40" s="38">
        <f>G40*C35</f>
        <v>14200.019999999999</v>
      </c>
      <c r="I40" s="30"/>
      <c r="L40" s="24"/>
      <c r="M40" s="24"/>
    </row>
    <row r="41" spans="2:17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7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  <c r="P42" s="45"/>
    </row>
    <row r="43" spans="2:17" x14ac:dyDescent="0.25">
      <c r="B43" s="46" t="s">
        <v>216</v>
      </c>
      <c r="D43" s="30">
        <v>250000</v>
      </c>
      <c r="E43" s="30"/>
      <c r="F43" s="46" t="s">
        <v>216</v>
      </c>
      <c r="H43" s="30">
        <v>250000</v>
      </c>
      <c r="I43" s="30"/>
      <c r="M43" s="24"/>
    </row>
    <row r="44" spans="2:17" x14ac:dyDescent="0.25">
      <c r="B44" s="3" t="s">
        <v>217</v>
      </c>
      <c r="C44" s="40"/>
      <c r="D44">
        <v>2250</v>
      </c>
      <c r="E44" s="3"/>
      <c r="F44" s="3" t="s">
        <v>217</v>
      </c>
      <c r="G44" s="40"/>
      <c r="H44">
        <v>2250</v>
      </c>
      <c r="I44" s="30"/>
      <c r="M44" s="24"/>
    </row>
    <row r="45" spans="2:17" x14ac:dyDescent="0.25">
      <c r="B45" s="3"/>
      <c r="C45" s="30"/>
      <c r="D45" s="30"/>
      <c r="E45" s="30"/>
      <c r="F45" s="3"/>
      <c r="G45" s="30"/>
      <c r="H45" s="30"/>
      <c r="I45" s="30"/>
      <c r="J45" s="24"/>
      <c r="M45" s="24"/>
    </row>
    <row r="46" spans="2:17" x14ac:dyDescent="0.25">
      <c r="B46" s="40"/>
      <c r="C46" s="30"/>
      <c r="D46" s="30"/>
      <c r="E46" s="30"/>
      <c r="F46" s="40"/>
      <c r="G46" s="30"/>
      <c r="H46" s="30"/>
      <c r="I46" s="30"/>
      <c r="M46" s="24"/>
    </row>
    <row r="47" spans="2:17" x14ac:dyDescent="0.25">
      <c r="B47" s="40"/>
      <c r="C47" s="44"/>
      <c r="D47" s="30"/>
      <c r="E47" s="30"/>
      <c r="F47" s="40"/>
      <c r="G47" s="44"/>
      <c r="H47" s="30"/>
      <c r="I47" s="30"/>
      <c r="M47" s="24"/>
    </row>
    <row r="48" spans="2:17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283169.98</v>
      </c>
      <c r="D49" s="42">
        <f>SUM(D42:D48)</f>
        <v>262250</v>
      </c>
      <c r="E49" s="42">
        <f>C49-D49</f>
        <v>20919.979999999981</v>
      </c>
      <c r="F49" s="37" t="s">
        <v>33</v>
      </c>
      <c r="G49" s="42">
        <f>G35+G36+G37+G38+G39-H40</f>
        <v>283169.98</v>
      </c>
      <c r="H49" s="42">
        <f>SUM(H42:H48)</f>
        <v>262250</v>
      </c>
      <c r="I49" s="42">
        <f>G49-H49</f>
        <v>20919.979999999981</v>
      </c>
    </row>
    <row r="50" spans="2:11" x14ac:dyDescent="0.25">
      <c r="B50" t="s">
        <v>37</v>
      </c>
      <c r="D50" t="s">
        <v>39</v>
      </c>
      <c r="G50" t="s">
        <v>41</v>
      </c>
    </row>
    <row r="52" spans="2:11" x14ac:dyDescent="0.25">
      <c r="B52" t="s">
        <v>137</v>
      </c>
      <c r="D52" t="s">
        <v>40</v>
      </c>
      <c r="G52" t="s">
        <v>42</v>
      </c>
      <c r="I52" s="24">
        <f>E49-I49</f>
        <v>0</v>
      </c>
    </row>
    <row r="53" spans="2:11" x14ac:dyDescent="0.25">
      <c r="C53" s="1"/>
      <c r="D53" s="1"/>
      <c r="E53" s="1"/>
      <c r="F53" s="22"/>
      <c r="G53" s="1"/>
      <c r="H53" s="22"/>
      <c r="K53" s="2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6" workbookViewId="0">
      <selection activeCell="E31" sqref="E31"/>
    </sheetView>
  </sheetViews>
  <sheetFormatPr defaultRowHeight="15" x14ac:dyDescent="0.25"/>
  <cols>
    <col min="1" max="1" width="5.5703125" customWidth="1"/>
    <col min="2" max="2" width="13" customWidth="1"/>
  </cols>
  <sheetData>
    <row r="1" spans="1:17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7" ht="15.75" x14ac:dyDescent="0.25">
      <c r="C2" s="21" t="s">
        <v>1</v>
      </c>
      <c r="E2" s="21"/>
      <c r="G2" s="27"/>
      <c r="I2" s="1"/>
      <c r="J2" s="1"/>
    </row>
    <row r="3" spans="1:17" ht="15.75" x14ac:dyDescent="0.25">
      <c r="A3" s="1"/>
      <c r="B3" s="1"/>
      <c r="C3" s="21" t="s">
        <v>221</v>
      </c>
      <c r="D3" s="21"/>
      <c r="E3" s="21"/>
      <c r="F3" s="27"/>
      <c r="G3" s="27"/>
      <c r="I3" s="1"/>
      <c r="J3" s="1"/>
    </row>
    <row r="4" spans="1:17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7" x14ac:dyDescent="0.25">
      <c r="A5" s="3">
        <v>1</v>
      </c>
      <c r="B5" s="3" t="s">
        <v>94</v>
      </c>
      <c r="C5" s="3"/>
      <c r="D5" s="3"/>
      <c r="E5" s="3"/>
      <c r="F5" s="3">
        <f>'JUNE 20'!J5:J29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7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'JUNE 20'!J6:J30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7" x14ac:dyDescent="0.25">
      <c r="A7" s="3">
        <v>3</v>
      </c>
      <c r="B7" s="3" t="s">
        <v>187</v>
      </c>
      <c r="C7" s="3"/>
      <c r="D7" s="3">
        <v>200</v>
      </c>
      <c r="E7" s="3">
        <v>1050</v>
      </c>
      <c r="F7" s="3">
        <f>'JUNE 20'!J7:J31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7" x14ac:dyDescent="0.25">
      <c r="A8" s="3">
        <v>4</v>
      </c>
      <c r="B8" s="3" t="s">
        <v>89</v>
      </c>
      <c r="C8" s="3"/>
      <c r="D8" s="3">
        <v>200</v>
      </c>
      <c r="E8" s="3">
        <v>450</v>
      </c>
      <c r="F8" s="3">
        <f>'JUNE 20'!J8:J32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/>
      <c r="P8">
        <f>98*500</f>
        <v>49000</v>
      </c>
      <c r="Q8">
        <f>50*500</f>
        <v>25000</v>
      </c>
    </row>
    <row r="9" spans="1:17" x14ac:dyDescent="0.25">
      <c r="A9" s="3">
        <v>5</v>
      </c>
      <c r="B9" s="3" t="s">
        <v>200</v>
      </c>
      <c r="C9" s="3"/>
      <c r="D9" s="3">
        <v>250</v>
      </c>
      <c r="E9" s="3">
        <v>1800</v>
      </c>
      <c r="F9" s="3">
        <f>'JUNE 20'!J9:J33</f>
        <v>0</v>
      </c>
      <c r="G9" s="3">
        <v>10000</v>
      </c>
      <c r="H9" s="3">
        <f t="shared" si="0"/>
        <v>10000</v>
      </c>
      <c r="I9" s="3">
        <v>10000</v>
      </c>
      <c r="J9" s="3">
        <f t="shared" si="1"/>
        <v>0</v>
      </c>
      <c r="K9" s="3"/>
      <c r="L9" s="3">
        <v>600</v>
      </c>
      <c r="P9">
        <f>100*500</f>
        <v>50000</v>
      </c>
    </row>
    <row r="10" spans="1:17" x14ac:dyDescent="0.25">
      <c r="A10" s="3">
        <v>6</v>
      </c>
      <c r="B10" s="3" t="s">
        <v>13</v>
      </c>
      <c r="C10" s="3"/>
      <c r="D10" s="3">
        <v>200</v>
      </c>
      <c r="E10" s="30">
        <v>300</v>
      </c>
      <c r="F10" s="3">
        <f>'JUNE 20'!J10:J34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/>
      <c r="P10">
        <f>62*500</f>
        <v>31000</v>
      </c>
    </row>
    <row r="11" spans="1:17" x14ac:dyDescent="0.25">
      <c r="A11" s="3">
        <v>7</v>
      </c>
      <c r="B11" s="3" t="s">
        <v>14</v>
      </c>
      <c r="C11" s="3"/>
      <c r="D11" s="3">
        <v>200</v>
      </c>
      <c r="E11" s="30">
        <v>450</v>
      </c>
      <c r="F11" s="3">
        <f>'JUNE 20'!J11:J35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  <c r="P11">
        <f>100*500</f>
        <v>50000</v>
      </c>
    </row>
    <row r="12" spans="1:17" x14ac:dyDescent="0.25">
      <c r="A12" s="3">
        <v>8</v>
      </c>
      <c r="B12" s="3" t="s">
        <v>214</v>
      </c>
      <c r="C12" s="3"/>
      <c r="D12" s="3"/>
      <c r="E12" s="30"/>
      <c r="F12" s="3">
        <f>'JUNE 20'!J12:J36</f>
        <v>0</v>
      </c>
      <c r="G12" s="3"/>
      <c r="H12" s="3">
        <f t="shared" si="0"/>
        <v>0</v>
      </c>
      <c r="I12" s="3"/>
      <c r="J12" s="3">
        <f t="shared" si="1"/>
        <v>0</v>
      </c>
      <c r="K12" s="3"/>
      <c r="L12" s="3"/>
      <c r="P12">
        <v>100000</v>
      </c>
    </row>
    <row r="13" spans="1:17" x14ac:dyDescent="0.25">
      <c r="A13" s="3">
        <v>9</v>
      </c>
      <c r="B13" s="3" t="s">
        <v>16</v>
      </c>
      <c r="C13" s="3"/>
      <c r="D13" s="3"/>
      <c r="E13" s="3"/>
      <c r="F13" s="3">
        <f>'JUNE 20'!J13:J37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/>
      <c r="P13">
        <f>SUM(P8:P12)</f>
        <v>280000</v>
      </c>
    </row>
    <row r="14" spans="1:17" x14ac:dyDescent="0.25">
      <c r="A14" s="3">
        <v>10</v>
      </c>
      <c r="B14" s="3" t="s">
        <v>99</v>
      </c>
      <c r="C14" s="3"/>
      <c r="D14" s="3"/>
      <c r="E14" s="30"/>
      <c r="F14" s="3">
        <f>'JUNE 20'!J14:J38</f>
        <v>0</v>
      </c>
      <c r="G14" s="3">
        <v>10000</v>
      </c>
      <c r="H14" s="3">
        <f>C14+F14+G14</f>
        <v>10000</v>
      </c>
      <c r="I14" s="3"/>
      <c r="J14" s="3">
        <f>H14-I14</f>
        <v>10000</v>
      </c>
      <c r="K14" s="3"/>
      <c r="L14" s="3"/>
    </row>
    <row r="15" spans="1:17" x14ac:dyDescent="0.25">
      <c r="A15" s="3">
        <v>11</v>
      </c>
      <c r="B15" s="3" t="s">
        <v>18</v>
      </c>
      <c r="C15" s="3"/>
      <c r="D15" s="3">
        <v>200</v>
      </c>
      <c r="E15" s="30">
        <v>750</v>
      </c>
      <c r="F15" s="3">
        <f>'JUNE 20'!J15:J39</f>
        <v>0</v>
      </c>
      <c r="G15" s="3">
        <v>12000</v>
      </c>
      <c r="H15" s="3">
        <f>C15+F15+G15</f>
        <v>12000</v>
      </c>
      <c r="I15" s="3">
        <f>10000+2000</f>
        <v>12000</v>
      </c>
      <c r="J15" s="3">
        <f>H15-I15</f>
        <v>0</v>
      </c>
      <c r="K15" s="3"/>
      <c r="L15" s="3">
        <v>600</v>
      </c>
    </row>
    <row r="16" spans="1:17" x14ac:dyDescent="0.25">
      <c r="A16" s="3">
        <v>12</v>
      </c>
      <c r="B16" s="3" t="s">
        <v>135</v>
      </c>
      <c r="C16" s="3"/>
      <c r="D16" s="3">
        <v>200</v>
      </c>
      <c r="E16" s="3">
        <v>750</v>
      </c>
      <c r="F16" s="3">
        <f>'JUNE 20'!J16:J40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</row>
    <row r="17" spans="1:16" x14ac:dyDescent="0.25">
      <c r="A17" s="3">
        <v>13</v>
      </c>
      <c r="B17" s="12" t="s">
        <v>192</v>
      </c>
      <c r="C17" s="3"/>
      <c r="D17" s="3">
        <v>250</v>
      </c>
      <c r="E17" s="30">
        <v>450</v>
      </c>
      <c r="F17" s="3">
        <f>'JUNE 20'!J17:J41</f>
        <v>0</v>
      </c>
      <c r="G17" s="3">
        <v>10000</v>
      </c>
      <c r="H17" s="3">
        <f t="shared" si="0"/>
        <v>10000</v>
      </c>
      <c r="I17" s="3">
        <v>10000</v>
      </c>
      <c r="J17" s="3">
        <f>H17-I17</f>
        <v>0</v>
      </c>
      <c r="K17" s="3"/>
      <c r="L17" s="3">
        <v>600</v>
      </c>
    </row>
    <row r="18" spans="1:16" x14ac:dyDescent="0.25">
      <c r="A18" s="3">
        <v>14</v>
      </c>
      <c r="B18" s="12" t="s">
        <v>70</v>
      </c>
      <c r="C18" s="3"/>
      <c r="D18" s="43">
        <v>200</v>
      </c>
      <c r="E18" s="3"/>
      <c r="F18" s="3">
        <f>'JUNE 20'!J18:J42</f>
        <v>0</v>
      </c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</row>
    <row r="19" spans="1:16" x14ac:dyDescent="0.25">
      <c r="A19" s="3">
        <v>15</v>
      </c>
      <c r="B19" s="3" t="s">
        <v>158</v>
      </c>
      <c r="C19" s="3"/>
      <c r="D19" s="3"/>
      <c r="E19" s="3"/>
      <c r="F19" s="3">
        <f>'JUNE 20'!J19:J43</f>
        <v>0</v>
      </c>
      <c r="G19" s="3">
        <v>10000</v>
      </c>
      <c r="H19" s="3">
        <f>C19+F19+G19</f>
        <v>10000</v>
      </c>
      <c r="I19" s="3">
        <f>5000+5000</f>
        <v>10000</v>
      </c>
      <c r="J19" s="3">
        <f t="shared" si="1"/>
        <v>0</v>
      </c>
      <c r="K19" s="3"/>
      <c r="L19" s="3">
        <f>300+300</f>
        <v>600</v>
      </c>
    </row>
    <row r="20" spans="1:16" x14ac:dyDescent="0.25">
      <c r="A20" s="3">
        <v>16</v>
      </c>
      <c r="B20" s="3" t="s">
        <v>12</v>
      </c>
      <c r="C20" s="3"/>
      <c r="D20" s="3">
        <v>200</v>
      </c>
      <c r="E20" s="3">
        <v>900</v>
      </c>
      <c r="F20" s="3">
        <f>'JUNE 20'!J20:J44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  <c r="P20">
        <f>1500*3</f>
        <v>4500</v>
      </c>
    </row>
    <row r="21" spans="1:16" x14ac:dyDescent="0.25">
      <c r="A21" s="3">
        <v>17</v>
      </c>
      <c r="B21" s="15" t="s">
        <v>222</v>
      </c>
      <c r="C21" s="3">
        <v>10000</v>
      </c>
      <c r="D21" s="3">
        <v>250</v>
      </c>
      <c r="E21" s="3"/>
      <c r="F21" s="3">
        <f>'JUNE 20'!J21:J45</f>
        <v>0</v>
      </c>
      <c r="G21" s="3">
        <v>10000</v>
      </c>
      <c r="H21" s="3">
        <f>C21+F21+G21</f>
        <v>20000</v>
      </c>
      <c r="I21" s="3">
        <v>20000</v>
      </c>
      <c r="J21" s="3">
        <f t="shared" si="1"/>
        <v>0</v>
      </c>
      <c r="K21" s="3">
        <v>1500</v>
      </c>
      <c r="L21" s="3">
        <v>600</v>
      </c>
      <c r="P21">
        <v>5870</v>
      </c>
    </row>
    <row r="22" spans="1:16" x14ac:dyDescent="0.25">
      <c r="A22" s="3">
        <v>18</v>
      </c>
      <c r="B22" s="3" t="s">
        <v>103</v>
      </c>
      <c r="C22" s="3"/>
      <c r="D22" s="3">
        <v>200</v>
      </c>
      <c r="E22" s="3">
        <v>600</v>
      </c>
      <c r="F22" s="3">
        <f>'JUNE 20'!J22:J46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v>600</v>
      </c>
      <c r="P22">
        <f>SUM(P20:P21)</f>
        <v>10370</v>
      </c>
    </row>
    <row r="23" spans="1:16" x14ac:dyDescent="0.25">
      <c r="A23" s="3">
        <v>19</v>
      </c>
      <c r="B23" s="3" t="s">
        <v>214</v>
      </c>
      <c r="C23" s="3"/>
      <c r="D23" s="3"/>
      <c r="E23" s="30"/>
      <c r="F23" s="3">
        <f>'JUNE 20'!J23:J47</f>
        <v>0</v>
      </c>
      <c r="G23" s="3"/>
      <c r="H23" s="3">
        <f t="shared" si="0"/>
        <v>0</v>
      </c>
      <c r="I23" s="3"/>
      <c r="J23" s="3">
        <f>H23-I23</f>
        <v>0</v>
      </c>
      <c r="K23" s="3"/>
      <c r="L23" s="3"/>
    </row>
    <row r="24" spans="1:16" x14ac:dyDescent="0.25">
      <c r="A24" s="3">
        <v>20</v>
      </c>
      <c r="B24" s="3" t="s">
        <v>214</v>
      </c>
      <c r="C24" s="3"/>
      <c r="D24" s="3"/>
      <c r="E24" s="30"/>
      <c r="F24" s="3">
        <f>'JUNE 20'!J24:J48</f>
        <v>0</v>
      </c>
      <c r="G24" s="3"/>
      <c r="H24" s="3">
        <f t="shared" si="0"/>
        <v>0</v>
      </c>
      <c r="I24" s="3"/>
      <c r="J24" s="3">
        <f t="shared" ref="J24:J29" si="2">H24-I24</f>
        <v>0</v>
      </c>
      <c r="K24" s="3"/>
      <c r="L24" s="3"/>
    </row>
    <row r="25" spans="1:16" x14ac:dyDescent="0.25">
      <c r="A25" s="3">
        <v>21</v>
      </c>
      <c r="B25" s="3" t="s">
        <v>202</v>
      </c>
      <c r="C25" s="3"/>
      <c r="D25" s="3">
        <v>250</v>
      </c>
      <c r="E25" s="30">
        <v>300</v>
      </c>
      <c r="F25" s="3">
        <f>'JUNE 20'!J25:J49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6" x14ac:dyDescent="0.25">
      <c r="A26" s="3">
        <v>22</v>
      </c>
      <c r="B26" s="3" t="s">
        <v>207</v>
      </c>
      <c r="C26" s="3"/>
      <c r="D26" s="3">
        <v>250</v>
      </c>
      <c r="E26" s="3">
        <v>750</v>
      </c>
      <c r="F26" s="3">
        <f>'JUNE 20'!J26:J50</f>
        <v>0</v>
      </c>
      <c r="G26" s="3">
        <v>10000</v>
      </c>
      <c r="H26" s="3">
        <f t="shared" si="0"/>
        <v>10000</v>
      </c>
      <c r="I26" s="3">
        <v>10000</v>
      </c>
      <c r="J26" s="3">
        <f t="shared" si="2"/>
        <v>0</v>
      </c>
      <c r="K26" s="3"/>
      <c r="L26" s="3">
        <v>600</v>
      </c>
    </row>
    <row r="27" spans="1:16" x14ac:dyDescent="0.25">
      <c r="A27" s="3">
        <v>23</v>
      </c>
      <c r="B27" s="3" t="s">
        <v>204</v>
      </c>
      <c r="C27" s="3"/>
      <c r="D27" s="3">
        <v>250</v>
      </c>
      <c r="E27" s="30">
        <v>750</v>
      </c>
      <c r="F27" s="3">
        <f>'JUNE 20'!J27:J51</f>
        <v>0</v>
      </c>
      <c r="G27" s="3">
        <v>10000</v>
      </c>
      <c r="H27" s="3">
        <f t="shared" si="0"/>
        <v>10000</v>
      </c>
      <c r="I27" s="3">
        <f>10000</f>
        <v>10000</v>
      </c>
      <c r="J27" s="3">
        <f t="shared" si="2"/>
        <v>0</v>
      </c>
      <c r="K27" s="3"/>
      <c r="L27" s="3">
        <v>600</v>
      </c>
    </row>
    <row r="28" spans="1:16" x14ac:dyDescent="0.25">
      <c r="A28" s="3">
        <v>24</v>
      </c>
      <c r="B28" s="3" t="s">
        <v>220</v>
      </c>
      <c r="C28" s="3"/>
      <c r="D28" s="3">
        <v>200</v>
      </c>
      <c r="E28" s="30"/>
      <c r="F28" s="3">
        <f>'JUNE 20'!J28:J52</f>
        <v>0</v>
      </c>
      <c r="G28" s="3">
        <v>10000</v>
      </c>
      <c r="H28" s="3">
        <f t="shared" si="0"/>
        <v>10000</v>
      </c>
      <c r="I28" s="3">
        <v>10000</v>
      </c>
      <c r="J28" s="3">
        <f t="shared" si="2"/>
        <v>0</v>
      </c>
      <c r="K28" s="3"/>
      <c r="L28" s="3">
        <v>600</v>
      </c>
    </row>
    <row r="29" spans="1:16" x14ac:dyDescent="0.25">
      <c r="A29" s="3">
        <v>25</v>
      </c>
      <c r="B29" s="3" t="s">
        <v>55</v>
      </c>
      <c r="C29" s="3"/>
      <c r="D29" s="3">
        <v>400</v>
      </c>
      <c r="E29" s="3">
        <v>1500</v>
      </c>
      <c r="F29" s="3">
        <f>'JUNE 20'!J29:J53</f>
        <v>0</v>
      </c>
      <c r="G29" s="3">
        <v>10000</v>
      </c>
      <c r="H29" s="3">
        <f t="shared" si="0"/>
        <v>10000</v>
      </c>
      <c r="I29" s="3">
        <v>10000</v>
      </c>
      <c r="J29" s="3">
        <f t="shared" si="2"/>
        <v>0</v>
      </c>
      <c r="K29" s="3"/>
      <c r="L29" s="3">
        <v>1800</v>
      </c>
    </row>
    <row r="30" spans="1:16" x14ac:dyDescent="0.25">
      <c r="A30" s="2"/>
      <c r="B30" s="2" t="s">
        <v>33</v>
      </c>
      <c r="C30" s="2">
        <f t="shared" ref="C30:L30" si="3">SUM(C5:C29)</f>
        <v>10000</v>
      </c>
      <c r="D30" s="2">
        <f t="shared" si="3"/>
        <v>4100</v>
      </c>
      <c r="E30" s="2">
        <f>SUM(E5:E29)</f>
        <v>11250</v>
      </c>
      <c r="F30" s="3">
        <f>SUM(F5:F29)</f>
        <v>0</v>
      </c>
      <c r="G30" s="2">
        <f t="shared" si="3"/>
        <v>230000</v>
      </c>
      <c r="H30" s="2">
        <f>SUM(H5:H29)</f>
        <v>240000</v>
      </c>
      <c r="I30" s="2">
        <f t="shared" si="3"/>
        <v>230000</v>
      </c>
      <c r="J30" s="2">
        <f>SUM(J5:J29)</f>
        <v>10000</v>
      </c>
      <c r="K30" s="2">
        <f t="shared" si="3"/>
        <v>1500</v>
      </c>
      <c r="L30" s="2">
        <f t="shared" si="3"/>
        <v>12000</v>
      </c>
    </row>
    <row r="31" spans="1:16" x14ac:dyDescent="0.25">
      <c r="A31" s="7"/>
      <c r="B31" s="7"/>
      <c r="C31" s="7"/>
      <c r="D31" s="7"/>
      <c r="E31" s="7"/>
      <c r="F31" s="7"/>
      <c r="G31" s="40"/>
      <c r="H31" s="30"/>
      <c r="I31" s="30"/>
      <c r="J31" s="7"/>
    </row>
    <row r="32" spans="1:16" x14ac:dyDescent="0.25">
      <c r="B32" s="31" t="s">
        <v>23</v>
      </c>
      <c r="C32" s="32"/>
      <c r="D32" s="6"/>
      <c r="E32" s="33"/>
      <c r="F32" s="40"/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29</v>
      </c>
      <c r="C35" s="38">
        <f>C30+G30</f>
        <v>240000</v>
      </c>
      <c r="D35" s="30"/>
      <c r="E35" s="30"/>
      <c r="F35" s="30" t="s">
        <v>29</v>
      </c>
      <c r="G35" s="38">
        <f>I30</f>
        <v>230000</v>
      </c>
      <c r="H35" s="30"/>
      <c r="I35" s="30"/>
      <c r="K35">
        <f>D27+I27+L27</f>
        <v>10850</v>
      </c>
    </row>
    <row r="36" spans="2:13" x14ac:dyDescent="0.25">
      <c r="B36" s="30" t="s">
        <v>5</v>
      </c>
      <c r="C36" s="38">
        <f>'JUNE 20'!E49</f>
        <v>20919.979999999981</v>
      </c>
      <c r="D36" s="30"/>
      <c r="E36" s="30"/>
      <c r="F36" s="30" t="s">
        <v>5</v>
      </c>
      <c r="G36" s="38">
        <f>'JUNE 20'!I49</f>
        <v>20919.979999999981</v>
      </c>
      <c r="H36" s="30"/>
      <c r="I36" s="30"/>
      <c r="K36">
        <f>11550-K35</f>
        <v>700</v>
      </c>
    </row>
    <row r="37" spans="2:13" x14ac:dyDescent="0.25">
      <c r="B37" s="30" t="s">
        <v>35</v>
      </c>
      <c r="C37" s="38">
        <f>E30</f>
        <v>11250</v>
      </c>
      <c r="D37" s="30"/>
      <c r="E37" s="30"/>
      <c r="F37" s="30" t="s">
        <v>35</v>
      </c>
      <c r="G37" s="38">
        <f>E30</f>
        <v>11250</v>
      </c>
      <c r="H37" s="30"/>
      <c r="I37" s="30"/>
      <c r="K37">
        <f>21603+12600</f>
        <v>34203</v>
      </c>
    </row>
    <row r="38" spans="2:13" x14ac:dyDescent="0.25">
      <c r="B38" s="30" t="s">
        <v>86</v>
      </c>
      <c r="C38" s="38">
        <f>K30</f>
        <v>1500</v>
      </c>
      <c r="D38" s="30"/>
      <c r="E38" s="30"/>
      <c r="F38" s="30" t="s">
        <v>86</v>
      </c>
      <c r="G38" s="38">
        <f>C38</f>
        <v>1500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12000</v>
      </c>
      <c r="D39" s="30"/>
      <c r="E39" s="30"/>
      <c r="F39" s="30" t="s">
        <v>88</v>
      </c>
      <c r="G39" s="38">
        <f>L30</f>
        <v>12000</v>
      </c>
      <c r="H39" s="30"/>
      <c r="I39" s="30"/>
      <c r="M39" s="24"/>
    </row>
    <row r="40" spans="2:13" x14ac:dyDescent="0.25">
      <c r="B40" s="30" t="s">
        <v>30</v>
      </c>
      <c r="C40" s="39">
        <v>0.06</v>
      </c>
      <c r="D40" s="38">
        <f>C40*C35</f>
        <v>14400</v>
      </c>
      <c r="E40" s="30"/>
      <c r="F40" s="30" t="s">
        <v>30</v>
      </c>
      <c r="G40" s="39">
        <v>0.06</v>
      </c>
      <c r="H40" s="38">
        <f>G40*C35</f>
        <v>14400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/>
      <c r="D43" s="30"/>
      <c r="E43" s="30"/>
      <c r="F43" s="46"/>
      <c r="H43" s="30"/>
      <c r="I43" s="30"/>
      <c r="M43" s="24"/>
    </row>
    <row r="44" spans="2:13" x14ac:dyDescent="0.25">
      <c r="B44" s="3" t="s">
        <v>223</v>
      </c>
      <c r="C44" s="40"/>
      <c r="D44">
        <v>252700</v>
      </c>
      <c r="E44" s="3"/>
      <c r="F44" s="3" t="s">
        <v>223</v>
      </c>
      <c r="G44" s="40"/>
      <c r="H44">
        <v>252700</v>
      </c>
      <c r="I44" s="30"/>
      <c r="M44" s="24"/>
    </row>
    <row r="45" spans="2:13" x14ac:dyDescent="0.25">
      <c r="B45" s="3"/>
      <c r="C45" s="30"/>
      <c r="D45" s="30"/>
      <c r="E45" s="30"/>
      <c r="F45" s="3"/>
      <c r="G45" s="30"/>
      <c r="H45" s="30"/>
      <c r="I45" s="30"/>
      <c r="J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271269.98</v>
      </c>
      <c r="D49" s="42">
        <f>SUM(D42:D48)</f>
        <v>262700</v>
      </c>
      <c r="E49" s="42">
        <f>C49-D49</f>
        <v>8569.9799999999814</v>
      </c>
      <c r="F49" s="37" t="s">
        <v>33</v>
      </c>
      <c r="G49" s="42">
        <f>G35+G36+G37+G38+G39-H40</f>
        <v>261269.97999999998</v>
      </c>
      <c r="H49" s="42">
        <f>SUM(H42:H48)</f>
        <v>262700</v>
      </c>
      <c r="I49" s="42">
        <f>G49-H49</f>
        <v>-1430.0200000000186</v>
      </c>
    </row>
    <row r="50" spans="2:11" x14ac:dyDescent="0.25">
      <c r="B50" t="s">
        <v>37</v>
      </c>
      <c r="D50" t="s">
        <v>39</v>
      </c>
      <c r="G50" t="s">
        <v>41</v>
      </c>
    </row>
    <row r="52" spans="2:11" x14ac:dyDescent="0.25">
      <c r="B52" t="s">
        <v>137</v>
      </c>
      <c r="D52" t="s">
        <v>40</v>
      </c>
      <c r="G52" t="s">
        <v>42</v>
      </c>
      <c r="I52">
        <f>1000-250</f>
        <v>750</v>
      </c>
    </row>
    <row r="53" spans="2:11" x14ac:dyDescent="0.25">
      <c r="C53" s="1"/>
      <c r="D53" s="1"/>
      <c r="E53" s="1"/>
      <c r="F53" s="22"/>
      <c r="G53" s="1"/>
      <c r="H53" s="22"/>
      <c r="K53" s="24"/>
    </row>
    <row r="56" spans="2:11" x14ac:dyDescent="0.25">
      <c r="F56" s="24"/>
    </row>
  </sheetData>
  <pageMargins left="0.7" right="0.7" top="0.75" bottom="0.75" header="0.3" footer="0.3"/>
  <pageSetup orientation="portrait" horizontalDpi="0" verticalDpi="0" r:id="rId1"/>
  <ignoredErrors>
    <ignoredError sqref="P10" 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C31" sqref="C31"/>
    </sheetView>
  </sheetViews>
  <sheetFormatPr defaultRowHeight="15" x14ac:dyDescent="0.25"/>
  <cols>
    <col min="1" max="1" width="4.140625" customWidth="1"/>
    <col min="2" max="2" width="18.5703125" customWidth="1"/>
    <col min="3" max="3" width="8.28515625" customWidth="1"/>
    <col min="4" max="4" width="9.28515625" customWidth="1"/>
    <col min="6" max="6" width="8.7109375" customWidth="1"/>
    <col min="7" max="7" width="8.28515625" customWidth="1"/>
    <col min="8" max="8" width="10.28515625" customWidth="1"/>
    <col min="10" max="10" width="8.85546875" customWidth="1"/>
  </cols>
  <sheetData>
    <row r="1" spans="1:11" ht="18.75" x14ac:dyDescent="0.3">
      <c r="A1" s="1"/>
      <c r="B1" s="1"/>
      <c r="C1" s="20" t="s">
        <v>0</v>
      </c>
      <c r="D1" s="20"/>
      <c r="E1" s="20"/>
      <c r="I1" s="1"/>
      <c r="J1" s="1"/>
    </row>
    <row r="2" spans="1:11" ht="18.75" x14ac:dyDescent="0.3">
      <c r="A2" s="1"/>
      <c r="B2" s="1"/>
      <c r="C2" s="20" t="s">
        <v>1</v>
      </c>
      <c r="D2" s="20"/>
      <c r="E2" s="20"/>
      <c r="I2" s="1"/>
      <c r="J2" s="1"/>
    </row>
    <row r="3" spans="1:11" ht="18.75" x14ac:dyDescent="0.3">
      <c r="A3" s="1"/>
      <c r="B3" s="1"/>
      <c r="C3" s="20" t="s">
        <v>65</v>
      </c>
      <c r="D3" s="20"/>
      <c r="E3" s="20"/>
      <c r="I3" s="1"/>
      <c r="J3" s="1"/>
    </row>
    <row r="4" spans="1:11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1" x14ac:dyDescent="0.25">
      <c r="A5" s="3">
        <v>1</v>
      </c>
      <c r="B5" s="3" t="s">
        <v>22</v>
      </c>
      <c r="C5" s="3">
        <v>12000</v>
      </c>
      <c r="D5" s="3"/>
      <c r="E5" s="3" t="s">
        <v>46</v>
      </c>
      <c r="F5" s="3"/>
      <c r="G5" s="3">
        <v>12000</v>
      </c>
      <c r="H5" s="3">
        <f>F5+G5</f>
        <v>12000</v>
      </c>
      <c r="I5" s="3">
        <v>12000</v>
      </c>
      <c r="J5" s="3">
        <f>H5-I5</f>
        <v>0</v>
      </c>
    </row>
    <row r="6" spans="1:11" x14ac:dyDescent="0.25">
      <c r="A6" s="3">
        <v>2</v>
      </c>
      <c r="B6" t="s">
        <v>69</v>
      </c>
      <c r="C6" s="3"/>
      <c r="D6" s="3"/>
      <c r="E6" s="3"/>
      <c r="F6" s="3"/>
      <c r="G6" s="3">
        <v>10000</v>
      </c>
      <c r="H6" s="3">
        <f>F6+G6</f>
        <v>10000</v>
      </c>
      <c r="I6" s="3">
        <v>10000</v>
      </c>
      <c r="J6" s="3"/>
    </row>
    <row r="7" spans="1:11" x14ac:dyDescent="0.25">
      <c r="A7" s="3">
        <v>3</v>
      </c>
      <c r="B7" s="3" t="s">
        <v>12</v>
      </c>
      <c r="C7" s="3"/>
      <c r="D7" s="3">
        <v>200</v>
      </c>
      <c r="E7" s="3">
        <v>450</v>
      </c>
      <c r="F7" s="3"/>
      <c r="G7" s="3">
        <v>10000</v>
      </c>
      <c r="H7" s="3">
        <f t="shared" ref="H7:H24" si="0">F7+G7</f>
        <v>10000</v>
      </c>
      <c r="I7" s="3">
        <v>10000</v>
      </c>
      <c r="J7" s="3">
        <f t="shared" ref="J7:J25" si="1">H7-I7</f>
        <v>0</v>
      </c>
    </row>
    <row r="8" spans="1:11" x14ac:dyDescent="0.25">
      <c r="A8" s="3">
        <v>4</v>
      </c>
      <c r="B8" s="3" t="s">
        <v>22</v>
      </c>
      <c r="C8" s="3"/>
      <c r="D8" s="3"/>
      <c r="E8" s="3"/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</row>
    <row r="9" spans="1:11" x14ac:dyDescent="0.25">
      <c r="A9" s="3">
        <v>5</v>
      </c>
      <c r="B9" s="3" t="s">
        <v>36</v>
      </c>
      <c r="C9" s="3"/>
      <c r="D9" s="3">
        <v>200</v>
      </c>
      <c r="E9" s="3">
        <v>450</v>
      </c>
      <c r="F9" s="3"/>
      <c r="G9" s="3">
        <v>10000</v>
      </c>
      <c r="H9" s="3">
        <f t="shared" si="0"/>
        <v>10000</v>
      </c>
      <c r="I9" s="3">
        <v>10000</v>
      </c>
      <c r="J9" s="3">
        <f t="shared" si="1"/>
        <v>0</v>
      </c>
    </row>
    <row r="10" spans="1:11" x14ac:dyDescent="0.25">
      <c r="A10" s="3">
        <v>6</v>
      </c>
      <c r="B10" s="3" t="s">
        <v>13</v>
      </c>
      <c r="C10" s="3"/>
      <c r="D10" s="3">
        <v>200</v>
      </c>
      <c r="E10" s="3" t="s">
        <v>46</v>
      </c>
      <c r="F10" s="3"/>
      <c r="G10" s="3">
        <v>12000</v>
      </c>
      <c r="H10" s="3">
        <f t="shared" si="0"/>
        <v>12000</v>
      </c>
      <c r="I10" s="3">
        <v>12200</v>
      </c>
      <c r="J10" s="3">
        <f t="shared" si="1"/>
        <v>-200</v>
      </c>
    </row>
    <row r="11" spans="1:11" x14ac:dyDescent="0.25">
      <c r="A11" s="3">
        <v>7</v>
      </c>
      <c r="B11" s="3" t="s">
        <v>14</v>
      </c>
      <c r="C11" s="3"/>
      <c r="D11" s="3">
        <v>200</v>
      </c>
      <c r="E11" s="3">
        <v>150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</row>
    <row r="12" spans="1:11" x14ac:dyDescent="0.25">
      <c r="A12" s="3">
        <v>8</v>
      </c>
      <c r="B12" s="3" t="s">
        <v>15</v>
      </c>
      <c r="C12" s="3"/>
      <c r="D12" s="3"/>
      <c r="E12" s="3"/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</row>
    <row r="13" spans="1:11" x14ac:dyDescent="0.25">
      <c r="A13" s="3">
        <v>9</v>
      </c>
      <c r="B13" s="3" t="s">
        <v>16</v>
      </c>
      <c r="C13" s="3"/>
      <c r="D13" s="3">
        <v>200</v>
      </c>
      <c r="E13" s="3">
        <v>700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</row>
    <row r="14" spans="1:11" x14ac:dyDescent="0.25">
      <c r="A14" s="3">
        <v>10</v>
      </c>
      <c r="B14" s="3" t="s">
        <v>57</v>
      </c>
      <c r="C14" s="3"/>
      <c r="D14" s="3"/>
      <c r="E14" s="3"/>
      <c r="F14" s="3"/>
      <c r="G14" s="3">
        <v>10000</v>
      </c>
      <c r="H14" s="3">
        <f t="shared" si="0"/>
        <v>10000</v>
      </c>
      <c r="I14" s="3">
        <v>10000</v>
      </c>
      <c r="J14" s="3">
        <f t="shared" si="1"/>
        <v>0</v>
      </c>
      <c r="K14" t="s">
        <v>68</v>
      </c>
    </row>
    <row r="15" spans="1:11" x14ac:dyDescent="0.25">
      <c r="A15" s="3">
        <v>11</v>
      </c>
      <c r="B15" s="3" t="s">
        <v>18</v>
      </c>
      <c r="C15" s="3"/>
      <c r="D15" s="3">
        <v>200</v>
      </c>
      <c r="E15" s="3">
        <v>450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t="s">
        <v>68</v>
      </c>
    </row>
    <row r="16" spans="1:11" x14ac:dyDescent="0.25">
      <c r="A16" s="3">
        <v>12</v>
      </c>
      <c r="B16" s="3" t="s">
        <v>54</v>
      </c>
      <c r="C16" s="3"/>
      <c r="D16" s="3">
        <v>200</v>
      </c>
      <c r="E16" s="3">
        <v>450</v>
      </c>
      <c r="F16" s="3"/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</row>
    <row r="17" spans="1:10" x14ac:dyDescent="0.25">
      <c r="A17" s="3">
        <v>13</v>
      </c>
      <c r="B17" s="3" t="s">
        <v>19</v>
      </c>
      <c r="C17" s="3"/>
      <c r="D17" s="3">
        <v>400</v>
      </c>
      <c r="E17" s="3">
        <v>600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</row>
    <row r="18" spans="1:10" x14ac:dyDescent="0.25">
      <c r="A18" s="3">
        <v>14</v>
      </c>
      <c r="B18" s="3" t="s">
        <v>70</v>
      </c>
      <c r="C18" s="3"/>
      <c r="D18" s="3"/>
      <c r="E18" s="3"/>
      <c r="F18" s="3"/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</row>
    <row r="19" spans="1:10" x14ac:dyDescent="0.25">
      <c r="A19" s="3">
        <v>15</v>
      </c>
      <c r="B19" s="3" t="s">
        <v>73</v>
      </c>
      <c r="C19" s="3"/>
      <c r="D19" s="3">
        <v>200</v>
      </c>
      <c r="E19" s="3">
        <v>450</v>
      </c>
      <c r="F19" s="3"/>
      <c r="G19" s="3">
        <v>10000</v>
      </c>
      <c r="H19" s="3">
        <f t="shared" si="0"/>
        <v>10000</v>
      </c>
      <c r="I19" s="3">
        <v>10000</v>
      </c>
      <c r="J19" s="3">
        <f t="shared" si="1"/>
        <v>0</v>
      </c>
    </row>
    <row r="20" spans="1:10" x14ac:dyDescent="0.25">
      <c r="A20" s="3">
        <v>16</v>
      </c>
      <c r="B20" s="3" t="s">
        <v>20</v>
      </c>
      <c r="C20" s="3"/>
      <c r="D20" s="3"/>
      <c r="E20" s="3"/>
      <c r="F20" s="3">
        <v>3000</v>
      </c>
      <c r="G20" s="3">
        <v>12000</v>
      </c>
      <c r="H20" s="3">
        <f t="shared" si="0"/>
        <v>15000</v>
      </c>
      <c r="I20" s="3">
        <v>13000</v>
      </c>
      <c r="J20" s="3">
        <f t="shared" si="1"/>
        <v>2000</v>
      </c>
    </row>
    <row r="21" spans="1:10" x14ac:dyDescent="0.25">
      <c r="A21" s="3">
        <v>17</v>
      </c>
      <c r="B21" s="3" t="s">
        <v>67</v>
      </c>
      <c r="C21" s="3"/>
      <c r="D21" s="3"/>
      <c r="E21" s="3"/>
      <c r="F21" s="3"/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</row>
    <row r="22" spans="1:10" x14ac:dyDescent="0.25">
      <c r="A22" s="3">
        <v>18</v>
      </c>
      <c r="B22" s="3" t="s">
        <v>21</v>
      </c>
      <c r="C22" s="3"/>
      <c r="D22" s="3">
        <v>200</v>
      </c>
      <c r="E22" s="3">
        <v>400</v>
      </c>
      <c r="F22" s="3"/>
      <c r="G22" s="3">
        <v>10000</v>
      </c>
      <c r="H22" s="3">
        <f t="shared" si="0"/>
        <v>10000</v>
      </c>
      <c r="I22" s="3">
        <v>10000</v>
      </c>
      <c r="J22" s="3">
        <f>H22-I22</f>
        <v>0</v>
      </c>
    </row>
    <row r="23" spans="1:10" x14ac:dyDescent="0.25">
      <c r="A23" s="3">
        <v>19</v>
      </c>
      <c r="B23" s="3" t="s">
        <v>22</v>
      </c>
      <c r="C23" s="3"/>
      <c r="D23" s="3"/>
      <c r="E23" s="3"/>
      <c r="F23" s="3"/>
      <c r="G23" s="3">
        <v>10000</v>
      </c>
      <c r="H23" s="3">
        <f t="shared" si="0"/>
        <v>10000</v>
      </c>
      <c r="I23" s="3"/>
      <c r="J23" s="3">
        <f t="shared" si="1"/>
        <v>10000</v>
      </c>
    </row>
    <row r="24" spans="1:10" x14ac:dyDescent="0.25">
      <c r="A24" s="3">
        <v>20</v>
      </c>
      <c r="B24" s="3" t="s">
        <v>55</v>
      </c>
      <c r="C24" s="3"/>
      <c r="D24" s="3">
        <v>250</v>
      </c>
      <c r="E24" s="3">
        <v>1350</v>
      </c>
      <c r="F24" s="3"/>
      <c r="G24" s="3">
        <v>10000</v>
      </c>
      <c r="H24" s="3">
        <f t="shared" si="0"/>
        <v>10000</v>
      </c>
      <c r="I24" s="3">
        <v>10000</v>
      </c>
      <c r="J24" s="3">
        <f t="shared" si="1"/>
        <v>0</v>
      </c>
    </row>
    <row r="25" spans="1:10" x14ac:dyDescent="0.25">
      <c r="A25" s="2"/>
      <c r="B25" s="2" t="s">
        <v>78</v>
      </c>
      <c r="C25" s="2"/>
      <c r="D25" s="2">
        <f t="shared" ref="D25:I25" si="2">SUM(D5:D24)</f>
        <v>2450</v>
      </c>
      <c r="E25" s="2">
        <f t="shared" si="2"/>
        <v>5450</v>
      </c>
      <c r="F25" s="2">
        <f t="shared" si="2"/>
        <v>3000</v>
      </c>
      <c r="G25" s="2">
        <f t="shared" si="2"/>
        <v>208000</v>
      </c>
      <c r="H25" s="2">
        <f t="shared" si="2"/>
        <v>211000</v>
      </c>
      <c r="I25" s="2">
        <f t="shared" si="2"/>
        <v>199200</v>
      </c>
      <c r="J25" s="2">
        <f t="shared" si="1"/>
        <v>11800</v>
      </c>
    </row>
    <row r="27" spans="1:10" x14ac:dyDescent="0.25">
      <c r="B27" s="4" t="s">
        <v>23</v>
      </c>
      <c r="C27" s="5"/>
      <c r="D27" s="6"/>
      <c r="E27" s="7"/>
      <c r="F27" s="8"/>
      <c r="G27" s="9"/>
      <c r="H27" s="8"/>
    </row>
    <row r="28" spans="1:10" x14ac:dyDescent="0.25">
      <c r="B28" s="1" t="s">
        <v>24</v>
      </c>
      <c r="C28" s="1"/>
      <c r="D28" s="1"/>
      <c r="E28" s="10"/>
      <c r="F28" s="1" t="s">
        <v>8</v>
      </c>
      <c r="G28" s="11"/>
      <c r="H28" s="11"/>
      <c r="I28" s="11"/>
    </row>
    <row r="29" spans="1:10" x14ac:dyDescent="0.25">
      <c r="B29" s="2" t="s">
        <v>25</v>
      </c>
      <c r="C29" s="2" t="s">
        <v>26</v>
      </c>
      <c r="D29" s="2" t="s">
        <v>27</v>
      </c>
      <c r="E29" s="2" t="s">
        <v>28</v>
      </c>
      <c r="F29" s="2" t="s">
        <v>25</v>
      </c>
      <c r="G29" s="2" t="s">
        <v>26</v>
      </c>
      <c r="H29" s="2" t="s">
        <v>27</v>
      </c>
      <c r="I29" s="2" t="s">
        <v>28</v>
      </c>
    </row>
    <row r="30" spans="1:10" x14ac:dyDescent="0.25">
      <c r="B30" s="12" t="s">
        <v>66</v>
      </c>
      <c r="C30" s="13">
        <f>G25</f>
        <v>208000</v>
      </c>
      <c r="D30" s="12"/>
      <c r="E30" s="12"/>
      <c r="F30" s="12" t="s">
        <v>66</v>
      </c>
      <c r="G30" s="13">
        <f>I25</f>
        <v>199200</v>
      </c>
      <c r="H30" s="12"/>
      <c r="I30" s="12"/>
    </row>
    <row r="31" spans="1:10" x14ac:dyDescent="0.25">
      <c r="B31" s="12" t="s">
        <v>5</v>
      </c>
      <c r="C31" s="13"/>
      <c r="D31" s="12"/>
      <c r="E31" s="12"/>
      <c r="F31" s="12" t="s">
        <v>5</v>
      </c>
      <c r="G31" s="13"/>
      <c r="H31" s="12"/>
      <c r="I31" s="12"/>
    </row>
    <row r="32" spans="1:10" x14ac:dyDescent="0.25">
      <c r="B32" s="12" t="s">
        <v>30</v>
      </c>
      <c r="C32" s="14">
        <v>0.06</v>
      </c>
      <c r="D32" s="13">
        <f>C30*C32</f>
        <v>12480</v>
      </c>
      <c r="E32" s="12"/>
      <c r="F32" s="12" t="s">
        <v>30</v>
      </c>
      <c r="G32" s="14">
        <v>0.06</v>
      </c>
      <c r="H32" s="13">
        <f>D32</f>
        <v>12480</v>
      </c>
      <c r="I32" s="12"/>
    </row>
    <row r="33" spans="2:9" x14ac:dyDescent="0.25">
      <c r="B33" s="15" t="s">
        <v>31</v>
      </c>
      <c r="C33" s="12" t="s">
        <v>32</v>
      </c>
      <c r="D33" s="12"/>
      <c r="E33" s="12"/>
      <c r="F33" s="15" t="s">
        <v>31</v>
      </c>
      <c r="G33" s="13"/>
      <c r="H33" s="12"/>
      <c r="I33" s="12"/>
    </row>
    <row r="34" spans="2:9" x14ac:dyDescent="0.25">
      <c r="B34" s="3"/>
      <c r="C34" s="3"/>
      <c r="D34" s="3"/>
      <c r="E34" s="3"/>
      <c r="F34" s="3"/>
      <c r="G34" s="12" t="s">
        <v>32</v>
      </c>
      <c r="H34" s="12"/>
      <c r="I34" s="12"/>
    </row>
    <row r="35" spans="2:9" x14ac:dyDescent="0.25">
      <c r="B35" s="3"/>
      <c r="C35" s="3"/>
      <c r="D35" s="3"/>
      <c r="E35" s="3"/>
      <c r="F35" s="3"/>
      <c r="G35" s="3"/>
      <c r="H35" s="3"/>
      <c r="I35" s="12"/>
    </row>
    <row r="36" spans="2:9" x14ac:dyDescent="0.25">
      <c r="B36" s="16"/>
      <c r="C36" s="12"/>
      <c r="D36" s="12"/>
      <c r="E36" s="12"/>
      <c r="F36" s="16"/>
      <c r="G36" s="12"/>
      <c r="H36" s="12"/>
      <c r="I36" s="12"/>
    </row>
    <row r="37" spans="2:9" x14ac:dyDescent="0.25">
      <c r="B37" s="17"/>
      <c r="C37" s="12"/>
      <c r="D37" s="12"/>
      <c r="E37" s="12"/>
      <c r="F37" s="3"/>
      <c r="G37" s="3"/>
      <c r="H37" s="3"/>
      <c r="I37" s="12"/>
    </row>
    <row r="38" spans="2:9" x14ac:dyDescent="0.25">
      <c r="B38" s="15" t="s">
        <v>33</v>
      </c>
      <c r="C38" s="18">
        <f>C30+C31</f>
        <v>208000</v>
      </c>
      <c r="D38" s="18">
        <f>SUM(D32:D37)</f>
        <v>12480</v>
      </c>
      <c r="E38" s="18">
        <f>C38-D38</f>
        <v>195520</v>
      </c>
      <c r="F38" s="15" t="s">
        <v>33</v>
      </c>
      <c r="G38" s="18">
        <f>G30+G31</f>
        <v>199200</v>
      </c>
      <c r="H38" s="18">
        <f>SUM(H32:H37)</f>
        <v>12480</v>
      </c>
      <c r="I38" s="13">
        <f>G38-H38</f>
        <v>186720</v>
      </c>
    </row>
    <row r="40" spans="2:9" x14ac:dyDescent="0.25">
      <c r="B40" t="s">
        <v>37</v>
      </c>
      <c r="D40" t="s">
        <v>39</v>
      </c>
      <c r="G40" t="s">
        <v>41</v>
      </c>
    </row>
    <row r="42" spans="2:9" x14ac:dyDescent="0.25">
      <c r="B42" t="s">
        <v>38</v>
      </c>
      <c r="D42" t="s">
        <v>40</v>
      </c>
      <c r="G42" t="s">
        <v>42</v>
      </c>
    </row>
    <row r="46" spans="2:9" x14ac:dyDescent="0.25">
      <c r="G46" s="1" t="s">
        <v>8</v>
      </c>
      <c r="H46" s="1" t="s">
        <v>61</v>
      </c>
    </row>
    <row r="47" spans="2:9" x14ac:dyDescent="0.25">
      <c r="B47">
        <v>1</v>
      </c>
      <c r="C47" s="1" t="s">
        <v>63</v>
      </c>
      <c r="D47" s="1"/>
      <c r="E47" s="1"/>
      <c r="F47" s="22">
        <f>AUGUST!H49</f>
        <v>9020</v>
      </c>
      <c r="G47" s="1"/>
      <c r="H47" s="1"/>
    </row>
    <row r="48" spans="2:9" x14ac:dyDescent="0.25">
      <c r="B48">
        <v>2</v>
      </c>
      <c r="C48" s="1" t="s">
        <v>64</v>
      </c>
      <c r="D48" s="1"/>
      <c r="E48" s="1"/>
      <c r="F48" s="22">
        <f>D32</f>
        <v>12480</v>
      </c>
      <c r="G48" s="1"/>
      <c r="H48" s="1"/>
    </row>
    <row r="49" spans="3:8" x14ac:dyDescent="0.25">
      <c r="C49" s="1"/>
      <c r="D49" s="1"/>
      <c r="E49" s="1"/>
      <c r="F49" s="22"/>
      <c r="G49" s="1"/>
      <c r="H49" s="1"/>
    </row>
    <row r="50" spans="3:8" x14ac:dyDescent="0.25">
      <c r="C50" s="1"/>
      <c r="D50" s="1" t="s">
        <v>33</v>
      </c>
      <c r="E50" s="1"/>
      <c r="F50" s="23">
        <f>SUM(F47:F49)</f>
        <v>21500</v>
      </c>
      <c r="G50" s="1">
        <v>10000</v>
      </c>
      <c r="H50" s="22">
        <f>F50-G50</f>
        <v>11500</v>
      </c>
    </row>
  </sheetData>
  <pageMargins left="0" right="0" top="0" bottom="0" header="0" footer="0.3"/>
  <pageSetup paperSize="5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28" workbookViewId="0">
      <selection activeCell="F32" sqref="F32"/>
    </sheetView>
  </sheetViews>
  <sheetFormatPr defaultRowHeight="15" x14ac:dyDescent="0.25"/>
  <cols>
    <col min="1" max="1" width="4.140625" customWidth="1"/>
    <col min="2" max="2" width="20.42578125" bestFit="1" customWidth="1"/>
    <col min="3" max="3" width="11.28515625" customWidth="1"/>
  </cols>
  <sheetData>
    <row r="1" spans="1:12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224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>
        <v>50</v>
      </c>
      <c r="F5" s="3">
        <f>'JULY 20'!J5:J29</f>
        <v>0</v>
      </c>
      <c r="G5" s="3">
        <v>12000</v>
      </c>
      <c r="H5" s="3">
        <f>C5+F5+G5</f>
        <v>12000</v>
      </c>
      <c r="I5" s="3">
        <f>7000+5000</f>
        <v>12000</v>
      </c>
      <c r="J5" s="3">
        <f>H5-I5</f>
        <v>0</v>
      </c>
      <c r="K5" s="3"/>
      <c r="L5" s="3">
        <f>600</f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'JULY 20'!J6:J30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187</v>
      </c>
      <c r="C7" s="3"/>
      <c r="D7" s="3">
        <v>200</v>
      </c>
      <c r="E7" s="3">
        <v>1050</v>
      </c>
      <c r="F7" s="3">
        <f>'JULY 20'!J7:J31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450</v>
      </c>
      <c r="F8" s="3">
        <f>'JULY 20'!J8:J32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3" t="s">
        <v>200</v>
      </c>
      <c r="C9" s="3"/>
      <c r="D9" s="3">
        <f>250</f>
        <v>250</v>
      </c>
      <c r="E9" s="3">
        <v>600</v>
      </c>
      <c r="F9" s="3">
        <f>'JULY 20'!J9:J33</f>
        <v>0</v>
      </c>
      <c r="G9" s="3">
        <v>10000</v>
      </c>
      <c r="H9" s="3">
        <f t="shared" si="0"/>
        <v>10000</v>
      </c>
      <c r="I9" s="3">
        <f>10000</f>
        <v>10000</v>
      </c>
      <c r="J9" s="3">
        <f t="shared" si="1"/>
        <v>0</v>
      </c>
      <c r="K9" s="3"/>
      <c r="L9" s="3">
        <v>600</v>
      </c>
    </row>
    <row r="10" spans="1:12" x14ac:dyDescent="0.25">
      <c r="A10" s="3">
        <v>6</v>
      </c>
      <c r="B10" s="3" t="s">
        <v>13</v>
      </c>
      <c r="C10" s="3"/>
      <c r="D10" s="3"/>
      <c r="E10" s="30">
        <v>600</v>
      </c>
      <c r="F10" s="3">
        <f>'JULY 20'!J10:J34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/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>
        <f>'JULY 20'!J11:J35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>
        <v>10000</v>
      </c>
      <c r="D12" s="3">
        <v>200</v>
      </c>
      <c r="E12" s="30"/>
      <c r="F12" s="3">
        <f>'JULY 20'!J12:J36</f>
        <v>0</v>
      </c>
      <c r="G12" s="3">
        <v>10000</v>
      </c>
      <c r="H12" s="3">
        <f t="shared" si="0"/>
        <v>20000</v>
      </c>
      <c r="I12" s="3">
        <v>20000</v>
      </c>
      <c r="J12" s="3">
        <f t="shared" si="1"/>
        <v>0</v>
      </c>
      <c r="K12" s="3">
        <v>1500</v>
      </c>
      <c r="L12" s="3">
        <v>600</v>
      </c>
    </row>
    <row r="13" spans="1:12" x14ac:dyDescent="0.25">
      <c r="A13" s="3">
        <v>9</v>
      </c>
      <c r="B13" s="3" t="s">
        <v>226</v>
      </c>
      <c r="C13" s="3"/>
      <c r="D13" s="3">
        <v>200</v>
      </c>
      <c r="E13" s="3">
        <v>750</v>
      </c>
      <c r="F13" s="3">
        <f>'JULY 20'!J13:J37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1200</v>
      </c>
    </row>
    <row r="14" spans="1:12" x14ac:dyDescent="0.25">
      <c r="A14" s="3">
        <v>10</v>
      </c>
      <c r="B14" s="3" t="s">
        <v>99</v>
      </c>
      <c r="C14" s="3"/>
      <c r="D14" s="3"/>
      <c r="E14" s="30"/>
      <c r="F14" s="3">
        <f>'JULY 20'!J14:J38</f>
        <v>10000</v>
      </c>
      <c r="G14" s="3"/>
      <c r="H14" s="3">
        <f>C14+F14+G14+10000</f>
        <v>20000</v>
      </c>
      <c r="I14" s="3"/>
      <c r="J14" s="3">
        <f>H14-I14</f>
        <v>20000</v>
      </c>
      <c r="K14" s="3"/>
      <c r="L14" s="3"/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1200</v>
      </c>
      <c r="F15" s="3">
        <f>'JULY 20'!J15:J39</f>
        <v>0</v>
      </c>
      <c r="G15" s="3">
        <v>12000</v>
      </c>
      <c r="H15" s="3">
        <f>C15+F15+G15</f>
        <v>12000</v>
      </c>
      <c r="I15" s="3"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>
        <f>'JULY 20'!J16:J40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</row>
    <row r="17" spans="1:16" x14ac:dyDescent="0.25">
      <c r="A17" s="3">
        <v>13</v>
      </c>
      <c r="B17" s="12" t="s">
        <v>192</v>
      </c>
      <c r="C17" s="3"/>
      <c r="D17" s="3">
        <v>250</v>
      </c>
      <c r="E17" s="30">
        <v>450</v>
      </c>
      <c r="F17" s="3">
        <f>'JULY 20'!J17:J41</f>
        <v>0</v>
      </c>
      <c r="G17" s="3">
        <v>10000</v>
      </c>
      <c r="H17" s="3">
        <f t="shared" si="0"/>
        <v>10000</v>
      </c>
      <c r="I17" s="3">
        <f>3000+7000</f>
        <v>10000</v>
      </c>
      <c r="J17" s="3">
        <f>H17-I17</f>
        <v>0</v>
      </c>
      <c r="K17" s="3"/>
      <c r="L17" s="3">
        <v>600</v>
      </c>
    </row>
    <row r="18" spans="1:16" x14ac:dyDescent="0.25">
      <c r="A18" s="3">
        <v>14</v>
      </c>
      <c r="B18" s="12" t="s">
        <v>70</v>
      </c>
      <c r="C18" s="3"/>
      <c r="D18" s="43">
        <v>200</v>
      </c>
      <c r="E18" s="3">
        <v>300</v>
      </c>
      <c r="F18" s="3">
        <f>'JULY 20'!J18:J42</f>
        <v>0</v>
      </c>
      <c r="G18" s="3">
        <v>10000</v>
      </c>
      <c r="H18" s="3">
        <f t="shared" si="0"/>
        <v>10000</v>
      </c>
      <c r="I18" s="3">
        <f>7000+3000</f>
        <v>10000</v>
      </c>
      <c r="J18" s="3">
        <f>H18-I18</f>
        <v>0</v>
      </c>
      <c r="K18" s="3"/>
      <c r="L18" s="3">
        <v>600</v>
      </c>
    </row>
    <row r="19" spans="1:16" x14ac:dyDescent="0.25">
      <c r="A19" s="3">
        <v>15</v>
      </c>
      <c r="B19" s="3" t="s">
        <v>158</v>
      </c>
      <c r="C19" s="3"/>
      <c r="D19" s="3"/>
      <c r="E19" s="3">
        <v>275</v>
      </c>
      <c r="F19" s="3">
        <f>'JULY 20'!J19:J43</f>
        <v>0</v>
      </c>
      <c r="G19" s="3">
        <v>10000</v>
      </c>
      <c r="H19" s="3">
        <f>C19+F19+G19</f>
        <v>10000</v>
      </c>
      <c r="I19" s="3">
        <f>5300+4700</f>
        <v>10000</v>
      </c>
      <c r="J19" s="3">
        <f t="shared" si="1"/>
        <v>0</v>
      </c>
      <c r="K19" s="3"/>
      <c r="L19" s="3">
        <v>600</v>
      </c>
    </row>
    <row r="20" spans="1:16" x14ac:dyDescent="0.25">
      <c r="A20" s="3">
        <v>16</v>
      </c>
      <c r="B20" s="3" t="s">
        <v>12</v>
      </c>
      <c r="C20" s="3"/>
      <c r="D20" s="3">
        <v>200</v>
      </c>
      <c r="E20" s="3">
        <v>750</v>
      </c>
      <c r="F20" s="3">
        <f>'JULY 20'!J20:J44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6" x14ac:dyDescent="0.25">
      <c r="A21" s="3">
        <v>17</v>
      </c>
      <c r="B21" s="15" t="s">
        <v>222</v>
      </c>
      <c r="C21" s="3"/>
      <c r="D21" s="3">
        <v>250</v>
      </c>
      <c r="E21" s="3">
        <v>1650</v>
      </c>
      <c r="F21" s="3">
        <f>'JULY 20'!J21:J45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6" x14ac:dyDescent="0.25">
      <c r="A22" s="3">
        <v>18</v>
      </c>
      <c r="B22" s="3" t="s">
        <v>214</v>
      </c>
      <c r="C22" s="3"/>
      <c r="D22" s="3"/>
      <c r="E22" s="3"/>
      <c r="F22" s="3">
        <f>'JULY 20'!J22:J46</f>
        <v>0</v>
      </c>
      <c r="G22" s="3"/>
      <c r="H22" s="3">
        <f>C22+F22+G22</f>
        <v>0</v>
      </c>
      <c r="I22" s="3"/>
      <c r="J22" s="3">
        <f>H22-I22</f>
        <v>0</v>
      </c>
      <c r="K22" s="3"/>
      <c r="L22" s="3"/>
      <c r="P22">
        <f>3600/30</f>
        <v>120</v>
      </c>
    </row>
    <row r="23" spans="1:16" x14ac:dyDescent="0.25">
      <c r="A23" s="3">
        <v>19</v>
      </c>
      <c r="B23" s="3" t="s">
        <v>214</v>
      </c>
      <c r="C23" s="3"/>
      <c r="D23" s="3"/>
      <c r="E23" s="30"/>
      <c r="F23" s="3">
        <f>'JULY 20'!J23:J47</f>
        <v>0</v>
      </c>
      <c r="G23" s="3"/>
      <c r="H23" s="3">
        <f t="shared" si="0"/>
        <v>0</v>
      </c>
      <c r="I23" s="3"/>
      <c r="J23" s="3">
        <f>H23-I23</f>
        <v>0</v>
      </c>
      <c r="K23" s="3"/>
      <c r="L23" s="3"/>
      <c r="P23">
        <f>P22*8</f>
        <v>960</v>
      </c>
    </row>
    <row r="24" spans="1:16" x14ac:dyDescent="0.25">
      <c r="A24" s="3">
        <v>20</v>
      </c>
      <c r="B24" s="3" t="s">
        <v>214</v>
      </c>
      <c r="C24" s="3"/>
      <c r="D24" s="3"/>
      <c r="E24" s="30"/>
      <c r="F24" s="3">
        <f>'JULY 20'!J24:J48</f>
        <v>0</v>
      </c>
      <c r="G24" s="3"/>
      <c r="H24" s="3">
        <f t="shared" si="0"/>
        <v>0</v>
      </c>
      <c r="I24" s="3"/>
      <c r="J24" s="3">
        <f t="shared" ref="J24:J29" si="2">H24-I24</f>
        <v>0</v>
      </c>
      <c r="K24" s="3"/>
      <c r="L24" s="3"/>
    </row>
    <row r="25" spans="1:16" x14ac:dyDescent="0.25">
      <c r="A25" s="3">
        <v>21</v>
      </c>
      <c r="B25" s="3" t="s">
        <v>202</v>
      </c>
      <c r="C25" s="3"/>
      <c r="D25" s="3">
        <v>250</v>
      </c>
      <c r="E25" s="30">
        <v>150</v>
      </c>
      <c r="F25" s="3">
        <f>'JULY 20'!J25:J49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6" x14ac:dyDescent="0.25">
      <c r="A26" s="3">
        <v>22</v>
      </c>
      <c r="B26" s="3" t="s">
        <v>207</v>
      </c>
      <c r="C26" s="3"/>
      <c r="D26" s="3">
        <v>250</v>
      </c>
      <c r="E26" s="3">
        <v>600</v>
      </c>
      <c r="F26" s="3">
        <f>'JULY 20'!J26:J50</f>
        <v>0</v>
      </c>
      <c r="G26" s="3">
        <v>10000</v>
      </c>
      <c r="H26" s="3">
        <f t="shared" si="0"/>
        <v>10000</v>
      </c>
      <c r="I26" s="3">
        <v>10000</v>
      </c>
      <c r="J26" s="3">
        <f t="shared" si="2"/>
        <v>0</v>
      </c>
      <c r="K26" s="3"/>
      <c r="L26" s="3">
        <v>600</v>
      </c>
    </row>
    <row r="27" spans="1:16" x14ac:dyDescent="0.25">
      <c r="A27" s="3">
        <v>23</v>
      </c>
      <c r="B27" s="3" t="s">
        <v>204</v>
      </c>
      <c r="C27" s="3"/>
      <c r="D27" s="3">
        <v>250</v>
      </c>
      <c r="E27" s="30">
        <v>750</v>
      </c>
      <c r="F27" s="3">
        <f>'JULY 20'!J27:J51</f>
        <v>0</v>
      </c>
      <c r="G27" s="3">
        <v>10000</v>
      </c>
      <c r="H27" s="3">
        <f t="shared" si="0"/>
        <v>10000</v>
      </c>
      <c r="I27" s="3">
        <v>10000</v>
      </c>
      <c r="J27" s="3">
        <f t="shared" si="2"/>
        <v>0</v>
      </c>
      <c r="K27" s="3"/>
      <c r="L27" s="3">
        <v>600</v>
      </c>
      <c r="P27">
        <f>3600/30</f>
        <v>120</v>
      </c>
    </row>
    <row r="28" spans="1:16" x14ac:dyDescent="0.25">
      <c r="A28" s="3">
        <v>24</v>
      </c>
      <c r="B28" s="3" t="s">
        <v>220</v>
      </c>
      <c r="C28" s="3"/>
      <c r="D28" s="3">
        <v>200</v>
      </c>
      <c r="E28" s="30"/>
      <c r="F28" s="3">
        <f>'JULY 20'!J28:J52</f>
        <v>0</v>
      </c>
      <c r="G28" s="3">
        <v>10000</v>
      </c>
      <c r="H28" s="3">
        <f t="shared" si="0"/>
        <v>10000</v>
      </c>
      <c r="I28" s="3">
        <v>10000</v>
      </c>
      <c r="J28" s="3">
        <f t="shared" si="2"/>
        <v>0</v>
      </c>
      <c r="K28" s="3"/>
      <c r="L28" s="3">
        <v>600</v>
      </c>
      <c r="P28">
        <f>P27*8</f>
        <v>960</v>
      </c>
    </row>
    <row r="29" spans="1:16" x14ac:dyDescent="0.25">
      <c r="A29" s="3">
        <v>25</v>
      </c>
      <c r="B29" s="3" t="s">
        <v>55</v>
      </c>
      <c r="C29" s="3"/>
      <c r="D29" s="3"/>
      <c r="E29" s="3"/>
      <c r="F29" s="3">
        <f>'JULY 20'!J29:J53</f>
        <v>0</v>
      </c>
      <c r="G29" s="3">
        <v>10000</v>
      </c>
      <c r="H29" s="3">
        <f t="shared" si="0"/>
        <v>10000</v>
      </c>
      <c r="I29" s="3">
        <v>10000</v>
      </c>
      <c r="J29" s="3">
        <f t="shared" si="2"/>
        <v>0</v>
      </c>
      <c r="K29" s="3"/>
      <c r="L29" s="3"/>
    </row>
    <row r="30" spans="1:16" x14ac:dyDescent="0.25">
      <c r="A30" s="2"/>
      <c r="B30" s="2" t="s">
        <v>33</v>
      </c>
      <c r="C30" s="2">
        <f t="shared" ref="C30:I30" si="3">SUM(C5:C29)</f>
        <v>10000</v>
      </c>
      <c r="D30" s="2">
        <f t="shared" si="3"/>
        <v>3700</v>
      </c>
      <c r="E30" s="2">
        <f>SUM(E5:E29)</f>
        <v>11725</v>
      </c>
      <c r="F30" s="3">
        <f>SUM(F5:F29)</f>
        <v>10000</v>
      </c>
      <c r="G30" s="2">
        <f t="shared" si="3"/>
        <v>220000</v>
      </c>
      <c r="H30" s="2">
        <f>SUM(H5:H29)</f>
        <v>250000</v>
      </c>
      <c r="I30" s="2">
        <f t="shared" si="3"/>
        <v>230000</v>
      </c>
      <c r="J30" s="2">
        <f>SUM(J5:J29)</f>
        <v>20000</v>
      </c>
      <c r="K30" s="2">
        <f>SUM(K5:K29)</f>
        <v>1500</v>
      </c>
      <c r="L30" s="2">
        <f>SUM(L5:L29)</f>
        <v>12000</v>
      </c>
    </row>
    <row r="31" spans="1:16" x14ac:dyDescent="0.25">
      <c r="A31" s="7"/>
      <c r="B31" s="7"/>
      <c r="C31" s="7"/>
      <c r="D31" s="7"/>
      <c r="E31" s="7"/>
      <c r="F31" s="7"/>
      <c r="G31" s="40"/>
      <c r="H31" s="30"/>
      <c r="I31" s="30"/>
      <c r="J31" s="7"/>
    </row>
    <row r="32" spans="1:16" x14ac:dyDescent="0.25">
      <c r="B32" s="31" t="s">
        <v>23</v>
      </c>
      <c r="C32" s="32"/>
      <c r="D32" s="6"/>
      <c r="E32" s="33"/>
      <c r="F32" s="40"/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146</v>
      </c>
      <c r="C35" s="38">
        <f>C30+G30</f>
        <v>230000</v>
      </c>
      <c r="D35" s="30"/>
      <c r="E35" s="30"/>
      <c r="F35" s="30" t="s">
        <v>146</v>
      </c>
      <c r="G35" s="38">
        <f>I30</f>
        <v>230000</v>
      </c>
      <c r="H35" s="30"/>
      <c r="I35" s="30"/>
    </row>
    <row r="36" spans="2:13" x14ac:dyDescent="0.25">
      <c r="B36" s="30" t="s">
        <v>5</v>
      </c>
      <c r="C36" s="38">
        <f>'JULY 20'!E49</f>
        <v>8569.9799999999814</v>
      </c>
      <c r="D36" s="30"/>
      <c r="E36" s="30"/>
      <c r="F36" s="30" t="s">
        <v>5</v>
      </c>
      <c r="G36" s="38">
        <f>'JULY 20'!I49</f>
        <v>-1430.0200000000186</v>
      </c>
      <c r="H36" s="30"/>
      <c r="I36" s="30"/>
    </row>
    <row r="37" spans="2:13" x14ac:dyDescent="0.25">
      <c r="B37" s="30" t="s">
        <v>35</v>
      </c>
      <c r="C37" s="38">
        <f>E30</f>
        <v>11725</v>
      </c>
      <c r="D37" s="30"/>
      <c r="E37" s="30"/>
      <c r="F37" s="30" t="s">
        <v>35</v>
      </c>
      <c r="G37" s="38">
        <f>E30</f>
        <v>11725</v>
      </c>
      <c r="H37" s="30"/>
      <c r="I37" s="30"/>
    </row>
    <row r="38" spans="2:13" x14ac:dyDescent="0.25">
      <c r="B38" s="30" t="s">
        <v>86</v>
      </c>
      <c r="C38" s="38">
        <f>K30</f>
        <v>1500</v>
      </c>
      <c r="D38" s="30"/>
      <c r="E38" s="30"/>
      <c r="F38" s="30" t="s">
        <v>86</v>
      </c>
      <c r="G38" s="38">
        <f>C38</f>
        <v>1500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12000</v>
      </c>
      <c r="D39" s="30"/>
      <c r="E39" s="30"/>
      <c r="F39" s="30" t="s">
        <v>88</v>
      </c>
      <c r="G39" s="38">
        <f>L30</f>
        <v>12000</v>
      </c>
      <c r="H39" s="30"/>
      <c r="I39" s="30"/>
      <c r="M39" s="24"/>
    </row>
    <row r="40" spans="2:13" x14ac:dyDescent="0.25">
      <c r="B40" s="30" t="s">
        <v>30</v>
      </c>
      <c r="C40" s="39">
        <v>0.06</v>
      </c>
      <c r="D40" s="38">
        <f>C40*C35</f>
        <v>13800</v>
      </c>
      <c r="E40" s="30"/>
      <c r="F40" s="30" t="s">
        <v>30</v>
      </c>
      <c r="G40" s="39">
        <v>0.06</v>
      </c>
      <c r="H40" s="38">
        <f>G40*C35</f>
        <v>13800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227</v>
      </c>
      <c r="D43" s="30">
        <v>224000</v>
      </c>
      <c r="E43" s="30"/>
      <c r="F43" s="46" t="s">
        <v>227</v>
      </c>
      <c r="H43" s="30">
        <v>224000</v>
      </c>
      <c r="I43" s="30"/>
      <c r="M43" s="24"/>
    </row>
    <row r="44" spans="2:13" x14ac:dyDescent="0.25">
      <c r="B44" s="3"/>
      <c r="C44" s="40"/>
      <c r="E44" s="3"/>
      <c r="F44" s="3"/>
      <c r="G44" s="40"/>
      <c r="I44" s="30"/>
      <c r="M44" s="24"/>
    </row>
    <row r="45" spans="2:13" x14ac:dyDescent="0.25">
      <c r="B45" s="3"/>
      <c r="C45" s="30"/>
      <c r="D45" s="30"/>
      <c r="E45" s="30"/>
      <c r="F45" s="3"/>
      <c r="G45" s="30"/>
      <c r="H45" s="30"/>
      <c r="I45" s="30"/>
      <c r="J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249994.97999999998</v>
      </c>
      <c r="D49" s="42">
        <f>SUM(D42:D48)</f>
        <v>234000</v>
      </c>
      <c r="E49" s="42">
        <f>C49-D49</f>
        <v>15994.979999999981</v>
      </c>
      <c r="F49" s="37" t="s">
        <v>33</v>
      </c>
      <c r="G49" s="42">
        <f>G35+G36+G37+G38+G39-H40</f>
        <v>239994.97999999998</v>
      </c>
      <c r="H49" s="42">
        <f>SUM(H42:H48)</f>
        <v>234000</v>
      </c>
      <c r="I49" s="42">
        <f>G49-H49</f>
        <v>5994.9799999999814</v>
      </c>
    </row>
    <row r="50" spans="2:11" x14ac:dyDescent="0.25">
      <c r="B50" t="s">
        <v>37</v>
      </c>
      <c r="D50" t="s">
        <v>39</v>
      </c>
      <c r="G50" t="s">
        <v>41</v>
      </c>
    </row>
    <row r="52" spans="2:11" x14ac:dyDescent="0.25">
      <c r="B52" t="s">
        <v>137</v>
      </c>
      <c r="D52" t="s">
        <v>40</v>
      </c>
      <c r="G52" t="s">
        <v>42</v>
      </c>
      <c r="I52">
        <f>1000-250</f>
        <v>750</v>
      </c>
    </row>
    <row r="53" spans="2:11" x14ac:dyDescent="0.25">
      <c r="C53" s="1"/>
      <c r="D53" s="1"/>
      <c r="E53" s="1"/>
      <c r="F53" s="22"/>
      <c r="G53" s="1"/>
      <c r="H53" s="22"/>
      <c r="K53" s="2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7"/>
  <sheetViews>
    <sheetView topLeftCell="A16" workbookViewId="0">
      <selection activeCell="J37" sqref="J37"/>
    </sheetView>
  </sheetViews>
  <sheetFormatPr defaultRowHeight="15" x14ac:dyDescent="0.25"/>
  <cols>
    <col min="1" max="1" width="4.140625" customWidth="1"/>
    <col min="2" max="2" width="16.28515625" customWidth="1"/>
    <col min="3" max="4" width="7.28515625" customWidth="1"/>
    <col min="6" max="6" width="7.85546875" customWidth="1"/>
    <col min="7" max="7" width="8.140625" customWidth="1"/>
    <col min="10" max="10" width="7.28515625" customWidth="1"/>
    <col min="11" max="11" width="9" customWidth="1"/>
    <col min="12" max="12" width="9.42578125" customWidth="1"/>
  </cols>
  <sheetData>
    <row r="1" spans="1:12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229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>
        <v>100</v>
      </c>
      <c r="F5" s="3">
        <f>'AUGUST 20'!J5:J31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'AUGUST 20'!J6:J32</f>
        <v>0</v>
      </c>
      <c r="G6" s="3">
        <v>10000</v>
      </c>
      <c r="H6" s="3">
        <f t="shared" ref="H6:H29" si="0">C6+F6+G6</f>
        <v>10000</v>
      </c>
      <c r="I6" s="3">
        <f>10000</f>
        <v>10000</v>
      </c>
      <c r="J6" s="3">
        <f>H6-I6</f>
        <v>0</v>
      </c>
      <c r="K6" s="3"/>
      <c r="L6" s="3">
        <v>600</v>
      </c>
    </row>
    <row r="7" spans="1:12" ht="18" customHeight="1" x14ac:dyDescent="0.25">
      <c r="A7" s="3">
        <v>3</v>
      </c>
      <c r="B7" s="3" t="s">
        <v>187</v>
      </c>
      <c r="C7" s="3"/>
      <c r="D7" s="3">
        <v>200</v>
      </c>
      <c r="E7" s="3">
        <v>1350</v>
      </c>
      <c r="F7" s="3">
        <f>'AUGUST 20'!J7:J33</f>
        <v>0</v>
      </c>
      <c r="G7" s="3">
        <v>10000</v>
      </c>
      <c r="H7" s="3">
        <f t="shared" si="0"/>
        <v>10000</v>
      </c>
      <c r="I7" s="3">
        <f>10000</f>
        <v>10000</v>
      </c>
      <c r="J7" s="3">
        <f t="shared" ref="J7:J21" si="1">H7-I7</f>
        <v>0</v>
      </c>
      <c r="K7" s="3"/>
      <c r="L7" s="3">
        <v>600</v>
      </c>
    </row>
    <row r="8" spans="1:12" ht="15" customHeight="1" x14ac:dyDescent="0.25">
      <c r="A8" s="3">
        <v>4</v>
      </c>
      <c r="B8" s="3" t="s">
        <v>89</v>
      </c>
      <c r="C8" s="3"/>
      <c r="D8" s="3">
        <v>200</v>
      </c>
      <c r="E8" s="3">
        <v>200</v>
      </c>
      <c r="F8" s="3">
        <f>'AUGUST 20'!J8:J34</f>
        <v>0</v>
      </c>
      <c r="G8" s="3">
        <v>10000</v>
      </c>
      <c r="H8" s="3">
        <f t="shared" si="0"/>
        <v>10000</v>
      </c>
      <c r="I8" s="3">
        <f>10000</f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3" t="s">
        <v>214</v>
      </c>
      <c r="C9" s="3"/>
      <c r="D9" s="3"/>
      <c r="E9" s="3"/>
      <c r="F9" s="3">
        <f>'AUGUST 20'!J9:J35</f>
        <v>0</v>
      </c>
      <c r="G9" s="3"/>
      <c r="H9" s="3">
        <f t="shared" si="0"/>
        <v>0</v>
      </c>
      <c r="I9" s="3"/>
      <c r="J9" s="3">
        <f t="shared" si="1"/>
        <v>0</v>
      </c>
      <c r="K9" s="3"/>
      <c r="L9" s="3"/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300</v>
      </c>
      <c r="F10" s="3">
        <f>'AUGUST 20'!J10:J36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>
        <f>'AUGUST 20'!J11:J37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>
        <v>200</v>
      </c>
      <c r="E12" s="30">
        <v>900</v>
      </c>
      <c r="F12" s="3">
        <f>'AUGUST 20'!J12:J38</f>
        <v>0</v>
      </c>
      <c r="G12" s="3">
        <v>10000</v>
      </c>
      <c r="H12" s="3">
        <f t="shared" si="0"/>
        <v>10000</v>
      </c>
      <c r="I12" s="3">
        <f>8000+2000</f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>
        <v>200</v>
      </c>
      <c r="E13" s="3"/>
      <c r="F13" s="3">
        <f>'AUGUST 20'!J13:J39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/>
      <c r="E14" s="30"/>
      <c r="F14" s="3">
        <f>'AUGUST 20'!J14:J40</f>
        <v>20000</v>
      </c>
      <c r="G14" s="3"/>
      <c r="H14" s="3">
        <f>C14+F14+G14+10000</f>
        <v>30000</v>
      </c>
      <c r="I14" s="3"/>
      <c r="J14" s="3">
        <f t="shared" ref="J14:J19" si="2">H14-I14</f>
        <v>30000</v>
      </c>
      <c r="K14" s="3"/>
      <c r="L14" s="3"/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150</v>
      </c>
      <c r="F15" s="3">
        <f>'AUGUST 20'!J15:J41</f>
        <v>0</v>
      </c>
      <c r="G15" s="3">
        <v>12000</v>
      </c>
      <c r="H15" s="3">
        <f>C15+F15+G15</f>
        <v>12000</v>
      </c>
      <c r="I15" s="3">
        <v>12000</v>
      </c>
      <c r="J15" s="3">
        <f t="shared" si="2"/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750</v>
      </c>
      <c r="F16" s="3">
        <f>'AUGUST 20'!J16:J42</f>
        <v>0</v>
      </c>
      <c r="G16" s="3">
        <v>10000</v>
      </c>
      <c r="H16" s="3">
        <f t="shared" si="0"/>
        <v>10000</v>
      </c>
      <c r="I16" s="3">
        <v>10000</v>
      </c>
      <c r="J16" s="3">
        <f t="shared" si="2"/>
        <v>0</v>
      </c>
      <c r="K16" s="3"/>
      <c r="L16" s="3">
        <v>600</v>
      </c>
    </row>
    <row r="17" spans="1:12" x14ac:dyDescent="0.25">
      <c r="A17" s="3">
        <v>13</v>
      </c>
      <c r="B17" s="12" t="s">
        <v>192</v>
      </c>
      <c r="C17" s="3"/>
      <c r="D17" s="3"/>
      <c r="E17" s="30"/>
      <c r="F17" s="3">
        <f>'AUGUST 20'!J17:J43</f>
        <v>0</v>
      </c>
      <c r="G17" s="3">
        <v>10000</v>
      </c>
      <c r="H17" s="3">
        <f t="shared" si="0"/>
        <v>10000</v>
      </c>
      <c r="I17" s="3"/>
      <c r="J17" s="3">
        <f t="shared" si="2"/>
        <v>10000</v>
      </c>
      <c r="K17" s="3"/>
      <c r="L17" s="3"/>
    </row>
    <row r="18" spans="1:12" x14ac:dyDescent="0.25">
      <c r="A18" s="3">
        <v>14</v>
      </c>
      <c r="B18" s="12" t="s">
        <v>70</v>
      </c>
      <c r="C18" s="3"/>
      <c r="D18" s="43">
        <v>200</v>
      </c>
      <c r="E18" s="3">
        <v>150</v>
      </c>
      <c r="F18" s="3">
        <f>'AUGUST 20'!J18:J44</f>
        <v>0</v>
      </c>
      <c r="G18" s="3">
        <v>10000</v>
      </c>
      <c r="H18" s="3">
        <f t="shared" si="0"/>
        <v>10000</v>
      </c>
      <c r="I18" s="3">
        <f>10000</f>
        <v>10000</v>
      </c>
      <c r="J18" s="3">
        <f t="shared" si="2"/>
        <v>0</v>
      </c>
      <c r="K18" s="3"/>
      <c r="L18" s="3">
        <v>600</v>
      </c>
    </row>
    <row r="19" spans="1:12" x14ac:dyDescent="0.25">
      <c r="A19" s="3">
        <v>15</v>
      </c>
      <c r="B19" s="3" t="s">
        <v>158</v>
      </c>
      <c r="C19" s="3"/>
      <c r="D19" s="3"/>
      <c r="E19" s="3"/>
      <c r="F19" s="3">
        <f>'AUGUST 20'!J19:J45</f>
        <v>0</v>
      </c>
      <c r="G19" s="3">
        <v>10000</v>
      </c>
      <c r="H19" s="3">
        <f>C19+F19+G19</f>
        <v>10000</v>
      </c>
      <c r="I19" s="3">
        <f>2500+3500+4000</f>
        <v>10000</v>
      </c>
      <c r="J19" s="3">
        <f t="shared" si="2"/>
        <v>0</v>
      </c>
      <c r="K19" s="3"/>
      <c r="L19" s="3">
        <v>600</v>
      </c>
    </row>
    <row r="20" spans="1:12" x14ac:dyDescent="0.25">
      <c r="A20" s="3">
        <v>16</v>
      </c>
      <c r="B20" s="3" t="s">
        <v>12</v>
      </c>
      <c r="C20" s="3"/>
      <c r="D20" s="3">
        <v>200</v>
      </c>
      <c r="E20" s="3">
        <v>450</v>
      </c>
      <c r="F20" s="3">
        <f>'AUGUST 20'!J20:J46</f>
        <v>0</v>
      </c>
      <c r="G20" s="3">
        <v>12000</v>
      </c>
      <c r="H20" s="3">
        <f>C20+F20+G20</f>
        <v>12000</v>
      </c>
      <c r="I20" s="3">
        <f>12000</f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15" t="s">
        <v>222</v>
      </c>
      <c r="C21" s="3"/>
      <c r="D21" s="3">
        <v>200</v>
      </c>
      <c r="E21" s="3">
        <v>1650</v>
      </c>
      <c r="F21" s="3">
        <f>'AUGUST 20'!J21:J47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220</v>
      </c>
      <c r="C22" s="3"/>
      <c r="D22" s="3">
        <v>250</v>
      </c>
      <c r="E22" s="3">
        <v>600</v>
      </c>
      <c r="F22" s="3">
        <f>'AUGUST 20'!J22:J48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/>
    </row>
    <row r="23" spans="1:12" x14ac:dyDescent="0.25">
      <c r="A23" s="3">
        <v>19</v>
      </c>
      <c r="B23" s="3" t="s">
        <v>214</v>
      </c>
      <c r="C23" s="3"/>
      <c r="D23" s="3"/>
      <c r="E23" s="30"/>
      <c r="F23" s="3">
        <f>'AUGUST 20'!J23:J49</f>
        <v>0</v>
      </c>
      <c r="G23" s="3"/>
      <c r="H23" s="3">
        <f t="shared" si="0"/>
        <v>0</v>
      </c>
      <c r="I23" s="3"/>
      <c r="J23" s="3">
        <f>H23-I23</f>
        <v>0</v>
      </c>
      <c r="K23" s="3"/>
      <c r="L23" s="3"/>
    </row>
    <row r="24" spans="1:12" x14ac:dyDescent="0.25">
      <c r="A24" s="3">
        <v>20</v>
      </c>
      <c r="B24" s="3"/>
      <c r="C24" s="3"/>
      <c r="D24" s="3"/>
      <c r="E24" s="30"/>
      <c r="F24" s="3">
        <f>'AUGUST 20'!J24:J50</f>
        <v>0</v>
      </c>
      <c r="G24" s="3"/>
      <c r="H24" s="3">
        <f t="shared" si="0"/>
        <v>0</v>
      </c>
      <c r="I24" s="3"/>
      <c r="J24" s="3">
        <f t="shared" ref="J24:J29" si="3">H24-I24</f>
        <v>0</v>
      </c>
      <c r="K24" s="3"/>
      <c r="L24" s="3"/>
    </row>
    <row r="25" spans="1:12" x14ac:dyDescent="0.25">
      <c r="A25" s="3">
        <v>21</v>
      </c>
      <c r="B25" s="3" t="s">
        <v>202</v>
      </c>
      <c r="C25" s="3"/>
      <c r="D25" s="3">
        <v>250</v>
      </c>
      <c r="E25" s="30">
        <v>250</v>
      </c>
      <c r="F25" s="3">
        <f>'AUGUST 20'!J25:J51</f>
        <v>0</v>
      </c>
      <c r="G25" s="3">
        <v>12000</v>
      </c>
      <c r="H25" s="3">
        <f t="shared" si="0"/>
        <v>12000</v>
      </c>
      <c r="I25" s="3">
        <f>12000</f>
        <v>12000</v>
      </c>
      <c r="J25" s="3">
        <f t="shared" si="3"/>
        <v>0</v>
      </c>
      <c r="K25" s="3"/>
      <c r="L25" s="3">
        <v>600</v>
      </c>
    </row>
    <row r="26" spans="1:12" x14ac:dyDescent="0.25">
      <c r="A26" s="3">
        <v>22</v>
      </c>
      <c r="B26" s="3" t="s">
        <v>215</v>
      </c>
      <c r="C26" s="3"/>
      <c r="D26" s="3"/>
      <c r="E26" s="3"/>
      <c r="F26" s="3">
        <f>'AUGUST 20'!J26:J52</f>
        <v>0</v>
      </c>
      <c r="G26" s="3"/>
      <c r="H26" s="3">
        <f t="shared" si="0"/>
        <v>0</v>
      </c>
      <c r="I26" s="3"/>
      <c r="J26" s="3">
        <f t="shared" si="3"/>
        <v>0</v>
      </c>
      <c r="K26" s="3"/>
      <c r="L26" s="3"/>
    </row>
    <row r="27" spans="1:12" x14ac:dyDescent="0.25">
      <c r="A27" s="3">
        <v>23</v>
      </c>
      <c r="B27" s="3" t="s">
        <v>204</v>
      </c>
      <c r="C27" s="3"/>
      <c r="D27" s="3">
        <v>250</v>
      </c>
      <c r="E27" s="30">
        <v>450</v>
      </c>
      <c r="F27" s="3">
        <f>'AUGUST 20'!J27:J53</f>
        <v>0</v>
      </c>
      <c r="G27" s="3">
        <v>10000</v>
      </c>
      <c r="H27" s="3">
        <f t="shared" si="0"/>
        <v>10000</v>
      </c>
      <c r="I27" s="3">
        <f>10000</f>
        <v>10000</v>
      </c>
      <c r="J27" s="3">
        <f t="shared" si="3"/>
        <v>0</v>
      </c>
      <c r="K27" s="3"/>
      <c r="L27" s="3">
        <v>600</v>
      </c>
    </row>
    <row r="28" spans="1:12" x14ac:dyDescent="0.25">
      <c r="A28" s="3">
        <v>24</v>
      </c>
      <c r="B28" s="3" t="s">
        <v>230</v>
      </c>
      <c r="C28" s="3">
        <v>10000</v>
      </c>
      <c r="D28" s="3">
        <v>250</v>
      </c>
      <c r="E28" s="30"/>
      <c r="F28" s="3">
        <f>'AUGUST 20'!J28:J54</f>
        <v>0</v>
      </c>
      <c r="G28" s="3">
        <v>10000</v>
      </c>
      <c r="H28" s="3">
        <f t="shared" si="0"/>
        <v>20000</v>
      </c>
      <c r="I28" s="3">
        <v>20000</v>
      </c>
      <c r="J28" s="3">
        <f t="shared" si="3"/>
        <v>0</v>
      </c>
      <c r="K28" s="3"/>
      <c r="L28" s="3">
        <v>600</v>
      </c>
    </row>
    <row r="29" spans="1:12" x14ac:dyDescent="0.25">
      <c r="A29" s="3">
        <v>25</v>
      </c>
      <c r="B29" s="3" t="s">
        <v>55</v>
      </c>
      <c r="C29" s="3"/>
      <c r="D29" s="3">
        <v>200</v>
      </c>
      <c r="E29" s="3">
        <v>450</v>
      </c>
      <c r="F29" s="3">
        <f>'AUGUST 20'!J29:J55</f>
        <v>0</v>
      </c>
      <c r="G29" s="3">
        <v>10000</v>
      </c>
      <c r="H29" s="3">
        <f t="shared" si="0"/>
        <v>10000</v>
      </c>
      <c r="I29" s="3">
        <v>10000</v>
      </c>
      <c r="J29" s="3">
        <f t="shared" si="3"/>
        <v>0</v>
      </c>
      <c r="K29" s="3"/>
      <c r="L29" s="3">
        <v>600</v>
      </c>
    </row>
    <row r="30" spans="1:12" x14ac:dyDescent="0.25">
      <c r="A30" s="2"/>
      <c r="B30" s="2" t="s">
        <v>33</v>
      </c>
      <c r="C30" s="2">
        <f t="shared" ref="C30:I30" si="4">SUM(C5:C29)</f>
        <v>10000</v>
      </c>
      <c r="D30" s="2">
        <f t="shared" si="4"/>
        <v>3600</v>
      </c>
      <c r="E30" s="2">
        <f>SUM(E5:E29)</f>
        <v>8800</v>
      </c>
      <c r="F30" s="3">
        <f>SUM(F5:F29)</f>
        <v>20000</v>
      </c>
      <c r="G30" s="2">
        <f t="shared" si="4"/>
        <v>210000</v>
      </c>
      <c r="H30" s="2">
        <f>SUM(H5:H29)</f>
        <v>250000</v>
      </c>
      <c r="I30" s="2">
        <f t="shared" si="4"/>
        <v>210000</v>
      </c>
      <c r="J30" s="2">
        <f>SUM(J5:J29)</f>
        <v>40000</v>
      </c>
      <c r="K30" s="2">
        <f>SUM(K5:K29)</f>
        <v>0</v>
      </c>
      <c r="L30" s="2">
        <f>SUM(L4:L29)</f>
        <v>10800</v>
      </c>
    </row>
    <row r="31" spans="1:12" x14ac:dyDescent="0.25">
      <c r="A31" s="7"/>
      <c r="B31" s="7"/>
      <c r="C31" s="7"/>
      <c r="D31" s="7"/>
      <c r="E31" s="7"/>
      <c r="F31" s="7"/>
      <c r="G31" s="40"/>
      <c r="H31" s="30"/>
      <c r="I31" s="30"/>
      <c r="J31" s="7"/>
    </row>
    <row r="32" spans="1:12" x14ac:dyDescent="0.25">
      <c r="B32" s="31" t="s">
        <v>23</v>
      </c>
      <c r="C32" s="32"/>
      <c r="D32" s="6"/>
      <c r="E32" s="33"/>
      <c r="F32" s="3"/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162</v>
      </c>
      <c r="C35" s="38">
        <f>C30+G30</f>
        <v>220000</v>
      </c>
      <c r="D35" s="30"/>
      <c r="E35" s="30"/>
      <c r="F35" s="30" t="s">
        <v>162</v>
      </c>
      <c r="G35" s="38">
        <f>I30</f>
        <v>210000</v>
      </c>
      <c r="H35" s="30"/>
      <c r="I35" s="30"/>
    </row>
    <row r="36" spans="2:13" x14ac:dyDescent="0.25">
      <c r="B36" s="30" t="s">
        <v>5</v>
      </c>
      <c r="C36" s="38">
        <f>'AUGUST 20'!E49</f>
        <v>15994.979999999981</v>
      </c>
      <c r="D36" s="30"/>
      <c r="E36" s="30"/>
      <c r="F36" s="30" t="s">
        <v>5</v>
      </c>
      <c r="G36" s="38">
        <f>'AUGUST 20'!I49</f>
        <v>5994.9799999999814</v>
      </c>
      <c r="H36" s="30"/>
      <c r="I36" s="30"/>
    </row>
    <row r="37" spans="2:13" x14ac:dyDescent="0.25">
      <c r="B37" s="30" t="s">
        <v>35</v>
      </c>
      <c r="C37" s="38">
        <f>E30</f>
        <v>8800</v>
      </c>
      <c r="D37" s="30"/>
      <c r="E37" s="30"/>
      <c r="F37" s="30" t="s">
        <v>35</v>
      </c>
      <c r="G37" s="38">
        <f>E30</f>
        <v>8800</v>
      </c>
      <c r="H37" s="30"/>
      <c r="I37" s="30"/>
    </row>
    <row r="38" spans="2:13" x14ac:dyDescent="0.25">
      <c r="B38" s="30" t="s">
        <v>86</v>
      </c>
      <c r="C38" s="38">
        <f>K30</f>
        <v>0</v>
      </c>
      <c r="D38" s="30"/>
      <c r="E38" s="30"/>
      <c r="F38" s="30" t="s">
        <v>86</v>
      </c>
      <c r="G38" s="38">
        <f>C38</f>
        <v>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10800</v>
      </c>
      <c r="D39" s="30"/>
      <c r="E39" s="30"/>
      <c r="F39" s="30" t="s">
        <v>88</v>
      </c>
      <c r="G39" s="38">
        <f>L30</f>
        <v>10800</v>
      </c>
      <c r="H39" s="30"/>
      <c r="I39" s="30"/>
      <c r="M39" s="24"/>
    </row>
    <row r="40" spans="2:13" x14ac:dyDescent="0.25">
      <c r="B40" s="30" t="s">
        <v>30</v>
      </c>
      <c r="C40" s="39">
        <v>0.06</v>
      </c>
      <c r="D40" s="38">
        <f>C40*C35</f>
        <v>13200</v>
      </c>
      <c r="E40" s="30"/>
      <c r="F40" s="30" t="s">
        <v>30</v>
      </c>
      <c r="G40" s="39">
        <v>0.06</v>
      </c>
      <c r="H40" s="38">
        <f>G40*C35</f>
        <v>13200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166</v>
      </c>
      <c r="D43" s="30">
        <v>226000</v>
      </c>
      <c r="E43" s="30"/>
      <c r="F43" s="46" t="s">
        <v>166</v>
      </c>
      <c r="H43" s="30">
        <v>226000</v>
      </c>
      <c r="I43" s="30"/>
      <c r="M43" s="24"/>
    </row>
    <row r="44" spans="2:13" x14ac:dyDescent="0.25">
      <c r="B44" s="3" t="s">
        <v>233</v>
      </c>
      <c r="C44" s="40"/>
      <c r="D44">
        <v>4500</v>
      </c>
      <c r="E44" s="3"/>
      <c r="F44" s="3" t="s">
        <v>233</v>
      </c>
      <c r="G44" s="40"/>
      <c r="H44">
        <v>4500</v>
      </c>
      <c r="I44" s="30"/>
      <c r="M44" s="24"/>
    </row>
    <row r="45" spans="2:13" x14ac:dyDescent="0.25">
      <c r="B45" s="3"/>
      <c r="C45" s="30"/>
      <c r="D45" s="30"/>
      <c r="E45" s="30"/>
      <c r="F45" s="3"/>
      <c r="G45" s="30"/>
      <c r="H45" s="30"/>
      <c r="I45" s="30"/>
      <c r="J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242394.97999999998</v>
      </c>
      <c r="D49" s="42">
        <f>SUM(D42:D48)</f>
        <v>240500</v>
      </c>
      <c r="E49" s="42">
        <f>C49-D49</f>
        <v>1894.9799999999814</v>
      </c>
      <c r="F49" s="37" t="s">
        <v>33</v>
      </c>
      <c r="G49" s="42">
        <f>G35+G36+G37+G38+G39-H40</f>
        <v>222394.97999999998</v>
      </c>
      <c r="H49" s="42">
        <f>SUM(H42:H48)</f>
        <v>240500</v>
      </c>
      <c r="I49" s="42">
        <f>G49-H49</f>
        <v>-18105.020000000019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  <row r="477" spans="2:2" x14ac:dyDescent="0.25">
      <c r="B477" t="s">
        <v>228</v>
      </c>
    </row>
  </sheetData>
  <pageMargins left="0" right="0" top="0" bottom="0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16" workbookViewId="0">
      <selection activeCell="K42" sqref="K42"/>
    </sheetView>
  </sheetViews>
  <sheetFormatPr defaultRowHeight="15" x14ac:dyDescent="0.25"/>
  <cols>
    <col min="1" max="1" width="4" customWidth="1"/>
    <col min="2" max="2" width="17.140625" customWidth="1"/>
    <col min="3" max="4" width="7.85546875" customWidth="1"/>
    <col min="5" max="6" width="7.28515625" customWidth="1"/>
    <col min="11" max="11" width="6.5703125" customWidth="1"/>
  </cols>
  <sheetData>
    <row r="1" spans="1:12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232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>
        <f>SEPTEMBER20!J5:J29</f>
        <v>0</v>
      </c>
      <c r="G5" s="3">
        <v>12000</v>
      </c>
      <c r="H5" s="3">
        <f>C5+F5+G5</f>
        <v>12000</v>
      </c>
      <c r="I5" s="3">
        <f>12000</f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SEPTEMBER20!J6:J30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187</v>
      </c>
      <c r="C7" s="3"/>
      <c r="D7" s="3"/>
      <c r="E7" s="3"/>
      <c r="F7" s="3">
        <f>SEPTEMBER20!J7:J31</f>
        <v>0</v>
      </c>
      <c r="G7" s="3">
        <v>10000</v>
      </c>
      <c r="H7" s="3">
        <f t="shared" si="0"/>
        <v>10000</v>
      </c>
      <c r="I7" s="3">
        <f>9000</f>
        <v>9000</v>
      </c>
      <c r="J7" s="3">
        <f t="shared" ref="J7:J21" si="1">H7-I7</f>
        <v>1000</v>
      </c>
      <c r="K7" s="3"/>
      <c r="L7" s="3"/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600</v>
      </c>
      <c r="F8" s="3">
        <f>SEPTEMBER20!J8:J32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15" t="s">
        <v>214</v>
      </c>
      <c r="C9" s="3"/>
      <c r="D9" s="3"/>
      <c r="E9" s="3"/>
      <c r="F9" s="3">
        <f>SEPTEMBER20!J9:J33</f>
        <v>0</v>
      </c>
      <c r="G9" s="3"/>
      <c r="H9" s="3">
        <f t="shared" si="0"/>
        <v>0</v>
      </c>
      <c r="I9" s="3"/>
      <c r="J9" s="3">
        <f t="shared" si="1"/>
        <v>0</v>
      </c>
      <c r="K9" s="3"/>
      <c r="L9" s="3"/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300</v>
      </c>
      <c r="F10" s="3">
        <f>SEPTEMBER20!J10:J34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>
        <f>SEPTEMBER20!J11:J35</f>
        <v>0</v>
      </c>
      <c r="G11" s="3">
        <v>10000</v>
      </c>
      <c r="H11" s="3">
        <f t="shared" si="0"/>
        <v>10000</v>
      </c>
      <c r="I11" s="3">
        <f>10000</f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/>
      <c r="E12" s="30"/>
      <c r="F12" s="3">
        <f>SEPTEMBER20!J12:J36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/>
      <c r="E13" s="3"/>
      <c r="F13" s="3">
        <f>SEPTEMBER20!J13:J37</f>
        <v>0</v>
      </c>
      <c r="G13" s="3">
        <v>10000</v>
      </c>
      <c r="H13" s="3">
        <f t="shared" si="0"/>
        <v>10000</v>
      </c>
      <c r="I13" s="3">
        <f>10000</f>
        <v>10000</v>
      </c>
      <c r="J13" s="3">
        <f t="shared" si="1"/>
        <v>0</v>
      </c>
      <c r="K13" s="3"/>
      <c r="L13" s="3"/>
    </row>
    <row r="14" spans="1:12" x14ac:dyDescent="0.25">
      <c r="A14" s="3">
        <v>10</v>
      </c>
      <c r="B14" s="3" t="s">
        <v>99</v>
      </c>
      <c r="C14" s="3"/>
      <c r="D14" s="3"/>
      <c r="E14" s="30"/>
      <c r="F14" s="3">
        <f>SEPTEMBER20!J14:J38</f>
        <v>30000</v>
      </c>
      <c r="G14" s="3"/>
      <c r="H14" s="3">
        <f>C14+F14+G14+10000</f>
        <v>40000</v>
      </c>
      <c r="I14" s="3"/>
      <c r="J14" s="3">
        <f t="shared" si="1"/>
        <v>40000</v>
      </c>
      <c r="K14" s="3"/>
      <c r="L14" s="3"/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450</v>
      </c>
      <c r="F15" s="3">
        <f>SEPTEMBER20!J15:J39</f>
        <v>0</v>
      </c>
      <c r="G15" s="3">
        <v>12000</v>
      </c>
      <c r="H15" s="3">
        <f>C15+F15+G15</f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f>200</f>
        <v>200</v>
      </c>
      <c r="E16" s="3">
        <v>1050</v>
      </c>
      <c r="F16" s="3">
        <f>SEPTEMBER20!J16:J40</f>
        <v>0</v>
      </c>
      <c r="G16" s="3">
        <v>10000</v>
      </c>
      <c r="H16" s="3">
        <f t="shared" si="0"/>
        <v>10000</v>
      </c>
      <c r="I16" s="3">
        <f>10000</f>
        <v>10000</v>
      </c>
      <c r="J16" s="3">
        <f t="shared" si="1"/>
        <v>0</v>
      </c>
      <c r="K16" s="3"/>
      <c r="L16" s="3">
        <v>600</v>
      </c>
    </row>
    <row r="17" spans="1:14" x14ac:dyDescent="0.25">
      <c r="A17" s="3">
        <v>13</v>
      </c>
      <c r="B17" s="12" t="s">
        <v>192</v>
      </c>
      <c r="C17" s="3"/>
      <c r="D17" s="3">
        <v>200</v>
      </c>
      <c r="E17" s="30">
        <v>300</v>
      </c>
      <c r="F17" s="3">
        <f>SEPTEMBER20!J17:J41</f>
        <v>10000</v>
      </c>
      <c r="G17" s="3">
        <v>10000</v>
      </c>
      <c r="H17" s="3">
        <f t="shared" si="0"/>
        <v>20000</v>
      </c>
      <c r="I17" s="3">
        <v>20000</v>
      </c>
      <c r="J17" s="3">
        <f t="shared" si="1"/>
        <v>0</v>
      </c>
      <c r="K17" s="3"/>
      <c r="L17" s="3">
        <v>1200</v>
      </c>
    </row>
    <row r="18" spans="1:14" x14ac:dyDescent="0.25">
      <c r="A18" s="3">
        <v>14</v>
      </c>
      <c r="B18" s="12" t="s">
        <v>70</v>
      </c>
      <c r="C18" s="3"/>
      <c r="D18" s="43">
        <v>200</v>
      </c>
      <c r="E18" s="3">
        <v>300</v>
      </c>
      <c r="F18" s="3">
        <f>SEPTEMBER20!J18:J42</f>
        <v>0</v>
      </c>
      <c r="G18" s="3">
        <v>10000</v>
      </c>
      <c r="H18" s="3">
        <f t="shared" si="0"/>
        <v>10000</v>
      </c>
      <c r="I18" s="3">
        <f>10000</f>
        <v>10000</v>
      </c>
      <c r="J18" s="3">
        <f t="shared" si="1"/>
        <v>0</v>
      </c>
      <c r="K18" s="3"/>
      <c r="L18" s="3">
        <v>600</v>
      </c>
    </row>
    <row r="19" spans="1:14" x14ac:dyDescent="0.25">
      <c r="A19" s="3">
        <v>15</v>
      </c>
      <c r="B19" s="3" t="s">
        <v>158</v>
      </c>
      <c r="C19" s="3"/>
      <c r="D19" s="3"/>
      <c r="E19" s="3"/>
      <c r="F19" s="3">
        <f>SEPTEMBER20!J19:J43</f>
        <v>0</v>
      </c>
      <c r="G19" s="3">
        <v>10000</v>
      </c>
      <c r="H19" s="3">
        <f>C19+F19+G19</f>
        <v>10000</v>
      </c>
      <c r="I19" s="3">
        <f>5000+5000</f>
        <v>10000</v>
      </c>
      <c r="J19" s="3">
        <f t="shared" si="1"/>
        <v>0</v>
      </c>
      <c r="K19" s="3"/>
      <c r="L19" s="3">
        <v>600</v>
      </c>
    </row>
    <row r="20" spans="1:14" x14ac:dyDescent="0.25">
      <c r="A20" s="3">
        <v>16</v>
      </c>
      <c r="B20" s="3" t="s">
        <v>12</v>
      </c>
      <c r="C20" s="3"/>
      <c r="D20" s="3">
        <v>200</v>
      </c>
      <c r="E20" s="3">
        <v>600</v>
      </c>
      <c r="F20" s="3">
        <f>SEPTEMBER20!J20:J44</f>
        <v>0</v>
      </c>
      <c r="G20" s="3">
        <v>12000</v>
      </c>
      <c r="H20" s="3">
        <f>C20+F20+G20</f>
        <v>12000</v>
      </c>
      <c r="I20" s="3">
        <f>12000</f>
        <v>12000</v>
      </c>
      <c r="J20" s="3">
        <f t="shared" si="1"/>
        <v>0</v>
      </c>
      <c r="K20" s="3"/>
      <c r="L20" s="3">
        <v>600</v>
      </c>
    </row>
    <row r="21" spans="1:14" x14ac:dyDescent="0.25">
      <c r="A21" s="3">
        <v>17</v>
      </c>
      <c r="B21" s="30" t="s">
        <v>222</v>
      </c>
      <c r="C21" s="3"/>
      <c r="D21" s="3">
        <v>250</v>
      </c>
      <c r="E21" s="3">
        <v>1650</v>
      </c>
      <c r="F21" s="3">
        <f>SEPTEMBER20!J21:J45</f>
        <v>0</v>
      </c>
      <c r="G21" s="3">
        <v>10000</v>
      </c>
      <c r="H21" s="3">
        <f>C21+F21+G21</f>
        <v>10000</v>
      </c>
      <c r="I21" s="3">
        <f>10000</f>
        <v>10000</v>
      </c>
      <c r="J21" s="3">
        <f t="shared" si="1"/>
        <v>0</v>
      </c>
      <c r="K21" s="3"/>
      <c r="L21" s="3">
        <v>600</v>
      </c>
    </row>
    <row r="22" spans="1:14" x14ac:dyDescent="0.25">
      <c r="A22" s="3">
        <v>18</v>
      </c>
      <c r="B22" s="3" t="s">
        <v>220</v>
      </c>
      <c r="C22" s="3"/>
      <c r="D22" s="3">
        <v>250</v>
      </c>
      <c r="E22" s="3"/>
      <c r="F22" s="3">
        <f>SEPTEMBER20!J22:J46</f>
        <v>0</v>
      </c>
      <c r="G22" s="3">
        <v>10000</v>
      </c>
      <c r="H22" s="3">
        <f>C22+F22+G22</f>
        <v>10000</v>
      </c>
      <c r="I22" s="3">
        <f>10000</f>
        <v>10000</v>
      </c>
      <c r="J22" s="3">
        <f>H22-I22</f>
        <v>0</v>
      </c>
      <c r="K22" s="3"/>
      <c r="L22" s="3">
        <v>600</v>
      </c>
    </row>
    <row r="23" spans="1:14" x14ac:dyDescent="0.25">
      <c r="A23" s="3">
        <v>19</v>
      </c>
      <c r="B23" s="15" t="s">
        <v>214</v>
      </c>
      <c r="C23" s="3"/>
      <c r="D23" s="3"/>
      <c r="E23" s="30"/>
      <c r="F23" s="3">
        <f>SEPTEMBER20!J23:J47</f>
        <v>0</v>
      </c>
      <c r="G23" s="3"/>
      <c r="H23" s="3">
        <f t="shared" si="0"/>
        <v>0</v>
      </c>
      <c r="I23" s="3"/>
      <c r="J23" s="3">
        <f>H23-I23</f>
        <v>0</v>
      </c>
      <c r="K23" s="3" t="s">
        <v>237</v>
      </c>
      <c r="L23" s="3"/>
    </row>
    <row r="24" spans="1:14" x14ac:dyDescent="0.25">
      <c r="A24" s="3">
        <v>20</v>
      </c>
      <c r="B24" s="3" t="s">
        <v>231</v>
      </c>
      <c r="C24" s="3">
        <v>10000</v>
      </c>
      <c r="D24" s="3"/>
      <c r="E24" s="30"/>
      <c r="F24" s="3">
        <f>SEPTEMBER20!J24:J48</f>
        <v>0</v>
      </c>
      <c r="G24" s="3">
        <v>10000</v>
      </c>
      <c r="H24" s="3">
        <f t="shared" si="0"/>
        <v>20000</v>
      </c>
      <c r="I24" s="3">
        <v>20000</v>
      </c>
      <c r="J24" s="3">
        <f t="shared" ref="J24:J29" si="2">H24-I24</f>
        <v>0</v>
      </c>
      <c r="K24" s="3">
        <v>1000</v>
      </c>
      <c r="L24" s="3">
        <v>600</v>
      </c>
      <c r="M24" t="s">
        <v>235</v>
      </c>
    </row>
    <row r="25" spans="1:14" x14ac:dyDescent="0.25">
      <c r="A25" s="3">
        <v>21</v>
      </c>
      <c r="B25" s="3" t="s">
        <v>202</v>
      </c>
      <c r="C25" s="3"/>
      <c r="D25" s="3">
        <v>100</v>
      </c>
      <c r="E25" s="30">
        <v>450</v>
      </c>
      <c r="F25" s="3">
        <f>SEPTEMBER20!J25:J49</f>
        <v>0</v>
      </c>
      <c r="G25" s="3">
        <v>12000</v>
      </c>
      <c r="H25" s="3">
        <f t="shared" si="0"/>
        <v>12000</v>
      </c>
      <c r="I25" s="3">
        <f>12000</f>
        <v>12000</v>
      </c>
      <c r="J25" s="3">
        <f t="shared" si="2"/>
        <v>0</v>
      </c>
      <c r="K25" s="3"/>
      <c r="L25" s="3">
        <v>600</v>
      </c>
    </row>
    <row r="26" spans="1:14" x14ac:dyDescent="0.25">
      <c r="A26" s="3">
        <v>22</v>
      </c>
      <c r="B26" s="15" t="s">
        <v>234</v>
      </c>
      <c r="C26" s="3">
        <v>10000</v>
      </c>
      <c r="D26" s="3"/>
      <c r="E26" s="3"/>
      <c r="F26" s="3">
        <f>SEPTEMBER20!J26:J50</f>
        <v>0</v>
      </c>
      <c r="G26" s="3">
        <v>10000</v>
      </c>
      <c r="H26" s="3">
        <f t="shared" si="0"/>
        <v>20000</v>
      </c>
      <c r="I26" s="3">
        <v>20000</v>
      </c>
      <c r="J26" s="3"/>
      <c r="K26" s="3">
        <v>1500</v>
      </c>
      <c r="L26" s="3">
        <v>600</v>
      </c>
    </row>
    <row r="27" spans="1:14" x14ac:dyDescent="0.25">
      <c r="A27" s="3">
        <v>23</v>
      </c>
      <c r="B27" s="3" t="s">
        <v>204</v>
      </c>
      <c r="C27" s="3"/>
      <c r="D27" s="3">
        <v>250</v>
      </c>
      <c r="E27" s="30">
        <v>300</v>
      </c>
      <c r="F27" s="3">
        <f>SEPTEMBER20!J27:J51</f>
        <v>0</v>
      </c>
      <c r="G27" s="3">
        <v>10000</v>
      </c>
      <c r="H27" s="3">
        <f t="shared" si="0"/>
        <v>10000</v>
      </c>
      <c r="I27" s="3">
        <f>10000</f>
        <v>10000</v>
      </c>
      <c r="J27" s="3">
        <f t="shared" si="2"/>
        <v>0</v>
      </c>
      <c r="K27" s="3"/>
      <c r="L27" s="3">
        <v>600</v>
      </c>
    </row>
    <row r="28" spans="1:14" x14ac:dyDescent="0.25">
      <c r="A28" s="3">
        <v>24</v>
      </c>
      <c r="B28" s="3" t="s">
        <v>230</v>
      </c>
      <c r="C28" s="3"/>
      <c r="D28" s="3">
        <v>200</v>
      </c>
      <c r="E28" s="30">
        <v>750</v>
      </c>
      <c r="F28" s="3">
        <f>SEPTEMBER20!J28:J52</f>
        <v>0</v>
      </c>
      <c r="G28" s="3">
        <v>10000</v>
      </c>
      <c r="H28" s="3">
        <f t="shared" si="0"/>
        <v>10000</v>
      </c>
      <c r="I28" s="3">
        <f>10000</f>
        <v>10000</v>
      </c>
      <c r="J28" s="3">
        <f t="shared" si="2"/>
        <v>0</v>
      </c>
      <c r="K28" s="3"/>
      <c r="L28" s="3">
        <v>600</v>
      </c>
      <c r="N28" t="s">
        <v>236</v>
      </c>
    </row>
    <row r="29" spans="1:14" x14ac:dyDescent="0.25">
      <c r="A29" s="3">
        <v>25</v>
      </c>
      <c r="B29" s="3" t="s">
        <v>55</v>
      </c>
      <c r="C29" s="3"/>
      <c r="D29" s="3">
        <v>200</v>
      </c>
      <c r="E29" s="3">
        <v>700</v>
      </c>
      <c r="F29" s="3">
        <f>SEPTEMBER20!J29:J53</f>
        <v>0</v>
      </c>
      <c r="G29" s="3">
        <v>10000</v>
      </c>
      <c r="H29" s="3">
        <f t="shared" si="0"/>
        <v>10000</v>
      </c>
      <c r="I29" s="3">
        <v>10000</v>
      </c>
      <c r="J29" s="3">
        <f t="shared" si="2"/>
        <v>0</v>
      </c>
      <c r="K29" s="3"/>
      <c r="L29" s="3">
        <v>600</v>
      </c>
    </row>
    <row r="30" spans="1:14" x14ac:dyDescent="0.25">
      <c r="A30" s="2"/>
      <c r="B30" s="2" t="s">
        <v>33</v>
      </c>
      <c r="C30" s="2">
        <f t="shared" ref="C30:L30" si="3">SUM(C5:C29)</f>
        <v>20000</v>
      </c>
      <c r="D30" s="2">
        <f t="shared" si="3"/>
        <v>3050</v>
      </c>
      <c r="E30" s="2">
        <f t="shared" si="3"/>
        <v>8500</v>
      </c>
      <c r="F30" s="3">
        <f t="shared" si="3"/>
        <v>40000</v>
      </c>
      <c r="G30" s="2">
        <f t="shared" si="3"/>
        <v>230000</v>
      </c>
      <c r="H30" s="2">
        <f t="shared" si="3"/>
        <v>300000</v>
      </c>
      <c r="I30" s="2">
        <f t="shared" si="3"/>
        <v>259000</v>
      </c>
      <c r="J30" s="2">
        <f t="shared" si="3"/>
        <v>41000</v>
      </c>
      <c r="K30" s="2">
        <f t="shared" si="3"/>
        <v>2500</v>
      </c>
      <c r="L30" s="2">
        <f t="shared" si="3"/>
        <v>12600</v>
      </c>
    </row>
    <row r="31" spans="1:14" x14ac:dyDescent="0.25">
      <c r="A31" s="7"/>
      <c r="B31" s="7"/>
      <c r="C31" s="7"/>
      <c r="D31" s="7"/>
      <c r="E31" s="7"/>
      <c r="F31" s="7"/>
      <c r="G31" s="40"/>
      <c r="H31" s="30"/>
      <c r="I31" s="30"/>
      <c r="J31" s="7"/>
    </row>
    <row r="32" spans="1:14" x14ac:dyDescent="0.25">
      <c r="B32" s="31" t="s">
        <v>23</v>
      </c>
      <c r="C32" s="32"/>
      <c r="D32" s="6"/>
      <c r="E32" s="33"/>
      <c r="F32" s="3">
        <f>E16</f>
        <v>1050</v>
      </c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168</v>
      </c>
      <c r="C35" s="38">
        <f>C30+G30</f>
        <v>250000</v>
      </c>
      <c r="D35" s="30"/>
      <c r="E35" s="30"/>
      <c r="F35" s="30" t="s">
        <v>168</v>
      </c>
      <c r="G35" s="38">
        <f>I30</f>
        <v>259000</v>
      </c>
      <c r="H35" s="30"/>
      <c r="I35" s="30"/>
    </row>
    <row r="36" spans="2:13" x14ac:dyDescent="0.25">
      <c r="B36" s="30" t="s">
        <v>5</v>
      </c>
      <c r="C36" s="38">
        <f>SEPTEMBER20!E49</f>
        <v>1894.9799999999814</v>
      </c>
      <c r="D36" s="30"/>
      <c r="E36" s="30"/>
      <c r="F36" s="30" t="s">
        <v>5</v>
      </c>
      <c r="G36" s="38">
        <f>SEPTEMBER20!I49</f>
        <v>-18105.020000000019</v>
      </c>
      <c r="H36" s="30"/>
      <c r="I36" s="30"/>
    </row>
    <row r="37" spans="2:13" x14ac:dyDescent="0.25">
      <c r="B37" s="30" t="s">
        <v>35</v>
      </c>
      <c r="C37" s="38">
        <f>E30</f>
        <v>8500</v>
      </c>
      <c r="D37" s="30"/>
      <c r="E37" s="30"/>
      <c r="F37" s="30" t="s">
        <v>35</v>
      </c>
      <c r="G37" s="38">
        <f>E30</f>
        <v>8500</v>
      </c>
      <c r="H37" s="30"/>
      <c r="I37" s="30"/>
    </row>
    <row r="38" spans="2:13" x14ac:dyDescent="0.25">
      <c r="B38" s="30" t="s">
        <v>86</v>
      </c>
      <c r="C38" s="38">
        <f>K30</f>
        <v>2500</v>
      </c>
      <c r="D38" s="30"/>
      <c r="E38" s="30"/>
      <c r="F38" s="30" t="s">
        <v>86</v>
      </c>
      <c r="G38" s="38">
        <f>C38</f>
        <v>2500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12600</v>
      </c>
      <c r="D39" s="30"/>
      <c r="E39" s="30"/>
      <c r="F39" s="30" t="s">
        <v>88</v>
      </c>
      <c r="G39" s="38">
        <f>L30</f>
        <v>12600</v>
      </c>
      <c r="H39" s="30"/>
      <c r="I39" s="30"/>
      <c r="M39" s="24"/>
    </row>
    <row r="40" spans="2:13" x14ac:dyDescent="0.25">
      <c r="B40" s="30" t="s">
        <v>30</v>
      </c>
      <c r="C40" s="39">
        <v>0.06</v>
      </c>
      <c r="D40" s="38">
        <f>C40*C35</f>
        <v>15000</v>
      </c>
      <c r="E40" s="30"/>
      <c r="F40" s="30" t="s">
        <v>30</v>
      </c>
      <c r="G40" s="39">
        <v>0.06</v>
      </c>
      <c r="H40" s="38">
        <f>G40*C35</f>
        <v>15000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148</v>
      </c>
      <c r="D43" s="30">
        <v>11050</v>
      </c>
      <c r="E43" s="30"/>
      <c r="F43" s="46" t="s">
        <v>148</v>
      </c>
      <c r="H43" s="30">
        <v>11050</v>
      </c>
      <c r="I43" s="30"/>
      <c r="M43" s="24"/>
    </row>
    <row r="44" spans="2:13" x14ac:dyDescent="0.25">
      <c r="B44" s="3" t="s">
        <v>148</v>
      </c>
      <c r="C44" s="40"/>
      <c r="D44">
        <f>2000+3900</f>
        <v>5900</v>
      </c>
      <c r="E44" s="3"/>
      <c r="F44" s="3" t="s">
        <v>148</v>
      </c>
      <c r="G44" s="40"/>
      <c r="H44">
        <f>2000+3900</f>
        <v>5900</v>
      </c>
      <c r="I44" s="30"/>
      <c r="M44" s="24"/>
    </row>
    <row r="45" spans="2:13" x14ac:dyDescent="0.25">
      <c r="B45" s="3" t="s">
        <v>238</v>
      </c>
      <c r="C45" s="30"/>
      <c r="D45" s="30">
        <v>223000</v>
      </c>
      <c r="E45" s="30"/>
      <c r="F45" s="3" t="s">
        <v>238</v>
      </c>
      <c r="G45" s="30"/>
      <c r="H45" s="30">
        <v>223000</v>
      </c>
      <c r="I45" s="30"/>
      <c r="J45" s="24"/>
      <c r="M45" s="24"/>
    </row>
    <row r="46" spans="2:13" x14ac:dyDescent="0.25">
      <c r="B46" s="40" t="s">
        <v>240</v>
      </c>
      <c r="C46" s="30"/>
      <c r="D46" s="30">
        <v>10000</v>
      </c>
      <c r="E46" s="30"/>
      <c r="F46" s="40"/>
      <c r="G46" s="30"/>
      <c r="H46" s="30"/>
      <c r="I46" s="30"/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260494.97999999998</v>
      </c>
      <c r="D49" s="42">
        <f>SUM(D42:D48)</f>
        <v>259950</v>
      </c>
      <c r="E49" s="42">
        <f>C49-D49</f>
        <v>544.97999999998137</v>
      </c>
      <c r="F49" s="37" t="s">
        <v>33</v>
      </c>
      <c r="G49" s="42">
        <f>G35+G36+G37+G38+G39-H40</f>
        <v>249494.97999999998</v>
      </c>
      <c r="H49" s="42">
        <f>SUM(H42:H48)</f>
        <v>249950</v>
      </c>
      <c r="I49" s="42">
        <f>G49-H49</f>
        <v>-455.02000000001863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</sheetData>
  <pageMargins left="0" right="0" top="0" bottom="0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A16" workbookViewId="0">
      <selection activeCell="J44" sqref="J44"/>
    </sheetView>
  </sheetViews>
  <sheetFormatPr defaultRowHeight="15" x14ac:dyDescent="0.25"/>
  <cols>
    <col min="1" max="1" width="7.140625" customWidth="1"/>
    <col min="2" max="2" width="14.28515625" customWidth="1"/>
  </cols>
  <sheetData>
    <row r="1" spans="1:14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4" ht="15.75" x14ac:dyDescent="0.25">
      <c r="C2" s="21" t="s">
        <v>1</v>
      </c>
      <c r="E2" s="21"/>
      <c r="G2" s="27"/>
      <c r="I2" s="1"/>
      <c r="J2" s="1"/>
    </row>
    <row r="3" spans="1:14" ht="15.75" x14ac:dyDescent="0.25">
      <c r="A3" s="1"/>
      <c r="B3" s="1"/>
      <c r="C3" s="21" t="s">
        <v>239</v>
      </c>
      <c r="D3" s="21"/>
      <c r="E3" s="21"/>
      <c r="F3" s="27"/>
      <c r="G3" s="27"/>
      <c r="I3" s="1"/>
      <c r="J3" s="1"/>
    </row>
    <row r="4" spans="1:14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4" x14ac:dyDescent="0.25">
      <c r="A5" s="3">
        <v>1</v>
      </c>
      <c r="B5" s="3" t="s">
        <v>94</v>
      </c>
      <c r="C5" s="3"/>
      <c r="D5" s="3"/>
      <c r="E5" s="3"/>
      <c r="F5" s="3">
        <f>'OCTOBER 20'!J5:J29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/>
    </row>
    <row r="6" spans="1:14" x14ac:dyDescent="0.25">
      <c r="A6" s="3">
        <v>2</v>
      </c>
      <c r="B6" t="s">
        <v>69</v>
      </c>
      <c r="C6" s="3"/>
      <c r="D6" s="3"/>
      <c r="E6" s="3">
        <v>300</v>
      </c>
      <c r="F6" s="3">
        <f>'OCTOBER 20'!J6:J30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4" x14ac:dyDescent="0.25">
      <c r="A7" s="3">
        <v>3</v>
      </c>
      <c r="B7" s="3" t="s">
        <v>187</v>
      </c>
      <c r="C7" s="3"/>
      <c r="D7" s="3">
        <v>400</v>
      </c>
      <c r="E7" s="3">
        <v>1500</v>
      </c>
      <c r="F7" s="3">
        <f>'OCTOBER 20'!J7:J31</f>
        <v>1000</v>
      </c>
      <c r="G7" s="3">
        <v>10000</v>
      </c>
      <c r="H7" s="3">
        <f t="shared" si="0"/>
        <v>11000</v>
      </c>
      <c r="I7" s="3">
        <f>8000+500+2500</f>
        <v>11000</v>
      </c>
      <c r="J7" s="3">
        <f t="shared" ref="J7:J21" si="1">H7-I7</f>
        <v>0</v>
      </c>
      <c r="K7" s="3"/>
      <c r="L7" s="3">
        <v>1200</v>
      </c>
    </row>
    <row r="8" spans="1:14" x14ac:dyDescent="0.25">
      <c r="A8" s="3">
        <v>4</v>
      </c>
      <c r="B8" s="3" t="s">
        <v>89</v>
      </c>
      <c r="C8" s="3"/>
      <c r="D8" s="3">
        <v>200</v>
      </c>
      <c r="E8" s="3">
        <v>450</v>
      </c>
      <c r="F8" s="3">
        <f>'OCTOBER 20'!J8:J32</f>
        <v>0</v>
      </c>
      <c r="G8" s="3">
        <v>10000</v>
      </c>
      <c r="H8" s="3">
        <f t="shared" si="0"/>
        <v>10000</v>
      </c>
      <c r="I8" s="3">
        <f>10000</f>
        <v>10000</v>
      </c>
      <c r="J8" s="3">
        <f>H8-I8</f>
        <v>0</v>
      </c>
      <c r="K8" s="3"/>
      <c r="L8" s="3">
        <v>600</v>
      </c>
    </row>
    <row r="9" spans="1:14" x14ac:dyDescent="0.25">
      <c r="A9" s="3">
        <v>5</v>
      </c>
      <c r="B9" s="15" t="s">
        <v>214</v>
      </c>
      <c r="C9" s="3"/>
      <c r="D9" s="3"/>
      <c r="E9" s="3"/>
      <c r="F9" s="3">
        <f>'OCTOBER 20'!J9:J33</f>
        <v>0</v>
      </c>
      <c r="G9" s="3"/>
      <c r="H9" s="3">
        <f t="shared" si="0"/>
        <v>0</v>
      </c>
      <c r="I9" s="3"/>
      <c r="J9" s="3">
        <f t="shared" si="1"/>
        <v>0</v>
      </c>
      <c r="K9" s="3"/>
      <c r="L9" s="3"/>
    </row>
    <row r="10" spans="1:14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>
        <f>'OCTOBER 20'!J10:J34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4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>
        <f>'OCTOBER 20'!J11:J35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4" x14ac:dyDescent="0.25">
      <c r="A12" s="3">
        <v>8</v>
      </c>
      <c r="B12" s="3" t="s">
        <v>225</v>
      </c>
      <c r="C12" s="3"/>
      <c r="D12" s="3">
        <v>200</v>
      </c>
      <c r="E12" s="30">
        <v>1050</v>
      </c>
      <c r="F12" s="3">
        <f>'OCTOBER 20'!J12:J36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4" x14ac:dyDescent="0.25">
      <c r="A13" s="3">
        <v>9</v>
      </c>
      <c r="B13" s="3" t="s">
        <v>226</v>
      </c>
      <c r="C13" s="3"/>
      <c r="D13" s="3"/>
      <c r="E13" s="3"/>
      <c r="F13" s="3">
        <f>'OCTOBER 20'!J13:J37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/>
    </row>
    <row r="14" spans="1:14" x14ac:dyDescent="0.25">
      <c r="A14" s="3">
        <v>10</v>
      </c>
      <c r="B14" s="3" t="s">
        <v>99</v>
      </c>
      <c r="C14" s="3"/>
      <c r="D14" s="3"/>
      <c r="E14" s="30"/>
      <c r="F14" s="3">
        <f>'OCTOBER 20'!J14:J38</f>
        <v>40000</v>
      </c>
      <c r="G14" s="3"/>
      <c r="H14" s="3">
        <f>C14+F14+G14+10000</f>
        <v>50000</v>
      </c>
      <c r="I14" s="3"/>
      <c r="J14" s="3">
        <f t="shared" si="1"/>
        <v>50000</v>
      </c>
      <c r="K14" s="3"/>
      <c r="L14" s="3"/>
    </row>
    <row r="15" spans="1:14" x14ac:dyDescent="0.25">
      <c r="A15" s="3">
        <v>11</v>
      </c>
      <c r="B15" s="3" t="s">
        <v>18</v>
      </c>
      <c r="C15" s="3"/>
      <c r="D15" s="3">
        <v>200</v>
      </c>
      <c r="E15" s="30">
        <v>600</v>
      </c>
      <c r="F15" s="3">
        <f>'OCTOBER 20'!J15:J39</f>
        <v>0</v>
      </c>
      <c r="G15" s="3">
        <v>12000</v>
      </c>
      <c r="H15" s="3">
        <f>C15+F15+G15</f>
        <v>12000</v>
      </c>
      <c r="I15" s="3">
        <v>12000</v>
      </c>
      <c r="J15" s="3">
        <f t="shared" si="1"/>
        <v>0</v>
      </c>
      <c r="K15" s="3"/>
      <c r="L15" s="3">
        <v>600</v>
      </c>
      <c r="N15">
        <f>11400-600-200-10000</f>
        <v>600</v>
      </c>
    </row>
    <row r="16" spans="1:14" x14ac:dyDescent="0.25">
      <c r="A16" s="3">
        <v>12</v>
      </c>
      <c r="B16" s="3" t="s">
        <v>135</v>
      </c>
      <c r="C16" s="3"/>
      <c r="D16" s="3">
        <v>200</v>
      </c>
      <c r="E16" s="3">
        <v>900</v>
      </c>
      <c r="F16" s="3">
        <f>'OCTOBER 20'!J16:J40</f>
        <v>0</v>
      </c>
      <c r="G16" s="3">
        <v>10000</v>
      </c>
      <c r="H16" s="3">
        <f t="shared" si="0"/>
        <v>10000</v>
      </c>
      <c r="I16" s="3">
        <f>10000</f>
        <v>10000</v>
      </c>
      <c r="J16" s="3">
        <f t="shared" si="1"/>
        <v>0</v>
      </c>
      <c r="K16" s="3"/>
      <c r="L16" s="3">
        <v>600</v>
      </c>
    </row>
    <row r="17" spans="1:17" x14ac:dyDescent="0.25">
      <c r="A17" s="3">
        <v>13</v>
      </c>
      <c r="B17" s="12" t="s">
        <v>192</v>
      </c>
      <c r="C17" s="3"/>
      <c r="D17" s="3">
        <v>100</v>
      </c>
      <c r="E17" s="30">
        <v>300</v>
      </c>
      <c r="F17" s="3">
        <f>'OCTOBER 20'!J17:J41</f>
        <v>0</v>
      </c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</row>
    <row r="18" spans="1:17" x14ac:dyDescent="0.25">
      <c r="A18" s="3">
        <v>14</v>
      </c>
      <c r="B18" s="12" t="s">
        <v>70</v>
      </c>
      <c r="C18" s="3"/>
      <c r="D18" s="43">
        <v>200</v>
      </c>
      <c r="E18" s="3">
        <v>900</v>
      </c>
      <c r="F18" s="3">
        <f>'OCTOBER 20'!J18:J42</f>
        <v>0</v>
      </c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  <c r="K18" s="3"/>
      <c r="L18" s="3">
        <v>600</v>
      </c>
    </row>
    <row r="19" spans="1:17" x14ac:dyDescent="0.25">
      <c r="A19" s="3">
        <v>15</v>
      </c>
      <c r="B19" s="3" t="s">
        <v>158</v>
      </c>
      <c r="C19" s="3"/>
      <c r="D19" s="3">
        <v>200</v>
      </c>
      <c r="E19" s="3">
        <v>300</v>
      </c>
      <c r="F19" s="3">
        <f>'OCTOBER 20'!J19:J43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7" x14ac:dyDescent="0.25">
      <c r="A20" s="3">
        <v>16</v>
      </c>
      <c r="B20" s="3" t="s">
        <v>12</v>
      </c>
      <c r="C20" s="3"/>
      <c r="D20" s="3">
        <v>200</v>
      </c>
      <c r="E20" s="3">
        <v>600</v>
      </c>
      <c r="F20" s="3">
        <f>'OCTOBER 20'!J20:J44</f>
        <v>0</v>
      </c>
      <c r="G20" s="3">
        <v>12000</v>
      </c>
      <c r="H20" s="3">
        <f>C20+F20+G20</f>
        <v>12000</v>
      </c>
      <c r="I20" s="3">
        <f>12000</f>
        <v>12000</v>
      </c>
      <c r="J20" s="3">
        <f t="shared" si="1"/>
        <v>0</v>
      </c>
      <c r="K20" s="3"/>
      <c r="L20" s="3">
        <v>600</v>
      </c>
    </row>
    <row r="21" spans="1:17" x14ac:dyDescent="0.25">
      <c r="A21" s="3">
        <v>17</v>
      </c>
      <c r="B21" s="30" t="s">
        <v>222</v>
      </c>
      <c r="C21" s="3"/>
      <c r="D21" s="3">
        <v>200</v>
      </c>
      <c r="E21" s="3">
        <v>1650</v>
      </c>
      <c r="F21" s="3">
        <f>'OCTOBER 20'!J21:J45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7" x14ac:dyDescent="0.25">
      <c r="A22" s="3">
        <v>18</v>
      </c>
      <c r="B22" s="3" t="s">
        <v>220</v>
      </c>
      <c r="C22" s="3"/>
      <c r="D22" s="3">
        <v>250</v>
      </c>
      <c r="E22" s="3"/>
      <c r="F22" s="3">
        <f>'OCTOBER 20'!J22:J46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v>600</v>
      </c>
    </row>
    <row r="23" spans="1:17" x14ac:dyDescent="0.25">
      <c r="A23" s="3">
        <v>19</v>
      </c>
      <c r="B23" s="15" t="s">
        <v>214</v>
      </c>
      <c r="C23" s="3"/>
      <c r="D23" s="3"/>
      <c r="E23" s="30"/>
      <c r="F23" s="3">
        <f>'OCTOBER 20'!J23:J47</f>
        <v>0</v>
      </c>
      <c r="G23" s="3"/>
      <c r="H23" s="3">
        <f t="shared" si="0"/>
        <v>0</v>
      </c>
      <c r="I23" s="3"/>
      <c r="J23" s="3">
        <f>H23-I23</f>
        <v>0</v>
      </c>
      <c r="K23" s="3" t="s">
        <v>237</v>
      </c>
      <c r="L23" s="3"/>
    </row>
    <row r="24" spans="1:17" x14ac:dyDescent="0.25">
      <c r="A24" s="3">
        <v>20</v>
      </c>
      <c r="B24" s="3" t="s">
        <v>231</v>
      </c>
      <c r="C24" s="3"/>
      <c r="D24" s="3"/>
      <c r="E24" s="30"/>
      <c r="F24" s="3">
        <f>'OCTOBER 20'!J24:J48</f>
        <v>0</v>
      </c>
      <c r="G24" s="3">
        <v>10000</v>
      </c>
      <c r="H24" s="3">
        <f t="shared" si="0"/>
        <v>10000</v>
      </c>
      <c r="I24" s="3">
        <v>10000</v>
      </c>
      <c r="J24" s="3">
        <f t="shared" ref="J24:J29" si="2">H24-I24</f>
        <v>0</v>
      </c>
      <c r="K24" s="3"/>
      <c r="L24" s="3"/>
      <c r="M24" t="s">
        <v>235</v>
      </c>
    </row>
    <row r="25" spans="1:17" x14ac:dyDescent="0.25">
      <c r="A25" s="3">
        <v>21</v>
      </c>
      <c r="B25" s="3" t="s">
        <v>202</v>
      </c>
      <c r="C25" s="3"/>
      <c r="D25" s="3">
        <v>400</v>
      </c>
      <c r="E25" s="30">
        <v>300</v>
      </c>
      <c r="F25" s="3">
        <f>'OCTOBER 20'!J25:J49</f>
        <v>0</v>
      </c>
      <c r="G25" s="3">
        <v>12000</v>
      </c>
      <c r="H25" s="3">
        <f t="shared" si="0"/>
        <v>12000</v>
      </c>
      <c r="I25" s="3">
        <f>12000</f>
        <v>12000</v>
      </c>
      <c r="J25" s="3">
        <f t="shared" si="2"/>
        <v>0</v>
      </c>
      <c r="K25" s="3"/>
      <c r="L25" s="3">
        <v>600</v>
      </c>
    </row>
    <row r="26" spans="1:17" x14ac:dyDescent="0.25">
      <c r="A26" s="3">
        <v>22</v>
      </c>
      <c r="B26" s="15" t="s">
        <v>234</v>
      </c>
      <c r="C26" s="3"/>
      <c r="D26" s="3">
        <v>200</v>
      </c>
      <c r="E26" s="3">
        <v>150</v>
      </c>
      <c r="F26" s="3">
        <f>'OCTOBER 20'!J26:J50</f>
        <v>0</v>
      </c>
      <c r="G26" s="3">
        <v>10000</v>
      </c>
      <c r="H26" s="3">
        <f t="shared" si="0"/>
        <v>10000</v>
      </c>
      <c r="I26" s="3">
        <v>10000</v>
      </c>
      <c r="J26" s="3">
        <f>H26-I26</f>
        <v>0</v>
      </c>
      <c r="K26" s="3"/>
      <c r="L26" s="3">
        <v>600</v>
      </c>
      <c r="Q26">
        <f>10000/30</f>
        <v>333.33333333333331</v>
      </c>
    </row>
    <row r="27" spans="1:17" x14ac:dyDescent="0.25">
      <c r="A27" s="3">
        <v>23</v>
      </c>
      <c r="B27" s="3"/>
      <c r="C27" s="3"/>
      <c r="D27" s="3"/>
      <c r="E27" s="30"/>
      <c r="F27" s="3">
        <f>'OCTOBER 20'!J27:J51</f>
        <v>0</v>
      </c>
      <c r="G27" s="3"/>
      <c r="H27" s="3">
        <f t="shared" si="0"/>
        <v>0</v>
      </c>
      <c r="I27" s="3"/>
      <c r="J27" s="3">
        <f t="shared" si="2"/>
        <v>0</v>
      </c>
      <c r="K27" s="3"/>
      <c r="L27" s="3"/>
      <c r="N27">
        <f>10850-10000-600</f>
        <v>250</v>
      </c>
      <c r="Q27">
        <f>Q26*7</f>
        <v>2333.333333333333</v>
      </c>
    </row>
    <row r="28" spans="1:17" x14ac:dyDescent="0.25">
      <c r="A28" s="3">
        <v>24</v>
      </c>
      <c r="B28" s="3" t="s">
        <v>230</v>
      </c>
      <c r="C28" s="3"/>
      <c r="D28" s="3">
        <v>200</v>
      </c>
      <c r="E28" s="30">
        <v>450</v>
      </c>
      <c r="F28" s="3">
        <f>'OCTOBER 20'!J28:J52</f>
        <v>0</v>
      </c>
      <c r="G28" s="3">
        <v>10000</v>
      </c>
      <c r="H28" s="3">
        <f t="shared" si="0"/>
        <v>10000</v>
      </c>
      <c r="I28" s="3">
        <f>10000</f>
        <v>10000</v>
      </c>
      <c r="J28" s="3">
        <f t="shared" si="2"/>
        <v>0</v>
      </c>
      <c r="K28" s="3"/>
      <c r="L28" s="3">
        <v>600</v>
      </c>
      <c r="Q28">
        <v>10000</v>
      </c>
    </row>
    <row r="29" spans="1:17" x14ac:dyDescent="0.25">
      <c r="A29" s="3">
        <v>25</v>
      </c>
      <c r="B29" s="3" t="s">
        <v>55</v>
      </c>
      <c r="C29" s="3"/>
      <c r="D29" s="3">
        <v>200</v>
      </c>
      <c r="E29" s="3">
        <v>650</v>
      </c>
      <c r="F29" s="3">
        <f>'OCTOBER 20'!J29:J53</f>
        <v>0</v>
      </c>
      <c r="G29" s="3">
        <v>10000</v>
      </c>
      <c r="H29" s="3">
        <f t="shared" si="0"/>
        <v>10000</v>
      </c>
      <c r="I29" s="3">
        <v>10000</v>
      </c>
      <c r="J29" s="3">
        <f t="shared" si="2"/>
        <v>0</v>
      </c>
      <c r="K29" s="3"/>
      <c r="L29" s="3">
        <v>650</v>
      </c>
      <c r="Q29">
        <v>10000</v>
      </c>
    </row>
    <row r="30" spans="1:17" x14ac:dyDescent="0.25">
      <c r="A30" s="2"/>
      <c r="B30" s="2" t="s">
        <v>33</v>
      </c>
      <c r="C30" s="2">
        <f t="shared" ref="C30:L30" si="3">SUM(C5:C29)</f>
        <v>0</v>
      </c>
      <c r="D30" s="2">
        <f t="shared" si="3"/>
        <v>3750</v>
      </c>
      <c r="E30" s="2">
        <f t="shared" si="3"/>
        <v>11150</v>
      </c>
      <c r="F30" s="3">
        <f t="shared" si="3"/>
        <v>41000</v>
      </c>
      <c r="G30" s="2">
        <f t="shared" si="3"/>
        <v>220000</v>
      </c>
      <c r="H30" s="2">
        <f t="shared" si="3"/>
        <v>271000</v>
      </c>
      <c r="I30" s="2">
        <f t="shared" si="3"/>
        <v>221000</v>
      </c>
      <c r="J30" s="2">
        <f t="shared" si="3"/>
        <v>50000</v>
      </c>
      <c r="K30" s="2">
        <f t="shared" si="3"/>
        <v>0</v>
      </c>
      <c r="L30" s="2">
        <f t="shared" si="3"/>
        <v>11450</v>
      </c>
      <c r="Q30">
        <v>1500</v>
      </c>
    </row>
    <row r="31" spans="1:17" x14ac:dyDescent="0.25">
      <c r="A31" s="7"/>
      <c r="B31" s="7"/>
      <c r="C31" s="7"/>
      <c r="D31" s="7"/>
      <c r="E31" s="7"/>
      <c r="F31" s="7"/>
      <c r="G31" s="40"/>
      <c r="H31" s="30"/>
      <c r="I31" s="30"/>
      <c r="J31" s="7"/>
      <c r="Q31">
        <v>600</v>
      </c>
    </row>
    <row r="32" spans="1:17" x14ac:dyDescent="0.25">
      <c r="B32" s="31" t="s">
        <v>23</v>
      </c>
      <c r="C32" s="32"/>
      <c r="D32" s="6"/>
      <c r="E32" s="33"/>
      <c r="F32" s="3">
        <f>E16</f>
        <v>900</v>
      </c>
      <c r="G32" s="30"/>
      <c r="H32" s="30"/>
      <c r="I32" s="30"/>
      <c r="Q32">
        <f>SUM(Q28:Q31)+200</f>
        <v>22300</v>
      </c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172</v>
      </c>
      <c r="C35" s="38">
        <f>C30+G30</f>
        <v>220000</v>
      </c>
      <c r="D35" s="30"/>
      <c r="E35" s="30"/>
      <c r="F35" s="30" t="s">
        <v>172</v>
      </c>
      <c r="G35" s="38">
        <f>I30</f>
        <v>221000</v>
      </c>
      <c r="H35" s="30"/>
      <c r="I35" s="30"/>
    </row>
    <row r="36" spans="2:13" x14ac:dyDescent="0.25">
      <c r="B36" s="30" t="s">
        <v>5</v>
      </c>
      <c r="C36" s="38">
        <f>'OCTOBER 20'!E49</f>
        <v>544.97999999998137</v>
      </c>
      <c r="D36" s="30"/>
      <c r="E36" s="30"/>
      <c r="F36" s="30" t="s">
        <v>5</v>
      </c>
      <c r="G36" s="38">
        <f>'OCTOBER 20'!I49</f>
        <v>-455.02000000001863</v>
      </c>
      <c r="H36" s="30"/>
      <c r="I36" s="30"/>
    </row>
    <row r="37" spans="2:13" x14ac:dyDescent="0.25">
      <c r="B37" s="30" t="s">
        <v>35</v>
      </c>
      <c r="C37" s="38">
        <f>E30</f>
        <v>11150</v>
      </c>
      <c r="D37" s="30"/>
      <c r="E37" s="30"/>
      <c r="F37" s="30" t="s">
        <v>35</v>
      </c>
      <c r="G37" s="38">
        <f>E30</f>
        <v>11150</v>
      </c>
      <c r="H37" s="30"/>
      <c r="I37" s="30"/>
    </row>
    <row r="38" spans="2:13" x14ac:dyDescent="0.25">
      <c r="B38" s="30" t="s">
        <v>86</v>
      </c>
      <c r="C38" s="38">
        <f>K30</f>
        <v>0</v>
      </c>
      <c r="D38" s="30"/>
      <c r="E38" s="30"/>
      <c r="F38" s="30" t="s">
        <v>86</v>
      </c>
      <c r="G38" s="38">
        <f>C38</f>
        <v>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11450</v>
      </c>
      <c r="D39" s="30"/>
      <c r="E39" s="30"/>
      <c r="F39" s="30" t="s">
        <v>88</v>
      </c>
      <c r="G39" s="38">
        <f>L30</f>
        <v>11450</v>
      </c>
      <c r="H39" s="30"/>
      <c r="I39" s="30"/>
      <c r="M39" s="24"/>
    </row>
    <row r="40" spans="2:13" x14ac:dyDescent="0.25">
      <c r="B40" s="30" t="s">
        <v>30</v>
      </c>
      <c r="C40" s="39">
        <v>0.06</v>
      </c>
      <c r="D40" s="38">
        <f>C40*C35</f>
        <v>13200</v>
      </c>
      <c r="E40" s="30"/>
      <c r="F40" s="30" t="s">
        <v>30</v>
      </c>
      <c r="G40" s="39">
        <v>0.06</v>
      </c>
      <c r="H40" s="38">
        <f>G40*C35</f>
        <v>13200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176</v>
      </c>
      <c r="D43" s="30">
        <v>216000</v>
      </c>
      <c r="E43" s="30"/>
      <c r="F43" s="46" t="s">
        <v>176</v>
      </c>
      <c r="H43" s="30">
        <v>216000</v>
      </c>
      <c r="I43" s="30"/>
      <c r="M43" s="24"/>
    </row>
    <row r="44" spans="2:13" x14ac:dyDescent="0.25">
      <c r="B44" s="3"/>
      <c r="C44" s="40"/>
      <c r="E44" s="3"/>
      <c r="F44" s="3"/>
      <c r="G44" s="40"/>
      <c r="I44" s="30"/>
      <c r="M44" s="24"/>
    </row>
    <row r="45" spans="2:13" x14ac:dyDescent="0.25">
      <c r="B45" s="3"/>
      <c r="C45" s="30"/>
      <c r="D45" s="30"/>
      <c r="E45" s="30"/>
      <c r="F45" s="3"/>
      <c r="G45" s="30"/>
      <c r="H45" s="30"/>
      <c r="I45" s="30"/>
      <c r="J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K46" t="s">
        <v>32</v>
      </c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229944.97999999998</v>
      </c>
      <c r="D49" s="42">
        <f>SUM(D42:D48)</f>
        <v>226000</v>
      </c>
      <c r="E49" s="42">
        <f>C49-D49</f>
        <v>3944.9799999999814</v>
      </c>
      <c r="F49" s="37" t="s">
        <v>33</v>
      </c>
      <c r="G49" s="42">
        <f>G35+G36+G37+G38+G39-H40</f>
        <v>229944.97999999998</v>
      </c>
      <c r="H49" s="42">
        <f>SUM(H42:H48)</f>
        <v>226000</v>
      </c>
      <c r="I49" s="42">
        <f>G49-H49</f>
        <v>3944.9799999999814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>
        <f>E49-53000</f>
        <v>-49055.020000000019</v>
      </c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19" workbookViewId="0">
      <selection activeCell="I17" sqref="I17"/>
    </sheetView>
  </sheetViews>
  <sheetFormatPr defaultRowHeight="15" x14ac:dyDescent="0.25"/>
  <cols>
    <col min="1" max="1" width="4.7109375" customWidth="1"/>
    <col min="2" max="2" width="15.42578125" customWidth="1"/>
    <col min="3" max="3" width="7.85546875" customWidth="1"/>
    <col min="4" max="4" width="7.42578125" customWidth="1"/>
    <col min="5" max="5" width="8.42578125" customWidth="1"/>
    <col min="6" max="6" width="8.7109375" customWidth="1"/>
    <col min="9" max="9" width="7.140625" customWidth="1"/>
  </cols>
  <sheetData>
    <row r="1" spans="1:14" ht="15.75" x14ac:dyDescent="0.25">
      <c r="C1" s="21" t="s">
        <v>0</v>
      </c>
      <c r="D1" s="21"/>
      <c r="E1" s="21"/>
      <c r="F1" s="27"/>
      <c r="G1" s="27"/>
      <c r="I1" s="1"/>
      <c r="J1" s="1"/>
    </row>
    <row r="2" spans="1:14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4" ht="15.75" x14ac:dyDescent="0.25">
      <c r="A3" s="1"/>
      <c r="B3" s="1"/>
      <c r="C3" s="21" t="s">
        <v>242</v>
      </c>
      <c r="D3" s="21"/>
      <c r="E3" s="21"/>
      <c r="F3" s="27"/>
      <c r="G3" s="27"/>
      <c r="I3" s="1"/>
      <c r="J3" s="1"/>
    </row>
    <row r="4" spans="1:14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4" x14ac:dyDescent="0.25">
      <c r="A5" s="3">
        <v>1</v>
      </c>
      <c r="B5" s="3" t="s">
        <v>94</v>
      </c>
      <c r="C5" s="3"/>
      <c r="D5" s="3"/>
      <c r="E5" s="3"/>
      <c r="F5" s="3">
        <f>NOVEMBER20!J5:J29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/>
    </row>
    <row r="6" spans="1:14" x14ac:dyDescent="0.25">
      <c r="A6" s="3">
        <v>2</v>
      </c>
      <c r="B6" t="s">
        <v>69</v>
      </c>
      <c r="C6" s="3"/>
      <c r="D6" s="3">
        <v>300</v>
      </c>
      <c r="E6" s="3">
        <v>200</v>
      </c>
      <c r="F6" s="3">
        <f>NOVEMBER20!J6:J30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4" x14ac:dyDescent="0.25">
      <c r="A7" s="3">
        <v>3</v>
      </c>
      <c r="B7" s="3" t="s">
        <v>187</v>
      </c>
      <c r="C7" s="3"/>
      <c r="D7" s="3">
        <v>200</v>
      </c>
      <c r="E7" s="3">
        <v>450</v>
      </c>
      <c r="F7" s="3">
        <f>NOVEMBER20!J7:J31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4" x14ac:dyDescent="0.25">
      <c r="A8" s="3">
        <v>4</v>
      </c>
      <c r="B8" s="3" t="s">
        <v>89</v>
      </c>
      <c r="C8" s="3"/>
      <c r="D8" s="3">
        <v>100</v>
      </c>
      <c r="E8" s="3"/>
      <c r="F8" s="3">
        <f>NOVEMBER20!J8:J32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>
        <v>600</v>
      </c>
    </row>
    <row r="9" spans="1:14" x14ac:dyDescent="0.25">
      <c r="A9" s="3">
        <v>5</v>
      </c>
      <c r="B9" s="30" t="s">
        <v>244</v>
      </c>
      <c r="C9" s="3">
        <v>10000</v>
      </c>
      <c r="D9" s="3">
        <v>200</v>
      </c>
      <c r="E9" s="3"/>
      <c r="F9" s="3">
        <f>NOVEMBER20!J9:J33</f>
        <v>0</v>
      </c>
      <c r="G9" s="3">
        <v>10000</v>
      </c>
      <c r="H9" s="3">
        <f t="shared" si="0"/>
        <v>20000</v>
      </c>
      <c r="I9" s="3">
        <f>7300+12700</f>
        <v>20000</v>
      </c>
      <c r="J9" s="3">
        <f t="shared" si="1"/>
        <v>0</v>
      </c>
      <c r="K9" s="3">
        <f>1500</f>
        <v>1500</v>
      </c>
      <c r="L9" s="3">
        <v>600</v>
      </c>
      <c r="N9">
        <f>1250-800</f>
        <v>450</v>
      </c>
    </row>
    <row r="10" spans="1:14" x14ac:dyDescent="0.25">
      <c r="A10" s="3">
        <v>6</v>
      </c>
      <c r="B10" s="3" t="s">
        <v>13</v>
      </c>
      <c r="C10" s="3"/>
      <c r="D10" s="3">
        <v>200</v>
      </c>
      <c r="E10" s="30">
        <v>600</v>
      </c>
      <c r="F10" s="3">
        <f>NOVEMBER20!J10:J34</f>
        <v>0</v>
      </c>
      <c r="G10" s="3">
        <v>12000</v>
      </c>
      <c r="H10" s="3">
        <f t="shared" si="0"/>
        <v>12000</v>
      </c>
      <c r="I10" s="3">
        <f>12000</f>
        <v>12000</v>
      </c>
      <c r="J10" s="3">
        <f t="shared" si="1"/>
        <v>0</v>
      </c>
      <c r="K10" s="3"/>
      <c r="L10" s="3">
        <v>600</v>
      </c>
    </row>
    <row r="11" spans="1:14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>
        <f>NOVEMBER20!J11:J35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4" x14ac:dyDescent="0.25">
      <c r="A12" s="3">
        <v>8</v>
      </c>
      <c r="B12" s="3" t="s">
        <v>225</v>
      </c>
      <c r="C12" s="3"/>
      <c r="D12" s="3">
        <v>200</v>
      </c>
      <c r="E12" s="30">
        <v>1050</v>
      </c>
      <c r="F12" s="3">
        <f>NOVEMBER20!J12:J36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4" x14ac:dyDescent="0.25">
      <c r="A13" s="3">
        <v>9</v>
      </c>
      <c r="B13" s="3" t="s">
        <v>226</v>
      </c>
      <c r="C13" s="3"/>
      <c r="D13" s="3">
        <v>200</v>
      </c>
      <c r="E13" s="3">
        <v>1050</v>
      </c>
      <c r="F13" s="3">
        <f>NOVEMBER20!J13:J37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1800</v>
      </c>
    </row>
    <row r="14" spans="1:14" x14ac:dyDescent="0.25">
      <c r="A14" s="3">
        <v>10</v>
      </c>
      <c r="B14" s="3" t="s">
        <v>99</v>
      </c>
      <c r="C14" s="3"/>
      <c r="D14" s="3"/>
      <c r="E14" s="30"/>
      <c r="F14" s="3">
        <f>NOVEMBER20!J14:J38</f>
        <v>50000</v>
      </c>
      <c r="G14" s="3"/>
      <c r="H14" s="3">
        <f>C14+F14+G14+10000</f>
        <v>60000</v>
      </c>
      <c r="I14" s="3"/>
      <c r="J14" s="3">
        <f t="shared" si="1"/>
        <v>60000</v>
      </c>
      <c r="K14" s="3"/>
      <c r="L14" s="3"/>
    </row>
    <row r="15" spans="1:14" x14ac:dyDescent="0.25">
      <c r="A15" s="3">
        <v>11</v>
      </c>
      <c r="B15" s="3" t="s">
        <v>18</v>
      </c>
      <c r="C15" s="3"/>
      <c r="D15" s="3">
        <v>200</v>
      </c>
      <c r="E15" s="30">
        <v>900</v>
      </c>
      <c r="F15" s="3">
        <f>NOVEMBER20!J15:J39</f>
        <v>0</v>
      </c>
      <c r="G15" s="3">
        <v>12000</v>
      </c>
      <c r="H15" s="3">
        <f>C15+F15+G15</f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4" x14ac:dyDescent="0.25">
      <c r="A16" s="3">
        <v>12</v>
      </c>
      <c r="B16" s="3" t="s">
        <v>135</v>
      </c>
      <c r="C16" s="3"/>
      <c r="D16" s="3">
        <v>200</v>
      </c>
      <c r="E16" s="3">
        <v>1650</v>
      </c>
      <c r="F16" s="3">
        <f>NOVEMBER20!J16:J40</f>
        <v>0</v>
      </c>
      <c r="G16" s="3">
        <v>10000</v>
      </c>
      <c r="H16" s="3">
        <f t="shared" si="0"/>
        <v>10000</v>
      </c>
      <c r="I16" s="3">
        <f>10000</f>
        <v>10000</v>
      </c>
      <c r="J16" s="3">
        <f t="shared" si="1"/>
        <v>0</v>
      </c>
      <c r="K16" s="3"/>
      <c r="L16" s="3">
        <v>600</v>
      </c>
    </row>
    <row r="17" spans="1:13" x14ac:dyDescent="0.25">
      <c r="A17" s="3">
        <v>13</v>
      </c>
      <c r="B17" s="12" t="s">
        <v>192</v>
      </c>
      <c r="C17" s="3"/>
      <c r="D17" s="3"/>
      <c r="E17" s="30"/>
      <c r="F17" s="3">
        <f>NOVEMBER20!J17:J41</f>
        <v>0</v>
      </c>
      <c r="G17" s="3">
        <v>10000</v>
      </c>
      <c r="H17" s="3">
        <f t="shared" si="0"/>
        <v>10000</v>
      </c>
      <c r="I17" s="3"/>
      <c r="J17" s="3">
        <f t="shared" si="1"/>
        <v>10000</v>
      </c>
      <c r="K17" s="3"/>
      <c r="L17" s="3"/>
    </row>
    <row r="18" spans="1:13" x14ac:dyDescent="0.25">
      <c r="A18" s="3">
        <v>14</v>
      </c>
      <c r="B18" s="12" t="s">
        <v>70</v>
      </c>
      <c r="C18" s="3"/>
      <c r="D18" s="43">
        <v>200</v>
      </c>
      <c r="E18" s="3">
        <v>900</v>
      </c>
      <c r="F18" s="3">
        <f>NOVEMBER20!J18:J42</f>
        <v>0</v>
      </c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  <c r="K18" s="3"/>
      <c r="L18" s="3">
        <v>600</v>
      </c>
    </row>
    <row r="19" spans="1:13" x14ac:dyDescent="0.25">
      <c r="A19" s="3">
        <v>15</v>
      </c>
      <c r="B19" s="3" t="s">
        <v>158</v>
      </c>
      <c r="C19" s="3"/>
      <c r="D19" s="3">
        <v>200</v>
      </c>
      <c r="E19" s="3">
        <v>450</v>
      </c>
      <c r="F19" s="3">
        <f>NOVEMBER20!J19:J43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3" x14ac:dyDescent="0.25">
      <c r="A20" s="3">
        <v>16</v>
      </c>
      <c r="B20" s="3" t="s">
        <v>12</v>
      </c>
      <c r="C20" s="3"/>
      <c r="D20" s="3">
        <v>200</v>
      </c>
      <c r="E20" s="3">
        <v>750</v>
      </c>
      <c r="F20" s="3">
        <f>NOVEMBER20!J20:J44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3" x14ac:dyDescent="0.25">
      <c r="A21" s="3">
        <v>17</v>
      </c>
      <c r="B21" s="30" t="s">
        <v>222</v>
      </c>
      <c r="C21" s="3"/>
      <c r="D21" s="3">
        <v>250</v>
      </c>
      <c r="E21" s="3">
        <v>1650</v>
      </c>
      <c r="F21" s="3">
        <f>NOVEMBER20!J21:J45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3" x14ac:dyDescent="0.25">
      <c r="A22" s="3">
        <v>18</v>
      </c>
      <c r="B22" s="3" t="s">
        <v>220</v>
      </c>
      <c r="C22" s="3"/>
      <c r="D22" s="3">
        <v>250</v>
      </c>
      <c r="E22" s="3"/>
      <c r="F22" s="3">
        <f>NOVEMBER20!J22:J46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v>600</v>
      </c>
    </row>
    <row r="23" spans="1:13" x14ac:dyDescent="0.25">
      <c r="A23" s="3">
        <v>19</v>
      </c>
      <c r="B23" s="30" t="s">
        <v>241</v>
      </c>
      <c r="C23" s="3">
        <v>10000</v>
      </c>
      <c r="D23" s="3">
        <v>200</v>
      </c>
      <c r="E23" s="30"/>
      <c r="F23" s="3">
        <f>NOVEMBER20!J23:J47</f>
        <v>0</v>
      </c>
      <c r="G23" s="3">
        <v>10000</v>
      </c>
      <c r="H23" s="3">
        <f t="shared" si="0"/>
        <v>20000</v>
      </c>
      <c r="I23" s="3">
        <v>20000</v>
      </c>
      <c r="J23" s="3">
        <f>H23-I23</f>
        <v>0</v>
      </c>
      <c r="K23" s="3">
        <v>1500</v>
      </c>
      <c r="L23" s="3">
        <v>600</v>
      </c>
    </row>
    <row r="24" spans="1:13" x14ac:dyDescent="0.25">
      <c r="A24" s="3">
        <v>20</v>
      </c>
      <c r="B24" s="3" t="s">
        <v>231</v>
      </c>
      <c r="C24" s="3"/>
      <c r="D24" s="3">
        <v>200</v>
      </c>
      <c r="E24" s="30">
        <v>600</v>
      </c>
      <c r="F24" s="3">
        <f>NOVEMBER20!J24:J48</f>
        <v>0</v>
      </c>
      <c r="G24" s="3">
        <v>10000</v>
      </c>
      <c r="H24" s="3">
        <f t="shared" si="0"/>
        <v>10000</v>
      </c>
      <c r="I24" s="3">
        <f>8000+2000</f>
        <v>10000</v>
      </c>
      <c r="J24" s="3">
        <f t="shared" ref="J24:J29" si="2">H24-I24</f>
        <v>0</v>
      </c>
      <c r="K24" s="3"/>
      <c r="L24" s="3">
        <v>1200</v>
      </c>
      <c r="M24" t="s">
        <v>235</v>
      </c>
    </row>
    <row r="25" spans="1:13" x14ac:dyDescent="0.25">
      <c r="A25" s="3">
        <v>21</v>
      </c>
      <c r="B25" s="3" t="s">
        <v>202</v>
      </c>
      <c r="C25" s="3"/>
      <c r="D25" s="3">
        <v>200</v>
      </c>
      <c r="E25" s="30">
        <v>450</v>
      </c>
      <c r="F25" s="3">
        <f>NOVEMBER20!J25:J49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3" x14ac:dyDescent="0.25">
      <c r="A26" s="3">
        <v>22</v>
      </c>
      <c r="B26" s="30" t="s">
        <v>234</v>
      </c>
      <c r="C26" s="3"/>
      <c r="D26" s="3">
        <v>200</v>
      </c>
      <c r="E26" s="3">
        <v>600</v>
      </c>
      <c r="F26" s="3">
        <f>NOVEMBER20!J26:J50</f>
        <v>0</v>
      </c>
      <c r="G26" s="3">
        <v>10000</v>
      </c>
      <c r="H26" s="3">
        <f t="shared" si="0"/>
        <v>10000</v>
      </c>
      <c r="I26" s="3">
        <v>10000</v>
      </c>
      <c r="J26" s="3">
        <f>H26-I26</f>
        <v>0</v>
      </c>
      <c r="K26" s="3"/>
      <c r="L26" s="3">
        <v>600</v>
      </c>
    </row>
    <row r="27" spans="1:13" x14ac:dyDescent="0.25">
      <c r="A27" s="3">
        <v>23</v>
      </c>
      <c r="B27" s="3" t="s">
        <v>243</v>
      </c>
      <c r="C27" s="3">
        <v>10000</v>
      </c>
      <c r="D27" s="3">
        <v>200</v>
      </c>
      <c r="E27" s="30"/>
      <c r="F27" s="3">
        <f>NOVEMBER20!J27:J51</f>
        <v>0</v>
      </c>
      <c r="G27" s="3">
        <v>10000</v>
      </c>
      <c r="H27" s="3">
        <f t="shared" si="0"/>
        <v>20000</v>
      </c>
      <c r="I27" s="3">
        <v>20000</v>
      </c>
      <c r="J27" s="3">
        <f t="shared" si="2"/>
        <v>0</v>
      </c>
      <c r="K27" s="3">
        <v>1500</v>
      </c>
      <c r="L27" s="3">
        <v>600</v>
      </c>
    </row>
    <row r="28" spans="1:13" x14ac:dyDescent="0.25">
      <c r="A28" s="3">
        <v>24</v>
      </c>
      <c r="B28" s="3" t="s">
        <v>230</v>
      </c>
      <c r="C28" s="3"/>
      <c r="D28" s="3">
        <v>200</v>
      </c>
      <c r="E28" s="30">
        <v>450</v>
      </c>
      <c r="F28" s="3">
        <f>NOVEMBER20!J28:J52</f>
        <v>0</v>
      </c>
      <c r="G28" s="3">
        <v>10000</v>
      </c>
      <c r="H28" s="3">
        <f t="shared" si="0"/>
        <v>10000</v>
      </c>
      <c r="I28" s="3">
        <v>10000</v>
      </c>
      <c r="J28" s="3">
        <f t="shared" si="2"/>
        <v>0</v>
      </c>
      <c r="K28" s="3"/>
      <c r="L28" s="3">
        <v>600</v>
      </c>
    </row>
    <row r="29" spans="1:13" x14ac:dyDescent="0.25">
      <c r="A29" s="3">
        <v>25</v>
      </c>
      <c r="B29" s="3" t="s">
        <v>55</v>
      </c>
      <c r="C29" s="3"/>
      <c r="D29" s="3">
        <v>200</v>
      </c>
      <c r="E29" s="3">
        <v>750</v>
      </c>
      <c r="F29" s="3">
        <f>NOVEMBER20!J29:J53</f>
        <v>0</v>
      </c>
      <c r="G29" s="3">
        <v>10000</v>
      </c>
      <c r="H29" s="3">
        <f t="shared" si="0"/>
        <v>10000</v>
      </c>
      <c r="I29" s="3">
        <v>10000</v>
      </c>
      <c r="J29" s="3">
        <f t="shared" si="2"/>
        <v>0</v>
      </c>
      <c r="K29" s="3"/>
      <c r="L29" s="3">
        <f>600+600</f>
        <v>1200</v>
      </c>
    </row>
    <row r="30" spans="1:13" x14ac:dyDescent="0.25">
      <c r="A30" s="2"/>
      <c r="B30" s="2" t="s">
        <v>33</v>
      </c>
      <c r="C30" s="2">
        <f t="shared" ref="C30:L30" si="3">SUM(C5:C29)</f>
        <v>30000</v>
      </c>
      <c r="D30" s="2">
        <f t="shared" si="3"/>
        <v>4500</v>
      </c>
      <c r="E30" s="2">
        <f t="shared" si="3"/>
        <v>13100</v>
      </c>
      <c r="F30" s="3">
        <f t="shared" si="3"/>
        <v>50000</v>
      </c>
      <c r="G30" s="2">
        <f t="shared" si="3"/>
        <v>250000</v>
      </c>
      <c r="H30" s="2">
        <f t="shared" si="3"/>
        <v>340000</v>
      </c>
      <c r="I30" s="2">
        <f t="shared" si="3"/>
        <v>270000</v>
      </c>
      <c r="J30" s="2">
        <f t="shared" si="3"/>
        <v>70000</v>
      </c>
      <c r="K30" s="2">
        <f t="shared" si="3"/>
        <v>4500</v>
      </c>
      <c r="L30" s="2">
        <f t="shared" si="3"/>
        <v>15600</v>
      </c>
    </row>
    <row r="31" spans="1:13" x14ac:dyDescent="0.25">
      <c r="A31" s="7"/>
      <c r="B31" s="7"/>
      <c r="C31" s="7"/>
      <c r="D31" s="7"/>
      <c r="E31" s="7"/>
      <c r="F31" s="7"/>
      <c r="G31" s="40"/>
      <c r="H31" s="30"/>
      <c r="I31" s="30"/>
      <c r="J31" s="7"/>
    </row>
    <row r="32" spans="1:13" x14ac:dyDescent="0.25">
      <c r="B32" s="31" t="s">
        <v>23</v>
      </c>
      <c r="C32" s="32"/>
      <c r="D32" s="6"/>
      <c r="E32" s="33"/>
      <c r="F32" s="3">
        <f>E16</f>
        <v>1650</v>
      </c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177</v>
      </c>
      <c r="C35" s="38">
        <f>C30+G30</f>
        <v>280000</v>
      </c>
      <c r="D35" s="30"/>
      <c r="E35" s="30"/>
      <c r="F35" s="30" t="s">
        <v>177</v>
      </c>
      <c r="G35" s="38">
        <f>I30</f>
        <v>270000</v>
      </c>
      <c r="H35" s="30"/>
      <c r="I35" s="30"/>
    </row>
    <row r="36" spans="2:13" x14ac:dyDescent="0.25">
      <c r="B36" s="30" t="s">
        <v>5</v>
      </c>
      <c r="C36" s="38">
        <f>NOVEMBER20!E49</f>
        <v>3944.9799999999814</v>
      </c>
      <c r="D36" s="30"/>
      <c r="E36" s="30"/>
      <c r="F36" s="30" t="s">
        <v>5</v>
      </c>
      <c r="G36" s="38">
        <f>NOVEMBER20!I49</f>
        <v>3944.9799999999814</v>
      </c>
      <c r="H36" s="30"/>
      <c r="I36" s="30"/>
    </row>
    <row r="37" spans="2:13" x14ac:dyDescent="0.25">
      <c r="B37" s="30" t="s">
        <v>35</v>
      </c>
      <c r="C37" s="38">
        <f>E30</f>
        <v>13100</v>
      </c>
      <c r="D37" s="30"/>
      <c r="E37" s="30"/>
      <c r="F37" s="30" t="s">
        <v>35</v>
      </c>
      <c r="G37" s="38">
        <f>E30</f>
        <v>13100</v>
      </c>
      <c r="H37" s="30"/>
      <c r="I37" s="30"/>
    </row>
    <row r="38" spans="2:13" x14ac:dyDescent="0.25">
      <c r="B38" s="30" t="s">
        <v>86</v>
      </c>
      <c r="C38" s="38">
        <f>K30</f>
        <v>4500</v>
      </c>
      <c r="D38" s="30"/>
      <c r="E38" s="30"/>
      <c r="F38" s="30" t="s">
        <v>86</v>
      </c>
      <c r="G38" s="38">
        <f>C38</f>
        <v>4500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15600</v>
      </c>
      <c r="D39" s="30"/>
      <c r="E39" s="30"/>
      <c r="F39" s="30" t="s">
        <v>88</v>
      </c>
      <c r="G39" s="38">
        <f>L30</f>
        <v>15600</v>
      </c>
      <c r="H39" s="30"/>
      <c r="I39" s="30"/>
      <c r="M39" s="24"/>
    </row>
    <row r="40" spans="2:13" x14ac:dyDescent="0.25">
      <c r="B40" s="30" t="s">
        <v>30</v>
      </c>
      <c r="C40" s="39">
        <v>0.06</v>
      </c>
      <c r="D40" s="38">
        <f>C40*C35</f>
        <v>16800</v>
      </c>
      <c r="E40" s="30"/>
      <c r="F40" s="30" t="s">
        <v>30</v>
      </c>
      <c r="G40" s="39">
        <v>0.06</v>
      </c>
      <c r="H40" s="38">
        <f>G40*C35</f>
        <v>16800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148</v>
      </c>
      <c r="D43" s="30">
        <v>5000</v>
      </c>
      <c r="E43" s="30"/>
      <c r="F43" s="46" t="s">
        <v>148</v>
      </c>
      <c r="H43" s="30">
        <v>5000</v>
      </c>
      <c r="I43" s="30"/>
      <c r="M43" s="24"/>
    </row>
    <row r="44" spans="2:13" x14ac:dyDescent="0.25">
      <c r="B44" s="3" t="s">
        <v>183</v>
      </c>
      <c r="C44" s="40"/>
      <c r="D44">
        <v>50000</v>
      </c>
      <c r="E44" s="3"/>
      <c r="F44" s="3" t="s">
        <v>183</v>
      </c>
      <c r="G44" s="40"/>
      <c r="H44">
        <v>50000</v>
      </c>
      <c r="I44" s="30"/>
      <c r="M44" s="24"/>
    </row>
    <row r="45" spans="2:13" x14ac:dyDescent="0.25">
      <c r="B45" s="3" t="s">
        <v>245</v>
      </c>
      <c r="C45" s="30"/>
      <c r="D45" s="30">
        <v>195600</v>
      </c>
      <c r="E45" s="30"/>
      <c r="F45" s="3" t="s">
        <v>245</v>
      </c>
      <c r="G45" s="30"/>
      <c r="H45" s="30">
        <v>195600</v>
      </c>
      <c r="I45" s="30"/>
      <c r="J45" s="24"/>
      <c r="M45" s="24"/>
    </row>
    <row r="46" spans="2:13" x14ac:dyDescent="0.25">
      <c r="B46" s="40" t="s">
        <v>246</v>
      </c>
      <c r="C46" s="30"/>
      <c r="D46" s="30">
        <v>34105</v>
      </c>
      <c r="E46" s="30"/>
      <c r="F46" s="40" t="s">
        <v>246</v>
      </c>
      <c r="G46" s="30"/>
      <c r="H46" s="30">
        <v>34105</v>
      </c>
      <c r="I46" s="30"/>
      <c r="K46" t="s">
        <v>32</v>
      </c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300344.98</v>
      </c>
      <c r="D49" s="42">
        <f>SUM(D42:D48)</f>
        <v>294705</v>
      </c>
      <c r="E49" s="42">
        <f>C49-D49</f>
        <v>5639.9799999999814</v>
      </c>
      <c r="F49" s="37" t="s">
        <v>33</v>
      </c>
      <c r="G49" s="42">
        <f>G35+G36+G37+G38+G39-H40</f>
        <v>290344.98</v>
      </c>
      <c r="H49" s="42">
        <f>SUM(H42:H48)</f>
        <v>294705</v>
      </c>
      <c r="I49" s="42">
        <f>G49-H49</f>
        <v>-4360.0200000000186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  <row r="55" spans="2:11" x14ac:dyDescent="0.25">
      <c r="F55" s="24"/>
    </row>
  </sheetData>
  <pageMargins left="0" right="0" top="0" bottom="0" header="0.3" footer="0.3"/>
  <pageSetup orientation="portrait" horizontalDpi="203" verticalDpi="20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6" workbookViewId="0">
      <selection activeCell="G17" sqref="G17"/>
    </sheetView>
  </sheetViews>
  <sheetFormatPr defaultRowHeight="15" x14ac:dyDescent="0.25"/>
  <cols>
    <col min="1" max="1" width="5.42578125" customWidth="1"/>
    <col min="2" max="2" width="19.42578125" customWidth="1"/>
    <col min="6" max="6" width="10.85546875" customWidth="1"/>
  </cols>
  <sheetData>
    <row r="1" spans="1:12" ht="15.75" x14ac:dyDescent="0.25"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247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>
        <v>0</v>
      </c>
      <c r="F5" s="3">
        <f>'DECEMBER 20'!J5:J29</f>
        <v>0</v>
      </c>
      <c r="G5" s="3">
        <v>12000</v>
      </c>
      <c r="H5" s="3">
        <f>C5+F5+G5</f>
        <v>12000</v>
      </c>
      <c r="I5" s="3">
        <f>8000</f>
        <v>8000</v>
      </c>
      <c r="J5" s="3">
        <f>H5-I5</f>
        <v>4000</v>
      </c>
      <c r="K5" s="3"/>
      <c r="L5" s="3"/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'DECEMBER 20'!J6:J30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187</v>
      </c>
      <c r="C7" s="3"/>
      <c r="D7" s="3">
        <v>200</v>
      </c>
      <c r="E7" s="3">
        <v>750</v>
      </c>
      <c r="F7" s="3">
        <f>'DECEMBER 20'!J7:J31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300</v>
      </c>
      <c r="E8" s="3">
        <v>600</v>
      </c>
      <c r="F8" s="3">
        <f>'DECEMBER 20'!J8:J32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/>
    </row>
    <row r="9" spans="1:12" x14ac:dyDescent="0.25">
      <c r="A9" s="3">
        <v>5</v>
      </c>
      <c r="B9" s="30" t="s">
        <v>244</v>
      </c>
      <c r="C9" s="3"/>
      <c r="D9" s="3">
        <v>200</v>
      </c>
      <c r="E9" s="3">
        <v>450</v>
      </c>
      <c r="F9" s="3">
        <f>'DECEMBER 20'!J9:J33</f>
        <v>0</v>
      </c>
      <c r="G9" s="3">
        <v>10000</v>
      </c>
      <c r="H9" s="3">
        <f t="shared" si="0"/>
        <v>10000</v>
      </c>
      <c r="I9" s="3">
        <v>10000</v>
      </c>
      <c r="J9" s="3">
        <f t="shared" si="1"/>
        <v>0</v>
      </c>
      <c r="K9" s="3"/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600</v>
      </c>
      <c r="F10" s="3">
        <f>'DECEMBER 20'!J10:J34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450</v>
      </c>
      <c r="F11" s="3">
        <f>'DECEMBER 20'!J11:J35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>
        <v>200</v>
      </c>
      <c r="E12" s="30">
        <v>900</v>
      </c>
      <c r="F12" s="3">
        <f>'DECEMBER 20'!J12:J36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/>
      <c r="E13" s="3"/>
      <c r="F13" s="3">
        <f>'DECEMBER 20'!J13:J37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/>
    </row>
    <row r="14" spans="1:12" x14ac:dyDescent="0.25">
      <c r="A14" s="3">
        <v>10</v>
      </c>
      <c r="B14" s="3" t="s">
        <v>99</v>
      </c>
      <c r="C14" s="3"/>
      <c r="D14" s="3"/>
      <c r="E14" s="30"/>
      <c r="F14" s="3">
        <f>'DECEMBER 20'!J14:J38</f>
        <v>60000</v>
      </c>
      <c r="G14" s="3"/>
      <c r="H14" s="3">
        <f>C14+F14+G14+10000</f>
        <v>70000</v>
      </c>
      <c r="I14" s="3"/>
      <c r="J14" s="3">
        <f t="shared" si="1"/>
        <v>70000</v>
      </c>
      <c r="K14" s="3"/>
      <c r="L14" s="3"/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f>450+150</f>
        <v>600</v>
      </c>
      <c r="F15" s="3">
        <f>'DECEMBER 20'!J15:J39</f>
        <v>0</v>
      </c>
      <c r="G15" s="3">
        <v>12000</v>
      </c>
      <c r="H15" s="3">
        <f>C15+F15+G15</f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>
        <f>'DECEMBER 20'!J16:J40</f>
        <v>0</v>
      </c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s="3"/>
      <c r="L16" s="3">
        <v>600</v>
      </c>
    </row>
    <row r="17" spans="1:13" x14ac:dyDescent="0.25">
      <c r="A17" s="3">
        <v>13</v>
      </c>
      <c r="B17" s="12" t="s">
        <v>192</v>
      </c>
      <c r="C17" s="3"/>
      <c r="D17" s="3"/>
      <c r="E17" s="30"/>
      <c r="F17" s="3">
        <f>'DECEMBER 20'!J17:J41</f>
        <v>10000</v>
      </c>
      <c r="G17" s="3"/>
      <c r="H17" s="3">
        <f>C17+F17+G17+10000</f>
        <v>20000</v>
      </c>
      <c r="I17" s="3"/>
      <c r="J17" s="3">
        <f t="shared" si="1"/>
        <v>20000</v>
      </c>
      <c r="K17" s="3"/>
      <c r="L17" s="3"/>
    </row>
    <row r="18" spans="1:13" x14ac:dyDescent="0.25">
      <c r="A18" s="3">
        <v>14</v>
      </c>
      <c r="B18" s="12" t="s">
        <v>70</v>
      </c>
      <c r="C18" s="3"/>
      <c r="D18" s="43"/>
      <c r="E18" s="3">
        <v>1050</v>
      </c>
      <c r="F18" s="3">
        <f>'DECEMBER 20'!J18:J42</f>
        <v>0</v>
      </c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  <c r="K18" s="3"/>
      <c r="L18" s="3">
        <v>600</v>
      </c>
    </row>
    <row r="19" spans="1:13" x14ac:dyDescent="0.25">
      <c r="A19" s="3">
        <v>15</v>
      </c>
      <c r="B19" s="3" t="s">
        <v>158</v>
      </c>
      <c r="C19" s="3"/>
      <c r="D19" s="3">
        <v>200</v>
      </c>
      <c r="E19" s="3">
        <v>150</v>
      </c>
      <c r="F19" s="3">
        <f>'DECEMBER 20'!J19:J43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3" x14ac:dyDescent="0.25">
      <c r="A20" s="3">
        <v>16</v>
      </c>
      <c r="B20" s="3" t="s">
        <v>12</v>
      </c>
      <c r="C20" s="3"/>
      <c r="D20" s="3">
        <v>200</v>
      </c>
      <c r="E20" s="3">
        <v>450</v>
      </c>
      <c r="F20" s="3">
        <f>'DECEMBER 20'!J20:J44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3" x14ac:dyDescent="0.25">
      <c r="A21" s="3">
        <v>17</v>
      </c>
      <c r="B21" s="30"/>
      <c r="C21" s="3"/>
      <c r="D21" s="3"/>
      <c r="E21" s="3"/>
      <c r="F21" s="3">
        <f>'DECEMBER 20'!J21:J45</f>
        <v>0</v>
      </c>
      <c r="G21" s="3"/>
      <c r="H21" s="3">
        <f>C21+F21+G21</f>
        <v>0</v>
      </c>
      <c r="I21" s="3"/>
      <c r="J21" s="3">
        <f t="shared" si="1"/>
        <v>0</v>
      </c>
      <c r="K21" s="3"/>
      <c r="L21" s="3"/>
    </row>
    <row r="22" spans="1:13" x14ac:dyDescent="0.25">
      <c r="A22" s="3">
        <v>18</v>
      </c>
      <c r="B22" s="3" t="s">
        <v>220</v>
      </c>
      <c r="C22" s="3"/>
      <c r="D22" s="3"/>
      <c r="E22" s="3"/>
      <c r="F22" s="3">
        <f>'DECEMBER 20'!J22:J46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/>
    </row>
    <row r="23" spans="1:13" x14ac:dyDescent="0.25">
      <c r="A23" s="3">
        <v>19</v>
      </c>
      <c r="B23" s="30" t="s">
        <v>241</v>
      </c>
      <c r="C23" s="3"/>
      <c r="D23" s="3"/>
      <c r="E23" s="30"/>
      <c r="F23" s="3">
        <f>'DECEMBER 20'!J23:J47</f>
        <v>0</v>
      </c>
      <c r="G23" s="3">
        <v>10000</v>
      </c>
      <c r="H23" s="3">
        <f t="shared" si="0"/>
        <v>10000</v>
      </c>
      <c r="I23" s="3">
        <f>7700+1350</f>
        <v>9050</v>
      </c>
      <c r="J23" s="3">
        <f>H23-I23</f>
        <v>950</v>
      </c>
      <c r="K23" s="3"/>
      <c r="L23" s="3"/>
    </row>
    <row r="24" spans="1:13" x14ac:dyDescent="0.25">
      <c r="A24" s="3">
        <v>20</v>
      </c>
      <c r="B24" s="3" t="s">
        <v>231</v>
      </c>
      <c r="C24" s="3"/>
      <c r="D24" s="3">
        <v>200</v>
      </c>
      <c r="E24" s="30">
        <v>300</v>
      </c>
      <c r="F24" s="3">
        <f>'DECEMBER 20'!J24:J48</f>
        <v>0</v>
      </c>
      <c r="G24" s="3">
        <v>10000</v>
      </c>
      <c r="H24" s="3">
        <f t="shared" si="0"/>
        <v>10000</v>
      </c>
      <c r="I24" s="3">
        <f>10000</f>
        <v>10000</v>
      </c>
      <c r="J24" s="3">
        <f t="shared" ref="J24:J29" si="2">H24-I24</f>
        <v>0</v>
      </c>
      <c r="K24" s="3"/>
      <c r="L24" s="3">
        <v>600</v>
      </c>
      <c r="M24" t="s">
        <v>235</v>
      </c>
    </row>
    <row r="25" spans="1:13" x14ac:dyDescent="0.25">
      <c r="A25" s="3">
        <v>21</v>
      </c>
      <c r="B25" s="3" t="s">
        <v>202</v>
      </c>
      <c r="C25" s="3"/>
      <c r="D25" s="3">
        <v>200</v>
      </c>
      <c r="E25" s="30">
        <v>450</v>
      </c>
      <c r="F25" s="3">
        <f>'DECEMBER 20'!J25:J49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3" x14ac:dyDescent="0.25">
      <c r="A26" s="3">
        <v>22</v>
      </c>
      <c r="B26" s="30" t="s">
        <v>234</v>
      </c>
      <c r="C26" s="3"/>
      <c r="D26" s="3">
        <v>200</v>
      </c>
      <c r="E26" s="3">
        <v>600</v>
      </c>
      <c r="F26" s="3">
        <f>'DECEMBER 20'!J26:J50</f>
        <v>0</v>
      </c>
      <c r="G26" s="3">
        <v>10000</v>
      </c>
      <c r="H26" s="3">
        <f t="shared" si="0"/>
        <v>10000</v>
      </c>
      <c r="I26" s="3">
        <f>10000</f>
        <v>10000</v>
      </c>
      <c r="J26" s="3">
        <f>H26-I26</f>
        <v>0</v>
      </c>
      <c r="K26" s="3"/>
      <c r="L26" s="3">
        <v>600</v>
      </c>
    </row>
    <row r="27" spans="1:13" x14ac:dyDescent="0.25">
      <c r="A27" s="3">
        <v>23</v>
      </c>
      <c r="B27" s="3" t="s">
        <v>243</v>
      </c>
      <c r="C27" s="3"/>
      <c r="D27" s="3">
        <v>200</v>
      </c>
      <c r="E27" s="30">
        <v>300</v>
      </c>
      <c r="F27" s="3">
        <f>'DECEMBER 20'!J27:J51</f>
        <v>0</v>
      </c>
      <c r="G27" s="3">
        <v>10000</v>
      </c>
      <c r="H27" s="3">
        <f t="shared" si="0"/>
        <v>10000</v>
      </c>
      <c r="I27" s="3">
        <v>10000</v>
      </c>
      <c r="J27" s="3">
        <f t="shared" si="2"/>
        <v>0</v>
      </c>
      <c r="K27" s="3"/>
      <c r="L27" s="3">
        <v>600</v>
      </c>
    </row>
    <row r="28" spans="1:13" x14ac:dyDescent="0.25">
      <c r="A28" s="3">
        <v>24</v>
      </c>
      <c r="B28" s="3" t="s">
        <v>230</v>
      </c>
      <c r="C28" s="3"/>
      <c r="D28" s="3">
        <v>200</v>
      </c>
      <c r="E28" s="30">
        <v>450</v>
      </c>
      <c r="F28" s="3">
        <f>'DECEMBER 20'!J28:J52</f>
        <v>0</v>
      </c>
      <c r="G28" s="3">
        <v>10000</v>
      </c>
      <c r="H28" s="3">
        <f t="shared" si="0"/>
        <v>10000</v>
      </c>
      <c r="I28" s="3">
        <v>10000</v>
      </c>
      <c r="J28" s="3">
        <f t="shared" si="2"/>
        <v>0</v>
      </c>
      <c r="K28" s="3"/>
      <c r="L28" s="3">
        <v>600</v>
      </c>
    </row>
    <row r="29" spans="1:13" x14ac:dyDescent="0.25">
      <c r="A29" s="3">
        <v>25</v>
      </c>
      <c r="B29" s="3" t="s">
        <v>55</v>
      </c>
      <c r="C29" s="3"/>
      <c r="D29" s="3">
        <v>200</v>
      </c>
      <c r="E29" s="3">
        <v>600</v>
      </c>
      <c r="F29" s="3">
        <f>'DECEMBER 20'!J29:J53</f>
        <v>0</v>
      </c>
      <c r="G29" s="3">
        <v>10000</v>
      </c>
      <c r="H29" s="3">
        <f t="shared" si="0"/>
        <v>10000</v>
      </c>
      <c r="I29" s="3">
        <f>10000</f>
        <v>10000</v>
      </c>
      <c r="J29" s="3">
        <f t="shared" si="2"/>
        <v>0</v>
      </c>
      <c r="K29" s="3"/>
      <c r="L29" s="3">
        <v>600</v>
      </c>
    </row>
    <row r="30" spans="1:13" x14ac:dyDescent="0.25">
      <c r="A30" s="2"/>
      <c r="B30" s="2" t="s">
        <v>33</v>
      </c>
      <c r="C30" s="2">
        <f t="shared" ref="C30:L30" si="3">SUM(C5:C29)</f>
        <v>0</v>
      </c>
      <c r="D30" s="2">
        <f t="shared" si="3"/>
        <v>3500</v>
      </c>
      <c r="E30" s="2">
        <f t="shared" si="3"/>
        <v>10200</v>
      </c>
      <c r="F30" s="3">
        <f t="shared" si="3"/>
        <v>70000</v>
      </c>
      <c r="G30" s="2">
        <f t="shared" si="3"/>
        <v>230000</v>
      </c>
      <c r="H30" s="2">
        <f t="shared" si="3"/>
        <v>320000</v>
      </c>
      <c r="I30" s="2">
        <f t="shared" si="3"/>
        <v>225050</v>
      </c>
      <c r="J30" s="2">
        <f t="shared" si="3"/>
        <v>94950</v>
      </c>
      <c r="K30" s="2">
        <f t="shared" si="3"/>
        <v>0</v>
      </c>
      <c r="L30" s="2">
        <f t="shared" si="3"/>
        <v>10200</v>
      </c>
    </row>
    <row r="31" spans="1:13" x14ac:dyDescent="0.25">
      <c r="A31" s="7"/>
      <c r="B31" s="7"/>
      <c r="C31" s="7"/>
      <c r="D31" s="7"/>
      <c r="E31" s="7"/>
      <c r="F31" s="7"/>
      <c r="G31" s="40"/>
      <c r="H31" s="30"/>
      <c r="I31" s="30"/>
      <c r="J31" s="7"/>
    </row>
    <row r="32" spans="1:13" x14ac:dyDescent="0.25">
      <c r="B32" s="31" t="s">
        <v>23</v>
      </c>
      <c r="C32" s="32"/>
      <c r="D32" s="6"/>
      <c r="E32" s="33"/>
      <c r="F32" s="3">
        <f>E16</f>
        <v>1050</v>
      </c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  <c r="J33">
        <f>J23+J17+J5</f>
        <v>24950</v>
      </c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185</v>
      </c>
      <c r="C35" s="38">
        <f>C30+G30</f>
        <v>230000</v>
      </c>
      <c r="D35" s="30"/>
      <c r="E35" s="30"/>
      <c r="F35" s="30" t="s">
        <v>185</v>
      </c>
      <c r="G35" s="38">
        <f>I30</f>
        <v>225050</v>
      </c>
      <c r="H35" s="30"/>
      <c r="I35" s="30"/>
    </row>
    <row r="36" spans="2:13" x14ac:dyDescent="0.25">
      <c r="B36" s="30" t="s">
        <v>5</v>
      </c>
      <c r="C36" s="38">
        <f>'DECEMBER 20'!E49</f>
        <v>5639.9799999999814</v>
      </c>
      <c r="D36" s="30"/>
      <c r="E36" s="30"/>
      <c r="F36" s="30" t="s">
        <v>5</v>
      </c>
      <c r="G36" s="38">
        <f>'DECEMBER 20'!I49</f>
        <v>-4360.0200000000186</v>
      </c>
      <c r="H36" s="30"/>
      <c r="I36" s="30"/>
    </row>
    <row r="37" spans="2:13" x14ac:dyDescent="0.25">
      <c r="B37" s="30" t="s">
        <v>35</v>
      </c>
      <c r="C37" s="38">
        <f>E30</f>
        <v>10200</v>
      </c>
      <c r="D37" s="30"/>
      <c r="E37" s="30"/>
      <c r="F37" s="30" t="s">
        <v>35</v>
      </c>
      <c r="G37" s="38">
        <f>E30</f>
        <v>10200</v>
      </c>
      <c r="H37" s="30"/>
      <c r="I37" s="30"/>
    </row>
    <row r="38" spans="2:13" x14ac:dyDescent="0.25">
      <c r="B38" s="30" t="s">
        <v>86</v>
      </c>
      <c r="C38" s="38">
        <f>K30</f>
        <v>0</v>
      </c>
      <c r="D38" s="30"/>
      <c r="E38" s="30"/>
      <c r="F38" s="30" t="s">
        <v>86</v>
      </c>
      <c r="G38" s="38">
        <f>C38</f>
        <v>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10200</v>
      </c>
      <c r="D39" s="30"/>
      <c r="E39" s="30"/>
      <c r="F39" s="30" t="s">
        <v>88</v>
      </c>
      <c r="G39" s="38">
        <f>L30</f>
        <v>10200</v>
      </c>
      <c r="H39" s="30"/>
      <c r="I39" s="30"/>
      <c r="M39" s="24"/>
    </row>
    <row r="40" spans="2:13" x14ac:dyDescent="0.25">
      <c r="B40" s="30" t="s">
        <v>30</v>
      </c>
      <c r="C40" s="39">
        <v>0.08</v>
      </c>
      <c r="D40" s="38">
        <f>C40*C35</f>
        <v>18400</v>
      </c>
      <c r="E40" s="30"/>
      <c r="F40" s="30" t="s">
        <v>30</v>
      </c>
      <c r="G40" s="39">
        <v>0.08</v>
      </c>
      <c r="H40" s="38">
        <f>G40*C35</f>
        <v>18400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188</v>
      </c>
      <c r="D43" s="30">
        <v>223000</v>
      </c>
      <c r="E43" s="30"/>
      <c r="F43" s="46" t="s">
        <v>188</v>
      </c>
      <c r="H43" s="30">
        <v>223000</v>
      </c>
      <c r="I43" s="30"/>
      <c r="M43" s="24"/>
    </row>
    <row r="44" spans="2:13" x14ac:dyDescent="0.25">
      <c r="B44" s="3"/>
      <c r="C44" s="40"/>
      <c r="E44" s="3"/>
      <c r="F44" s="3"/>
      <c r="G44" s="40"/>
      <c r="I44" s="30"/>
      <c r="M44" s="24"/>
    </row>
    <row r="45" spans="2:13" x14ac:dyDescent="0.25">
      <c r="B45" s="3"/>
      <c r="C45" s="30"/>
      <c r="D45" s="30"/>
      <c r="E45" s="30"/>
      <c r="F45" s="3"/>
      <c r="G45" s="30"/>
      <c r="H45" s="30"/>
      <c r="I45" s="30"/>
      <c r="J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K46" t="s">
        <v>32</v>
      </c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237639.97999999998</v>
      </c>
      <c r="D49" s="42">
        <f>SUM(D42:D48)</f>
        <v>233000</v>
      </c>
      <c r="E49" s="42">
        <f>C49-D49</f>
        <v>4639.9799999999814</v>
      </c>
      <c r="F49" s="37" t="s">
        <v>33</v>
      </c>
      <c r="G49" s="42">
        <f>G35+G36+G37+G38+G39-H40</f>
        <v>222689.97999999998</v>
      </c>
      <c r="H49" s="42">
        <f>SUM(H42:H48)</f>
        <v>233000</v>
      </c>
      <c r="I49" s="42">
        <f>G49-H49</f>
        <v>-10310.020000000019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3" workbookViewId="0">
      <selection activeCell="P27" sqref="P27"/>
    </sheetView>
  </sheetViews>
  <sheetFormatPr defaultRowHeight="15" x14ac:dyDescent="0.25"/>
  <cols>
    <col min="1" max="1" width="4.42578125" bestFit="1" customWidth="1"/>
    <col min="2" max="2" width="21.85546875" customWidth="1"/>
  </cols>
  <sheetData>
    <row r="1" spans="1:13" ht="15.75" x14ac:dyDescent="0.25">
      <c r="C1" s="21" t="s">
        <v>0</v>
      </c>
      <c r="D1" s="21"/>
      <c r="E1" s="21"/>
      <c r="F1" s="27"/>
      <c r="G1" s="27"/>
      <c r="I1" s="1"/>
      <c r="J1" s="1"/>
    </row>
    <row r="2" spans="1:13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3" ht="15.75" x14ac:dyDescent="0.25">
      <c r="A3" s="1"/>
      <c r="B3" s="1"/>
      <c r="C3" s="21" t="s">
        <v>248</v>
      </c>
      <c r="D3" s="21"/>
      <c r="E3" s="21"/>
      <c r="F3" s="27"/>
      <c r="G3" s="27"/>
      <c r="I3" s="1"/>
      <c r="J3" s="1"/>
    </row>
    <row r="4" spans="1:13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3" x14ac:dyDescent="0.25">
      <c r="A5" s="3">
        <v>1</v>
      </c>
      <c r="B5" s="3" t="s">
        <v>94</v>
      </c>
      <c r="C5" s="3"/>
      <c r="D5" s="3"/>
      <c r="E5" s="3">
        <v>150</v>
      </c>
      <c r="F5" s="3">
        <f>'JANUARY 21'!J5:J30</f>
        <v>4000</v>
      </c>
      <c r="G5" s="3">
        <v>12000</v>
      </c>
      <c r="H5" s="3">
        <f>C5+F5+G5</f>
        <v>16000</v>
      </c>
      <c r="I5" s="3">
        <v>12500</v>
      </c>
      <c r="J5" s="3">
        <f>H5-I5</f>
        <v>3500</v>
      </c>
      <c r="K5" s="3"/>
      <c r="L5" s="3">
        <v>1200</v>
      </c>
    </row>
    <row r="6" spans="1:13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'JANUARY 21'!J6:J31</f>
        <v>0</v>
      </c>
      <c r="G6" s="3">
        <v>10000</v>
      </c>
      <c r="H6" s="3">
        <f t="shared" ref="H6:H29" si="0">C6+F6+G6</f>
        <v>10000</v>
      </c>
      <c r="I6" s="3">
        <f>10000</f>
        <v>10000</v>
      </c>
      <c r="J6" s="3">
        <f>H6-I6</f>
        <v>0</v>
      </c>
      <c r="K6" s="3"/>
      <c r="L6" s="3">
        <v>600</v>
      </c>
    </row>
    <row r="7" spans="1:13" x14ac:dyDescent="0.25">
      <c r="A7" s="3">
        <v>3</v>
      </c>
      <c r="B7" s="3" t="s">
        <v>250</v>
      </c>
      <c r="C7" s="3"/>
      <c r="D7" s="3">
        <v>200</v>
      </c>
      <c r="E7" s="3">
        <v>1050</v>
      </c>
      <c r="F7" s="3">
        <f>'JANUARY 21'!J7:J32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3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>
        <f>'JANUARY 21'!J8:J33</f>
        <v>0</v>
      </c>
      <c r="G8" s="3">
        <v>10000</v>
      </c>
      <c r="H8" s="3">
        <f t="shared" si="0"/>
        <v>10000</v>
      </c>
      <c r="I8" s="3">
        <f>10000</f>
        <v>10000</v>
      </c>
      <c r="J8" s="3">
        <f>H8-I8</f>
        <v>0</v>
      </c>
      <c r="K8" s="3"/>
      <c r="L8" s="3">
        <v>850</v>
      </c>
    </row>
    <row r="9" spans="1:13" x14ac:dyDescent="0.25">
      <c r="A9" s="3">
        <v>5</v>
      </c>
      <c r="B9" s="30" t="s">
        <v>244</v>
      </c>
      <c r="C9" s="3"/>
      <c r="D9" s="3"/>
      <c r="E9" s="3"/>
      <c r="F9" s="3">
        <f>'JANUARY 21'!J9:J34</f>
        <v>0</v>
      </c>
      <c r="G9" s="3">
        <v>10000</v>
      </c>
      <c r="H9" s="3">
        <f t="shared" si="0"/>
        <v>10000</v>
      </c>
      <c r="I9" s="3">
        <f>7000</f>
        <v>7000</v>
      </c>
      <c r="J9" s="3">
        <f t="shared" si="1"/>
        <v>3000</v>
      </c>
      <c r="K9" s="3"/>
      <c r="L9" s="3"/>
    </row>
    <row r="10" spans="1:13" x14ac:dyDescent="0.25">
      <c r="A10" s="3">
        <v>6</v>
      </c>
      <c r="B10" s="3" t="s">
        <v>13</v>
      </c>
      <c r="C10" s="3"/>
      <c r="D10" s="3">
        <v>200</v>
      </c>
      <c r="E10" s="30">
        <v>600</v>
      </c>
      <c r="F10" s="3">
        <f>'JANUARY 21'!J10:J35</f>
        <v>0</v>
      </c>
      <c r="G10" s="3">
        <v>12000</v>
      </c>
      <c r="H10" s="3">
        <f t="shared" si="0"/>
        <v>12000</v>
      </c>
      <c r="I10" s="3">
        <f>12000</f>
        <v>12000</v>
      </c>
      <c r="J10" s="3">
        <f t="shared" si="1"/>
        <v>0</v>
      </c>
      <c r="K10" s="3"/>
      <c r="L10" s="3">
        <v>600</v>
      </c>
    </row>
    <row r="11" spans="1:13" x14ac:dyDescent="0.25">
      <c r="A11" s="3">
        <v>7</v>
      </c>
      <c r="B11" s="3" t="s">
        <v>14</v>
      </c>
      <c r="C11" s="3"/>
      <c r="D11" s="3">
        <v>200</v>
      </c>
      <c r="E11" s="30">
        <v>750</v>
      </c>
      <c r="F11" s="3">
        <f>'JANUARY 21'!J11:J36</f>
        <v>0</v>
      </c>
      <c r="G11" s="3">
        <v>10000</v>
      </c>
      <c r="H11" s="3">
        <f t="shared" si="0"/>
        <v>10000</v>
      </c>
      <c r="I11" s="3">
        <f>10000</f>
        <v>10000</v>
      </c>
      <c r="J11" s="3">
        <f t="shared" si="1"/>
        <v>0</v>
      </c>
      <c r="K11" s="3"/>
      <c r="L11" s="3">
        <v>600</v>
      </c>
    </row>
    <row r="12" spans="1:13" x14ac:dyDescent="0.25">
      <c r="A12" s="3">
        <v>8</v>
      </c>
      <c r="B12" s="3" t="s">
        <v>225</v>
      </c>
      <c r="C12" s="3"/>
      <c r="D12" s="3">
        <v>200</v>
      </c>
      <c r="E12" s="30">
        <v>1050</v>
      </c>
      <c r="F12" s="3">
        <f>'JANUARY 21'!J12:J37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3" x14ac:dyDescent="0.25">
      <c r="A13" s="3">
        <v>9</v>
      </c>
      <c r="B13" s="3" t="s">
        <v>226</v>
      </c>
      <c r="C13" s="3"/>
      <c r="D13" s="3"/>
      <c r="E13" s="3"/>
      <c r="F13" s="3">
        <f>'JANUARY 21'!J13:J38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/>
    </row>
    <row r="14" spans="1:13" x14ac:dyDescent="0.25">
      <c r="A14" s="3">
        <v>10</v>
      </c>
      <c r="B14" s="3" t="s">
        <v>99</v>
      </c>
      <c r="C14" s="3"/>
      <c r="D14" s="3"/>
      <c r="E14" s="30"/>
      <c r="F14" s="3">
        <f>'JANUARY 21'!J14:J39</f>
        <v>70000</v>
      </c>
      <c r="G14" s="3"/>
      <c r="H14" s="3">
        <f>C14+F14+G14+10000</f>
        <v>80000</v>
      </c>
      <c r="I14" s="3"/>
      <c r="J14" s="3">
        <f t="shared" si="1"/>
        <v>80000</v>
      </c>
      <c r="K14" s="3"/>
      <c r="L14" s="3"/>
      <c r="M14" t="s">
        <v>254</v>
      </c>
    </row>
    <row r="15" spans="1:13" x14ac:dyDescent="0.25">
      <c r="A15" s="3">
        <v>11</v>
      </c>
      <c r="B15" s="3" t="s">
        <v>18</v>
      </c>
      <c r="C15" s="3"/>
      <c r="D15" s="3">
        <v>200</v>
      </c>
      <c r="E15" s="30">
        <v>450</v>
      </c>
      <c r="F15" s="3">
        <f>'JANUARY 21'!J15:J40</f>
        <v>0</v>
      </c>
      <c r="G15" s="3">
        <v>12000</v>
      </c>
      <c r="H15" s="3">
        <f>C15+F15+G15</f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3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>
        <f>'JANUARY 21'!J16:J41</f>
        <v>0</v>
      </c>
      <c r="G16" s="3">
        <v>10000</v>
      </c>
      <c r="H16" s="3">
        <f t="shared" si="0"/>
        <v>10000</v>
      </c>
      <c r="I16" s="3">
        <f>10000</f>
        <v>10000</v>
      </c>
      <c r="J16" s="3">
        <f t="shared" si="1"/>
        <v>0</v>
      </c>
      <c r="K16" s="3"/>
      <c r="L16" s="3">
        <v>600</v>
      </c>
    </row>
    <row r="17" spans="1:13" x14ac:dyDescent="0.25">
      <c r="A17" s="3">
        <v>13</v>
      </c>
      <c r="B17" s="12" t="s">
        <v>192</v>
      </c>
      <c r="C17" s="3"/>
      <c r="D17" s="3"/>
      <c r="E17" s="30"/>
      <c r="F17" s="3">
        <f>'JANUARY 21'!J17:J42</f>
        <v>20000</v>
      </c>
      <c r="G17" s="3"/>
      <c r="H17" s="3">
        <f>C17+F17+G17+10000</f>
        <v>30000</v>
      </c>
      <c r="I17" s="3"/>
      <c r="J17" s="3">
        <f t="shared" si="1"/>
        <v>30000</v>
      </c>
      <c r="K17" s="3"/>
      <c r="L17" s="3"/>
    </row>
    <row r="18" spans="1:13" x14ac:dyDescent="0.25">
      <c r="A18" s="3">
        <v>14</v>
      </c>
      <c r="B18" s="12" t="s">
        <v>70</v>
      </c>
      <c r="C18" s="3"/>
      <c r="D18" s="43">
        <v>200</v>
      </c>
      <c r="E18" s="3">
        <f>400+100</f>
        <v>500</v>
      </c>
      <c r="F18" s="3">
        <f>'JANUARY 21'!J18:J43</f>
        <v>0</v>
      </c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  <c r="K18" s="3"/>
      <c r="L18" s="3">
        <v>600</v>
      </c>
    </row>
    <row r="19" spans="1:13" x14ac:dyDescent="0.25">
      <c r="A19" s="3">
        <v>15</v>
      </c>
      <c r="B19" s="3" t="s">
        <v>158</v>
      </c>
      <c r="C19" s="3"/>
      <c r="D19" s="3">
        <v>200</v>
      </c>
      <c r="E19" s="3"/>
      <c r="F19" s="3">
        <f>'JANUARY 21'!J19:J44</f>
        <v>0</v>
      </c>
      <c r="G19" s="3">
        <v>10000</v>
      </c>
      <c r="H19" s="3">
        <f>C19+F19+G19</f>
        <v>10000</v>
      </c>
      <c r="I19" s="3">
        <f>5550+4450</f>
        <v>10000</v>
      </c>
      <c r="J19" s="3">
        <f t="shared" si="1"/>
        <v>0</v>
      </c>
      <c r="K19" s="3"/>
      <c r="L19" s="3">
        <v>600</v>
      </c>
    </row>
    <row r="20" spans="1:13" x14ac:dyDescent="0.25">
      <c r="A20" s="3">
        <v>16</v>
      </c>
      <c r="B20" s="3" t="s">
        <v>12</v>
      </c>
      <c r="C20" s="3"/>
      <c r="D20" s="3">
        <v>200</v>
      </c>
      <c r="E20" s="3">
        <v>600</v>
      </c>
      <c r="F20" s="3">
        <f>'JANUARY 21'!J20:J45</f>
        <v>0</v>
      </c>
      <c r="G20" s="3">
        <v>12000</v>
      </c>
      <c r="H20" s="3">
        <f>C20+F20+G20</f>
        <v>12000</v>
      </c>
      <c r="I20" s="3">
        <f>12000</f>
        <v>12000</v>
      </c>
      <c r="J20" s="3">
        <f t="shared" si="1"/>
        <v>0</v>
      </c>
      <c r="K20" s="3"/>
      <c r="L20" s="3">
        <v>600</v>
      </c>
    </row>
    <row r="21" spans="1:13" x14ac:dyDescent="0.25">
      <c r="A21" s="3">
        <v>17</v>
      </c>
      <c r="B21" s="30" t="s">
        <v>249</v>
      </c>
      <c r="C21" s="3">
        <v>10000</v>
      </c>
      <c r="D21" s="3">
        <v>200</v>
      </c>
      <c r="E21" s="3"/>
      <c r="F21" s="3">
        <f>'JANUARY 21'!J21:J46</f>
        <v>0</v>
      </c>
      <c r="G21" s="3">
        <v>10000</v>
      </c>
      <c r="H21" s="3">
        <f>C21+F21+G21</f>
        <v>20000</v>
      </c>
      <c r="I21" s="3">
        <v>20000</v>
      </c>
      <c r="J21" s="3">
        <f t="shared" si="1"/>
        <v>0</v>
      </c>
      <c r="K21" s="3">
        <v>1500</v>
      </c>
      <c r="L21" s="3">
        <v>600</v>
      </c>
    </row>
    <row r="22" spans="1:13" x14ac:dyDescent="0.25">
      <c r="A22" s="3">
        <v>18</v>
      </c>
      <c r="B22" s="3" t="s">
        <v>220</v>
      </c>
      <c r="C22" s="3"/>
      <c r="D22" s="3">
        <v>200</v>
      </c>
      <c r="E22" s="3">
        <v>200</v>
      </c>
      <c r="F22" s="3">
        <f>'JANUARY 21'!J22:J47</f>
        <v>0</v>
      </c>
      <c r="G22" s="3">
        <v>10000</v>
      </c>
      <c r="H22" s="3">
        <f>C22+F22+G22</f>
        <v>10000</v>
      </c>
      <c r="I22" s="3">
        <f>10000</f>
        <v>10000</v>
      </c>
      <c r="J22" s="3">
        <f>H22-I22</f>
        <v>0</v>
      </c>
      <c r="K22" s="3"/>
      <c r="L22" s="3">
        <v>1000</v>
      </c>
    </row>
    <row r="23" spans="1:13" x14ac:dyDescent="0.25">
      <c r="A23" s="3">
        <v>19</v>
      </c>
      <c r="B23" s="30" t="s">
        <v>241</v>
      </c>
      <c r="C23" s="3"/>
      <c r="D23" s="3"/>
      <c r="E23" s="30"/>
      <c r="F23" s="3">
        <f>'JANUARY 21'!J23:J48</f>
        <v>950</v>
      </c>
      <c r="G23" s="3">
        <v>10000</v>
      </c>
      <c r="H23" s="3">
        <f t="shared" si="0"/>
        <v>10950</v>
      </c>
      <c r="I23" s="3"/>
      <c r="J23" s="3">
        <f>H23-I23</f>
        <v>10950</v>
      </c>
      <c r="K23" s="3"/>
      <c r="L23" s="3"/>
    </row>
    <row r="24" spans="1:13" x14ac:dyDescent="0.25">
      <c r="A24" s="3">
        <v>20</v>
      </c>
      <c r="B24" s="3" t="s">
        <v>231</v>
      </c>
      <c r="C24" s="3"/>
      <c r="D24" s="3">
        <v>200</v>
      </c>
      <c r="E24" s="30"/>
      <c r="F24" s="3">
        <f>'JANUARY 21'!J24:J49</f>
        <v>0</v>
      </c>
      <c r="G24" s="3">
        <v>10000</v>
      </c>
      <c r="H24" s="3">
        <f t="shared" si="0"/>
        <v>10000</v>
      </c>
      <c r="I24" s="3">
        <v>10000</v>
      </c>
      <c r="J24" s="3">
        <f t="shared" ref="J24:J29" si="2">H24-I24</f>
        <v>0</v>
      </c>
      <c r="K24" s="3"/>
      <c r="L24" s="3">
        <v>600</v>
      </c>
      <c r="M24" t="s">
        <v>235</v>
      </c>
    </row>
    <row r="25" spans="1:13" x14ac:dyDescent="0.25">
      <c r="A25" s="3">
        <v>21</v>
      </c>
      <c r="B25" s="3" t="s">
        <v>202</v>
      </c>
      <c r="C25" s="3"/>
      <c r="D25" s="3">
        <v>200</v>
      </c>
      <c r="E25" s="30">
        <v>450</v>
      </c>
      <c r="F25" s="3">
        <f>'JANUARY 21'!J25:J50</f>
        <v>0</v>
      </c>
      <c r="G25" s="3">
        <v>12000</v>
      </c>
      <c r="H25" s="3">
        <f t="shared" si="0"/>
        <v>12000</v>
      </c>
      <c r="I25" s="3">
        <f>12000</f>
        <v>12000</v>
      </c>
      <c r="J25" s="3">
        <f t="shared" si="2"/>
        <v>0</v>
      </c>
      <c r="K25" s="3"/>
      <c r="L25" s="3">
        <v>600</v>
      </c>
    </row>
    <row r="26" spans="1:13" x14ac:dyDescent="0.25">
      <c r="A26" s="3">
        <v>22</v>
      </c>
      <c r="B26" s="30" t="s">
        <v>234</v>
      </c>
      <c r="C26" s="3"/>
      <c r="D26" s="3"/>
      <c r="E26" s="3"/>
      <c r="F26" s="3">
        <f>'JANUARY 21'!J26:J51</f>
        <v>0</v>
      </c>
      <c r="G26" s="3">
        <v>10000</v>
      </c>
      <c r="H26" s="3">
        <f t="shared" si="0"/>
        <v>10000</v>
      </c>
      <c r="I26" s="3">
        <v>10000</v>
      </c>
      <c r="J26" s="3">
        <f>H26-I26</f>
        <v>0</v>
      </c>
      <c r="K26" s="3"/>
      <c r="L26" s="3"/>
    </row>
    <row r="27" spans="1:13" x14ac:dyDescent="0.25">
      <c r="A27" s="3">
        <v>23</v>
      </c>
      <c r="B27" s="3" t="s">
        <v>243</v>
      </c>
      <c r="C27" s="3"/>
      <c r="D27" s="3"/>
      <c r="E27" s="30"/>
      <c r="F27" s="3">
        <f>'JANUARY 21'!J27:J52</f>
        <v>0</v>
      </c>
      <c r="G27" s="3">
        <v>10000</v>
      </c>
      <c r="H27" s="3">
        <f t="shared" si="0"/>
        <v>10000</v>
      </c>
      <c r="I27" s="3"/>
      <c r="J27" s="3">
        <f t="shared" si="2"/>
        <v>10000</v>
      </c>
      <c r="K27" s="3"/>
      <c r="L27" s="3"/>
    </row>
    <row r="28" spans="1:13" x14ac:dyDescent="0.25">
      <c r="A28" s="3">
        <v>24</v>
      </c>
      <c r="B28" s="3" t="s">
        <v>230</v>
      </c>
      <c r="C28" s="3"/>
      <c r="D28" s="3">
        <v>200</v>
      </c>
      <c r="E28" s="30">
        <v>600</v>
      </c>
      <c r="F28" s="3">
        <f>'JANUARY 21'!J28:J53</f>
        <v>0</v>
      </c>
      <c r="G28" s="3">
        <v>10000</v>
      </c>
      <c r="H28" s="3">
        <f t="shared" si="0"/>
        <v>10000</v>
      </c>
      <c r="I28" s="3">
        <f>10000</f>
        <v>10000</v>
      </c>
      <c r="J28" s="3">
        <f t="shared" si="2"/>
        <v>0</v>
      </c>
      <c r="K28" s="3"/>
      <c r="L28" s="3">
        <v>600</v>
      </c>
    </row>
    <row r="29" spans="1:13" x14ac:dyDescent="0.25">
      <c r="A29" s="3">
        <v>25</v>
      </c>
      <c r="B29" s="3" t="s">
        <v>55</v>
      </c>
      <c r="C29" s="3"/>
      <c r="D29" s="3">
        <v>200</v>
      </c>
      <c r="E29" s="3">
        <v>500</v>
      </c>
      <c r="F29" s="3">
        <f>'JANUARY 21'!J29:J54</f>
        <v>0</v>
      </c>
      <c r="G29" s="3">
        <v>10000</v>
      </c>
      <c r="H29" s="3">
        <f t="shared" si="0"/>
        <v>10000</v>
      </c>
      <c r="I29" s="3">
        <f>10000</f>
        <v>10000</v>
      </c>
      <c r="J29" s="3">
        <f t="shared" si="2"/>
        <v>0</v>
      </c>
      <c r="K29" s="3"/>
      <c r="L29" s="3">
        <v>600</v>
      </c>
    </row>
    <row r="30" spans="1:13" x14ac:dyDescent="0.25">
      <c r="A30" s="2"/>
      <c r="B30" s="2" t="s">
        <v>33</v>
      </c>
      <c r="C30" s="2">
        <f>SUM(C5:C29)</f>
        <v>10000</v>
      </c>
      <c r="D30" s="2">
        <f>SUM(D5:D29)</f>
        <v>3400</v>
      </c>
      <c r="E30" s="2">
        <f>SUM(E5:E29)</f>
        <v>8550</v>
      </c>
      <c r="F30" s="3">
        <f>'JANUARY 21'!J30:J55</f>
        <v>94950</v>
      </c>
      <c r="G30" s="2">
        <f t="shared" ref="G30:L30" si="3">SUM(G5:G29)</f>
        <v>240000</v>
      </c>
      <c r="H30" s="2">
        <f t="shared" si="3"/>
        <v>364950</v>
      </c>
      <c r="I30" s="2">
        <f t="shared" si="3"/>
        <v>227500</v>
      </c>
      <c r="J30" s="2">
        <f t="shared" si="3"/>
        <v>137450</v>
      </c>
      <c r="K30" s="2">
        <f t="shared" si="3"/>
        <v>1500</v>
      </c>
      <c r="L30" s="2">
        <f t="shared" si="3"/>
        <v>12050</v>
      </c>
    </row>
    <row r="31" spans="1:13" x14ac:dyDescent="0.25">
      <c r="A31" s="7"/>
      <c r="B31" s="7"/>
      <c r="C31" s="7"/>
      <c r="D31" s="7"/>
      <c r="E31" s="7"/>
      <c r="F31" s="7"/>
      <c r="G31" s="40"/>
      <c r="H31" s="30"/>
      <c r="I31" s="30"/>
      <c r="J31" s="7">
        <f>J30-J14</f>
        <v>57450</v>
      </c>
    </row>
    <row r="32" spans="1:13" x14ac:dyDescent="0.25">
      <c r="B32" s="31" t="s">
        <v>23</v>
      </c>
      <c r="C32" s="32"/>
      <c r="D32" s="6"/>
      <c r="E32" s="33"/>
      <c r="F32" s="3">
        <f>E16</f>
        <v>1050</v>
      </c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191</v>
      </c>
      <c r="C35" s="38">
        <f>C30+G30</f>
        <v>250000</v>
      </c>
      <c r="D35" s="30"/>
      <c r="E35" s="30"/>
      <c r="F35" s="30" t="s">
        <v>191</v>
      </c>
      <c r="G35" s="38">
        <f>I30</f>
        <v>227500</v>
      </c>
      <c r="H35" s="30"/>
      <c r="I35" s="30"/>
    </row>
    <row r="36" spans="2:13" x14ac:dyDescent="0.25">
      <c r="B36" s="30" t="s">
        <v>5</v>
      </c>
      <c r="C36" s="38">
        <f>'JANUARY 21'!E49</f>
        <v>4639.9799999999814</v>
      </c>
      <c r="D36" s="30"/>
      <c r="E36" s="30"/>
      <c r="F36" s="30" t="s">
        <v>5</v>
      </c>
      <c r="G36" s="38">
        <f>'JANUARY 21'!I49</f>
        <v>-10310.020000000019</v>
      </c>
      <c r="H36" s="30"/>
      <c r="I36" s="30"/>
    </row>
    <row r="37" spans="2:13" x14ac:dyDescent="0.25">
      <c r="B37" s="30" t="s">
        <v>35</v>
      </c>
      <c r="C37" s="38">
        <f>E30</f>
        <v>8550</v>
      </c>
      <c r="D37" s="30"/>
      <c r="E37" s="30"/>
      <c r="F37" s="30" t="s">
        <v>35</v>
      </c>
      <c r="G37" s="38">
        <f>E30</f>
        <v>8550</v>
      </c>
      <c r="H37" s="30"/>
      <c r="I37" s="30"/>
    </row>
    <row r="38" spans="2:13" x14ac:dyDescent="0.25">
      <c r="B38" s="30" t="s">
        <v>86</v>
      </c>
      <c r="C38" s="38">
        <f>K30</f>
        <v>1500</v>
      </c>
      <c r="D38" s="30"/>
      <c r="E38" s="30"/>
      <c r="F38" s="30" t="s">
        <v>86</v>
      </c>
      <c r="G38" s="38">
        <f>C38</f>
        <v>1500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12050</v>
      </c>
      <c r="D39" s="30"/>
      <c r="E39" s="30"/>
      <c r="F39" s="30" t="s">
        <v>88</v>
      </c>
      <c r="G39" s="38">
        <f>L30</f>
        <v>12050</v>
      </c>
      <c r="H39" s="30"/>
      <c r="I39" s="30"/>
      <c r="M39" s="24"/>
    </row>
    <row r="40" spans="2:13" x14ac:dyDescent="0.25">
      <c r="B40" s="30" t="s">
        <v>30</v>
      </c>
      <c r="C40" s="39">
        <v>0.08</v>
      </c>
      <c r="D40" s="38">
        <f>C40*C35</f>
        <v>20000</v>
      </c>
      <c r="E40" s="30"/>
      <c r="F40" s="30" t="s">
        <v>30</v>
      </c>
      <c r="G40" s="39">
        <v>0.08</v>
      </c>
      <c r="H40" s="38">
        <f>G40*C35</f>
        <v>20000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251</v>
      </c>
      <c r="D43" s="30">
        <v>250000</v>
      </c>
      <c r="E43" s="30"/>
      <c r="F43" s="46" t="s">
        <v>251</v>
      </c>
      <c r="H43" s="30">
        <v>250000</v>
      </c>
      <c r="I43" s="30"/>
      <c r="M43" s="24"/>
    </row>
    <row r="44" spans="2:13" x14ac:dyDescent="0.25">
      <c r="B44" s="3" t="s">
        <v>252</v>
      </c>
      <c r="C44" s="40"/>
      <c r="D44">
        <v>4500</v>
      </c>
      <c r="E44" s="3"/>
      <c r="F44" s="3" t="s">
        <v>252</v>
      </c>
      <c r="G44" s="40"/>
      <c r="H44">
        <v>4500</v>
      </c>
      <c r="I44" s="30"/>
      <c r="M44" s="24"/>
    </row>
    <row r="45" spans="2:13" x14ac:dyDescent="0.25">
      <c r="B45" s="3"/>
      <c r="C45" s="30"/>
      <c r="D45" s="30"/>
      <c r="E45" s="30"/>
      <c r="F45" s="3"/>
      <c r="G45" s="30"/>
      <c r="H45" s="30"/>
      <c r="I45" s="30"/>
      <c r="J45" s="24"/>
      <c r="K45" s="24">
        <f>C35+C36+C37+C38+C39</f>
        <v>276739.98</v>
      </c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K46" s="24">
        <f>K45-D40</f>
        <v>256739.97999999998</v>
      </c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256739.97999999998</v>
      </c>
      <c r="D49" s="42">
        <f>SUM(D42:D48)</f>
        <v>264500</v>
      </c>
      <c r="E49" s="42">
        <f>C49-D49</f>
        <v>-7760.0200000000186</v>
      </c>
      <c r="F49" s="37" t="s">
        <v>33</v>
      </c>
      <c r="G49" s="42">
        <f>G35+G36+G37+G38+G39-H40</f>
        <v>219289.97999999998</v>
      </c>
      <c r="H49" s="42">
        <f>SUM(H42:H48)</f>
        <v>264500</v>
      </c>
      <c r="I49" s="42">
        <f>G49-H49</f>
        <v>-45210.020000000019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</sheetData>
  <pageMargins left="0" right="0" top="0" bottom="0" header="0.3" footer="0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A11" workbookViewId="0">
      <selection activeCell="M38" sqref="M38"/>
    </sheetView>
  </sheetViews>
  <sheetFormatPr defaultRowHeight="15" x14ac:dyDescent="0.25"/>
  <cols>
    <col min="2" max="2" width="13.42578125" customWidth="1"/>
  </cols>
  <sheetData>
    <row r="1" spans="1:12" ht="15.75" x14ac:dyDescent="0.25"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253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>
        <f>FEBRUARY21!J5:J29</f>
        <v>3500</v>
      </c>
      <c r="G5" s="3"/>
      <c r="H5" s="3">
        <f>C5+F5+G5</f>
        <v>3500</v>
      </c>
      <c r="I5" s="3">
        <v>3500</v>
      </c>
      <c r="J5" s="3">
        <f>H5-I5</f>
        <v>0</v>
      </c>
      <c r="K5" s="3"/>
      <c r="L5" s="3"/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FEBRUARY21!J6:J30</f>
        <v>0</v>
      </c>
      <c r="G6" s="3">
        <v>10000</v>
      </c>
      <c r="H6" s="3">
        <f t="shared" ref="H6:H29" si="0">C6+F6+G6</f>
        <v>10000</v>
      </c>
      <c r="I6" s="3">
        <f>10000</f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250</v>
      </c>
      <c r="C7" s="3"/>
      <c r="D7" s="3">
        <v>200</v>
      </c>
      <c r="E7" s="3"/>
      <c r="F7" s="3">
        <f>FEBRUARY21!J7:J31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100</v>
      </c>
      <c r="E8" s="3">
        <v>150</v>
      </c>
      <c r="F8" s="3">
        <f>FEBRUARY21!J8:J32</f>
        <v>0</v>
      </c>
      <c r="G8" s="3">
        <v>10000</v>
      </c>
      <c r="H8" s="3">
        <f t="shared" si="0"/>
        <v>10000</v>
      </c>
      <c r="I8" s="3">
        <f>10000</f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30" t="s">
        <v>244</v>
      </c>
      <c r="C9" s="3"/>
      <c r="D9" s="3"/>
      <c r="E9" s="3">
        <v>400</v>
      </c>
      <c r="F9" s="3">
        <f>FEBRUARY21!J9:J33</f>
        <v>3000</v>
      </c>
      <c r="G9" s="3">
        <v>10000</v>
      </c>
      <c r="H9" s="3">
        <f t="shared" si="0"/>
        <v>13000</v>
      </c>
      <c r="I9" s="3">
        <f>3000+10000</f>
        <v>13000</v>
      </c>
      <c r="J9" s="3">
        <f t="shared" si="1"/>
        <v>0</v>
      </c>
      <c r="K9" s="3"/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350</v>
      </c>
      <c r="F10" s="3">
        <f>FEBRUARY21!J10:J34</f>
        <v>0</v>
      </c>
      <c r="G10" s="3">
        <v>12000</v>
      </c>
      <c r="H10" s="3">
        <f t="shared" si="0"/>
        <v>12000</v>
      </c>
      <c r="I10" s="3">
        <f>12000</f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>
        <f>FEBRUARY21!J11:J35</f>
        <v>0</v>
      </c>
      <c r="G11" s="3">
        <v>10000</v>
      </c>
      <c r="H11" s="3">
        <f t="shared" si="0"/>
        <v>10000</v>
      </c>
      <c r="I11" s="3">
        <f>10000</f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>
        <v>200</v>
      </c>
      <c r="E12" s="30"/>
      <c r="F12" s="3">
        <f>FEBRUARY21!J12:J36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/>
      <c r="E13" s="3">
        <v>350</v>
      </c>
      <c r="F13" s="3">
        <f>FEBRUARY21!J13:J37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255</v>
      </c>
      <c r="C14" s="3">
        <v>10000</v>
      </c>
      <c r="D14" s="3"/>
      <c r="E14" s="30"/>
      <c r="F14" s="3"/>
      <c r="G14" s="3">
        <v>10000</v>
      </c>
      <c r="H14" s="3">
        <f>C14+F14+G14</f>
        <v>20000</v>
      </c>
      <c r="I14" s="3">
        <v>20000</v>
      </c>
      <c r="J14" s="3">
        <f t="shared" si="1"/>
        <v>0</v>
      </c>
      <c r="K14" s="3">
        <v>1500</v>
      </c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300</v>
      </c>
      <c r="F15" s="3">
        <f>FEBRUARY21!J15:J39</f>
        <v>0</v>
      </c>
      <c r="G15" s="3">
        <v>12000</v>
      </c>
      <c r="H15" s="3">
        <f>C15+F15+G15</f>
        <v>12000</v>
      </c>
      <c r="I15" s="3"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750</v>
      </c>
      <c r="F16" s="3">
        <f>FEBRUARY21!J16:J40</f>
        <v>0</v>
      </c>
      <c r="G16" s="3">
        <v>10000</v>
      </c>
      <c r="H16" s="3">
        <f t="shared" si="0"/>
        <v>10000</v>
      </c>
      <c r="I16" s="3">
        <f>10000</f>
        <v>10000</v>
      </c>
      <c r="J16" s="3">
        <f t="shared" si="1"/>
        <v>0</v>
      </c>
      <c r="K16" s="3"/>
      <c r="L16" s="3">
        <v>600</v>
      </c>
    </row>
    <row r="17" spans="1:17" x14ac:dyDescent="0.25">
      <c r="A17" s="3">
        <v>13</v>
      </c>
      <c r="B17" s="12" t="s">
        <v>192</v>
      </c>
      <c r="C17" s="3"/>
      <c r="D17" s="3">
        <v>600</v>
      </c>
      <c r="E17" s="30">
        <v>1350</v>
      </c>
      <c r="F17" s="3">
        <v>10000</v>
      </c>
      <c r="G17" s="3">
        <v>30000</v>
      </c>
      <c r="H17" s="3">
        <f>C17+F17+G17</f>
        <v>40000</v>
      </c>
      <c r="I17" s="3">
        <v>40000</v>
      </c>
      <c r="J17" s="3">
        <f t="shared" si="1"/>
        <v>0</v>
      </c>
      <c r="K17" s="3"/>
      <c r="L17" s="3">
        <v>2400</v>
      </c>
      <c r="Q17">
        <f>1000+1000+1500</f>
        <v>3500</v>
      </c>
    </row>
    <row r="18" spans="1:17" x14ac:dyDescent="0.25">
      <c r="A18" s="3">
        <v>14</v>
      </c>
      <c r="B18" s="12" t="s">
        <v>70</v>
      </c>
      <c r="C18" s="3"/>
      <c r="D18" s="43"/>
      <c r="E18" s="3">
        <v>1000</v>
      </c>
      <c r="F18" s="3">
        <f>FEBRUARY21!J18:J42</f>
        <v>0</v>
      </c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  <c r="K18" s="3"/>
      <c r="L18" s="3">
        <v>400</v>
      </c>
      <c r="O18">
        <f>21*200</f>
        <v>4200</v>
      </c>
      <c r="Q18">
        <f>Q17-800</f>
        <v>2700</v>
      </c>
    </row>
    <row r="19" spans="1:17" x14ac:dyDescent="0.25">
      <c r="A19" s="3">
        <v>15</v>
      </c>
      <c r="B19" s="3" t="s">
        <v>158</v>
      </c>
      <c r="C19" s="3"/>
      <c r="D19" s="3">
        <v>200</v>
      </c>
      <c r="E19" s="3">
        <v>300</v>
      </c>
      <c r="F19" s="3">
        <f>FEBRUARY21!J19:J43</f>
        <v>0</v>
      </c>
      <c r="G19" s="3">
        <v>10000</v>
      </c>
      <c r="H19" s="3">
        <f>C19+F19+G19</f>
        <v>10000</v>
      </c>
      <c r="I19" s="3">
        <f>5550+4450</f>
        <v>10000</v>
      </c>
      <c r="J19" s="3">
        <f t="shared" si="1"/>
        <v>0</v>
      </c>
      <c r="K19" s="3"/>
      <c r="L19" s="3">
        <v>550</v>
      </c>
      <c r="O19">
        <f>O18-Q17</f>
        <v>700</v>
      </c>
    </row>
    <row r="20" spans="1:17" x14ac:dyDescent="0.25">
      <c r="A20" s="3">
        <v>16</v>
      </c>
      <c r="B20" s="3" t="s">
        <v>12</v>
      </c>
      <c r="C20" s="3"/>
      <c r="D20" s="3">
        <v>200</v>
      </c>
      <c r="E20" s="3">
        <v>300</v>
      </c>
      <c r="F20" s="3">
        <f>FEBRUARY21!J20:J44</f>
        <v>0</v>
      </c>
      <c r="G20" s="3">
        <v>12000</v>
      </c>
      <c r="H20" s="3">
        <f>C20+F20+G20</f>
        <v>12000</v>
      </c>
      <c r="I20" s="3">
        <f>12000</f>
        <v>12000</v>
      </c>
      <c r="J20" s="3">
        <f t="shared" si="1"/>
        <v>0</v>
      </c>
      <c r="K20" s="3"/>
      <c r="L20" s="3">
        <v>600</v>
      </c>
    </row>
    <row r="21" spans="1:17" x14ac:dyDescent="0.25">
      <c r="A21" s="3">
        <v>17</v>
      </c>
      <c r="B21" s="30" t="s">
        <v>249</v>
      </c>
      <c r="C21" s="3"/>
      <c r="D21" s="3">
        <v>200</v>
      </c>
      <c r="E21" s="3">
        <v>450</v>
      </c>
      <c r="F21" s="3">
        <f>FEBRUARY21!J21:J45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7" x14ac:dyDescent="0.25">
      <c r="A22" s="3">
        <v>18</v>
      </c>
      <c r="B22" s="3" t="s">
        <v>220</v>
      </c>
      <c r="C22" s="3"/>
      <c r="D22" s="3"/>
      <c r="E22" s="3"/>
      <c r="F22" s="3">
        <f>FEBRUARY21!J22:J46</f>
        <v>0</v>
      </c>
      <c r="G22" s="3">
        <v>10000</v>
      </c>
      <c r="H22" s="3">
        <f>C22+F22+G22</f>
        <v>10000</v>
      </c>
      <c r="I22" s="3">
        <v>10000</v>
      </c>
      <c r="J22" s="3">
        <f t="shared" ref="J22:J29" si="2">H22-I22</f>
        <v>0</v>
      </c>
      <c r="K22" s="3"/>
      <c r="L22" s="3">
        <v>600</v>
      </c>
    </row>
    <row r="23" spans="1:17" x14ac:dyDescent="0.25">
      <c r="A23" s="3">
        <v>19</v>
      </c>
      <c r="B23" s="30" t="s">
        <v>241</v>
      </c>
      <c r="C23" s="3"/>
      <c r="D23" s="3"/>
      <c r="E23" s="30"/>
      <c r="F23" s="3">
        <f>FEBRUARY21!J23:J47</f>
        <v>10950</v>
      </c>
      <c r="G23" s="3">
        <v>10000</v>
      </c>
      <c r="H23" s="3">
        <f t="shared" si="0"/>
        <v>20950</v>
      </c>
      <c r="I23" s="3">
        <f>10000+5000</f>
        <v>15000</v>
      </c>
      <c r="J23" s="3">
        <f t="shared" si="2"/>
        <v>5950</v>
      </c>
      <c r="K23" s="3"/>
      <c r="L23" s="3"/>
    </row>
    <row r="24" spans="1:17" x14ac:dyDescent="0.25">
      <c r="A24" s="3">
        <v>20</v>
      </c>
      <c r="B24" s="3" t="s">
        <v>231</v>
      </c>
      <c r="C24" s="3"/>
      <c r="D24" s="3"/>
      <c r="E24" s="30"/>
      <c r="F24" s="3">
        <f>FEBRUARY21!J24:J48</f>
        <v>0</v>
      </c>
      <c r="G24" s="3">
        <v>10000</v>
      </c>
      <c r="H24" s="3">
        <f t="shared" si="0"/>
        <v>10000</v>
      </c>
      <c r="I24" s="3"/>
      <c r="J24" s="3">
        <f t="shared" si="2"/>
        <v>10000</v>
      </c>
      <c r="K24" s="3"/>
      <c r="L24" s="3"/>
      <c r="M24" t="s">
        <v>205</v>
      </c>
    </row>
    <row r="25" spans="1:17" x14ac:dyDescent="0.25">
      <c r="A25" s="3">
        <v>21</v>
      </c>
      <c r="B25" s="3" t="s">
        <v>202</v>
      </c>
      <c r="C25" s="3"/>
      <c r="D25" s="3">
        <v>200</v>
      </c>
      <c r="E25" s="30">
        <v>150</v>
      </c>
      <c r="F25" s="3">
        <f>FEBRUARY21!J25:J49</f>
        <v>0</v>
      </c>
      <c r="G25" s="3">
        <v>12000</v>
      </c>
      <c r="H25" s="3">
        <f t="shared" si="0"/>
        <v>12000</v>
      </c>
      <c r="I25" s="3">
        <f>12000</f>
        <v>12000</v>
      </c>
      <c r="J25" s="3">
        <f t="shared" si="2"/>
        <v>0</v>
      </c>
      <c r="K25" s="3"/>
      <c r="L25" s="3">
        <v>600</v>
      </c>
    </row>
    <row r="26" spans="1:17" x14ac:dyDescent="0.25">
      <c r="A26" s="3">
        <v>22</v>
      </c>
      <c r="B26" s="30" t="s">
        <v>234</v>
      </c>
      <c r="C26" s="3"/>
      <c r="D26" s="3">
        <v>200</v>
      </c>
      <c r="E26" s="3">
        <v>600</v>
      </c>
      <c r="F26" s="3">
        <f>FEBRUARY21!J26:J50</f>
        <v>0</v>
      </c>
      <c r="G26" s="3">
        <v>10000</v>
      </c>
      <c r="H26" s="3">
        <f t="shared" si="0"/>
        <v>10000</v>
      </c>
      <c r="I26" s="3">
        <f>10000</f>
        <v>10000</v>
      </c>
      <c r="J26" s="3">
        <f t="shared" si="2"/>
        <v>0</v>
      </c>
      <c r="K26" s="3"/>
      <c r="L26" s="3">
        <v>600</v>
      </c>
    </row>
    <row r="27" spans="1:17" x14ac:dyDescent="0.25">
      <c r="A27" s="3">
        <v>23</v>
      </c>
      <c r="B27" s="3" t="s">
        <v>243</v>
      </c>
      <c r="C27" s="3"/>
      <c r="D27" s="3"/>
      <c r="E27" s="30"/>
      <c r="F27" s="3">
        <f>FEBRUARY21!J27:J51</f>
        <v>10000</v>
      </c>
      <c r="G27" s="3">
        <v>10000</v>
      </c>
      <c r="H27" s="3">
        <f t="shared" si="0"/>
        <v>20000</v>
      </c>
      <c r="I27" s="3"/>
      <c r="J27" s="3">
        <f t="shared" si="2"/>
        <v>20000</v>
      </c>
      <c r="K27" s="3"/>
      <c r="L27" s="3"/>
      <c r="M27" t="s">
        <v>254</v>
      </c>
      <c r="N27">
        <f>10*600</f>
        <v>6000</v>
      </c>
    </row>
    <row r="28" spans="1:17" x14ac:dyDescent="0.25">
      <c r="A28" s="3">
        <v>24</v>
      </c>
      <c r="B28" s="3" t="s">
        <v>230</v>
      </c>
      <c r="C28" s="3"/>
      <c r="D28" s="3">
        <v>200</v>
      </c>
      <c r="E28" s="30">
        <v>150</v>
      </c>
      <c r="F28" s="3">
        <f>FEBRUARY21!J28:J52</f>
        <v>0</v>
      </c>
      <c r="G28" s="3">
        <v>10000</v>
      </c>
      <c r="H28" s="3">
        <f t="shared" si="0"/>
        <v>10000</v>
      </c>
      <c r="I28" s="3">
        <f>10000</f>
        <v>10000</v>
      </c>
      <c r="J28" s="3">
        <f t="shared" si="2"/>
        <v>0</v>
      </c>
      <c r="K28" s="3"/>
      <c r="L28" s="3">
        <v>600</v>
      </c>
    </row>
    <row r="29" spans="1:17" x14ac:dyDescent="0.25">
      <c r="A29" s="3">
        <v>25</v>
      </c>
      <c r="B29" s="3" t="s">
        <v>55</v>
      </c>
      <c r="C29" s="3"/>
      <c r="D29" s="3">
        <v>200</v>
      </c>
      <c r="E29" s="3">
        <v>450</v>
      </c>
      <c r="F29" s="3">
        <f>FEBRUARY21!J29:J53</f>
        <v>0</v>
      </c>
      <c r="G29" s="3">
        <v>10000</v>
      </c>
      <c r="H29" s="3">
        <f t="shared" si="0"/>
        <v>10000</v>
      </c>
      <c r="I29" s="3">
        <v>10000</v>
      </c>
      <c r="J29" s="3">
        <f t="shared" si="2"/>
        <v>0</v>
      </c>
      <c r="K29" s="3"/>
      <c r="L29" s="3">
        <v>600</v>
      </c>
    </row>
    <row r="30" spans="1:17" x14ac:dyDescent="0.25">
      <c r="A30" s="2"/>
      <c r="B30" s="2" t="s">
        <v>33</v>
      </c>
      <c r="C30" s="2">
        <f t="shared" ref="C30:L30" si="3">SUM(C5:C29)</f>
        <v>10000</v>
      </c>
      <c r="D30" s="2">
        <f t="shared" si="3"/>
        <v>3500</v>
      </c>
      <c r="E30" s="2">
        <f t="shared" si="3"/>
        <v>8100</v>
      </c>
      <c r="F30" s="3">
        <f t="shared" si="3"/>
        <v>37450</v>
      </c>
      <c r="G30" s="2">
        <f t="shared" si="3"/>
        <v>268000</v>
      </c>
      <c r="H30" s="2">
        <f t="shared" si="3"/>
        <v>315450</v>
      </c>
      <c r="I30" s="2">
        <f t="shared" si="3"/>
        <v>279500</v>
      </c>
      <c r="J30" s="2">
        <f t="shared" si="3"/>
        <v>35950</v>
      </c>
      <c r="K30" s="2">
        <f t="shared" si="3"/>
        <v>1500</v>
      </c>
      <c r="L30" s="2">
        <f t="shared" si="3"/>
        <v>14150</v>
      </c>
    </row>
    <row r="31" spans="1:17" x14ac:dyDescent="0.25">
      <c r="A31" s="7"/>
      <c r="B31" s="7"/>
      <c r="C31" s="7"/>
      <c r="D31" s="7"/>
      <c r="E31" s="7"/>
      <c r="F31" s="7"/>
      <c r="G31" s="40"/>
      <c r="H31" s="30"/>
      <c r="I31" s="30"/>
      <c r="J31" s="7"/>
    </row>
    <row r="32" spans="1:17" x14ac:dyDescent="0.25">
      <c r="B32" s="31" t="s">
        <v>23</v>
      </c>
      <c r="C32" s="32"/>
      <c r="D32" s="6"/>
      <c r="E32" s="33"/>
      <c r="F32" s="3">
        <f>E16</f>
        <v>750</v>
      </c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121</v>
      </c>
      <c r="C35" s="38">
        <f>C30+G30</f>
        <v>278000</v>
      </c>
      <c r="D35" s="30"/>
      <c r="E35" s="30"/>
      <c r="F35" s="30" t="s">
        <v>121</v>
      </c>
      <c r="G35" s="38">
        <f>I30</f>
        <v>279500</v>
      </c>
      <c r="H35" s="30"/>
      <c r="I35" s="30"/>
    </row>
    <row r="36" spans="2:13" x14ac:dyDescent="0.25">
      <c r="B36" s="30" t="s">
        <v>5</v>
      </c>
      <c r="C36" s="38">
        <f>FEBRUARY21!E49</f>
        <v>-7760.0200000000186</v>
      </c>
      <c r="D36" s="30"/>
      <c r="E36" s="30"/>
      <c r="F36" s="30" t="s">
        <v>5</v>
      </c>
      <c r="G36" s="38">
        <f>FEBRUARY21!I49</f>
        <v>-45210.020000000019</v>
      </c>
      <c r="H36" s="30"/>
      <c r="I36" s="30"/>
    </row>
    <row r="37" spans="2:13" x14ac:dyDescent="0.25">
      <c r="B37" s="30" t="s">
        <v>35</v>
      </c>
      <c r="C37" s="38">
        <f>E30</f>
        <v>8100</v>
      </c>
      <c r="D37" s="30"/>
      <c r="E37" s="30"/>
      <c r="F37" s="30" t="s">
        <v>35</v>
      </c>
      <c r="G37" s="38">
        <f>E30</f>
        <v>8100</v>
      </c>
      <c r="H37" s="30"/>
      <c r="I37" s="30"/>
    </row>
    <row r="38" spans="2:13" x14ac:dyDescent="0.25">
      <c r="B38" s="30" t="s">
        <v>86</v>
      </c>
      <c r="C38" s="38">
        <f>K30</f>
        <v>1500</v>
      </c>
      <c r="D38" s="30"/>
      <c r="E38" s="30"/>
      <c r="F38" s="30" t="s">
        <v>86</v>
      </c>
      <c r="G38" s="38">
        <f>C38</f>
        <v>1500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14150</v>
      </c>
      <c r="D39" s="30"/>
      <c r="E39" s="30"/>
      <c r="F39" s="30" t="s">
        <v>88</v>
      </c>
      <c r="G39" s="38">
        <f>L30</f>
        <v>14150</v>
      </c>
      <c r="H39" s="30"/>
      <c r="I39" s="30"/>
      <c r="M39" s="24"/>
    </row>
    <row r="40" spans="2:13" x14ac:dyDescent="0.25">
      <c r="B40" s="30" t="s">
        <v>30</v>
      </c>
      <c r="C40" s="39">
        <v>0.08</v>
      </c>
      <c r="D40" s="38">
        <f>C40*C35</f>
        <v>22240</v>
      </c>
      <c r="E40" s="30"/>
      <c r="F40" s="30" t="s">
        <v>30</v>
      </c>
      <c r="G40" s="39">
        <v>0.08</v>
      </c>
      <c r="H40" s="38">
        <f>G40*C35</f>
        <v>22240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3" t="s">
        <v>256</v>
      </c>
      <c r="C43" s="40"/>
      <c r="D43">
        <v>197000</v>
      </c>
      <c r="E43" s="3"/>
      <c r="F43" s="3" t="s">
        <v>256</v>
      </c>
      <c r="G43" s="40"/>
      <c r="H43">
        <v>197000</v>
      </c>
      <c r="I43" s="30"/>
      <c r="M43" s="24"/>
    </row>
    <row r="44" spans="2:13" x14ac:dyDescent="0.25">
      <c r="B44" s="3" t="s">
        <v>257</v>
      </c>
      <c r="C44" s="30"/>
      <c r="D44" s="30">
        <v>10000</v>
      </c>
      <c r="E44" s="30"/>
      <c r="F44" s="3"/>
      <c r="G44" s="30"/>
      <c r="H44" s="30"/>
      <c r="I44" s="30"/>
      <c r="K44" s="24"/>
      <c r="M44" s="24"/>
    </row>
    <row r="45" spans="2:13" x14ac:dyDescent="0.25">
      <c r="B45" s="40" t="s">
        <v>258</v>
      </c>
      <c r="C45" s="30"/>
      <c r="D45" s="30">
        <v>20000</v>
      </c>
      <c r="E45" s="30"/>
      <c r="F45" s="40"/>
      <c r="G45" s="30"/>
      <c r="H45" s="30"/>
      <c r="I45" s="30"/>
      <c r="J45" s="24"/>
      <c r="K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K46" s="24"/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K47" s="24">
        <f>I49+5950</f>
        <v>34749.979999999981</v>
      </c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271749.98</v>
      </c>
      <c r="D49" s="42">
        <f>SUM(D42:D48)</f>
        <v>237000</v>
      </c>
      <c r="E49" s="42">
        <f>C49-D49</f>
        <v>34749.979999999981</v>
      </c>
      <c r="F49" s="37" t="s">
        <v>33</v>
      </c>
      <c r="G49" s="42">
        <f>G35+G36+G37+G38+G39-H40</f>
        <v>235799.97999999998</v>
      </c>
      <c r="H49" s="42">
        <f>SUM(H42:H48)</f>
        <v>207000</v>
      </c>
      <c r="I49" s="42">
        <f>G49-H49</f>
        <v>28799.979999999981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28" workbookViewId="0">
      <selection activeCell="N25" sqref="N25"/>
    </sheetView>
  </sheetViews>
  <sheetFormatPr defaultRowHeight="15" x14ac:dyDescent="0.25"/>
  <cols>
    <col min="1" max="1" width="4.140625" customWidth="1"/>
    <col min="2" max="2" width="18.85546875" customWidth="1"/>
    <col min="3" max="3" width="8.28515625" customWidth="1"/>
    <col min="4" max="4" width="9.28515625" customWidth="1"/>
    <col min="6" max="6" width="10.28515625" customWidth="1"/>
    <col min="7" max="7" width="8.28515625" customWidth="1"/>
    <col min="8" max="8" width="10.28515625" customWidth="1"/>
    <col min="10" max="10" width="8.85546875" customWidth="1"/>
  </cols>
  <sheetData>
    <row r="1" spans="1:10" ht="18.75" x14ac:dyDescent="0.3">
      <c r="A1" s="1"/>
      <c r="B1" s="1"/>
      <c r="C1" s="20" t="s">
        <v>0</v>
      </c>
      <c r="D1" s="20"/>
      <c r="E1" s="20"/>
      <c r="I1" s="1"/>
      <c r="J1" s="1"/>
    </row>
    <row r="2" spans="1:10" ht="18.75" x14ac:dyDescent="0.3">
      <c r="A2" s="1"/>
      <c r="B2" s="1"/>
      <c r="C2" s="20" t="s">
        <v>1</v>
      </c>
      <c r="D2" s="20"/>
      <c r="E2" s="20"/>
      <c r="I2" s="1"/>
      <c r="J2" s="1"/>
    </row>
    <row r="3" spans="1:10" ht="18.75" x14ac:dyDescent="0.3">
      <c r="A3" s="1"/>
      <c r="B3" s="1"/>
      <c r="C3" s="20" t="s">
        <v>71</v>
      </c>
      <c r="D3" s="20"/>
      <c r="E3" s="20"/>
      <c r="I3" s="1"/>
      <c r="J3" s="1"/>
    </row>
    <row r="4" spans="1:10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x14ac:dyDescent="0.25">
      <c r="A5" s="3">
        <v>1</v>
      </c>
      <c r="B5" s="3" t="s">
        <v>22</v>
      </c>
      <c r="C5" s="3"/>
      <c r="D5" s="3"/>
      <c r="E5" s="3"/>
      <c r="F5" s="3"/>
      <c r="G5" s="3">
        <v>12000</v>
      </c>
      <c r="H5" s="3">
        <f>F5+G5</f>
        <v>12000</v>
      </c>
      <c r="I5" s="3">
        <v>12000</v>
      </c>
      <c r="J5" s="3">
        <f>H5-I5</f>
        <v>0</v>
      </c>
    </row>
    <row r="6" spans="1:10" x14ac:dyDescent="0.25">
      <c r="A6" s="3">
        <v>2</v>
      </c>
      <c r="B6" t="s">
        <v>69</v>
      </c>
      <c r="C6" s="3"/>
      <c r="D6" s="3">
        <v>200</v>
      </c>
      <c r="E6" s="3">
        <v>300</v>
      </c>
      <c r="F6" s="3"/>
      <c r="G6" s="3">
        <v>10000</v>
      </c>
      <c r="H6" s="3">
        <f>F6+G6</f>
        <v>10000</v>
      </c>
      <c r="I6" s="3">
        <v>10000</v>
      </c>
      <c r="J6" s="3">
        <f>H6-I6</f>
        <v>0</v>
      </c>
    </row>
    <row r="7" spans="1:10" x14ac:dyDescent="0.25">
      <c r="A7" s="3">
        <v>3</v>
      </c>
      <c r="B7" s="3" t="s">
        <v>12</v>
      </c>
      <c r="C7" s="3"/>
      <c r="D7" s="3">
        <v>200</v>
      </c>
      <c r="E7" s="3">
        <v>450</v>
      </c>
      <c r="F7" s="3"/>
      <c r="G7" s="3">
        <v>10000</v>
      </c>
      <c r="H7" s="3">
        <f t="shared" ref="H7:H24" si="0">F7+G7</f>
        <v>10000</v>
      </c>
      <c r="I7" s="3">
        <v>10000</v>
      </c>
      <c r="J7" s="3">
        <f t="shared" ref="J7:J25" si="1">H7-I7</f>
        <v>0</v>
      </c>
    </row>
    <row r="8" spans="1:10" x14ac:dyDescent="0.25">
      <c r="A8" s="3">
        <v>4</v>
      </c>
      <c r="B8" s="3" t="s">
        <v>75</v>
      </c>
      <c r="C8" s="3"/>
      <c r="D8" s="3"/>
      <c r="E8" s="3">
        <v>150</v>
      </c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</row>
    <row r="9" spans="1:10" x14ac:dyDescent="0.25">
      <c r="A9" s="3">
        <v>5</v>
      </c>
      <c r="B9" s="3" t="s">
        <v>36</v>
      </c>
      <c r="C9" s="3"/>
      <c r="D9" s="3">
        <v>200</v>
      </c>
      <c r="E9" s="3">
        <v>300</v>
      </c>
      <c r="F9" s="3"/>
      <c r="G9" s="3">
        <v>10000</v>
      </c>
      <c r="H9" s="3">
        <f t="shared" si="0"/>
        <v>10000</v>
      </c>
      <c r="I9" s="3">
        <v>10000</v>
      </c>
      <c r="J9" s="3">
        <f t="shared" si="1"/>
        <v>0</v>
      </c>
    </row>
    <row r="10" spans="1:10" x14ac:dyDescent="0.25">
      <c r="A10" s="3">
        <v>6</v>
      </c>
      <c r="B10" s="3" t="s">
        <v>13</v>
      </c>
      <c r="C10" s="3"/>
      <c r="D10" s="3">
        <v>200</v>
      </c>
      <c r="E10" s="3">
        <v>450</v>
      </c>
      <c r="F10" s="3">
        <v>-200</v>
      </c>
      <c r="G10" s="3">
        <v>12000</v>
      </c>
      <c r="H10" s="3">
        <f t="shared" si="0"/>
        <v>11800</v>
      </c>
      <c r="I10" s="3">
        <v>11800</v>
      </c>
      <c r="J10" s="3">
        <f t="shared" si="1"/>
        <v>0</v>
      </c>
    </row>
    <row r="11" spans="1:10" x14ac:dyDescent="0.25">
      <c r="A11" s="3">
        <v>7</v>
      </c>
      <c r="B11" s="3" t="s">
        <v>14</v>
      </c>
      <c r="C11" s="3"/>
      <c r="D11" s="3">
        <v>200</v>
      </c>
      <c r="E11" s="3">
        <v>300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</row>
    <row r="12" spans="1:10" x14ac:dyDescent="0.25">
      <c r="A12" s="3">
        <v>8</v>
      </c>
      <c r="B12" s="3" t="s">
        <v>15</v>
      </c>
      <c r="C12" s="3"/>
      <c r="D12" s="3"/>
      <c r="E12" s="3"/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</row>
    <row r="13" spans="1:10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</row>
    <row r="14" spans="1:10" x14ac:dyDescent="0.25">
      <c r="A14" s="3">
        <v>10</v>
      </c>
      <c r="B14" s="3" t="s">
        <v>57</v>
      </c>
      <c r="C14" s="3"/>
      <c r="D14" s="3">
        <v>400</v>
      </c>
      <c r="E14" s="3">
        <v>500</v>
      </c>
      <c r="F14" s="3"/>
      <c r="G14" s="3">
        <v>10000</v>
      </c>
      <c r="H14" s="3">
        <f t="shared" si="0"/>
        <v>10000</v>
      </c>
      <c r="I14" s="3">
        <v>10000</v>
      </c>
      <c r="J14" s="3">
        <f t="shared" si="1"/>
        <v>0</v>
      </c>
    </row>
    <row r="15" spans="1:10" x14ac:dyDescent="0.25">
      <c r="A15" s="3">
        <v>11</v>
      </c>
      <c r="B15" s="3" t="s">
        <v>18</v>
      </c>
      <c r="C15" s="3"/>
      <c r="D15" s="3">
        <v>200</v>
      </c>
      <c r="E15" s="3">
        <v>600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</row>
    <row r="16" spans="1:10" x14ac:dyDescent="0.25">
      <c r="A16" s="3">
        <v>12</v>
      </c>
      <c r="B16" s="3" t="s">
        <v>54</v>
      </c>
      <c r="C16" s="3"/>
      <c r="D16" s="3">
        <v>200</v>
      </c>
      <c r="E16" s="3">
        <v>450</v>
      </c>
      <c r="F16" s="3"/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</row>
    <row r="17" spans="1:11" x14ac:dyDescent="0.25">
      <c r="A17" s="3">
        <v>13</v>
      </c>
      <c r="B17" s="12" t="s">
        <v>19</v>
      </c>
      <c r="C17" s="3"/>
      <c r="D17" s="3">
        <v>200</v>
      </c>
      <c r="E17" s="3">
        <v>600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t="s">
        <v>79</v>
      </c>
    </row>
    <row r="18" spans="1:11" x14ac:dyDescent="0.25">
      <c r="A18" s="3">
        <v>14</v>
      </c>
      <c r="B18" s="12" t="s">
        <v>70</v>
      </c>
      <c r="C18" s="3"/>
      <c r="D18" s="3">
        <v>400</v>
      </c>
      <c r="E18" s="3">
        <v>450</v>
      </c>
      <c r="F18" s="3"/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  <c r="K18" t="s">
        <v>79</v>
      </c>
    </row>
    <row r="19" spans="1:11" x14ac:dyDescent="0.25">
      <c r="A19" s="3">
        <v>15</v>
      </c>
      <c r="B19" s="3" t="s">
        <v>56</v>
      </c>
      <c r="C19" s="3"/>
      <c r="D19" s="3">
        <v>200</v>
      </c>
      <c r="E19" s="3">
        <v>300</v>
      </c>
      <c r="F19" s="3"/>
      <c r="G19" s="3">
        <v>10000</v>
      </c>
      <c r="H19" s="3">
        <f t="shared" si="0"/>
        <v>10000</v>
      </c>
      <c r="I19" s="3">
        <v>10000</v>
      </c>
      <c r="J19" s="3">
        <f t="shared" si="1"/>
        <v>0</v>
      </c>
    </row>
    <row r="20" spans="1:11" x14ac:dyDescent="0.25">
      <c r="A20" s="3">
        <v>16</v>
      </c>
      <c r="B20" s="3" t="s">
        <v>20</v>
      </c>
      <c r="C20" s="3"/>
      <c r="D20" s="3" t="s">
        <v>77</v>
      </c>
      <c r="E20" s="3">
        <v>200</v>
      </c>
      <c r="F20" s="3">
        <v>2000</v>
      </c>
      <c r="G20" s="3">
        <v>12000</v>
      </c>
      <c r="H20" s="3">
        <f t="shared" si="0"/>
        <v>14000</v>
      </c>
      <c r="I20" s="3">
        <v>14000</v>
      </c>
      <c r="J20" s="3">
        <f t="shared" si="1"/>
        <v>0</v>
      </c>
    </row>
    <row r="21" spans="1:11" x14ac:dyDescent="0.25">
      <c r="A21" s="3">
        <v>17</v>
      </c>
      <c r="B21" s="3" t="s">
        <v>67</v>
      </c>
      <c r="C21" s="3"/>
      <c r="D21" s="3">
        <v>400</v>
      </c>
      <c r="E21" s="3"/>
      <c r="F21" s="3"/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t="s">
        <v>79</v>
      </c>
    </row>
    <row r="22" spans="1:11" x14ac:dyDescent="0.25">
      <c r="A22" s="3">
        <v>18</v>
      </c>
      <c r="B22" s="3" t="s">
        <v>21</v>
      </c>
      <c r="C22" s="3"/>
      <c r="D22" s="3">
        <v>200</v>
      </c>
      <c r="E22" s="3">
        <v>500</v>
      </c>
      <c r="F22" s="3"/>
      <c r="G22" s="3">
        <v>10000</v>
      </c>
      <c r="H22" s="3">
        <f t="shared" si="0"/>
        <v>10000</v>
      </c>
      <c r="I22" s="3">
        <v>10000</v>
      </c>
      <c r="J22" s="3">
        <f>H22-I22</f>
        <v>0</v>
      </c>
    </row>
    <row r="23" spans="1:11" x14ac:dyDescent="0.25">
      <c r="A23" s="3">
        <v>19</v>
      </c>
      <c r="B23" s="3" t="s">
        <v>74</v>
      </c>
      <c r="C23" s="3"/>
      <c r="D23" s="3"/>
      <c r="E23" s="3">
        <v>300</v>
      </c>
      <c r="F23" s="3">
        <v>10000</v>
      </c>
      <c r="G23" s="3">
        <v>10000</v>
      </c>
      <c r="H23" s="3">
        <f t="shared" si="0"/>
        <v>20000</v>
      </c>
      <c r="I23" s="3">
        <v>20000</v>
      </c>
      <c r="J23" s="3">
        <f>H23-I23</f>
        <v>0</v>
      </c>
      <c r="K23" t="s">
        <v>80</v>
      </c>
    </row>
    <row r="24" spans="1:11" x14ac:dyDescent="0.25">
      <c r="A24" s="3">
        <v>20</v>
      </c>
      <c r="B24" s="3" t="s">
        <v>55</v>
      </c>
      <c r="C24" s="3"/>
      <c r="D24" s="3" t="s">
        <v>77</v>
      </c>
      <c r="E24" s="3">
        <v>600</v>
      </c>
      <c r="F24" s="3"/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</row>
    <row r="25" spans="1:11" x14ac:dyDescent="0.25">
      <c r="A25" s="2"/>
      <c r="B25" s="2" t="s">
        <v>33</v>
      </c>
      <c r="C25" s="2"/>
      <c r="D25" s="2">
        <f t="shared" ref="D25:I25" si="2">SUM(D5:D24)</f>
        <v>3400</v>
      </c>
      <c r="E25" s="2">
        <f t="shared" si="2"/>
        <v>6750</v>
      </c>
      <c r="F25" s="2">
        <f t="shared" si="2"/>
        <v>11800</v>
      </c>
      <c r="G25" s="2">
        <f t="shared" si="2"/>
        <v>208000</v>
      </c>
      <c r="H25" s="2">
        <f t="shared" si="2"/>
        <v>219800</v>
      </c>
      <c r="I25" s="2">
        <f t="shared" si="2"/>
        <v>219800</v>
      </c>
      <c r="J25" s="2">
        <f t="shared" si="1"/>
        <v>0</v>
      </c>
    </row>
    <row r="26" spans="1:11" x14ac:dyDescent="0.25">
      <c r="B26" s="4" t="s">
        <v>23</v>
      </c>
      <c r="C26" s="5"/>
      <c r="D26" s="6"/>
      <c r="E26" s="7"/>
      <c r="F26" s="8"/>
      <c r="G26" s="9"/>
      <c r="H26" s="8"/>
    </row>
    <row r="27" spans="1:11" x14ac:dyDescent="0.25">
      <c r="B27" s="1" t="s">
        <v>24</v>
      </c>
      <c r="C27" s="1"/>
      <c r="D27" s="1"/>
      <c r="E27" s="10"/>
      <c r="F27" s="1" t="s">
        <v>8</v>
      </c>
      <c r="G27" s="11"/>
      <c r="H27" s="11"/>
      <c r="I27" s="11"/>
    </row>
    <row r="28" spans="1:11" x14ac:dyDescent="0.25">
      <c r="B28" s="2" t="s">
        <v>25</v>
      </c>
      <c r="C28" s="2" t="s">
        <v>26</v>
      </c>
      <c r="D28" s="2" t="s">
        <v>27</v>
      </c>
      <c r="E28" s="2" t="s">
        <v>28</v>
      </c>
      <c r="F28" s="2" t="s">
        <v>25</v>
      </c>
      <c r="G28" s="2" t="s">
        <v>26</v>
      </c>
      <c r="H28" s="2" t="s">
        <v>27</v>
      </c>
      <c r="I28" s="2" t="s">
        <v>28</v>
      </c>
    </row>
    <row r="29" spans="1:11" x14ac:dyDescent="0.25">
      <c r="B29" s="12" t="s">
        <v>72</v>
      </c>
      <c r="C29" s="13">
        <f>G25</f>
        <v>208000</v>
      </c>
      <c r="D29" s="12"/>
      <c r="E29" s="12"/>
      <c r="F29" s="12" t="s">
        <v>72</v>
      </c>
      <c r="G29" s="13">
        <f>I25</f>
        <v>219800</v>
      </c>
      <c r="H29" s="12"/>
      <c r="I29" s="12"/>
    </row>
    <row r="30" spans="1:11" x14ac:dyDescent="0.25">
      <c r="B30" s="12" t="s">
        <v>5</v>
      </c>
      <c r="C30" s="13"/>
      <c r="D30" s="12"/>
      <c r="E30" s="12"/>
      <c r="F30" s="12" t="s">
        <v>5</v>
      </c>
      <c r="G30" s="13"/>
      <c r="H30" s="12"/>
      <c r="I30" s="12"/>
    </row>
    <row r="31" spans="1:11" x14ac:dyDescent="0.25">
      <c r="B31" s="12" t="s">
        <v>30</v>
      </c>
      <c r="C31" s="14">
        <v>0.06</v>
      </c>
      <c r="D31" s="13">
        <f>C29*C31</f>
        <v>12480</v>
      </c>
      <c r="E31" s="12"/>
      <c r="F31" s="12" t="s">
        <v>30</v>
      </c>
      <c r="G31" s="14">
        <v>0.06</v>
      </c>
      <c r="H31" s="13">
        <f>D31</f>
        <v>12480</v>
      </c>
      <c r="I31" s="12"/>
    </row>
    <row r="32" spans="1:11" x14ac:dyDescent="0.25">
      <c r="B32" s="15" t="s">
        <v>31</v>
      </c>
      <c r="C32" s="12" t="s">
        <v>32</v>
      </c>
      <c r="D32" s="12"/>
      <c r="E32" s="12"/>
      <c r="F32" s="15" t="s">
        <v>31</v>
      </c>
      <c r="G32" s="13"/>
      <c r="H32" s="12"/>
      <c r="I32" s="12"/>
    </row>
    <row r="33" spans="2:11" x14ac:dyDescent="0.25">
      <c r="B33" s="3"/>
      <c r="C33" s="3"/>
      <c r="D33" s="3"/>
      <c r="E33" s="3"/>
      <c r="F33" s="3"/>
      <c r="G33" s="12" t="s">
        <v>32</v>
      </c>
      <c r="H33" s="12"/>
      <c r="I33" s="12"/>
    </row>
    <row r="34" spans="2:11" x14ac:dyDescent="0.25">
      <c r="B34" s="3"/>
      <c r="C34" s="3"/>
      <c r="D34" s="3"/>
      <c r="E34" s="3"/>
      <c r="F34" s="3"/>
      <c r="G34" s="3"/>
      <c r="H34" s="3"/>
      <c r="I34" s="12"/>
    </row>
    <row r="35" spans="2:11" x14ac:dyDescent="0.25">
      <c r="B35" s="16"/>
      <c r="C35" s="12"/>
      <c r="D35" s="12"/>
      <c r="E35" s="12"/>
      <c r="F35" s="16"/>
      <c r="G35" s="12"/>
      <c r="H35" s="12"/>
      <c r="I35" s="12"/>
    </row>
    <row r="36" spans="2:11" x14ac:dyDescent="0.25">
      <c r="B36" s="17"/>
      <c r="C36" s="12"/>
      <c r="D36" s="12"/>
      <c r="E36" s="12"/>
      <c r="F36" s="3"/>
      <c r="G36" s="3"/>
      <c r="H36" s="3"/>
      <c r="I36" s="12"/>
    </row>
    <row r="37" spans="2:11" x14ac:dyDescent="0.25">
      <c r="B37" s="15" t="s">
        <v>33</v>
      </c>
      <c r="C37" s="18">
        <f>C29+C30</f>
        <v>208000</v>
      </c>
      <c r="D37" s="18">
        <f>SUM(D31:D36)</f>
        <v>12480</v>
      </c>
      <c r="E37" s="18">
        <f>C37-D37</f>
        <v>195520</v>
      </c>
      <c r="F37" s="15" t="s">
        <v>33</v>
      </c>
      <c r="G37" s="18">
        <f>G29+G30</f>
        <v>219800</v>
      </c>
      <c r="H37" s="18">
        <f>SUM(H31:H36)</f>
        <v>12480</v>
      </c>
      <c r="I37" s="13">
        <f>G37-H37</f>
        <v>207320</v>
      </c>
    </row>
    <row r="38" spans="2:11" x14ac:dyDescent="0.25">
      <c r="B38" t="s">
        <v>37</v>
      </c>
      <c r="D38" t="s">
        <v>39</v>
      </c>
      <c r="G38" t="s">
        <v>41</v>
      </c>
    </row>
    <row r="39" spans="2:11" x14ac:dyDescent="0.25">
      <c r="K39" s="25"/>
    </row>
    <row r="40" spans="2:11" x14ac:dyDescent="0.25">
      <c r="B40" t="s">
        <v>38</v>
      </c>
      <c r="D40" t="s">
        <v>40</v>
      </c>
      <c r="G40" t="s">
        <v>42</v>
      </c>
    </row>
    <row r="42" spans="2:11" x14ac:dyDescent="0.25">
      <c r="G42" s="1" t="s">
        <v>8</v>
      </c>
      <c r="H42" s="1" t="s">
        <v>61</v>
      </c>
    </row>
    <row r="43" spans="2:11" x14ac:dyDescent="0.25">
      <c r="B43">
        <v>1</v>
      </c>
      <c r="C43" s="1" t="s">
        <v>76</v>
      </c>
      <c r="D43" s="1"/>
      <c r="E43" s="1"/>
      <c r="F43" s="22">
        <f>SEPTEMBER!H50</f>
        <v>11500</v>
      </c>
      <c r="G43" s="1"/>
      <c r="H43" s="1"/>
    </row>
    <row r="44" spans="2:11" x14ac:dyDescent="0.25">
      <c r="B44">
        <v>2</v>
      </c>
      <c r="C44" s="1" t="s">
        <v>64</v>
      </c>
      <c r="D44" s="1"/>
      <c r="E44" s="1"/>
      <c r="F44" s="22">
        <f>D31</f>
        <v>12480</v>
      </c>
      <c r="G44" s="1"/>
      <c r="H44" s="1"/>
    </row>
    <row r="45" spans="2:11" x14ac:dyDescent="0.25">
      <c r="C45" s="1"/>
      <c r="D45" s="1"/>
      <c r="E45" s="1"/>
      <c r="F45" s="22"/>
      <c r="G45" s="1"/>
      <c r="H45" s="1"/>
    </row>
    <row r="46" spans="2:11" x14ac:dyDescent="0.25">
      <c r="C46" s="1"/>
      <c r="D46" s="1" t="s">
        <v>33</v>
      </c>
      <c r="E46" s="1"/>
      <c r="F46" s="23">
        <f>SUM(F43:F45)</f>
        <v>23980</v>
      </c>
      <c r="G46" s="1">
        <v>23550</v>
      </c>
      <c r="H46" s="22">
        <f>F46-G46</f>
        <v>430</v>
      </c>
    </row>
    <row r="48" spans="2:11" x14ac:dyDescent="0.25">
      <c r="D48" t="s">
        <v>8</v>
      </c>
    </row>
    <row r="49" spans="2:5" x14ac:dyDescent="0.25">
      <c r="B49" t="s">
        <v>81</v>
      </c>
      <c r="C49">
        <v>34000</v>
      </c>
    </row>
    <row r="50" spans="2:5" x14ac:dyDescent="0.25">
      <c r="B50" t="s">
        <v>82</v>
      </c>
      <c r="C50">
        <f>E17+E18</f>
        <v>1050</v>
      </c>
    </row>
    <row r="51" spans="2:5" x14ac:dyDescent="0.25">
      <c r="B51" t="s">
        <v>30</v>
      </c>
      <c r="D51">
        <v>13550</v>
      </c>
    </row>
    <row r="52" spans="2:5" x14ac:dyDescent="0.25">
      <c r="B52" s="25">
        <v>43388</v>
      </c>
      <c r="D52">
        <v>12500</v>
      </c>
    </row>
    <row r="53" spans="2:5" x14ac:dyDescent="0.25">
      <c r="B53" s="25">
        <v>43400</v>
      </c>
      <c r="C53" s="24"/>
      <c r="D53">
        <v>9000</v>
      </c>
    </row>
    <row r="55" spans="2:5" x14ac:dyDescent="0.25">
      <c r="B55" t="s">
        <v>33</v>
      </c>
      <c r="C55">
        <f>SUM(C49:C51)</f>
        <v>35050</v>
      </c>
      <c r="D55">
        <f>SUM(D51:D54)</f>
        <v>35050</v>
      </c>
      <c r="E55">
        <f>C55-D55</f>
        <v>0</v>
      </c>
    </row>
  </sheetData>
  <pageMargins left="0" right="0" top="0" bottom="0" header="0" footer="0.3"/>
  <pageSetup paperSize="5"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N15" sqref="N15"/>
    </sheetView>
  </sheetViews>
  <sheetFormatPr defaultRowHeight="15" x14ac:dyDescent="0.25"/>
  <cols>
    <col min="1" max="1" width="4.28515625" customWidth="1"/>
    <col min="2" max="2" width="16.42578125" customWidth="1"/>
  </cols>
  <sheetData>
    <row r="1" spans="1:13" ht="15.75" x14ac:dyDescent="0.25">
      <c r="C1" s="21" t="s">
        <v>0</v>
      </c>
      <c r="D1" s="21"/>
      <c r="E1" s="21"/>
      <c r="F1" s="27"/>
      <c r="G1" s="27"/>
      <c r="I1" s="1"/>
      <c r="J1" s="1"/>
    </row>
    <row r="2" spans="1:13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3" ht="15.75" x14ac:dyDescent="0.25">
      <c r="A3" s="1"/>
      <c r="B3" s="1"/>
      <c r="C3" s="21" t="s">
        <v>259</v>
      </c>
      <c r="D3" s="21"/>
      <c r="E3" s="21"/>
      <c r="F3" s="27"/>
      <c r="G3" s="27"/>
      <c r="I3" s="1"/>
      <c r="J3" s="1"/>
    </row>
    <row r="4" spans="1:13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3" x14ac:dyDescent="0.25">
      <c r="A5" s="3">
        <v>1</v>
      </c>
      <c r="B5" s="30" t="s">
        <v>260</v>
      </c>
      <c r="C5" s="3">
        <v>12000</v>
      </c>
      <c r="D5" s="3">
        <v>200</v>
      </c>
      <c r="E5" s="3"/>
      <c r="F5" s="3">
        <f>'MARCH 21'!J5:J29</f>
        <v>0</v>
      </c>
      <c r="G5" s="3">
        <v>12000</v>
      </c>
      <c r="H5" s="3">
        <f>C5+F5+G5</f>
        <v>24000</v>
      </c>
      <c r="I5" s="3">
        <v>24000</v>
      </c>
      <c r="J5" s="3">
        <f>H5-I5</f>
        <v>0</v>
      </c>
      <c r="K5" s="3">
        <v>1500</v>
      </c>
      <c r="L5" s="3">
        <v>600</v>
      </c>
    </row>
    <row r="6" spans="1:13" x14ac:dyDescent="0.25">
      <c r="A6" s="3">
        <v>2</v>
      </c>
      <c r="B6" t="s">
        <v>69</v>
      </c>
      <c r="C6" s="3"/>
      <c r="D6" s="3">
        <v>200</v>
      </c>
      <c r="E6" s="3">
        <v>300</v>
      </c>
      <c r="F6" s="3">
        <f>'MARCH 21'!J6:J30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3" x14ac:dyDescent="0.25">
      <c r="A7" s="3">
        <v>3</v>
      </c>
      <c r="B7" s="3" t="s">
        <v>250</v>
      </c>
      <c r="C7" s="3"/>
      <c r="D7" s="3">
        <v>200</v>
      </c>
      <c r="E7">
        <v>900</v>
      </c>
      <c r="F7" s="3">
        <f>'MARCH 21'!J7:J31</f>
        <v>0</v>
      </c>
      <c r="G7" s="3">
        <v>10000</v>
      </c>
      <c r="H7" s="3">
        <f t="shared" si="0"/>
        <v>10000</v>
      </c>
      <c r="I7" s="3">
        <f>10000</f>
        <v>10000</v>
      </c>
      <c r="J7" s="3">
        <f>H7-I7</f>
        <v>0</v>
      </c>
      <c r="K7" s="3"/>
      <c r="L7" s="3">
        <v>600</v>
      </c>
    </row>
    <row r="8" spans="1:13" x14ac:dyDescent="0.25">
      <c r="A8" s="3">
        <v>4</v>
      </c>
      <c r="B8" s="3" t="s">
        <v>89</v>
      </c>
      <c r="C8" s="3"/>
      <c r="D8" s="3">
        <v>200</v>
      </c>
      <c r="E8" s="3">
        <v>300</v>
      </c>
      <c r="F8" s="3">
        <f>'MARCH 21'!J8:J32</f>
        <v>0</v>
      </c>
      <c r="G8" s="3">
        <v>10000</v>
      </c>
      <c r="H8" s="3">
        <f t="shared" si="0"/>
        <v>10000</v>
      </c>
      <c r="I8" s="3">
        <f>10000</f>
        <v>10000</v>
      </c>
      <c r="J8" s="3">
        <f>H8-I8</f>
        <v>0</v>
      </c>
      <c r="K8" s="3"/>
      <c r="L8" s="3">
        <v>600</v>
      </c>
    </row>
    <row r="9" spans="1:13" x14ac:dyDescent="0.25">
      <c r="A9" s="3">
        <v>5</v>
      </c>
      <c r="B9" s="30" t="s">
        <v>244</v>
      </c>
      <c r="C9" s="3"/>
      <c r="D9" s="3"/>
      <c r="E9" s="3"/>
      <c r="F9" s="3">
        <f>'MARCH 21'!J9:J33</f>
        <v>0</v>
      </c>
      <c r="G9" s="3">
        <v>10000</v>
      </c>
      <c r="H9" s="3">
        <f t="shared" si="0"/>
        <v>10000</v>
      </c>
      <c r="I9" s="3"/>
      <c r="J9" s="3">
        <f t="shared" ref="J9:J21" si="1">H9-I9</f>
        <v>10000</v>
      </c>
      <c r="K9" s="3"/>
      <c r="L9" s="3"/>
      <c r="M9" t="s">
        <v>205</v>
      </c>
    </row>
    <row r="10" spans="1:13" x14ac:dyDescent="0.25">
      <c r="A10" s="3">
        <v>6</v>
      </c>
      <c r="B10" s="3" t="s">
        <v>13</v>
      </c>
      <c r="C10" s="3"/>
      <c r="D10" s="3">
        <v>200</v>
      </c>
      <c r="E10" s="30">
        <v>600</v>
      </c>
      <c r="F10" s="3">
        <f>'MARCH 21'!J10:J34</f>
        <v>0</v>
      </c>
      <c r="G10" s="3">
        <v>12000</v>
      </c>
      <c r="H10" s="3">
        <f t="shared" si="0"/>
        <v>12000</v>
      </c>
      <c r="I10" s="3">
        <f>12000</f>
        <v>12000</v>
      </c>
      <c r="J10" s="3">
        <f t="shared" si="1"/>
        <v>0</v>
      </c>
      <c r="K10" s="3"/>
      <c r="L10" s="3">
        <v>600</v>
      </c>
    </row>
    <row r="11" spans="1:13" x14ac:dyDescent="0.25">
      <c r="A11" s="3">
        <v>7</v>
      </c>
      <c r="B11" s="3" t="s">
        <v>14</v>
      </c>
      <c r="C11" s="3"/>
      <c r="D11" s="3">
        <v>200</v>
      </c>
      <c r="E11" s="30">
        <v>900</v>
      </c>
      <c r="F11" s="3">
        <f>'MARCH 21'!J11:J35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3" x14ac:dyDescent="0.25">
      <c r="A12" s="3">
        <v>8</v>
      </c>
      <c r="B12" s="3" t="s">
        <v>225</v>
      </c>
      <c r="C12" s="3"/>
      <c r="D12" s="3">
        <v>200</v>
      </c>
      <c r="E12" s="30">
        <v>1050</v>
      </c>
      <c r="F12" s="3">
        <f>'MARCH 21'!J12:J36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3" x14ac:dyDescent="0.25">
      <c r="A13" s="3">
        <v>9</v>
      </c>
      <c r="B13" s="3" t="s">
        <v>226</v>
      </c>
      <c r="C13" s="3"/>
      <c r="D13" s="3">
        <f>150+350</f>
        <v>500</v>
      </c>
      <c r="E13" s="3">
        <v>200</v>
      </c>
      <c r="F13" s="3">
        <f>'MARCH 21'!J13:J37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3" x14ac:dyDescent="0.25">
      <c r="A14" s="3">
        <v>10</v>
      </c>
      <c r="B14" s="3" t="s">
        <v>255</v>
      </c>
      <c r="C14" s="3"/>
      <c r="D14" s="3">
        <v>200</v>
      </c>
      <c r="E14" s="30"/>
      <c r="F14" s="3">
        <f>'MARCH 21'!J14:J38</f>
        <v>0</v>
      </c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>
        <v>600</v>
      </c>
    </row>
    <row r="15" spans="1:13" x14ac:dyDescent="0.25">
      <c r="A15" s="3">
        <v>11</v>
      </c>
      <c r="B15" s="3" t="s">
        <v>18</v>
      </c>
      <c r="C15" s="3"/>
      <c r="D15" s="3">
        <v>200</v>
      </c>
      <c r="E15" s="30">
        <v>300</v>
      </c>
      <c r="F15" s="3">
        <f>'MARCH 21'!J15:J39</f>
        <v>0</v>
      </c>
      <c r="G15" s="3">
        <v>12000</v>
      </c>
      <c r="H15" s="3">
        <f>C15+F15+G15</f>
        <v>12000</v>
      </c>
      <c r="I15" s="3">
        <f>10600+1400</f>
        <v>12000</v>
      </c>
      <c r="J15" s="3">
        <f>H15-I15</f>
        <v>0</v>
      </c>
      <c r="K15" s="3"/>
      <c r="L15" s="3">
        <v>600</v>
      </c>
    </row>
    <row r="16" spans="1:13" x14ac:dyDescent="0.25">
      <c r="A16" s="3">
        <v>12</v>
      </c>
      <c r="B16" s="3" t="s">
        <v>135</v>
      </c>
      <c r="C16" s="3"/>
      <c r="D16" s="3">
        <v>200</v>
      </c>
      <c r="E16" s="3">
        <v>1200</v>
      </c>
      <c r="F16" s="3">
        <f>'MARCH 21'!J16:J40</f>
        <v>0</v>
      </c>
      <c r="G16" s="3">
        <v>10000</v>
      </c>
      <c r="H16" s="3">
        <f t="shared" si="0"/>
        <v>10000</v>
      </c>
      <c r="I16" s="3">
        <f>10000</f>
        <v>10000</v>
      </c>
      <c r="J16" s="3">
        <f t="shared" si="1"/>
        <v>0</v>
      </c>
      <c r="K16" s="3"/>
      <c r="L16" s="3">
        <v>600</v>
      </c>
    </row>
    <row r="17" spans="1:12" x14ac:dyDescent="0.25">
      <c r="A17" s="3">
        <v>13</v>
      </c>
      <c r="B17" s="30" t="s">
        <v>192</v>
      </c>
      <c r="C17" s="3"/>
      <c r="D17" s="3"/>
      <c r="E17" s="30"/>
      <c r="F17" s="3">
        <f>'MARCH 21'!J17:J41</f>
        <v>0</v>
      </c>
      <c r="G17" s="3">
        <v>10000</v>
      </c>
      <c r="H17" s="3">
        <f>C17+F17+G17</f>
        <v>10000</v>
      </c>
      <c r="I17" s="3"/>
      <c r="J17" s="3">
        <f t="shared" si="1"/>
        <v>10000</v>
      </c>
      <c r="K17" s="3"/>
      <c r="L17" s="3"/>
    </row>
    <row r="18" spans="1:12" x14ac:dyDescent="0.25">
      <c r="A18" s="3">
        <v>14</v>
      </c>
      <c r="B18" s="12" t="s">
        <v>70</v>
      </c>
      <c r="C18" s="3"/>
      <c r="D18" s="43">
        <f>200+400</f>
        <v>600</v>
      </c>
      <c r="E18" s="3">
        <v>300</v>
      </c>
      <c r="F18" s="3">
        <f>'MARCH 21'!J18:J42</f>
        <v>0</v>
      </c>
      <c r="G18" s="3">
        <v>10000</v>
      </c>
      <c r="H18" s="3">
        <f t="shared" si="0"/>
        <v>10000</v>
      </c>
      <c r="I18" s="3">
        <f>10000</f>
        <v>10000</v>
      </c>
      <c r="J18" s="3">
        <f t="shared" si="1"/>
        <v>0</v>
      </c>
      <c r="K18" s="3"/>
      <c r="L18" s="3">
        <v>600</v>
      </c>
    </row>
    <row r="19" spans="1:12" x14ac:dyDescent="0.25">
      <c r="A19" s="3">
        <v>15</v>
      </c>
      <c r="B19" s="3" t="s">
        <v>158</v>
      </c>
      <c r="C19" s="3"/>
      <c r="D19" s="3">
        <v>200</v>
      </c>
      <c r="E19" s="3">
        <v>300</v>
      </c>
      <c r="F19" s="3">
        <f>'MARCH 21'!J19:J43</f>
        <v>0</v>
      </c>
      <c r="G19" s="3">
        <v>10000</v>
      </c>
      <c r="H19" s="3">
        <f>C19+F19+G19</f>
        <v>10000</v>
      </c>
      <c r="I19" s="3">
        <f>5550+4450</f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12</v>
      </c>
      <c r="C20" s="3"/>
      <c r="D20" s="3">
        <v>200</v>
      </c>
      <c r="E20" s="3">
        <v>600</v>
      </c>
      <c r="F20" s="3">
        <f>'MARCH 21'!J20:J44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0" t="s">
        <v>249</v>
      </c>
      <c r="C21" s="3"/>
      <c r="D21" s="3">
        <v>200</v>
      </c>
      <c r="E21" s="3">
        <v>300</v>
      </c>
      <c r="F21" s="3">
        <f>'MARCH 21'!J21:J45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220</v>
      </c>
      <c r="C22" s="3"/>
      <c r="D22" s="3"/>
      <c r="E22" s="3"/>
      <c r="F22" s="3">
        <f>'MARCH 21'!J22:J46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v>600</v>
      </c>
    </row>
    <row r="23" spans="1:12" x14ac:dyDescent="0.25">
      <c r="A23" s="3">
        <v>19</v>
      </c>
      <c r="B23" s="30" t="s">
        <v>241</v>
      </c>
      <c r="C23" s="3"/>
      <c r="D23" s="3"/>
      <c r="E23" s="30"/>
      <c r="F23" s="3">
        <f>'MARCH 21'!J23:J47</f>
        <v>5950</v>
      </c>
      <c r="G23" s="3">
        <v>10000</v>
      </c>
      <c r="H23" s="3">
        <f t="shared" si="0"/>
        <v>15950</v>
      </c>
      <c r="I23" s="3">
        <f>7700</f>
        <v>7700</v>
      </c>
      <c r="J23" s="3">
        <f>H23-I23</f>
        <v>8250</v>
      </c>
      <c r="K23" s="3"/>
      <c r="L23" s="3"/>
    </row>
    <row r="24" spans="1:12" x14ac:dyDescent="0.25">
      <c r="A24" s="3">
        <v>20</v>
      </c>
      <c r="B24" s="30" t="s">
        <v>261</v>
      </c>
      <c r="C24" s="3">
        <v>10000</v>
      </c>
      <c r="D24" s="3">
        <v>200</v>
      </c>
      <c r="E24" s="30"/>
      <c r="F24" s="3"/>
      <c r="G24" s="3">
        <v>10000</v>
      </c>
      <c r="H24" s="3">
        <f t="shared" si="0"/>
        <v>20000</v>
      </c>
      <c r="I24" s="3">
        <v>20000</v>
      </c>
      <c r="J24" s="3">
        <f t="shared" ref="J24:J29" si="2">H24-I24</f>
        <v>0</v>
      </c>
      <c r="K24" s="3">
        <v>1000</v>
      </c>
      <c r="L24" s="3">
        <v>600</v>
      </c>
    </row>
    <row r="25" spans="1:12" x14ac:dyDescent="0.25">
      <c r="A25" s="3">
        <v>21</v>
      </c>
      <c r="B25" s="3" t="s">
        <v>202</v>
      </c>
      <c r="C25" s="3"/>
      <c r="D25" s="3">
        <v>200</v>
      </c>
      <c r="E25" s="30">
        <v>450</v>
      </c>
      <c r="F25" s="3">
        <f>'MARCH 21'!J25:J49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2" x14ac:dyDescent="0.25">
      <c r="A26" s="3">
        <v>22</v>
      </c>
      <c r="B26" s="30" t="s">
        <v>234</v>
      </c>
      <c r="C26" s="3"/>
      <c r="D26" s="3">
        <v>200</v>
      </c>
      <c r="E26" s="3">
        <v>1050</v>
      </c>
      <c r="F26" s="3">
        <f>'MARCH 21'!J26:J50</f>
        <v>0</v>
      </c>
      <c r="G26" s="3">
        <v>10000</v>
      </c>
      <c r="H26" s="3">
        <f t="shared" si="0"/>
        <v>10000</v>
      </c>
      <c r="I26" s="3">
        <f>10000</f>
        <v>10000</v>
      </c>
      <c r="J26" s="3">
        <f>H26-I26</f>
        <v>0</v>
      </c>
      <c r="K26" s="3"/>
      <c r="L26" s="3">
        <v>600</v>
      </c>
    </row>
    <row r="27" spans="1:12" ht="15.75" x14ac:dyDescent="0.25">
      <c r="A27" s="3">
        <v>23</v>
      </c>
      <c r="B27" s="48" t="s">
        <v>263</v>
      </c>
      <c r="C27" s="3">
        <v>10000</v>
      </c>
      <c r="D27" s="3">
        <v>200</v>
      </c>
      <c r="E27" s="30"/>
      <c r="F27" s="3"/>
      <c r="G27" s="3">
        <v>4600</v>
      </c>
      <c r="H27" s="3">
        <f t="shared" si="0"/>
        <v>14600</v>
      </c>
      <c r="I27" s="3">
        <v>14600</v>
      </c>
      <c r="J27" s="3">
        <f t="shared" si="2"/>
        <v>0</v>
      </c>
      <c r="K27" s="3"/>
      <c r="L27" s="3"/>
    </row>
    <row r="28" spans="1:12" x14ac:dyDescent="0.25">
      <c r="A28" s="3">
        <v>24</v>
      </c>
      <c r="B28" s="3" t="s">
        <v>230</v>
      </c>
      <c r="C28" s="3"/>
      <c r="D28" s="3">
        <v>200</v>
      </c>
      <c r="E28" s="30">
        <v>750</v>
      </c>
      <c r="F28" s="3"/>
      <c r="G28" s="3">
        <v>10000</v>
      </c>
      <c r="H28" s="3">
        <f t="shared" si="0"/>
        <v>10000</v>
      </c>
      <c r="I28" s="3">
        <v>10000</v>
      </c>
      <c r="J28" s="3">
        <f t="shared" si="2"/>
        <v>0</v>
      </c>
      <c r="K28" s="3"/>
      <c r="L28" s="3">
        <v>600</v>
      </c>
    </row>
    <row r="29" spans="1:12" x14ac:dyDescent="0.25">
      <c r="A29" s="3">
        <v>25</v>
      </c>
      <c r="B29" s="3" t="s">
        <v>55</v>
      </c>
      <c r="C29" s="3"/>
      <c r="D29" s="3">
        <v>200</v>
      </c>
      <c r="E29" s="3">
        <v>600</v>
      </c>
      <c r="F29" s="3">
        <f>'MARCH 21'!J29:J53</f>
        <v>0</v>
      </c>
      <c r="G29" s="3">
        <v>10000</v>
      </c>
      <c r="H29" s="3">
        <f t="shared" si="0"/>
        <v>10000</v>
      </c>
      <c r="I29" s="3">
        <v>10000</v>
      </c>
      <c r="J29" s="3">
        <f t="shared" si="2"/>
        <v>0</v>
      </c>
      <c r="K29" s="3"/>
      <c r="L29" s="3">
        <v>600</v>
      </c>
    </row>
    <row r="30" spans="1:12" x14ac:dyDescent="0.25">
      <c r="A30" s="2"/>
      <c r="B30" s="2" t="s">
        <v>33</v>
      </c>
      <c r="C30" s="2">
        <f t="shared" ref="C30:L30" si="3">SUM(C5:C29)</f>
        <v>32000</v>
      </c>
      <c r="D30" s="2">
        <f t="shared" si="3"/>
        <v>4900</v>
      </c>
      <c r="E30" s="2">
        <f t="shared" si="3"/>
        <v>10100</v>
      </c>
      <c r="F30" s="3">
        <f t="shared" si="3"/>
        <v>5950</v>
      </c>
      <c r="G30" s="2">
        <f t="shared" si="3"/>
        <v>254600</v>
      </c>
      <c r="H30" s="2">
        <f t="shared" si="3"/>
        <v>292550</v>
      </c>
      <c r="I30" s="2">
        <f t="shared" si="3"/>
        <v>264300</v>
      </c>
      <c r="J30" s="2">
        <f t="shared" si="3"/>
        <v>28250</v>
      </c>
      <c r="K30" s="2">
        <f t="shared" si="3"/>
        <v>2500</v>
      </c>
      <c r="L30" s="2">
        <f t="shared" si="3"/>
        <v>12600</v>
      </c>
    </row>
    <row r="31" spans="1:12" x14ac:dyDescent="0.25">
      <c r="A31" s="7"/>
      <c r="B31" s="7"/>
      <c r="C31" s="7"/>
      <c r="D31" s="7"/>
      <c r="E31" s="7"/>
      <c r="F31" s="7"/>
      <c r="G31" s="40"/>
      <c r="H31" s="30"/>
      <c r="I31" s="30"/>
      <c r="J31" s="7">
        <f>J30-J9</f>
        <v>18250</v>
      </c>
    </row>
    <row r="32" spans="1:12" x14ac:dyDescent="0.25">
      <c r="B32" s="31" t="s">
        <v>23</v>
      </c>
      <c r="C32" s="32"/>
      <c r="D32" s="6"/>
      <c r="E32" s="33"/>
      <c r="F32" s="3">
        <f>E16</f>
        <v>1200</v>
      </c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127</v>
      </c>
      <c r="C35" s="38">
        <f>C30+G30</f>
        <v>286600</v>
      </c>
      <c r="D35" s="30"/>
      <c r="E35" s="30"/>
      <c r="F35" s="30" t="s">
        <v>127</v>
      </c>
      <c r="G35" s="38">
        <f>I30</f>
        <v>264300</v>
      </c>
      <c r="H35" s="30"/>
      <c r="I35" s="30"/>
    </row>
    <row r="36" spans="2:13" x14ac:dyDescent="0.25">
      <c r="B36" s="30" t="s">
        <v>5</v>
      </c>
      <c r="C36" s="38">
        <f>'MARCH 21'!E49</f>
        <v>34749.979999999981</v>
      </c>
      <c r="D36" s="30"/>
      <c r="E36" s="30"/>
      <c r="F36" s="30" t="s">
        <v>5</v>
      </c>
      <c r="G36" s="38">
        <f>'MARCH 21'!I49</f>
        <v>28799.979999999981</v>
      </c>
      <c r="H36" s="30"/>
      <c r="I36" s="30"/>
    </row>
    <row r="37" spans="2:13" x14ac:dyDescent="0.25">
      <c r="B37" s="30" t="s">
        <v>35</v>
      </c>
      <c r="C37" s="38">
        <f>E30</f>
        <v>10100</v>
      </c>
      <c r="D37" s="30"/>
      <c r="E37" s="30"/>
      <c r="F37" s="30" t="s">
        <v>35</v>
      </c>
      <c r="G37" s="38">
        <f>E30</f>
        <v>10100</v>
      </c>
      <c r="H37" s="30"/>
      <c r="I37" s="30"/>
    </row>
    <row r="38" spans="2:13" x14ac:dyDescent="0.25">
      <c r="B38" s="30" t="s">
        <v>86</v>
      </c>
      <c r="C38" s="38">
        <f>K30</f>
        <v>2500</v>
      </c>
      <c r="D38" s="30"/>
      <c r="E38" s="30"/>
      <c r="F38" s="30" t="s">
        <v>86</v>
      </c>
      <c r="G38" s="38">
        <f>C38</f>
        <v>2500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12600</v>
      </c>
      <c r="D39" s="30"/>
      <c r="E39" s="30"/>
      <c r="F39" s="30" t="s">
        <v>88</v>
      </c>
      <c r="G39" s="38">
        <f>L30</f>
        <v>12600</v>
      </c>
      <c r="H39" s="30"/>
      <c r="I39" s="30"/>
      <c r="M39" s="24"/>
    </row>
    <row r="40" spans="2:13" x14ac:dyDescent="0.25">
      <c r="B40" s="30" t="s">
        <v>30</v>
      </c>
      <c r="C40" s="39">
        <v>0.08</v>
      </c>
      <c r="D40" s="38">
        <f>C40*C35</f>
        <v>22928</v>
      </c>
      <c r="E40" s="30"/>
      <c r="F40" s="30" t="s">
        <v>30</v>
      </c>
      <c r="G40" s="39">
        <v>0.08</v>
      </c>
      <c r="H40" s="38">
        <f>G40*C35</f>
        <v>22928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262</v>
      </c>
      <c r="D43" s="30">
        <v>10000</v>
      </c>
      <c r="E43" s="30"/>
      <c r="F43" s="46"/>
      <c r="H43" s="30"/>
      <c r="I43" s="30"/>
      <c r="M43" s="24"/>
    </row>
    <row r="44" spans="2:13" x14ac:dyDescent="0.25">
      <c r="B44" s="3" t="s">
        <v>264</v>
      </c>
      <c r="C44" s="40"/>
      <c r="D44">
        <v>289000</v>
      </c>
      <c r="E44" s="3"/>
      <c r="F44" s="3" t="s">
        <v>264</v>
      </c>
      <c r="G44" s="40"/>
      <c r="H44">
        <v>289000</v>
      </c>
      <c r="I44" s="30"/>
      <c r="K44" s="24"/>
      <c r="M44" s="24"/>
    </row>
    <row r="45" spans="2:13" x14ac:dyDescent="0.25">
      <c r="B45" s="3" t="s">
        <v>265</v>
      </c>
      <c r="C45" s="30"/>
      <c r="D45" s="30">
        <v>10000</v>
      </c>
      <c r="E45" s="30"/>
      <c r="F45" s="3"/>
      <c r="G45" s="30"/>
      <c r="H45" s="30"/>
      <c r="I45" s="30"/>
      <c r="J45" s="24"/>
      <c r="K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K46" s="24"/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323621.98</v>
      </c>
      <c r="D49" s="42">
        <f>SUM(D42:D48)</f>
        <v>319000</v>
      </c>
      <c r="E49" s="42">
        <f>C49-D49</f>
        <v>4621.9799999999814</v>
      </c>
      <c r="F49" s="37" t="s">
        <v>33</v>
      </c>
      <c r="G49" s="42">
        <f>G35+G36+G37+G38+G39-H40</f>
        <v>295371.98</v>
      </c>
      <c r="H49" s="42">
        <f>SUM(H42:H48)</f>
        <v>299000</v>
      </c>
      <c r="I49" s="42">
        <f>G49-H49</f>
        <v>-3628.0200000000186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9" workbookViewId="0">
      <selection activeCell="J51" sqref="J51"/>
    </sheetView>
  </sheetViews>
  <sheetFormatPr defaultRowHeight="15" x14ac:dyDescent="0.25"/>
  <cols>
    <col min="2" max="2" width="23.85546875" customWidth="1"/>
  </cols>
  <sheetData>
    <row r="1" spans="1:12" ht="15.75" x14ac:dyDescent="0.25"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266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0" t="s">
        <v>260</v>
      </c>
      <c r="C5" s="3"/>
      <c r="D5" s="3">
        <v>200</v>
      </c>
      <c r="E5" s="3">
        <v>750</v>
      </c>
      <c r="F5" s="3">
        <f>'APRIL 21'!J5:J31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300</v>
      </c>
      <c r="F6" s="3">
        <f>'APRIL 21'!J6:J32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250</v>
      </c>
      <c r="C7" s="3"/>
      <c r="D7" s="3">
        <v>200</v>
      </c>
      <c r="E7">
        <v>750</v>
      </c>
      <c r="F7" s="3">
        <f>'APRIL 21'!J7:J33</f>
        <v>0</v>
      </c>
      <c r="G7" s="3">
        <v>10000</v>
      </c>
      <c r="H7" s="3">
        <f t="shared" si="0"/>
        <v>10000</v>
      </c>
      <c r="I7" s="3">
        <v>10000</v>
      </c>
      <c r="J7" s="3">
        <f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500</v>
      </c>
      <c r="E8" s="3">
        <v>1200</v>
      </c>
      <c r="F8" s="3">
        <f>'APRIL 21'!J8:J34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15"/>
      <c r="C9" s="3"/>
      <c r="D9" s="3"/>
      <c r="E9" s="3"/>
      <c r="F9" s="3"/>
      <c r="G9" s="3"/>
      <c r="H9" s="3">
        <f t="shared" si="0"/>
        <v>0</v>
      </c>
      <c r="I9" s="3"/>
      <c r="J9" s="3">
        <f t="shared" ref="J9:J21" si="1">H9-I9</f>
        <v>0</v>
      </c>
      <c r="K9" s="3"/>
      <c r="L9" s="3"/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600</v>
      </c>
      <c r="F10" s="3">
        <f>'APRIL 21'!J10:J36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>
        <f>'APRIL 21'!J11:J37</f>
        <v>0</v>
      </c>
      <c r="G11" s="3">
        <v>10000</v>
      </c>
      <c r="H11" s="3">
        <f t="shared" si="0"/>
        <v>10000</v>
      </c>
      <c r="I11" s="3">
        <f>10000</f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>
        <v>200</v>
      </c>
      <c r="E12" s="30">
        <v>900</v>
      </c>
      <c r="F12" s="3">
        <f>'APRIL 21'!J12:J38</f>
        <v>0</v>
      </c>
      <c r="G12" s="3">
        <v>10000</v>
      </c>
      <c r="H12" s="3">
        <f t="shared" si="0"/>
        <v>10000</v>
      </c>
      <c r="I12" s="3">
        <f>10000</f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/>
      <c r="E13" s="3"/>
      <c r="F13" s="3">
        <f>'APRIL 21'!J13:J39</f>
        <v>0</v>
      </c>
      <c r="G13" s="3">
        <v>10000</v>
      </c>
      <c r="H13" s="3">
        <f t="shared" si="0"/>
        <v>10000</v>
      </c>
      <c r="I13" s="3">
        <f>7000</f>
        <v>7000</v>
      </c>
      <c r="J13" s="3">
        <f t="shared" si="1"/>
        <v>3000</v>
      </c>
      <c r="K13" s="3"/>
      <c r="L13" s="3"/>
    </row>
    <row r="14" spans="1:12" x14ac:dyDescent="0.25">
      <c r="A14" s="3">
        <v>10</v>
      </c>
      <c r="B14" s="3" t="s">
        <v>255</v>
      </c>
      <c r="C14" s="3"/>
      <c r="D14" s="3">
        <v>200</v>
      </c>
      <c r="E14" s="30">
        <v>600</v>
      </c>
      <c r="F14" s="3">
        <f>'APRIL 21'!J14:J40</f>
        <v>0</v>
      </c>
      <c r="G14" s="3">
        <v>10000</v>
      </c>
      <c r="H14" s="3">
        <f>C14+F14+G14</f>
        <v>10000</v>
      </c>
      <c r="I14" s="3">
        <f>10000</f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/>
      <c r="F15" s="3">
        <f>'APRIL 21'!J15:J41</f>
        <v>0</v>
      </c>
      <c r="G15" s="3">
        <v>12000</v>
      </c>
      <c r="H15" s="3">
        <f>C15+F15+G15</f>
        <v>12000</v>
      </c>
      <c r="I15" s="3"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900</v>
      </c>
      <c r="F16" s="3">
        <f>'APRIL 21'!J16:J42</f>
        <v>0</v>
      </c>
      <c r="G16" s="3">
        <v>10000</v>
      </c>
      <c r="H16" s="3">
        <f t="shared" si="0"/>
        <v>10000</v>
      </c>
      <c r="I16" s="3">
        <f>10000</f>
        <v>10000</v>
      </c>
      <c r="J16" s="3">
        <f t="shared" si="1"/>
        <v>0</v>
      </c>
      <c r="K16" s="3"/>
      <c r="L16" s="3">
        <v>600</v>
      </c>
    </row>
    <row r="17" spans="1:12" x14ac:dyDescent="0.25">
      <c r="A17" s="3">
        <v>13</v>
      </c>
      <c r="B17" s="30" t="s">
        <v>192</v>
      </c>
      <c r="C17" s="3"/>
      <c r="D17" s="3"/>
      <c r="E17" s="30"/>
      <c r="F17" s="3">
        <f>'APRIL 21'!J17:J43</f>
        <v>10000</v>
      </c>
      <c r="G17" s="3"/>
      <c r="H17" s="3">
        <f>C17+F17+G17+10000</f>
        <v>20000</v>
      </c>
      <c r="I17" s="3"/>
      <c r="J17" s="3">
        <f t="shared" si="1"/>
        <v>20000</v>
      </c>
      <c r="K17" s="3"/>
      <c r="L17" s="3"/>
    </row>
    <row r="18" spans="1:12" x14ac:dyDescent="0.25">
      <c r="A18" s="3">
        <v>14</v>
      </c>
      <c r="B18" s="12" t="s">
        <v>70</v>
      </c>
      <c r="C18" s="3"/>
      <c r="D18" s="43">
        <v>200</v>
      </c>
      <c r="E18" s="3">
        <v>100</v>
      </c>
      <c r="F18" s="3">
        <f>'APRIL 21'!J18:J44</f>
        <v>0</v>
      </c>
      <c r="G18" s="3">
        <v>10000</v>
      </c>
      <c r="H18" s="3">
        <f t="shared" si="0"/>
        <v>10000</v>
      </c>
      <c r="I18" s="3">
        <f>10000</f>
        <v>10000</v>
      </c>
      <c r="J18" s="3">
        <f t="shared" si="1"/>
        <v>0</v>
      </c>
      <c r="K18" s="3"/>
      <c r="L18" s="3">
        <v>600</v>
      </c>
    </row>
    <row r="19" spans="1:12" x14ac:dyDescent="0.25">
      <c r="A19" s="3">
        <v>15</v>
      </c>
      <c r="B19" s="15" t="s">
        <v>214</v>
      </c>
      <c r="C19" s="3"/>
      <c r="D19" s="3"/>
      <c r="E19" s="3"/>
      <c r="F19" s="3">
        <f>'APRIL 21'!J19:J45</f>
        <v>0</v>
      </c>
      <c r="G19" s="3"/>
      <c r="H19" s="3">
        <f>C19+F19+G19</f>
        <v>0</v>
      </c>
      <c r="I19" s="3"/>
      <c r="J19" s="3">
        <f t="shared" si="1"/>
        <v>0</v>
      </c>
      <c r="K19" s="3"/>
      <c r="L19" s="3"/>
    </row>
    <row r="20" spans="1:12" x14ac:dyDescent="0.25">
      <c r="A20" s="3">
        <v>16</v>
      </c>
      <c r="B20" s="3" t="s">
        <v>12</v>
      </c>
      <c r="C20" s="3"/>
      <c r="D20" s="3">
        <v>200</v>
      </c>
      <c r="E20" s="3">
        <v>600</v>
      </c>
      <c r="F20" s="3">
        <f>'APRIL 21'!J20:J46</f>
        <v>0</v>
      </c>
      <c r="G20" s="3">
        <v>12000</v>
      </c>
      <c r="H20" s="3">
        <f>C20+F20+G20</f>
        <v>12000</v>
      </c>
      <c r="I20" s="3">
        <f>12000</f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0" t="s">
        <v>249</v>
      </c>
      <c r="C21" s="3"/>
      <c r="D21" s="3">
        <v>200</v>
      </c>
      <c r="E21" s="3"/>
      <c r="F21" s="3">
        <f>'APRIL 21'!J21:J47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220</v>
      </c>
      <c r="C22" s="3"/>
      <c r="D22" s="3">
        <f>400+50</f>
        <v>450</v>
      </c>
      <c r="E22" s="3">
        <v>1400</v>
      </c>
      <c r="F22" s="3">
        <f>'APRIL 21'!J22:J48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f>600+50</f>
        <v>650</v>
      </c>
    </row>
    <row r="23" spans="1:12" x14ac:dyDescent="0.25">
      <c r="A23" s="3">
        <v>19</v>
      </c>
      <c r="B23" s="30" t="s">
        <v>241</v>
      </c>
      <c r="C23" s="3"/>
      <c r="D23" s="3"/>
      <c r="E23" s="30"/>
      <c r="F23" s="3">
        <f>'APRIL 21'!J23:J49</f>
        <v>8250</v>
      </c>
      <c r="G23" s="3"/>
      <c r="H23" s="3">
        <f>C23+F23+G23+10000</f>
        <v>18250</v>
      </c>
      <c r="I23" s="3">
        <f>8000+250</f>
        <v>8250</v>
      </c>
      <c r="J23" s="3">
        <f>H23-I23</f>
        <v>10000</v>
      </c>
      <c r="K23" s="3"/>
      <c r="L23" s="3"/>
    </row>
    <row r="24" spans="1:12" x14ac:dyDescent="0.25">
      <c r="A24" s="3">
        <v>20</v>
      </c>
      <c r="B24" s="30" t="s">
        <v>261</v>
      </c>
      <c r="C24" s="3"/>
      <c r="D24" s="3">
        <v>200</v>
      </c>
      <c r="E24" s="30">
        <v>300</v>
      </c>
      <c r="F24" s="3">
        <f>'APRIL 21'!J24:J50</f>
        <v>0</v>
      </c>
      <c r="G24" s="3">
        <v>10000</v>
      </c>
      <c r="H24" s="3">
        <f t="shared" si="0"/>
        <v>10000</v>
      </c>
      <c r="I24" s="3">
        <v>10000</v>
      </c>
      <c r="J24" s="3">
        <f t="shared" ref="J24:J29" si="2">H24-I24</f>
        <v>0</v>
      </c>
      <c r="K24" s="3"/>
      <c r="L24" s="3">
        <v>600</v>
      </c>
    </row>
    <row r="25" spans="1:12" x14ac:dyDescent="0.25">
      <c r="A25" s="3">
        <v>21</v>
      </c>
      <c r="B25" s="3" t="s">
        <v>202</v>
      </c>
      <c r="C25" s="3"/>
      <c r="D25" s="3">
        <v>200</v>
      </c>
      <c r="E25" s="30">
        <v>450</v>
      </c>
      <c r="F25" s="3">
        <f>'APRIL 21'!J25:J51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2" x14ac:dyDescent="0.25">
      <c r="A26" s="3">
        <v>22</v>
      </c>
      <c r="B26" s="30" t="s">
        <v>234</v>
      </c>
      <c r="C26" s="3"/>
      <c r="D26" s="3">
        <v>200</v>
      </c>
      <c r="E26" s="3">
        <v>750</v>
      </c>
      <c r="F26" s="3">
        <f>'APRIL 21'!J26:J52</f>
        <v>0</v>
      </c>
      <c r="G26" s="3">
        <v>10000</v>
      </c>
      <c r="H26" s="3">
        <f t="shared" si="0"/>
        <v>10000</v>
      </c>
      <c r="I26" s="3">
        <v>10000</v>
      </c>
      <c r="J26" s="3">
        <f>H26-I26</f>
        <v>0</v>
      </c>
      <c r="K26" s="3"/>
      <c r="L26" s="3">
        <v>600</v>
      </c>
    </row>
    <row r="27" spans="1:12" ht="15.75" x14ac:dyDescent="0.25">
      <c r="A27" s="3">
        <v>23</v>
      </c>
      <c r="B27" s="48" t="s">
        <v>263</v>
      </c>
      <c r="C27" s="3"/>
      <c r="D27" s="3">
        <v>200</v>
      </c>
      <c r="E27" s="30">
        <v>150</v>
      </c>
      <c r="F27" s="3">
        <f>'APRIL 21'!J27:J53</f>
        <v>0</v>
      </c>
      <c r="G27" s="3">
        <v>10000</v>
      </c>
      <c r="H27" s="3">
        <f t="shared" si="0"/>
        <v>10000</v>
      </c>
      <c r="I27" s="3">
        <v>10000</v>
      </c>
      <c r="J27" s="3">
        <f t="shared" si="2"/>
        <v>0</v>
      </c>
      <c r="K27" s="3"/>
      <c r="L27" s="3">
        <v>600</v>
      </c>
    </row>
    <row r="28" spans="1:12" x14ac:dyDescent="0.25">
      <c r="A28" s="3">
        <v>24</v>
      </c>
      <c r="B28" s="3" t="s">
        <v>230</v>
      </c>
      <c r="C28" s="3"/>
      <c r="D28" s="3">
        <v>200</v>
      </c>
      <c r="E28" s="30">
        <v>600</v>
      </c>
      <c r="F28" s="3">
        <f>'APRIL 21'!J28:J54</f>
        <v>0</v>
      </c>
      <c r="G28" s="3">
        <v>10000</v>
      </c>
      <c r="H28" s="3">
        <f t="shared" si="0"/>
        <v>10000</v>
      </c>
      <c r="I28" s="3">
        <v>10000</v>
      </c>
      <c r="J28" s="3">
        <f t="shared" si="2"/>
        <v>0</v>
      </c>
      <c r="K28" s="3"/>
      <c r="L28" s="3">
        <v>600</v>
      </c>
    </row>
    <row r="29" spans="1:12" x14ac:dyDescent="0.25">
      <c r="A29" s="3">
        <v>25</v>
      </c>
      <c r="B29" s="3" t="s">
        <v>55</v>
      </c>
      <c r="C29" s="3"/>
      <c r="D29" s="3">
        <v>200</v>
      </c>
      <c r="E29" s="3">
        <v>1350</v>
      </c>
      <c r="F29" s="3">
        <f>'APRIL 21'!J29:J55</f>
        <v>0</v>
      </c>
      <c r="G29" s="3">
        <v>10000</v>
      </c>
      <c r="H29" s="3">
        <f t="shared" si="0"/>
        <v>10000</v>
      </c>
      <c r="I29" s="3">
        <f>10000</f>
        <v>10000</v>
      </c>
      <c r="J29" s="3">
        <f t="shared" si="2"/>
        <v>0</v>
      </c>
      <c r="K29" s="3"/>
      <c r="L29" s="3">
        <v>600</v>
      </c>
    </row>
    <row r="30" spans="1:12" x14ac:dyDescent="0.25">
      <c r="A30" s="2"/>
      <c r="B30" s="2" t="s">
        <v>33</v>
      </c>
      <c r="C30" s="2">
        <f t="shared" ref="C30:L30" si="3">SUM(C5:C29)</f>
        <v>0</v>
      </c>
      <c r="D30" s="2">
        <f t="shared" si="3"/>
        <v>4550</v>
      </c>
      <c r="E30" s="2">
        <f t="shared" si="3"/>
        <v>12300</v>
      </c>
      <c r="F30" s="3">
        <f t="shared" si="3"/>
        <v>18250</v>
      </c>
      <c r="G30" s="2">
        <f t="shared" si="3"/>
        <v>220000</v>
      </c>
      <c r="H30" s="2">
        <f t="shared" si="3"/>
        <v>258250</v>
      </c>
      <c r="I30" s="2">
        <f t="shared" si="3"/>
        <v>225250</v>
      </c>
      <c r="J30" s="2">
        <f t="shared" si="3"/>
        <v>33000</v>
      </c>
      <c r="K30" s="2">
        <f t="shared" si="3"/>
        <v>0</v>
      </c>
      <c r="L30" s="2">
        <f t="shared" si="3"/>
        <v>12050</v>
      </c>
    </row>
    <row r="31" spans="1:12" x14ac:dyDescent="0.25">
      <c r="A31" s="7"/>
      <c r="B31" s="7"/>
      <c r="C31" s="7"/>
      <c r="D31" s="7"/>
      <c r="E31" s="7"/>
      <c r="F31" s="3">
        <f>'APRIL 21'!J31:J57</f>
        <v>18250</v>
      </c>
      <c r="G31" s="40"/>
      <c r="H31" s="30"/>
      <c r="I31" s="30"/>
      <c r="J31" s="7">
        <f>J30-J9</f>
        <v>33000</v>
      </c>
    </row>
    <row r="32" spans="1:12" x14ac:dyDescent="0.25">
      <c r="B32" s="31" t="s">
        <v>23</v>
      </c>
      <c r="C32" s="32"/>
      <c r="D32" s="6"/>
      <c r="E32" s="33"/>
      <c r="F32" s="3">
        <f>E16</f>
        <v>900</v>
      </c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134</v>
      </c>
      <c r="C35" s="38">
        <f>C30+G30</f>
        <v>220000</v>
      </c>
      <c r="D35" s="30"/>
      <c r="E35" s="30"/>
      <c r="F35" s="30" t="s">
        <v>134</v>
      </c>
      <c r="G35" s="38">
        <f>I30</f>
        <v>225250</v>
      </c>
      <c r="H35" s="30"/>
      <c r="I35" s="30"/>
    </row>
    <row r="36" spans="2:13" x14ac:dyDescent="0.25">
      <c r="B36" s="30" t="s">
        <v>5</v>
      </c>
      <c r="C36" s="38">
        <f>'APRIL 21'!E49</f>
        <v>4621.9799999999814</v>
      </c>
      <c r="D36" s="30"/>
      <c r="E36" s="30"/>
      <c r="F36" s="30" t="s">
        <v>5</v>
      </c>
      <c r="G36" s="38">
        <f>'APRIL 21'!I49</f>
        <v>-3628.0200000000186</v>
      </c>
      <c r="H36" s="30"/>
      <c r="I36" s="30"/>
    </row>
    <row r="37" spans="2:13" x14ac:dyDescent="0.25">
      <c r="B37" s="30" t="s">
        <v>35</v>
      </c>
      <c r="C37" s="38">
        <f>E30</f>
        <v>12300</v>
      </c>
      <c r="D37" s="30"/>
      <c r="E37" s="30"/>
      <c r="F37" s="30" t="s">
        <v>35</v>
      </c>
      <c r="G37" s="38">
        <f>E30</f>
        <v>12300</v>
      </c>
      <c r="H37" s="30"/>
      <c r="I37" s="30"/>
    </row>
    <row r="38" spans="2:13" x14ac:dyDescent="0.25">
      <c r="B38" s="30" t="s">
        <v>86</v>
      </c>
      <c r="C38" s="38">
        <f>K30</f>
        <v>0</v>
      </c>
      <c r="D38" s="30"/>
      <c r="E38" s="30"/>
      <c r="F38" s="30" t="s">
        <v>86</v>
      </c>
      <c r="G38" s="38">
        <f>C38</f>
        <v>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12050</v>
      </c>
      <c r="D39" s="30"/>
      <c r="E39" s="30"/>
      <c r="F39" s="30" t="s">
        <v>88</v>
      </c>
      <c r="G39" s="38">
        <f>L30</f>
        <v>12050</v>
      </c>
      <c r="H39" s="30"/>
      <c r="I39" s="30"/>
      <c r="M39" s="24"/>
    </row>
    <row r="40" spans="2:13" x14ac:dyDescent="0.25">
      <c r="B40" s="30" t="s">
        <v>30</v>
      </c>
      <c r="C40" s="39">
        <v>0.08</v>
      </c>
      <c r="D40" s="38">
        <f>C40*C35</f>
        <v>17600</v>
      </c>
      <c r="E40" s="30"/>
      <c r="F40" s="30" t="s">
        <v>30</v>
      </c>
      <c r="G40" s="39">
        <v>0.08</v>
      </c>
      <c r="H40" s="38">
        <f>G40*C35</f>
        <v>17600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267</v>
      </c>
      <c r="D43" s="30">
        <v>217800</v>
      </c>
      <c r="E43" s="30"/>
      <c r="F43" s="46" t="s">
        <v>267</v>
      </c>
      <c r="H43" s="30">
        <v>217800</v>
      </c>
      <c r="I43" s="30"/>
      <c r="M43" s="24"/>
    </row>
    <row r="44" spans="2:13" x14ac:dyDescent="0.25">
      <c r="B44" s="3"/>
      <c r="C44" s="40"/>
      <c r="E44" s="3"/>
      <c r="F44" s="3"/>
      <c r="G44" s="40"/>
      <c r="I44" s="30"/>
      <c r="K44" s="24"/>
      <c r="M44" s="24"/>
    </row>
    <row r="45" spans="2:13" x14ac:dyDescent="0.25">
      <c r="B45" s="3"/>
      <c r="C45" s="30"/>
      <c r="D45" s="30"/>
      <c r="E45" s="30"/>
      <c r="F45" s="3"/>
      <c r="G45" s="30"/>
      <c r="H45" s="30"/>
      <c r="I45" s="30"/>
      <c r="J45" s="24"/>
      <c r="K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K46" s="24"/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231371.97999999998</v>
      </c>
      <c r="D49" s="42">
        <f>SUM(D42:D48)</f>
        <v>227800</v>
      </c>
      <c r="E49" s="42">
        <f>C49-D49</f>
        <v>3571.9799999999814</v>
      </c>
      <c r="F49" s="37" t="s">
        <v>33</v>
      </c>
      <c r="G49" s="42">
        <f>G35+G36+G37+G38+G39-H40</f>
        <v>228371.97999999998</v>
      </c>
      <c r="H49" s="42">
        <f>SUM(H42:H48)</f>
        <v>227800</v>
      </c>
      <c r="I49" s="42">
        <f>G49-H49</f>
        <v>571.97999999998137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B22" workbookViewId="0">
      <selection activeCell="K57" sqref="K57"/>
    </sheetView>
  </sheetViews>
  <sheetFormatPr defaultRowHeight="15" x14ac:dyDescent="0.25"/>
  <cols>
    <col min="2" max="2" width="18.5703125" customWidth="1"/>
    <col min="9" max="9" width="12.140625" customWidth="1"/>
  </cols>
  <sheetData>
    <row r="1" spans="1:12" ht="15.75" x14ac:dyDescent="0.25"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268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0" t="s">
        <v>260</v>
      </c>
      <c r="C5" s="3"/>
      <c r="D5" s="3">
        <v>200</v>
      </c>
      <c r="E5" s="3">
        <v>750</v>
      </c>
      <c r="F5" s="3">
        <f>'MAY 21'!J5:J30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300</v>
      </c>
      <c r="F6" s="3">
        <f>'MAY 21'!J6:J31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250</v>
      </c>
      <c r="C7" s="3"/>
      <c r="D7" s="3">
        <v>200</v>
      </c>
      <c r="E7">
        <v>600</v>
      </c>
      <c r="F7" s="3">
        <f>'MAY 21'!J7:J32</f>
        <v>0</v>
      </c>
      <c r="G7" s="3">
        <v>10000</v>
      </c>
      <c r="H7" s="3">
        <f t="shared" si="0"/>
        <v>10000</v>
      </c>
      <c r="I7" s="3">
        <v>10000</v>
      </c>
      <c r="J7" s="3">
        <f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300</v>
      </c>
      <c r="F8" s="3">
        <f>'MAY 21'!J8:J33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30" t="s">
        <v>263</v>
      </c>
      <c r="C9" s="3"/>
      <c r="D9" s="3">
        <v>200</v>
      </c>
      <c r="E9" s="3">
        <v>300</v>
      </c>
      <c r="F9" s="3">
        <f>'MAY 21'!J9:J34</f>
        <v>0</v>
      </c>
      <c r="G9" s="3">
        <v>10000</v>
      </c>
      <c r="H9" s="3">
        <f t="shared" si="0"/>
        <v>10000</v>
      </c>
      <c r="I9" s="3">
        <v>10000</v>
      </c>
      <c r="J9" s="3">
        <f t="shared" ref="J9:J21" si="1">H9-I9</f>
        <v>0</v>
      </c>
      <c r="K9" s="3">
        <v>400</v>
      </c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>
        <f>'MAY 21'!J10:J35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750</v>
      </c>
      <c r="F11" s="3">
        <f>'MAY 21'!J11:J36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>
        <v>200</v>
      </c>
      <c r="E12" s="30">
        <v>900</v>
      </c>
      <c r="F12" s="3">
        <f>'MAY 21'!J12:J37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>
        <v>400</v>
      </c>
      <c r="E13" s="3">
        <v>600</v>
      </c>
      <c r="F13" s="3">
        <f>'MAY 21'!J13:J38</f>
        <v>3000</v>
      </c>
      <c r="G13" s="3">
        <v>10000</v>
      </c>
      <c r="H13" s="3">
        <f t="shared" si="0"/>
        <v>13000</v>
      </c>
      <c r="I13" s="3">
        <v>13000</v>
      </c>
      <c r="J13" s="3">
        <f t="shared" si="1"/>
        <v>0</v>
      </c>
      <c r="K13" s="3"/>
      <c r="L13" s="3">
        <v>1200</v>
      </c>
    </row>
    <row r="14" spans="1:12" x14ac:dyDescent="0.25">
      <c r="A14" s="3">
        <v>10</v>
      </c>
      <c r="B14" s="3" t="s">
        <v>255</v>
      </c>
      <c r="C14" s="3"/>
      <c r="D14" s="3">
        <v>200</v>
      </c>
      <c r="E14" s="30">
        <v>600</v>
      </c>
      <c r="F14" s="3">
        <f>'MAY 21'!J14:J39</f>
        <v>0</v>
      </c>
      <c r="G14" s="3">
        <v>10000</v>
      </c>
      <c r="H14" s="3">
        <f>C14+F14+G14</f>
        <v>10000</v>
      </c>
      <c r="I14" s="3">
        <f>10000</f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/>
      <c r="F15" s="3">
        <f>'MAY 21'!J15:J40</f>
        <v>0</v>
      </c>
      <c r="G15" s="3">
        <v>12000</v>
      </c>
      <c r="H15" s="3">
        <f>C15+F15+G15</f>
        <v>12000</v>
      </c>
      <c r="I15" s="3">
        <f>9000+3000</f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>
        <f>'MAY 21'!J16:J41</f>
        <v>0</v>
      </c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s="3"/>
      <c r="L16" s="3">
        <v>600</v>
      </c>
    </row>
    <row r="17" spans="1:14" x14ac:dyDescent="0.25">
      <c r="A17" s="3">
        <v>13</v>
      </c>
      <c r="B17" s="30" t="s">
        <v>192</v>
      </c>
      <c r="C17" s="3"/>
      <c r="D17" s="3"/>
      <c r="E17" s="30"/>
      <c r="F17" s="3">
        <f>'MAY 21'!J17:J42</f>
        <v>20000</v>
      </c>
      <c r="G17" s="3"/>
      <c r="H17" s="3">
        <f>C17+F17+G17+10000</f>
        <v>30000</v>
      </c>
      <c r="I17" s="3"/>
      <c r="J17" s="3">
        <f t="shared" si="1"/>
        <v>30000</v>
      </c>
      <c r="K17" s="3"/>
      <c r="L17" s="3"/>
    </row>
    <row r="18" spans="1:14" x14ac:dyDescent="0.25">
      <c r="A18" s="3">
        <v>14</v>
      </c>
      <c r="B18" s="12" t="s">
        <v>70</v>
      </c>
      <c r="C18" s="3"/>
      <c r="D18" s="43">
        <v>200</v>
      </c>
      <c r="E18" s="3">
        <v>300</v>
      </c>
      <c r="F18" s="3">
        <f>'MAY 21'!J18:J43</f>
        <v>0</v>
      </c>
      <c r="G18" s="3">
        <v>10000</v>
      </c>
      <c r="H18" s="3">
        <f t="shared" si="0"/>
        <v>10000</v>
      </c>
      <c r="I18" s="3">
        <f>10000</f>
        <v>10000</v>
      </c>
      <c r="J18" s="3">
        <f t="shared" si="1"/>
        <v>0</v>
      </c>
      <c r="K18" s="3"/>
      <c r="L18" s="3">
        <v>600</v>
      </c>
      <c r="N18">
        <f>4100-3000-800</f>
        <v>300</v>
      </c>
    </row>
    <row r="19" spans="1:14" x14ac:dyDescent="0.25">
      <c r="A19" s="3">
        <v>15</v>
      </c>
      <c r="B19" s="30" t="s">
        <v>269</v>
      </c>
      <c r="C19" s="3">
        <v>10000</v>
      </c>
      <c r="D19" s="3">
        <v>200</v>
      </c>
      <c r="E19" s="3"/>
      <c r="F19" s="3">
        <f>'MAY 21'!J19:J44</f>
        <v>0</v>
      </c>
      <c r="G19" s="3">
        <v>10000</v>
      </c>
      <c r="H19" s="3">
        <f>C19+F19+G19</f>
        <v>20000</v>
      </c>
      <c r="I19" s="3">
        <v>20000</v>
      </c>
      <c r="J19" s="3">
        <f t="shared" si="1"/>
        <v>0</v>
      </c>
      <c r="K19" s="3">
        <v>1500</v>
      </c>
      <c r="L19" s="3">
        <v>600</v>
      </c>
    </row>
    <row r="20" spans="1:14" x14ac:dyDescent="0.25">
      <c r="A20" s="3">
        <v>16</v>
      </c>
      <c r="B20" s="3" t="s">
        <v>12</v>
      </c>
      <c r="C20" s="3"/>
      <c r="D20" s="3">
        <v>200</v>
      </c>
      <c r="E20" s="3">
        <v>600</v>
      </c>
      <c r="F20" s="3">
        <f>'MAY 21'!J20:J45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4" x14ac:dyDescent="0.25">
      <c r="A21" s="3">
        <v>17</v>
      </c>
      <c r="B21" s="30" t="s">
        <v>249</v>
      </c>
      <c r="C21" s="3"/>
      <c r="D21" s="3">
        <v>200</v>
      </c>
      <c r="E21" s="3">
        <v>300</v>
      </c>
      <c r="F21" s="3">
        <f>'MAY 21'!J21:J46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4" x14ac:dyDescent="0.25">
      <c r="A22" s="3">
        <v>18</v>
      </c>
      <c r="B22" s="3" t="s">
        <v>274</v>
      </c>
      <c r="C22" s="3"/>
      <c r="D22" s="3">
        <f>400</f>
        <v>400</v>
      </c>
      <c r="E22" s="3"/>
      <c r="F22" s="3">
        <f>'MAY 21'!J22:J47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v>600</v>
      </c>
    </row>
    <row r="23" spans="1:14" x14ac:dyDescent="0.25">
      <c r="A23" s="3">
        <v>19</v>
      </c>
      <c r="B23" s="30" t="s">
        <v>241</v>
      </c>
      <c r="C23" s="3"/>
      <c r="D23" s="3"/>
      <c r="E23" s="30"/>
      <c r="F23" s="3">
        <f>'MAY 21'!J23:J48</f>
        <v>10000</v>
      </c>
      <c r="G23" s="3"/>
      <c r="H23" s="3">
        <f>C23+F23+G23+10000</f>
        <v>20000</v>
      </c>
      <c r="I23" s="3"/>
      <c r="J23" s="3">
        <f>H23-I23</f>
        <v>20000</v>
      </c>
      <c r="K23" s="3"/>
      <c r="L23" s="3"/>
    </row>
    <row r="24" spans="1:14" x14ac:dyDescent="0.25">
      <c r="A24" s="3">
        <v>20</v>
      </c>
      <c r="B24" s="15" t="s">
        <v>261</v>
      </c>
      <c r="C24" s="3"/>
      <c r="D24" s="3"/>
      <c r="E24" s="30"/>
      <c r="F24" s="3">
        <f>'MAY 21'!J24:J49</f>
        <v>0</v>
      </c>
      <c r="G24" s="3">
        <v>10000</v>
      </c>
      <c r="H24" s="3">
        <f t="shared" si="0"/>
        <v>10000</v>
      </c>
      <c r="I24" s="3"/>
      <c r="J24" s="3">
        <f t="shared" ref="J24:J29" si="2">H24-I24</f>
        <v>10000</v>
      </c>
      <c r="K24" s="3"/>
      <c r="L24" s="3"/>
      <c r="M24" t="s">
        <v>205</v>
      </c>
    </row>
    <row r="25" spans="1:14" x14ac:dyDescent="0.25">
      <c r="A25" s="3">
        <v>21</v>
      </c>
      <c r="B25" s="3" t="s">
        <v>202</v>
      </c>
      <c r="C25" s="3"/>
      <c r="D25" s="3">
        <v>200</v>
      </c>
      <c r="E25" s="30">
        <v>300</v>
      </c>
      <c r="F25" s="3">
        <f>'MAY 21'!J25:J50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4" x14ac:dyDescent="0.25">
      <c r="A26" s="3">
        <v>22</v>
      </c>
      <c r="B26" s="30" t="s">
        <v>234</v>
      </c>
      <c r="C26" s="3"/>
      <c r="D26" s="3">
        <v>200</v>
      </c>
      <c r="E26" s="3">
        <v>1050</v>
      </c>
      <c r="F26" s="3">
        <f>'MAY 21'!J26:J51</f>
        <v>0</v>
      </c>
      <c r="G26" s="3">
        <v>10000</v>
      </c>
      <c r="H26" s="3">
        <f t="shared" si="0"/>
        <v>10000</v>
      </c>
      <c r="I26" s="3">
        <v>10000</v>
      </c>
      <c r="J26" s="3">
        <f>H26-I26</f>
        <v>0</v>
      </c>
      <c r="K26" s="3"/>
      <c r="L26" s="3">
        <v>600</v>
      </c>
    </row>
    <row r="27" spans="1:14" ht="15.75" x14ac:dyDescent="0.25">
      <c r="A27" s="3">
        <v>23</v>
      </c>
      <c r="B27" s="48" t="s">
        <v>230</v>
      </c>
      <c r="C27" s="3"/>
      <c r="D27" s="3">
        <v>200</v>
      </c>
      <c r="E27" s="30">
        <v>300</v>
      </c>
      <c r="F27" s="3">
        <f>'MAY 21'!J27:J52</f>
        <v>0</v>
      </c>
      <c r="G27" s="3">
        <v>10000</v>
      </c>
      <c r="H27" s="3">
        <f t="shared" si="0"/>
        <v>10000</v>
      </c>
      <c r="I27" s="3">
        <v>10000</v>
      </c>
      <c r="J27" s="3">
        <f t="shared" si="2"/>
        <v>0</v>
      </c>
      <c r="K27" s="3"/>
      <c r="L27" s="3">
        <v>600</v>
      </c>
    </row>
    <row r="28" spans="1:14" x14ac:dyDescent="0.25">
      <c r="A28" s="3">
        <v>24</v>
      </c>
      <c r="B28" s="3" t="s">
        <v>270</v>
      </c>
      <c r="C28" s="3">
        <v>10000</v>
      </c>
      <c r="D28" s="3">
        <v>200</v>
      </c>
      <c r="E28" s="30"/>
      <c r="F28" s="3">
        <f>'MAY 21'!J28:J53</f>
        <v>0</v>
      </c>
      <c r="G28" s="3">
        <v>10000</v>
      </c>
      <c r="H28" s="3">
        <f t="shared" si="0"/>
        <v>20000</v>
      </c>
      <c r="I28" s="3">
        <f>10000+10000</f>
        <v>20000</v>
      </c>
      <c r="J28" s="3">
        <f t="shared" si="2"/>
        <v>0</v>
      </c>
      <c r="K28" s="3">
        <v>1500</v>
      </c>
      <c r="L28" s="3">
        <v>600</v>
      </c>
    </row>
    <row r="29" spans="1:14" x14ac:dyDescent="0.25">
      <c r="A29" s="3">
        <v>25</v>
      </c>
      <c r="B29" s="3" t="s">
        <v>55</v>
      </c>
      <c r="C29" s="3"/>
      <c r="D29" s="3">
        <v>200</v>
      </c>
      <c r="E29" s="3">
        <v>1950</v>
      </c>
      <c r="F29" s="3">
        <f>'MAY 21'!J29:J54</f>
        <v>0</v>
      </c>
      <c r="G29" s="3">
        <v>10000</v>
      </c>
      <c r="H29" s="3">
        <f t="shared" si="0"/>
        <v>10000</v>
      </c>
      <c r="I29" s="3">
        <v>10000</v>
      </c>
      <c r="J29" s="3">
        <f t="shared" si="2"/>
        <v>0</v>
      </c>
      <c r="K29" s="3"/>
      <c r="L29" s="3">
        <v>600</v>
      </c>
    </row>
    <row r="30" spans="1:14" x14ac:dyDescent="0.25">
      <c r="A30" s="2"/>
      <c r="B30" s="2" t="s">
        <v>33</v>
      </c>
      <c r="C30" s="2">
        <f>SUM(C5:C29)</f>
        <v>20000</v>
      </c>
      <c r="D30" s="2">
        <f>SUM(D5:D29)</f>
        <v>4800</v>
      </c>
      <c r="E30" s="2">
        <f>SUM(E5:E29)</f>
        <v>11400</v>
      </c>
      <c r="F30" s="3">
        <f>'MAY 21'!J30:J55</f>
        <v>33000</v>
      </c>
      <c r="G30" s="2">
        <f t="shared" ref="G30:L30" si="3">SUM(G5:G29)</f>
        <v>240000</v>
      </c>
      <c r="H30" s="2">
        <f t="shared" si="3"/>
        <v>313000</v>
      </c>
      <c r="I30" s="2">
        <f t="shared" si="3"/>
        <v>253000</v>
      </c>
      <c r="J30" s="2">
        <f t="shared" si="3"/>
        <v>60000</v>
      </c>
      <c r="K30" s="2">
        <f t="shared" si="3"/>
        <v>3400</v>
      </c>
      <c r="L30" s="2">
        <f t="shared" si="3"/>
        <v>13800</v>
      </c>
    </row>
    <row r="31" spans="1:14" x14ac:dyDescent="0.25">
      <c r="A31" s="7"/>
      <c r="B31" s="7"/>
      <c r="C31" s="7"/>
      <c r="D31" s="7"/>
      <c r="E31" s="7"/>
      <c r="F31" s="3"/>
      <c r="G31" s="40"/>
      <c r="H31" s="30"/>
      <c r="I31" s="30"/>
      <c r="J31" s="7"/>
    </row>
    <row r="32" spans="1:14" x14ac:dyDescent="0.25">
      <c r="B32" s="31" t="s">
        <v>23</v>
      </c>
      <c r="C32" s="32"/>
      <c r="D32" s="6"/>
      <c r="E32" s="33"/>
      <c r="F32" s="3">
        <f>E16</f>
        <v>1050</v>
      </c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140</v>
      </c>
      <c r="C35" s="38">
        <f>C30+G30</f>
        <v>260000</v>
      </c>
      <c r="D35" s="30"/>
      <c r="E35" s="30"/>
      <c r="F35" s="30" t="s">
        <v>140</v>
      </c>
      <c r="G35" s="38">
        <f>I30</f>
        <v>253000</v>
      </c>
      <c r="H35" s="30"/>
      <c r="I35" s="30"/>
    </row>
    <row r="36" spans="2:13" x14ac:dyDescent="0.25">
      <c r="B36" s="30" t="s">
        <v>5</v>
      </c>
      <c r="C36" s="38">
        <f>'MAY 21'!E49</f>
        <v>3571.9799999999814</v>
      </c>
      <c r="D36" s="30"/>
      <c r="E36" s="30"/>
      <c r="F36" s="30" t="s">
        <v>5</v>
      </c>
      <c r="G36" s="38">
        <f>'MAY 21'!I49</f>
        <v>571.97999999998137</v>
      </c>
      <c r="H36" s="30"/>
      <c r="I36" s="30"/>
    </row>
    <row r="37" spans="2:13" x14ac:dyDescent="0.25">
      <c r="B37" s="30" t="s">
        <v>35</v>
      </c>
      <c r="C37" s="38">
        <f>E30</f>
        <v>11400</v>
      </c>
      <c r="D37" s="30"/>
      <c r="E37" s="30"/>
      <c r="F37" s="30" t="s">
        <v>35</v>
      </c>
      <c r="G37" s="38">
        <f>E30</f>
        <v>11400</v>
      </c>
      <c r="H37" s="30"/>
      <c r="I37" s="30"/>
    </row>
    <row r="38" spans="2:13" x14ac:dyDescent="0.25">
      <c r="B38" s="30" t="s">
        <v>86</v>
      </c>
      <c r="C38" s="38">
        <f>K30</f>
        <v>3400</v>
      </c>
      <c r="D38" s="30"/>
      <c r="E38" s="30"/>
      <c r="F38" s="30" t="s">
        <v>86</v>
      </c>
      <c r="G38" s="38">
        <f>C38</f>
        <v>3400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13800</v>
      </c>
      <c r="D39" s="30"/>
      <c r="E39" s="30"/>
      <c r="F39" s="30" t="s">
        <v>88</v>
      </c>
      <c r="G39" s="38">
        <f>L30</f>
        <v>13800</v>
      </c>
      <c r="H39" s="30"/>
      <c r="I39" s="30"/>
      <c r="M39" s="24"/>
    </row>
    <row r="40" spans="2:13" x14ac:dyDescent="0.25">
      <c r="B40" s="30" t="s">
        <v>30</v>
      </c>
      <c r="C40" s="39">
        <v>0.08</v>
      </c>
      <c r="D40" s="38">
        <f>C40*C35</f>
        <v>20800</v>
      </c>
      <c r="E40" s="30"/>
      <c r="F40" s="30" t="s">
        <v>30</v>
      </c>
      <c r="G40" s="39">
        <v>0.08</v>
      </c>
      <c r="H40" s="38">
        <f>G40*C35</f>
        <v>20800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216</v>
      </c>
      <c r="D43" s="30">
        <v>259500</v>
      </c>
      <c r="E43" s="30"/>
      <c r="F43" s="46" t="s">
        <v>216</v>
      </c>
      <c r="H43" s="30">
        <v>259500</v>
      </c>
      <c r="I43" s="30"/>
      <c r="M43" s="24"/>
    </row>
    <row r="44" spans="2:13" x14ac:dyDescent="0.25">
      <c r="B44" s="3" t="s">
        <v>271</v>
      </c>
      <c r="C44" s="40"/>
      <c r="D44">
        <v>10000</v>
      </c>
      <c r="E44" s="3"/>
      <c r="F44" s="3"/>
      <c r="G44" s="40"/>
      <c r="I44" s="30"/>
      <c r="K44" s="24"/>
      <c r="M44" s="24"/>
    </row>
    <row r="45" spans="2:13" x14ac:dyDescent="0.25">
      <c r="B45" s="3"/>
      <c r="C45" s="30"/>
      <c r="D45" s="30"/>
      <c r="E45" s="30"/>
      <c r="F45" s="3"/>
      <c r="G45" s="30"/>
      <c r="H45" s="30"/>
      <c r="I45" s="30"/>
      <c r="J45" s="24"/>
      <c r="K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K46" s="24"/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271371.98</v>
      </c>
      <c r="D49" s="42">
        <f>SUM(D42:D48)</f>
        <v>279500</v>
      </c>
      <c r="E49" s="42">
        <f>C49-D49</f>
        <v>-8128.0200000000186</v>
      </c>
      <c r="F49" s="37" t="s">
        <v>33</v>
      </c>
      <c r="G49" s="42">
        <f>G35+G36+G37+G38+G39-H40</f>
        <v>261371.97999999998</v>
      </c>
      <c r="H49" s="42">
        <f>SUM(H42:H48)</f>
        <v>269500</v>
      </c>
      <c r="I49" s="42">
        <f>G49-H49</f>
        <v>-8128.0200000000186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  <row r="54" spans="2:11" x14ac:dyDescent="0.25">
      <c r="K54" s="24"/>
    </row>
    <row r="55" spans="2:11" x14ac:dyDescent="0.25">
      <c r="K55" s="24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G22" sqref="G22"/>
    </sheetView>
  </sheetViews>
  <sheetFormatPr defaultRowHeight="15" x14ac:dyDescent="0.25"/>
  <cols>
    <col min="1" max="1" width="5.42578125" customWidth="1"/>
    <col min="2" max="2" width="20.85546875" customWidth="1"/>
    <col min="3" max="3" width="11.28515625" customWidth="1"/>
  </cols>
  <sheetData>
    <row r="1" spans="1:12" ht="15.75" x14ac:dyDescent="0.25"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272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0" t="s">
        <v>260</v>
      </c>
      <c r="C5" s="3"/>
      <c r="D5" s="3">
        <v>200</v>
      </c>
      <c r="E5" s="3">
        <v>750</v>
      </c>
      <c r="F5" s="3">
        <f>'JUNE 21'!J5:J29</f>
        <v>0</v>
      </c>
      <c r="G5" s="3">
        <v>12000</v>
      </c>
      <c r="H5" s="3">
        <f>C5+F5+G5</f>
        <v>12000</v>
      </c>
      <c r="I5" s="3">
        <f>8350+3650</f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200</v>
      </c>
      <c r="F6" s="3">
        <f>'JUNE 21'!J6:J30</f>
        <v>0</v>
      </c>
      <c r="G6" s="3">
        <v>10000</v>
      </c>
      <c r="H6" s="3">
        <f t="shared" ref="H6:H29" si="0">C6+F6+G6</f>
        <v>10000</v>
      </c>
      <c r="I6" s="3">
        <f>10000</f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250</v>
      </c>
      <c r="C7" s="3"/>
      <c r="D7" s="3">
        <v>200</v>
      </c>
      <c r="E7">
        <v>450</v>
      </c>
      <c r="F7" s="3">
        <f>'JUNE 21'!J7:J31</f>
        <v>0</v>
      </c>
      <c r="G7" s="3">
        <v>10000</v>
      </c>
      <c r="H7" s="3">
        <f t="shared" si="0"/>
        <v>10000</v>
      </c>
      <c r="I7" s="3">
        <f>9750+250</f>
        <v>10000</v>
      </c>
      <c r="J7" s="3">
        <f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450</v>
      </c>
      <c r="F8" s="3">
        <f>'JUNE 21'!J8:J32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30" t="s">
        <v>263</v>
      </c>
      <c r="C9" s="3"/>
      <c r="D9" s="3">
        <v>200</v>
      </c>
      <c r="E9" s="3">
        <v>150</v>
      </c>
      <c r="F9" s="3">
        <f>'JUNE 21'!J9:J33</f>
        <v>0</v>
      </c>
      <c r="G9" s="3">
        <v>10000</v>
      </c>
      <c r="H9" s="3">
        <f t="shared" si="0"/>
        <v>10000</v>
      </c>
      <c r="I9" s="3">
        <f>10000</f>
        <v>10000</v>
      </c>
      <c r="J9" s="3">
        <f t="shared" ref="J9:J21" si="1">H9-I9</f>
        <v>0</v>
      </c>
      <c r="K9" s="3"/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>
        <f>'JUNE 21'!J10:J34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>
        <f>'JUNE 21'!J11:J35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>
        <v>200</v>
      </c>
      <c r="E12" s="30">
        <v>900</v>
      </c>
      <c r="F12" s="3">
        <f>'JUNE 21'!J12:J36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/>
      <c r="E13" s="3"/>
      <c r="F13" s="3">
        <f>'JUNE 21'!J13:J37</f>
        <v>0</v>
      </c>
      <c r="G13" s="3">
        <v>10000</v>
      </c>
      <c r="H13" s="3">
        <f t="shared" si="0"/>
        <v>10000</v>
      </c>
      <c r="I13" s="3">
        <v>7000</v>
      </c>
      <c r="J13" s="3">
        <f t="shared" si="1"/>
        <v>3000</v>
      </c>
      <c r="K13" s="3"/>
      <c r="L13" s="3"/>
    </row>
    <row r="14" spans="1:12" x14ac:dyDescent="0.25">
      <c r="A14" s="3">
        <v>10</v>
      </c>
      <c r="B14" s="3" t="s">
        <v>255</v>
      </c>
      <c r="C14" s="3"/>
      <c r="D14" s="3">
        <v>200</v>
      </c>
      <c r="E14" s="30">
        <v>450</v>
      </c>
      <c r="F14" s="3">
        <f>'JUNE 21'!J14:J38</f>
        <v>0</v>
      </c>
      <c r="G14" s="3">
        <v>10000</v>
      </c>
      <c r="H14" s="3">
        <f>C14+F14+G14</f>
        <v>10000</v>
      </c>
      <c r="I14" s="3">
        <f>10000</f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450</v>
      </c>
      <c r="F15" s="3">
        <f>'JUNE 21'!J15:J39</f>
        <v>0</v>
      </c>
      <c r="G15" s="3">
        <v>12000</v>
      </c>
      <c r="H15" s="3">
        <f>C15+F15+G15</f>
        <v>12000</v>
      </c>
      <c r="I15" s="3">
        <f>10500+1500</f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750</v>
      </c>
      <c r="F16" s="3">
        <f>'JUNE 21'!J16:J40</f>
        <v>0</v>
      </c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s="3"/>
      <c r="L16" s="3">
        <v>600</v>
      </c>
    </row>
    <row r="17" spans="1:12" x14ac:dyDescent="0.25">
      <c r="A17" s="3">
        <v>13</v>
      </c>
      <c r="B17" s="30" t="s">
        <v>192</v>
      </c>
      <c r="C17" s="3"/>
      <c r="D17" s="3"/>
      <c r="E17" s="30"/>
      <c r="F17" s="3">
        <f>'JUNE 21'!J17:J41</f>
        <v>30000</v>
      </c>
      <c r="G17" s="3"/>
      <c r="H17" s="3">
        <f>C17+F17+G17+10000</f>
        <v>40000</v>
      </c>
      <c r="I17" s="3"/>
      <c r="J17" s="3">
        <f t="shared" si="1"/>
        <v>40000</v>
      </c>
      <c r="K17" s="3"/>
      <c r="L17" s="3"/>
    </row>
    <row r="18" spans="1:12" x14ac:dyDescent="0.25">
      <c r="A18" s="3">
        <v>14</v>
      </c>
      <c r="B18" s="12" t="s">
        <v>70</v>
      </c>
      <c r="C18" s="3"/>
      <c r="D18" s="43">
        <v>200</v>
      </c>
      <c r="E18" s="3">
        <v>350</v>
      </c>
      <c r="F18" s="3">
        <f>'JUNE 21'!J18:J42</f>
        <v>0</v>
      </c>
      <c r="G18" s="3">
        <v>10000</v>
      </c>
      <c r="H18" s="3">
        <f t="shared" si="0"/>
        <v>10000</v>
      </c>
      <c r="I18" s="3">
        <f>10000</f>
        <v>10000</v>
      </c>
      <c r="J18" s="3">
        <f t="shared" si="1"/>
        <v>0</v>
      </c>
      <c r="K18" s="3"/>
      <c r="L18" s="3">
        <v>600</v>
      </c>
    </row>
    <row r="19" spans="1:12" x14ac:dyDescent="0.25">
      <c r="A19" s="3">
        <v>15</v>
      </c>
      <c r="B19" s="30" t="s">
        <v>269</v>
      </c>
      <c r="C19" s="3"/>
      <c r="D19" s="3">
        <v>200</v>
      </c>
      <c r="E19" s="3">
        <v>450</v>
      </c>
      <c r="F19" s="3">
        <f>'JUNE 21'!J19:J43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12</v>
      </c>
      <c r="C20" s="3"/>
      <c r="D20" s="3">
        <v>200</v>
      </c>
      <c r="E20" s="3">
        <v>750</v>
      </c>
      <c r="F20" s="3">
        <f>'JUNE 21'!J20:J44</f>
        <v>0</v>
      </c>
      <c r="G20" s="3">
        <v>12000</v>
      </c>
      <c r="H20" s="3">
        <f>C20+F20+G20</f>
        <v>12000</v>
      </c>
      <c r="I20" s="3">
        <f>12000</f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0" t="s">
        <v>249</v>
      </c>
      <c r="C21" s="3"/>
      <c r="D21" s="3">
        <v>200</v>
      </c>
      <c r="E21" s="3">
        <v>450</v>
      </c>
      <c r="F21" s="3">
        <f>'JUNE 21'!J21:J45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220</v>
      </c>
      <c r="C22" s="3"/>
      <c r="D22" s="3"/>
      <c r="E22" s="3"/>
      <c r="F22" s="3">
        <f>'JUNE 21'!J22:J46</f>
        <v>0</v>
      </c>
      <c r="G22" s="3">
        <v>10000</v>
      </c>
      <c r="H22" s="3">
        <f>C22+F22+G22</f>
        <v>10000</v>
      </c>
      <c r="I22" s="3"/>
      <c r="J22" s="3">
        <f>H22-I22</f>
        <v>10000</v>
      </c>
      <c r="K22" s="3"/>
      <c r="L22" s="3"/>
    </row>
    <row r="23" spans="1:12" x14ac:dyDescent="0.25">
      <c r="A23" s="3">
        <v>19</v>
      </c>
      <c r="B23" s="15" t="s">
        <v>214</v>
      </c>
      <c r="C23" s="3"/>
      <c r="D23" s="3"/>
      <c r="E23" s="30"/>
      <c r="F23" s="3"/>
      <c r="G23" s="3"/>
      <c r="H23" s="3">
        <f t="shared" si="0"/>
        <v>0</v>
      </c>
      <c r="I23" s="3"/>
      <c r="J23" s="3">
        <f>H23-I23</f>
        <v>0</v>
      </c>
      <c r="K23" s="3"/>
      <c r="L23" s="3"/>
    </row>
    <row r="24" spans="1:12" x14ac:dyDescent="0.25">
      <c r="A24" s="3">
        <v>20</v>
      </c>
      <c r="B24" s="30" t="s">
        <v>275</v>
      </c>
      <c r="C24" s="3">
        <v>10000</v>
      </c>
      <c r="D24" s="3"/>
      <c r="E24" s="30"/>
      <c r="F24" s="3"/>
      <c r="G24" s="3">
        <v>5900</v>
      </c>
      <c r="H24" s="3">
        <f t="shared" si="0"/>
        <v>15900</v>
      </c>
      <c r="I24" s="3">
        <v>15900</v>
      </c>
      <c r="J24" s="3">
        <f t="shared" ref="J24:J29" si="2">H24-I24</f>
        <v>0</v>
      </c>
      <c r="K24" s="3">
        <v>1500</v>
      </c>
      <c r="L24" s="3"/>
    </row>
    <row r="25" spans="1:12" x14ac:dyDescent="0.25">
      <c r="A25" s="3">
        <v>21</v>
      </c>
      <c r="B25" s="3" t="s">
        <v>202</v>
      </c>
      <c r="C25" s="3"/>
      <c r="D25" s="3">
        <v>200</v>
      </c>
      <c r="E25" s="30">
        <v>300</v>
      </c>
      <c r="F25" s="3">
        <f>'JUNE 21'!J25:J49</f>
        <v>0</v>
      </c>
      <c r="G25" s="3">
        <v>12000</v>
      </c>
      <c r="H25" s="3">
        <f t="shared" si="0"/>
        <v>12000</v>
      </c>
      <c r="I25" s="3">
        <f>12000</f>
        <v>12000</v>
      </c>
      <c r="J25" s="3">
        <f t="shared" si="2"/>
        <v>0</v>
      </c>
      <c r="K25" s="3"/>
      <c r="L25" s="3">
        <v>600</v>
      </c>
    </row>
    <row r="26" spans="1:12" x14ac:dyDescent="0.25">
      <c r="A26" s="3">
        <v>22</v>
      </c>
      <c r="B26" s="30" t="s">
        <v>234</v>
      </c>
      <c r="C26" s="3"/>
      <c r="D26" s="3">
        <v>200</v>
      </c>
      <c r="E26" s="3">
        <v>750</v>
      </c>
      <c r="F26" s="3">
        <f>'JUNE 21'!J26:J50</f>
        <v>0</v>
      </c>
      <c r="G26" s="3">
        <v>10000</v>
      </c>
      <c r="H26" s="3">
        <f t="shared" si="0"/>
        <v>10000</v>
      </c>
      <c r="I26" s="3">
        <v>10000</v>
      </c>
      <c r="J26" s="3">
        <f>H26-I26</f>
        <v>0</v>
      </c>
      <c r="K26" s="3"/>
      <c r="L26" s="3">
        <v>600</v>
      </c>
    </row>
    <row r="27" spans="1:12" ht="15.75" x14ac:dyDescent="0.25">
      <c r="A27" s="3">
        <v>23</v>
      </c>
      <c r="B27" s="48" t="s">
        <v>230</v>
      </c>
      <c r="C27" s="3"/>
      <c r="D27" s="3">
        <v>200</v>
      </c>
      <c r="E27" s="30">
        <v>300</v>
      </c>
      <c r="F27" s="3">
        <f>'JUNE 21'!J27:J51</f>
        <v>0</v>
      </c>
      <c r="G27" s="3">
        <v>10000</v>
      </c>
      <c r="H27" s="3">
        <f t="shared" si="0"/>
        <v>10000</v>
      </c>
      <c r="I27" s="3">
        <v>10000</v>
      </c>
      <c r="J27" s="3">
        <f t="shared" si="2"/>
        <v>0</v>
      </c>
      <c r="K27" s="3"/>
      <c r="L27" s="3">
        <v>600</v>
      </c>
    </row>
    <row r="28" spans="1:12" x14ac:dyDescent="0.25">
      <c r="A28" s="3">
        <v>24</v>
      </c>
      <c r="B28" s="3" t="s">
        <v>270</v>
      </c>
      <c r="C28" s="3"/>
      <c r="D28" s="3">
        <v>200</v>
      </c>
      <c r="E28" s="30">
        <v>150</v>
      </c>
      <c r="F28" s="3">
        <f>'JUNE 21'!J28:J52</f>
        <v>0</v>
      </c>
      <c r="G28" s="3">
        <v>10000</v>
      </c>
      <c r="H28" s="3">
        <f t="shared" si="0"/>
        <v>10000</v>
      </c>
      <c r="I28" s="3">
        <v>10000</v>
      </c>
      <c r="J28" s="3">
        <f t="shared" si="2"/>
        <v>0</v>
      </c>
      <c r="K28" s="3"/>
      <c r="L28" s="3">
        <v>600</v>
      </c>
    </row>
    <row r="29" spans="1:12" x14ac:dyDescent="0.25">
      <c r="A29" s="3">
        <v>25</v>
      </c>
      <c r="B29" s="3" t="s">
        <v>55</v>
      </c>
      <c r="C29" s="3"/>
      <c r="D29" s="3">
        <v>200</v>
      </c>
      <c r="E29" s="3">
        <v>900</v>
      </c>
      <c r="F29" s="3">
        <f>'JUNE 21'!J29:J53</f>
        <v>0</v>
      </c>
      <c r="G29" s="3">
        <v>10000</v>
      </c>
      <c r="H29" s="3">
        <f t="shared" si="0"/>
        <v>10000</v>
      </c>
      <c r="I29" s="3">
        <v>10000</v>
      </c>
      <c r="J29" s="3">
        <f t="shared" si="2"/>
        <v>0</v>
      </c>
      <c r="K29" s="3"/>
      <c r="L29" s="3">
        <v>600</v>
      </c>
    </row>
    <row r="30" spans="1:12" x14ac:dyDescent="0.25">
      <c r="A30" s="2"/>
      <c r="B30" s="2" t="s">
        <v>33</v>
      </c>
      <c r="C30" s="2">
        <f>SUM(C5:C29)</f>
        <v>10000</v>
      </c>
      <c r="D30" s="2">
        <f>SUM(D5:D29)</f>
        <v>4000</v>
      </c>
      <c r="E30" s="2">
        <f>SUM(E5:E29)</f>
        <v>10000</v>
      </c>
      <c r="F30" s="3">
        <f>SUM(F5:F29)</f>
        <v>30000</v>
      </c>
      <c r="G30" s="2">
        <f t="shared" ref="G30:L30" si="3">SUM(G5:G29)</f>
        <v>235900</v>
      </c>
      <c r="H30" s="2">
        <f t="shared" si="3"/>
        <v>285900</v>
      </c>
      <c r="I30" s="2">
        <f t="shared" si="3"/>
        <v>232900</v>
      </c>
      <c r="J30" s="2">
        <f t="shared" si="3"/>
        <v>53000</v>
      </c>
      <c r="K30" s="2">
        <f t="shared" si="3"/>
        <v>1500</v>
      </c>
      <c r="L30" s="2">
        <f t="shared" si="3"/>
        <v>12000</v>
      </c>
    </row>
    <row r="31" spans="1:12" x14ac:dyDescent="0.25">
      <c r="A31" s="7"/>
      <c r="B31" s="7"/>
      <c r="C31" s="7"/>
      <c r="D31" s="7"/>
      <c r="E31" s="7"/>
      <c r="F31" s="3"/>
      <c r="G31" s="40"/>
      <c r="H31" s="30"/>
      <c r="I31" s="30"/>
      <c r="J31" s="7"/>
    </row>
    <row r="32" spans="1:12" x14ac:dyDescent="0.25">
      <c r="B32" s="31" t="s">
        <v>23</v>
      </c>
      <c r="C32" s="32"/>
      <c r="D32" s="6"/>
      <c r="E32" s="33"/>
      <c r="F32" s="3"/>
      <c r="G32" s="30"/>
      <c r="H32" s="30"/>
      <c r="I32" s="30"/>
    </row>
    <row r="33" spans="2:14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4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4" x14ac:dyDescent="0.25">
      <c r="B35" s="30" t="s">
        <v>29</v>
      </c>
      <c r="C35" s="38">
        <f>C30+G30</f>
        <v>245900</v>
      </c>
      <c r="D35" s="30"/>
      <c r="E35" s="30"/>
      <c r="F35" s="30" t="s">
        <v>29</v>
      </c>
      <c r="G35" s="38">
        <f>I30</f>
        <v>232900</v>
      </c>
      <c r="H35" s="30"/>
      <c r="I35" s="30"/>
    </row>
    <row r="36" spans="2:14" x14ac:dyDescent="0.25">
      <c r="B36" s="30" t="s">
        <v>5</v>
      </c>
      <c r="C36" s="38">
        <f>'JUNE 21'!E49</f>
        <v>-8128.0200000000186</v>
      </c>
      <c r="D36" s="30"/>
      <c r="E36" s="30"/>
      <c r="F36" s="30" t="s">
        <v>5</v>
      </c>
      <c r="G36" s="38">
        <f>'JUNE 21'!I49</f>
        <v>-8128.0200000000186</v>
      </c>
      <c r="H36" s="30"/>
      <c r="I36" s="30"/>
    </row>
    <row r="37" spans="2:14" x14ac:dyDescent="0.25">
      <c r="B37" s="30" t="s">
        <v>35</v>
      </c>
      <c r="C37" s="38">
        <f>E30</f>
        <v>10000</v>
      </c>
      <c r="D37" s="30"/>
      <c r="E37" s="30"/>
      <c r="F37" s="30" t="s">
        <v>35</v>
      </c>
      <c r="G37" s="38">
        <f>E30</f>
        <v>10000</v>
      </c>
      <c r="H37" s="30"/>
      <c r="I37" s="30"/>
    </row>
    <row r="38" spans="2:14" x14ac:dyDescent="0.25">
      <c r="B38" s="30" t="s">
        <v>86</v>
      </c>
      <c r="C38" s="38">
        <f>K30</f>
        <v>1500</v>
      </c>
      <c r="D38" s="30"/>
      <c r="E38" s="30"/>
      <c r="F38" s="30" t="s">
        <v>86</v>
      </c>
      <c r="G38" s="38">
        <f>C38</f>
        <v>1500</v>
      </c>
      <c r="H38" s="30"/>
      <c r="I38" s="30"/>
      <c r="K38" s="24"/>
      <c r="M38" s="24"/>
    </row>
    <row r="39" spans="2:14" x14ac:dyDescent="0.25">
      <c r="B39" s="30" t="s">
        <v>88</v>
      </c>
      <c r="C39" s="38">
        <f>L30</f>
        <v>12000</v>
      </c>
      <c r="D39" s="30"/>
      <c r="E39" s="30"/>
      <c r="F39" s="30" t="s">
        <v>88</v>
      </c>
      <c r="G39" s="38">
        <f>L30</f>
        <v>12000</v>
      </c>
      <c r="H39" s="30"/>
      <c r="I39" s="30"/>
      <c r="M39" s="24"/>
    </row>
    <row r="40" spans="2:14" x14ac:dyDescent="0.25">
      <c r="B40" s="30" t="s">
        <v>30</v>
      </c>
      <c r="C40" s="39">
        <v>0.08</v>
      </c>
      <c r="D40" s="38">
        <f>C40*C35</f>
        <v>19672</v>
      </c>
      <c r="E40" s="30"/>
      <c r="F40" s="30" t="s">
        <v>30</v>
      </c>
      <c r="G40" s="39">
        <v>0.08</v>
      </c>
      <c r="H40" s="38">
        <f>G40*C35</f>
        <v>19672</v>
      </c>
      <c r="I40" s="30"/>
      <c r="L40" s="24"/>
      <c r="M40" s="24"/>
    </row>
    <row r="41" spans="2:14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4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4" x14ac:dyDescent="0.25">
      <c r="B43" s="46" t="s">
        <v>273</v>
      </c>
      <c r="D43" s="30">
        <v>4375</v>
      </c>
      <c r="E43" s="30"/>
      <c r="F43" s="46" t="s">
        <v>273</v>
      </c>
      <c r="H43" s="30">
        <v>4375</v>
      </c>
      <c r="I43" s="30"/>
      <c r="M43" s="24"/>
    </row>
    <row r="44" spans="2:14" x14ac:dyDescent="0.25">
      <c r="B44" s="3" t="s">
        <v>276</v>
      </c>
      <c r="C44" s="40"/>
      <c r="D44">
        <v>211000</v>
      </c>
      <c r="E44" s="3"/>
      <c r="F44" s="3" t="s">
        <v>276</v>
      </c>
      <c r="G44" s="40"/>
      <c r="H44">
        <v>211000</v>
      </c>
      <c r="I44" s="30"/>
      <c r="K44" s="24"/>
      <c r="M44" s="24"/>
    </row>
    <row r="45" spans="2:14" x14ac:dyDescent="0.25">
      <c r="B45" s="3"/>
      <c r="C45" s="30"/>
      <c r="D45" s="30"/>
      <c r="E45" s="30"/>
      <c r="F45" s="3"/>
      <c r="G45" s="30"/>
      <c r="H45" s="30"/>
      <c r="I45" s="30"/>
      <c r="J45" s="24"/>
      <c r="K45" s="24"/>
      <c r="M45" s="24"/>
    </row>
    <row r="46" spans="2:14" x14ac:dyDescent="0.25">
      <c r="B46" s="40"/>
      <c r="C46" s="30"/>
      <c r="D46" s="30"/>
      <c r="E46" s="30"/>
      <c r="F46" s="40"/>
      <c r="G46" s="30"/>
      <c r="H46" s="30"/>
      <c r="I46" s="30"/>
      <c r="K46" s="24"/>
      <c r="M46" s="24"/>
      <c r="N46">
        <f>100+100+250+200+190+15+405</f>
        <v>1260</v>
      </c>
    </row>
    <row r="47" spans="2:14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4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241599.97999999998</v>
      </c>
      <c r="D49" s="42">
        <f>SUM(D42:D48)</f>
        <v>225375</v>
      </c>
      <c r="E49" s="42">
        <f>C49-D49</f>
        <v>16224.979999999981</v>
      </c>
      <c r="F49" s="37" t="s">
        <v>33</v>
      </c>
      <c r="G49" s="42">
        <f>G35+G36+G37+G38+G39-H40</f>
        <v>228599.97999999998</v>
      </c>
      <c r="H49" s="42">
        <f>SUM(H42:H48)</f>
        <v>225375</v>
      </c>
      <c r="I49" s="42">
        <f>G49-H49</f>
        <v>3224.9799999999814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  <row r="54" spans="2:11" x14ac:dyDescent="0.25">
      <c r="K54" s="24"/>
    </row>
    <row r="55" spans="2:11" x14ac:dyDescent="0.25">
      <c r="K55" s="24"/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C37" sqref="C37"/>
    </sheetView>
  </sheetViews>
  <sheetFormatPr defaultRowHeight="15" x14ac:dyDescent="0.25"/>
  <cols>
    <col min="1" max="1" width="5.5703125" customWidth="1"/>
    <col min="2" max="2" width="22.85546875" customWidth="1"/>
    <col min="6" max="6" width="14.42578125" customWidth="1"/>
  </cols>
  <sheetData>
    <row r="1" spans="1:12" ht="15.75" x14ac:dyDescent="0.25"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277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0" t="s">
        <v>260</v>
      </c>
      <c r="C5" s="3"/>
      <c r="D5" s="3">
        <v>200</v>
      </c>
      <c r="E5" s="3">
        <v>900</v>
      </c>
      <c r="F5" s="3">
        <f>'JULY 21'!J5:J30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300</v>
      </c>
      <c r="F6" s="3">
        <f>'JULY 21'!J6:J31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250</v>
      </c>
      <c r="C7" s="3"/>
      <c r="D7" s="3">
        <v>200</v>
      </c>
      <c r="E7">
        <v>600</v>
      </c>
      <c r="F7" s="3">
        <f>'JULY 21'!J7:J32</f>
        <v>0</v>
      </c>
      <c r="G7" s="3">
        <v>10000</v>
      </c>
      <c r="H7" s="3">
        <f t="shared" si="0"/>
        <v>10000</v>
      </c>
      <c r="I7" s="3">
        <f>9000+1000</f>
        <v>10000</v>
      </c>
      <c r="J7" s="3">
        <f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200</v>
      </c>
      <c r="F8" s="3">
        <f>'JULY 21'!J8:J33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30" t="s">
        <v>263</v>
      </c>
      <c r="C9" s="3"/>
      <c r="D9" s="3">
        <v>200</v>
      </c>
      <c r="E9" s="3">
        <v>150</v>
      </c>
      <c r="F9" s="3">
        <f>'JULY 21'!J9:J34</f>
        <v>0</v>
      </c>
      <c r="G9" s="3">
        <v>10000</v>
      </c>
      <c r="H9" s="3">
        <f t="shared" si="0"/>
        <v>10000</v>
      </c>
      <c r="I9" s="3">
        <v>10000</v>
      </c>
      <c r="J9" s="3">
        <f t="shared" ref="J9:J21" si="1">H9-I9</f>
        <v>0</v>
      </c>
      <c r="K9" s="3">
        <v>50</v>
      </c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600</v>
      </c>
      <c r="F10" s="3">
        <f>'JULY 21'!J10:J35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>
        <f>'JULY 21'!J11:J36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>
        <v>200</v>
      </c>
      <c r="E12" s="30">
        <v>900</v>
      </c>
      <c r="F12" s="3">
        <f>'JULY 21'!J12:J37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>
        <v>400</v>
      </c>
      <c r="E13" s="3">
        <f>450+150</f>
        <v>600</v>
      </c>
      <c r="F13" s="3">
        <f>'JULY 21'!J13:J38</f>
        <v>3000</v>
      </c>
      <c r="G13" s="3">
        <v>10000</v>
      </c>
      <c r="H13" s="3">
        <f t="shared" si="0"/>
        <v>13000</v>
      </c>
      <c r="I13" s="3">
        <f>5150+7850</f>
        <v>13000</v>
      </c>
      <c r="J13" s="3">
        <f t="shared" si="1"/>
        <v>0</v>
      </c>
      <c r="K13" s="3"/>
      <c r="L13" s="3">
        <v>1200</v>
      </c>
    </row>
    <row r="14" spans="1:12" x14ac:dyDescent="0.25">
      <c r="A14" s="3">
        <v>10</v>
      </c>
      <c r="B14" s="3" t="s">
        <v>255</v>
      </c>
      <c r="C14" s="3"/>
      <c r="D14" s="3">
        <v>200</v>
      </c>
      <c r="E14" s="30">
        <v>600</v>
      </c>
      <c r="F14" s="3">
        <f>'JULY 21'!J14:J39</f>
        <v>0</v>
      </c>
      <c r="G14" s="3">
        <v>10000</v>
      </c>
      <c r="H14" s="3">
        <f>C14+F14+G14</f>
        <v>10000</v>
      </c>
      <c r="I14" s="3">
        <f>10000</f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450</v>
      </c>
      <c r="F15" s="3">
        <f>'JULY 21'!J15:J40</f>
        <v>0</v>
      </c>
      <c r="G15" s="3">
        <v>12000</v>
      </c>
      <c r="H15" s="3">
        <f>C15+F15+G15</f>
        <v>12000</v>
      </c>
      <c r="I15" s="3">
        <f>12000</f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>
        <f>'JULY 21'!J16:J41</f>
        <v>0</v>
      </c>
      <c r="G16" s="3">
        <v>10000</v>
      </c>
      <c r="H16" s="3">
        <f t="shared" si="0"/>
        <v>10000</v>
      </c>
      <c r="I16" s="3">
        <f>10000</f>
        <v>10000</v>
      </c>
      <c r="J16" s="3">
        <f t="shared" si="1"/>
        <v>0</v>
      </c>
      <c r="K16" s="3"/>
      <c r="L16" s="3">
        <v>600</v>
      </c>
    </row>
    <row r="17" spans="1:12" x14ac:dyDescent="0.25">
      <c r="A17" s="3">
        <v>13</v>
      </c>
      <c r="B17" s="30" t="s">
        <v>192</v>
      </c>
      <c r="C17" s="3"/>
      <c r="D17" s="3"/>
      <c r="E17" s="30"/>
      <c r="F17" s="3">
        <f>'JULY 21'!J17:J42</f>
        <v>40000</v>
      </c>
      <c r="G17" s="3"/>
      <c r="H17" s="3">
        <f>C17+F17+G17+10000</f>
        <v>50000</v>
      </c>
      <c r="I17" s="3"/>
      <c r="J17" s="3">
        <f t="shared" si="1"/>
        <v>50000</v>
      </c>
      <c r="K17" s="3"/>
      <c r="L17" s="3"/>
    </row>
    <row r="18" spans="1:12" x14ac:dyDescent="0.25">
      <c r="A18" s="3">
        <v>14</v>
      </c>
      <c r="B18" s="12" t="s">
        <v>70</v>
      </c>
      <c r="C18" s="3"/>
      <c r="D18" s="43">
        <v>200</v>
      </c>
      <c r="E18" s="3">
        <v>300</v>
      </c>
      <c r="F18" s="3">
        <f>'JULY 21'!J18:J43</f>
        <v>0</v>
      </c>
      <c r="G18" s="3">
        <v>10000</v>
      </c>
      <c r="H18" s="3">
        <f t="shared" si="0"/>
        <v>10000</v>
      </c>
      <c r="I18" s="3">
        <f>10000</f>
        <v>10000</v>
      </c>
      <c r="J18" s="3">
        <f t="shared" si="1"/>
        <v>0</v>
      </c>
      <c r="K18" s="3"/>
      <c r="L18" s="3">
        <v>600</v>
      </c>
    </row>
    <row r="19" spans="1:12" x14ac:dyDescent="0.25">
      <c r="A19" s="3">
        <v>15</v>
      </c>
      <c r="B19" s="30" t="s">
        <v>269</v>
      </c>
      <c r="C19" s="3"/>
      <c r="D19" s="3">
        <v>200</v>
      </c>
      <c r="E19" s="3">
        <v>450</v>
      </c>
      <c r="F19" s="3">
        <f>'JULY 21'!J19:J44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12</v>
      </c>
      <c r="C20" s="3"/>
      <c r="D20" s="3">
        <v>200</v>
      </c>
      <c r="E20" s="3">
        <v>1050</v>
      </c>
      <c r="F20" s="3">
        <f>'JULY 21'!J20:J45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0" t="s">
        <v>249</v>
      </c>
      <c r="C21" s="3"/>
      <c r="D21" s="3">
        <v>200</v>
      </c>
      <c r="E21" s="3">
        <v>300</v>
      </c>
      <c r="F21" s="3">
        <f>'JULY 21'!J21:J46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220</v>
      </c>
      <c r="C22" s="3"/>
      <c r="D22" s="3"/>
      <c r="E22" s="3"/>
      <c r="F22" s="3">
        <f>'JULY 21'!J22:J47</f>
        <v>10000</v>
      </c>
      <c r="G22" s="3">
        <v>10000</v>
      </c>
      <c r="H22" s="3">
        <f>C22+F22+G22</f>
        <v>20000</v>
      </c>
      <c r="I22" s="3"/>
      <c r="J22" s="3">
        <f>H22-I22</f>
        <v>20000</v>
      </c>
      <c r="K22" s="3"/>
      <c r="L22" s="3"/>
    </row>
    <row r="23" spans="1:12" x14ac:dyDescent="0.25">
      <c r="A23" s="3">
        <v>19</v>
      </c>
      <c r="B23" s="30" t="s">
        <v>270</v>
      </c>
      <c r="C23" s="3"/>
      <c r="D23" s="3">
        <v>200</v>
      </c>
      <c r="E23" s="30">
        <v>150</v>
      </c>
      <c r="F23" s="3">
        <f>'JULY 21'!J23:J48</f>
        <v>0</v>
      </c>
      <c r="G23" s="3">
        <v>10000</v>
      </c>
      <c r="H23" s="3">
        <f t="shared" si="0"/>
        <v>10000</v>
      </c>
      <c r="I23" s="3">
        <f>10000</f>
        <v>10000</v>
      </c>
      <c r="J23" s="3">
        <f>H23-I23</f>
        <v>0</v>
      </c>
      <c r="K23" s="3"/>
      <c r="L23" s="3">
        <v>600</v>
      </c>
    </row>
    <row r="24" spans="1:12" x14ac:dyDescent="0.25">
      <c r="A24" s="3">
        <v>20</v>
      </c>
      <c r="B24" s="30" t="s">
        <v>275</v>
      </c>
      <c r="C24" s="3"/>
      <c r="D24" s="3">
        <v>200</v>
      </c>
      <c r="E24" s="30"/>
      <c r="F24" s="3">
        <f>'JULY 21'!J24:J49</f>
        <v>0</v>
      </c>
      <c r="G24" s="3">
        <v>10000</v>
      </c>
      <c r="H24" s="3">
        <f t="shared" si="0"/>
        <v>10000</v>
      </c>
      <c r="I24" s="3">
        <v>10000</v>
      </c>
      <c r="J24" s="3">
        <f t="shared" ref="J24:J29" si="2">H24-I24</f>
        <v>0</v>
      </c>
      <c r="K24" s="3"/>
      <c r="L24" s="3"/>
    </row>
    <row r="25" spans="1:12" x14ac:dyDescent="0.25">
      <c r="A25" s="3">
        <v>21</v>
      </c>
      <c r="B25" s="3" t="s">
        <v>202</v>
      </c>
      <c r="C25" s="3"/>
      <c r="D25" s="3">
        <v>200</v>
      </c>
      <c r="E25" s="30">
        <v>450</v>
      </c>
      <c r="F25" s="3">
        <f>'JULY 21'!J25:J50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2" x14ac:dyDescent="0.25">
      <c r="A26" s="3">
        <v>22</v>
      </c>
      <c r="B26" s="30" t="s">
        <v>234</v>
      </c>
      <c r="C26" s="3"/>
      <c r="D26" s="3">
        <v>200</v>
      </c>
      <c r="E26" s="3">
        <v>450</v>
      </c>
      <c r="F26" s="3">
        <f>'JULY 21'!J26:J51</f>
        <v>0</v>
      </c>
      <c r="G26" s="3">
        <v>10000</v>
      </c>
      <c r="H26" s="3">
        <f t="shared" si="0"/>
        <v>10000</v>
      </c>
      <c r="I26" s="3">
        <v>10000</v>
      </c>
      <c r="J26" s="3">
        <f>H26-I26</f>
        <v>0</v>
      </c>
      <c r="K26" s="3"/>
      <c r="L26" s="3">
        <v>600</v>
      </c>
    </row>
    <row r="27" spans="1:12" ht="15.75" x14ac:dyDescent="0.25">
      <c r="A27" s="3">
        <v>23</v>
      </c>
      <c r="B27" s="48" t="s">
        <v>230</v>
      </c>
      <c r="C27" s="3"/>
      <c r="D27" s="3">
        <v>200</v>
      </c>
      <c r="E27" s="30">
        <v>900</v>
      </c>
      <c r="F27" s="3">
        <f>'JULY 21'!J27:J52</f>
        <v>0</v>
      </c>
      <c r="G27" s="3">
        <v>10000</v>
      </c>
      <c r="H27" s="3">
        <f t="shared" si="0"/>
        <v>10000</v>
      </c>
      <c r="I27" s="3">
        <v>10000</v>
      </c>
      <c r="J27" s="3">
        <f t="shared" si="2"/>
        <v>0</v>
      </c>
      <c r="K27" s="3"/>
      <c r="L27" s="3">
        <v>600</v>
      </c>
    </row>
    <row r="28" spans="1:12" x14ac:dyDescent="0.25">
      <c r="A28" s="3">
        <v>24</v>
      </c>
      <c r="B28" s="3" t="s">
        <v>278</v>
      </c>
      <c r="C28" s="3">
        <v>10000</v>
      </c>
      <c r="D28" s="3">
        <v>200</v>
      </c>
      <c r="E28" s="30"/>
      <c r="F28" s="3">
        <f>'JULY 21'!J28:J53</f>
        <v>0</v>
      </c>
      <c r="G28" s="3">
        <v>10000</v>
      </c>
      <c r="H28" s="3">
        <f t="shared" si="0"/>
        <v>20000</v>
      </c>
      <c r="I28" s="3">
        <f>10000+5000</f>
        <v>15000</v>
      </c>
      <c r="J28" s="3">
        <f t="shared" si="2"/>
        <v>5000</v>
      </c>
      <c r="K28" s="3">
        <v>1500</v>
      </c>
      <c r="L28" s="3"/>
    </row>
    <row r="29" spans="1:12" x14ac:dyDescent="0.25">
      <c r="A29" s="3">
        <v>25</v>
      </c>
      <c r="B29" s="3" t="s">
        <v>55</v>
      </c>
      <c r="C29" s="3"/>
      <c r="D29" s="3"/>
      <c r="E29" s="3"/>
      <c r="F29" s="3">
        <f>'JULY 21'!J29:J54</f>
        <v>0</v>
      </c>
      <c r="G29" s="3">
        <v>10000</v>
      </c>
      <c r="H29" s="3">
        <f t="shared" si="0"/>
        <v>10000</v>
      </c>
      <c r="I29" s="3"/>
      <c r="J29" s="3">
        <f t="shared" si="2"/>
        <v>10000</v>
      </c>
      <c r="K29" s="3"/>
      <c r="L29" s="3"/>
    </row>
    <row r="30" spans="1:12" x14ac:dyDescent="0.25">
      <c r="A30" s="2"/>
      <c r="B30" s="2" t="s">
        <v>33</v>
      </c>
      <c r="C30" s="2">
        <f>SUM(C5:C29)</f>
        <v>10000</v>
      </c>
      <c r="D30" s="2">
        <f>SUM(D5:D29)</f>
        <v>4600</v>
      </c>
      <c r="E30" s="2">
        <f>SUM(E5:E29)</f>
        <v>11000</v>
      </c>
      <c r="F30" s="3">
        <f>'JULY 21'!J30:J55</f>
        <v>53000</v>
      </c>
      <c r="G30" s="2">
        <f t="shared" ref="G30:L30" si="3">SUM(G5:G29)</f>
        <v>250000</v>
      </c>
      <c r="H30" s="2">
        <f t="shared" si="3"/>
        <v>323000</v>
      </c>
      <c r="I30" s="2">
        <f t="shared" si="3"/>
        <v>238000</v>
      </c>
      <c r="J30" s="2">
        <f t="shared" si="3"/>
        <v>85000</v>
      </c>
      <c r="K30" s="2">
        <f t="shared" si="3"/>
        <v>1550</v>
      </c>
      <c r="L30" s="2">
        <f t="shared" si="3"/>
        <v>12600</v>
      </c>
    </row>
    <row r="31" spans="1:12" x14ac:dyDescent="0.25">
      <c r="A31" s="7"/>
      <c r="B31" s="7"/>
      <c r="C31" s="7"/>
      <c r="D31" s="7"/>
      <c r="E31" s="7"/>
      <c r="F31" s="3"/>
      <c r="G31" s="40"/>
      <c r="H31" s="30"/>
      <c r="I31" s="30"/>
      <c r="J31" s="7"/>
    </row>
    <row r="32" spans="1:12" x14ac:dyDescent="0.25">
      <c r="B32" s="31" t="s">
        <v>23</v>
      </c>
      <c r="C32" s="32"/>
      <c r="D32" s="6"/>
      <c r="E32" s="33"/>
      <c r="F32" s="3"/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146</v>
      </c>
      <c r="C35" s="38">
        <f>C30+G30</f>
        <v>260000</v>
      </c>
      <c r="D35" s="30"/>
      <c r="E35" s="30"/>
      <c r="F35" s="30" t="s">
        <v>146</v>
      </c>
      <c r="G35" s="38">
        <f>I30</f>
        <v>238000</v>
      </c>
      <c r="H35" s="30"/>
      <c r="I35" s="30"/>
    </row>
    <row r="36" spans="2:13" x14ac:dyDescent="0.25">
      <c r="B36" s="30" t="s">
        <v>5</v>
      </c>
      <c r="C36" s="38">
        <f>'JULY 21'!E49</f>
        <v>16224.979999999981</v>
      </c>
      <c r="D36" s="30"/>
      <c r="E36" s="30"/>
      <c r="F36" s="30" t="s">
        <v>5</v>
      </c>
      <c r="G36" s="38">
        <f>'JULY 21'!I49</f>
        <v>3224.9799999999814</v>
      </c>
      <c r="H36" s="30"/>
      <c r="I36" s="30"/>
    </row>
    <row r="37" spans="2:13" x14ac:dyDescent="0.25">
      <c r="B37" s="30" t="s">
        <v>35</v>
      </c>
      <c r="C37" s="38">
        <f>E30</f>
        <v>11000</v>
      </c>
      <c r="D37" s="30"/>
      <c r="E37" s="30"/>
      <c r="F37" s="30" t="s">
        <v>35</v>
      </c>
      <c r="G37" s="38">
        <f>E30</f>
        <v>11000</v>
      </c>
      <c r="H37" s="30"/>
      <c r="I37" s="30"/>
    </row>
    <row r="38" spans="2:13" x14ac:dyDescent="0.25">
      <c r="B38" s="30" t="s">
        <v>86</v>
      </c>
      <c r="C38" s="38">
        <f>K30</f>
        <v>1550</v>
      </c>
      <c r="D38" s="30"/>
      <c r="E38" s="30"/>
      <c r="F38" s="30" t="s">
        <v>86</v>
      </c>
      <c r="G38" s="38">
        <f>C38</f>
        <v>1550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12600</v>
      </c>
      <c r="D39" s="30"/>
      <c r="E39" s="30"/>
      <c r="F39" s="30" t="s">
        <v>88</v>
      </c>
      <c r="G39" s="38">
        <f>L30</f>
        <v>12600</v>
      </c>
      <c r="H39" s="30"/>
      <c r="I39" s="30"/>
      <c r="M39" s="24"/>
    </row>
    <row r="40" spans="2:13" x14ac:dyDescent="0.25">
      <c r="B40" s="30" t="s">
        <v>30</v>
      </c>
      <c r="C40" s="39">
        <v>0.08</v>
      </c>
      <c r="D40" s="38">
        <f>C40*C35</f>
        <v>20800</v>
      </c>
      <c r="E40" s="30"/>
      <c r="F40" s="30" t="s">
        <v>30</v>
      </c>
      <c r="G40" s="39">
        <v>0.08</v>
      </c>
      <c r="H40" s="38">
        <f>G40*C35</f>
        <v>20800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227</v>
      </c>
      <c r="D43" s="30">
        <v>263000</v>
      </c>
      <c r="E43" s="30"/>
      <c r="F43" s="46" t="s">
        <v>227</v>
      </c>
      <c r="H43" s="30">
        <v>263000</v>
      </c>
      <c r="I43" s="30"/>
      <c r="M43" s="24"/>
    </row>
    <row r="44" spans="2:13" x14ac:dyDescent="0.25">
      <c r="B44" s="3" t="s">
        <v>280</v>
      </c>
      <c r="C44" s="40"/>
      <c r="D44">
        <v>10000</v>
      </c>
      <c r="E44" s="3"/>
      <c r="F44" s="3"/>
      <c r="G44" s="40"/>
      <c r="I44" s="30"/>
      <c r="K44" s="24"/>
      <c r="M44" s="24"/>
    </row>
    <row r="45" spans="2:13" x14ac:dyDescent="0.25">
      <c r="B45" s="3"/>
      <c r="C45" s="30"/>
      <c r="D45" s="30"/>
      <c r="E45" s="30"/>
      <c r="F45" s="3"/>
      <c r="G45" s="30"/>
      <c r="H45" s="30"/>
      <c r="I45" s="30"/>
      <c r="J45" s="24"/>
      <c r="K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K46" s="24"/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280574.98</v>
      </c>
      <c r="D49" s="42">
        <f>SUM(D42:D48)</f>
        <v>283000</v>
      </c>
      <c r="E49" s="42">
        <f>C49-D49</f>
        <v>-2425.0200000000186</v>
      </c>
      <c r="F49" s="37" t="s">
        <v>33</v>
      </c>
      <c r="G49" s="42">
        <f>G35+G36+G37+G38+G39-H40</f>
        <v>245574.97999999998</v>
      </c>
      <c r="H49" s="42">
        <f>SUM(H42:H48)</f>
        <v>273000</v>
      </c>
      <c r="I49" s="42">
        <f>G49-H49</f>
        <v>-27425.020000000019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  <row r="54" spans="2:11" x14ac:dyDescent="0.25">
      <c r="K54" s="24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L36" sqref="L36"/>
    </sheetView>
  </sheetViews>
  <sheetFormatPr defaultRowHeight="15" x14ac:dyDescent="0.25"/>
  <cols>
    <col min="2" max="2" width="14.85546875" customWidth="1"/>
  </cols>
  <sheetData>
    <row r="1" spans="1:12" ht="15.75" x14ac:dyDescent="0.25"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279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0" t="s">
        <v>260</v>
      </c>
      <c r="C5" s="3"/>
      <c r="D5" s="3">
        <v>200</v>
      </c>
      <c r="E5" s="3">
        <v>1050</v>
      </c>
      <c r="F5" s="3">
        <f>'AUGUST 21'!J5:J29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/>
      <c r="F6" s="3">
        <f>'AUGUST 21'!J6:J30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250</v>
      </c>
      <c r="C7" s="3"/>
      <c r="D7" s="3">
        <v>200</v>
      </c>
      <c r="E7">
        <v>900</v>
      </c>
      <c r="F7" s="3">
        <f>'AUGUST 21'!J7:J31</f>
        <v>0</v>
      </c>
      <c r="G7" s="3">
        <v>10000</v>
      </c>
      <c r="H7" s="3">
        <f t="shared" si="0"/>
        <v>10000</v>
      </c>
      <c r="I7" s="3">
        <v>10000</v>
      </c>
      <c r="J7" s="3">
        <f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300</v>
      </c>
      <c r="F8" s="3">
        <f>'AUGUST 21'!J8:J32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30" t="s">
        <v>263</v>
      </c>
      <c r="C9" s="3"/>
      <c r="D9" s="3">
        <v>200</v>
      </c>
      <c r="E9" s="3">
        <v>300</v>
      </c>
      <c r="F9" s="3">
        <f>'AUGUST 21'!J9:J33</f>
        <v>0</v>
      </c>
      <c r="G9" s="3">
        <v>10000</v>
      </c>
      <c r="H9" s="3">
        <f t="shared" si="0"/>
        <v>10000</v>
      </c>
      <c r="I9" s="3">
        <v>10000</v>
      </c>
      <c r="J9" s="3">
        <f t="shared" ref="J9:J21" si="1">H9-I9</f>
        <v>0</v>
      </c>
      <c r="K9" s="3"/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>
        <f>'AUGUST 21'!J10:J34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750</v>
      </c>
      <c r="F11" s="3">
        <f>'AUGUST 21'!J11:J35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>
        <v>200</v>
      </c>
      <c r="E12" s="30">
        <v>900</v>
      </c>
      <c r="F12" s="3">
        <f>'AUGUST 21'!J12:J36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>
        <v>200</v>
      </c>
      <c r="E13" s="3"/>
      <c r="F13" s="3">
        <f>'AUGUST 21'!J13:J37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255</v>
      </c>
      <c r="C14" s="3"/>
      <c r="D14" s="3">
        <v>200</v>
      </c>
      <c r="E14" s="30">
        <v>450</v>
      </c>
      <c r="F14" s="3">
        <f>'AUGUST 21'!J14:J38</f>
        <v>0</v>
      </c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150</v>
      </c>
      <c r="F15" s="3">
        <f>'AUGUST 21'!J15:J39</f>
        <v>0</v>
      </c>
      <c r="G15" s="3">
        <v>12000</v>
      </c>
      <c r="H15" s="3">
        <f>C15+F15+G15</f>
        <v>12000</v>
      </c>
      <c r="I15" s="3">
        <f>8300+3700</f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900</v>
      </c>
      <c r="F16" s="3">
        <f>'AUGUST 21'!J16:J40</f>
        <v>0</v>
      </c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s="3"/>
      <c r="L16" s="3">
        <v>600</v>
      </c>
    </row>
    <row r="17" spans="1:12" x14ac:dyDescent="0.25">
      <c r="A17" s="3">
        <v>13</v>
      </c>
      <c r="B17" s="30" t="s">
        <v>192</v>
      </c>
      <c r="C17" s="3"/>
      <c r="D17" s="3"/>
      <c r="E17" s="30"/>
      <c r="F17" s="3">
        <f>'AUGUST 21'!J17:J41</f>
        <v>50000</v>
      </c>
      <c r="G17" s="3"/>
      <c r="H17" s="3">
        <f>C17+F17+G17+10000</f>
        <v>60000</v>
      </c>
      <c r="I17" s="3"/>
      <c r="J17" s="3">
        <f t="shared" si="1"/>
        <v>60000</v>
      </c>
      <c r="K17" s="3"/>
      <c r="L17" s="3"/>
    </row>
    <row r="18" spans="1:12" x14ac:dyDescent="0.25">
      <c r="A18" s="3">
        <v>14</v>
      </c>
      <c r="B18" s="12" t="s">
        <v>70</v>
      </c>
      <c r="C18" s="3"/>
      <c r="D18" s="43">
        <v>200</v>
      </c>
      <c r="E18" s="3">
        <v>300</v>
      </c>
      <c r="F18" s="3">
        <f>'AUGUST 21'!J18:J42</f>
        <v>0</v>
      </c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  <c r="K18" s="3"/>
      <c r="L18" s="3">
        <v>600</v>
      </c>
    </row>
    <row r="19" spans="1:12" x14ac:dyDescent="0.25">
      <c r="A19" s="3">
        <v>15</v>
      </c>
      <c r="B19" s="30" t="s">
        <v>269</v>
      </c>
      <c r="C19" s="3"/>
      <c r="D19" s="3">
        <v>200</v>
      </c>
      <c r="E19" s="3">
        <v>750</v>
      </c>
      <c r="F19" s="3">
        <f>'AUGUST 21'!J19:J43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12</v>
      </c>
      <c r="C20" s="3"/>
      <c r="D20" s="3">
        <v>200</v>
      </c>
      <c r="E20" s="3">
        <v>750</v>
      </c>
      <c r="F20" s="3">
        <f>'AUGUST 21'!J20:J44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0" t="s">
        <v>249</v>
      </c>
      <c r="C21" s="3"/>
      <c r="D21" s="3">
        <v>200</v>
      </c>
      <c r="E21" s="3">
        <v>150</v>
      </c>
      <c r="F21" s="3">
        <f>'AUGUST 21'!J21:J45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220</v>
      </c>
      <c r="C22" s="3"/>
      <c r="D22" s="3"/>
      <c r="E22" s="3"/>
      <c r="F22" s="3">
        <f>'AUGUST 21'!J22:J46</f>
        <v>20000</v>
      </c>
      <c r="G22" s="3"/>
      <c r="H22" s="3">
        <f>C22+F22+G22</f>
        <v>20000</v>
      </c>
      <c r="I22" s="3"/>
      <c r="J22" s="3">
        <f>H22-I22</f>
        <v>20000</v>
      </c>
      <c r="K22" s="3"/>
      <c r="L22" s="3"/>
    </row>
    <row r="23" spans="1:12" x14ac:dyDescent="0.25">
      <c r="A23" s="3">
        <v>19</v>
      </c>
      <c r="B23" s="30" t="s">
        <v>270</v>
      </c>
      <c r="C23" s="3"/>
      <c r="D23" s="3">
        <v>200</v>
      </c>
      <c r="E23" s="30">
        <v>600</v>
      </c>
      <c r="F23" s="3">
        <f>'AUGUST 21'!J23:J47</f>
        <v>0</v>
      </c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2" x14ac:dyDescent="0.25">
      <c r="A24" s="3">
        <v>20</v>
      </c>
      <c r="B24" s="15" t="s">
        <v>281</v>
      </c>
      <c r="C24" s="3">
        <v>10000</v>
      </c>
      <c r="D24" s="3"/>
      <c r="E24" s="30"/>
      <c r="F24" s="3">
        <f>'AUGUST 21'!J24:J48</f>
        <v>0</v>
      </c>
      <c r="G24" s="3">
        <v>4000</v>
      </c>
      <c r="H24" s="3">
        <f t="shared" si="0"/>
        <v>14000</v>
      </c>
      <c r="I24" s="3">
        <v>14000</v>
      </c>
      <c r="J24" s="3">
        <f t="shared" ref="J24:J29" si="2">H24-I24</f>
        <v>0</v>
      </c>
      <c r="K24" s="3">
        <v>1500</v>
      </c>
      <c r="L24" s="3"/>
    </row>
    <row r="25" spans="1:12" x14ac:dyDescent="0.25">
      <c r="A25" s="3">
        <v>21</v>
      </c>
      <c r="B25" s="3" t="s">
        <v>202</v>
      </c>
      <c r="C25" s="3"/>
      <c r="D25" s="3">
        <v>200</v>
      </c>
      <c r="E25" s="30"/>
      <c r="F25" s="3">
        <f>'AUGUST 21'!J25:J49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2" x14ac:dyDescent="0.25">
      <c r="A26" s="3">
        <v>22</v>
      </c>
      <c r="B26" s="30" t="s">
        <v>234</v>
      </c>
      <c r="C26" s="3"/>
      <c r="D26" s="3">
        <v>200</v>
      </c>
      <c r="E26" s="3">
        <v>1050</v>
      </c>
      <c r="F26" s="3">
        <f>'AUGUST 21'!J26:J50</f>
        <v>0</v>
      </c>
      <c r="G26" s="3">
        <v>10000</v>
      </c>
      <c r="H26" s="3">
        <f t="shared" si="0"/>
        <v>10000</v>
      </c>
      <c r="I26" s="3">
        <v>10000</v>
      </c>
      <c r="J26" s="3">
        <f>H26-I26</f>
        <v>0</v>
      </c>
      <c r="K26" s="3"/>
      <c r="L26" s="3">
        <v>600</v>
      </c>
    </row>
    <row r="27" spans="1:12" ht="15.75" x14ac:dyDescent="0.25">
      <c r="A27" s="3">
        <v>23</v>
      </c>
      <c r="B27" s="48" t="s">
        <v>230</v>
      </c>
      <c r="C27" s="3"/>
      <c r="D27" s="3">
        <v>200</v>
      </c>
      <c r="E27" s="30">
        <v>750</v>
      </c>
      <c r="F27" s="3">
        <f>'AUGUST 21'!J27:J51</f>
        <v>0</v>
      </c>
      <c r="G27" s="3">
        <v>10000</v>
      </c>
      <c r="H27" s="3">
        <f t="shared" si="0"/>
        <v>10000</v>
      </c>
      <c r="I27" s="3">
        <v>10000</v>
      </c>
      <c r="J27" s="3">
        <f t="shared" si="2"/>
        <v>0</v>
      </c>
      <c r="K27" s="3"/>
      <c r="L27" s="3">
        <v>600</v>
      </c>
    </row>
    <row r="28" spans="1:12" x14ac:dyDescent="0.25">
      <c r="A28" s="3">
        <v>24</v>
      </c>
      <c r="B28" s="3" t="s">
        <v>278</v>
      </c>
      <c r="C28" s="3"/>
      <c r="D28" s="3">
        <v>200</v>
      </c>
      <c r="E28" s="30"/>
      <c r="F28" s="3">
        <f>'AUGUST 21'!J28:J52</f>
        <v>5000</v>
      </c>
      <c r="G28" s="3">
        <v>10000</v>
      </c>
      <c r="H28" s="3">
        <f t="shared" si="0"/>
        <v>15000</v>
      </c>
      <c r="I28" s="3">
        <f>4000+8000</f>
        <v>12000</v>
      </c>
      <c r="J28" s="3">
        <f t="shared" si="2"/>
        <v>3000</v>
      </c>
      <c r="K28" s="3"/>
      <c r="L28" s="3"/>
    </row>
    <row r="29" spans="1:12" x14ac:dyDescent="0.25">
      <c r="A29" s="3">
        <v>25</v>
      </c>
      <c r="B29" s="3" t="s">
        <v>55</v>
      </c>
      <c r="C29" s="3"/>
      <c r="D29" s="3"/>
      <c r="E29" s="3"/>
      <c r="F29" s="3">
        <f>'AUGUST 21'!J29:J53</f>
        <v>10000</v>
      </c>
      <c r="G29" s="3"/>
      <c r="H29" s="3">
        <f t="shared" si="0"/>
        <v>10000</v>
      </c>
      <c r="I29" s="3"/>
      <c r="J29" s="3">
        <f t="shared" si="2"/>
        <v>10000</v>
      </c>
      <c r="K29" s="3"/>
      <c r="L29" s="3"/>
    </row>
    <row r="30" spans="1:12" x14ac:dyDescent="0.25">
      <c r="A30" s="2"/>
      <c r="B30" s="2" t="s">
        <v>33</v>
      </c>
      <c r="C30" s="2">
        <f>SUM(C5:C29)</f>
        <v>10000</v>
      </c>
      <c r="D30" s="2">
        <f>SUM(D5:D29)</f>
        <v>4200</v>
      </c>
      <c r="E30" s="2">
        <f>SUM(E5:E29)</f>
        <v>10500</v>
      </c>
      <c r="F30" s="3">
        <f>SUM(F5:F29)</f>
        <v>85000</v>
      </c>
      <c r="G30" s="2">
        <f t="shared" ref="G30:L30" si="3">SUM(G5:G29)</f>
        <v>224000</v>
      </c>
      <c r="H30" s="2">
        <f t="shared" si="3"/>
        <v>329000</v>
      </c>
      <c r="I30" s="2">
        <f t="shared" si="3"/>
        <v>236000</v>
      </c>
      <c r="J30" s="2">
        <f t="shared" si="3"/>
        <v>93000</v>
      </c>
      <c r="K30" s="2">
        <f t="shared" si="3"/>
        <v>1500</v>
      </c>
      <c r="L30" s="2">
        <f t="shared" si="3"/>
        <v>12000</v>
      </c>
    </row>
    <row r="31" spans="1:12" x14ac:dyDescent="0.25">
      <c r="A31" s="7"/>
      <c r="B31" s="7"/>
      <c r="C31" s="7"/>
      <c r="D31" s="7"/>
      <c r="E31" s="7"/>
      <c r="F31" s="3">
        <f>'AUGUST 21'!J31:J55</f>
        <v>0</v>
      </c>
      <c r="G31" s="40"/>
      <c r="H31" s="30"/>
      <c r="I31" s="30"/>
      <c r="J31" s="7"/>
    </row>
    <row r="32" spans="1:12" x14ac:dyDescent="0.25">
      <c r="B32" s="31" t="s">
        <v>23</v>
      </c>
      <c r="C32" s="32"/>
      <c r="D32" s="6"/>
      <c r="E32" s="33"/>
      <c r="F32" s="3"/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161</v>
      </c>
      <c r="C35" s="38">
        <f>C30+G30</f>
        <v>234000</v>
      </c>
      <c r="D35" s="30"/>
      <c r="E35" s="30"/>
      <c r="F35" s="30" t="s">
        <v>161</v>
      </c>
      <c r="G35" s="38">
        <f>I30</f>
        <v>236000</v>
      </c>
      <c r="H35" s="30"/>
      <c r="I35" s="30"/>
    </row>
    <row r="36" spans="2:13" x14ac:dyDescent="0.25">
      <c r="B36" s="30" t="s">
        <v>5</v>
      </c>
      <c r="C36" s="38">
        <f>'AUGUST 21'!E49</f>
        <v>-2425.0200000000186</v>
      </c>
      <c r="D36" s="30"/>
      <c r="E36" s="30"/>
      <c r="F36" s="30" t="s">
        <v>5</v>
      </c>
      <c r="G36" s="38">
        <f>'AUGUST 21'!I49</f>
        <v>-27425.020000000019</v>
      </c>
      <c r="H36" s="30"/>
      <c r="I36" s="30"/>
      <c r="L36">
        <f>4000</f>
        <v>4000</v>
      </c>
    </row>
    <row r="37" spans="2:13" x14ac:dyDescent="0.25">
      <c r="B37" s="30" t="s">
        <v>35</v>
      </c>
      <c r="C37" s="38">
        <f>E30</f>
        <v>10500</v>
      </c>
      <c r="D37" s="30"/>
      <c r="E37" s="30"/>
      <c r="F37" s="30" t="s">
        <v>35</v>
      </c>
      <c r="G37" s="38">
        <f>E30</f>
        <v>10500</v>
      </c>
      <c r="H37" s="30"/>
      <c r="I37" s="30"/>
    </row>
    <row r="38" spans="2:13" x14ac:dyDescent="0.25">
      <c r="B38" s="30" t="s">
        <v>86</v>
      </c>
      <c r="C38" s="38">
        <f>K30</f>
        <v>1500</v>
      </c>
      <c r="D38" s="30"/>
      <c r="E38" s="30"/>
      <c r="F38" s="30" t="s">
        <v>86</v>
      </c>
      <c r="G38" s="38">
        <f>C38</f>
        <v>1500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12000</v>
      </c>
      <c r="D39" s="30"/>
      <c r="E39" s="30"/>
      <c r="F39" s="30" t="s">
        <v>88</v>
      </c>
      <c r="G39" s="38">
        <f>L30</f>
        <v>12000</v>
      </c>
      <c r="H39" s="30"/>
      <c r="I39" s="30"/>
      <c r="M39" s="24"/>
    </row>
    <row r="40" spans="2:13" x14ac:dyDescent="0.25">
      <c r="B40" s="30" t="s">
        <v>30</v>
      </c>
      <c r="C40" s="39">
        <v>0.08</v>
      </c>
      <c r="D40" s="38">
        <f>C40*C35</f>
        <v>18720</v>
      </c>
      <c r="E40" s="30"/>
      <c r="F40" s="30" t="s">
        <v>30</v>
      </c>
      <c r="G40" s="39">
        <v>0.08</v>
      </c>
      <c r="H40" s="38">
        <f>G40*C35</f>
        <v>18720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166</v>
      </c>
      <c r="D43" s="30">
        <v>218800</v>
      </c>
      <c r="E43" s="30"/>
      <c r="F43" s="46" t="s">
        <v>166</v>
      </c>
      <c r="H43" s="30">
        <v>218800</v>
      </c>
      <c r="I43" s="30"/>
      <c r="M43" s="24"/>
    </row>
    <row r="44" spans="2:13" x14ac:dyDescent="0.25">
      <c r="B44" s="3"/>
      <c r="C44" s="40"/>
      <c r="E44" s="3"/>
      <c r="F44" s="3"/>
      <c r="G44" s="40"/>
      <c r="I44" s="30"/>
      <c r="K44" s="24"/>
      <c r="M44" s="24"/>
    </row>
    <row r="45" spans="2:13" x14ac:dyDescent="0.25">
      <c r="B45" s="3"/>
      <c r="C45" s="30"/>
      <c r="D45" s="30"/>
      <c r="E45" s="30"/>
      <c r="F45" s="3"/>
      <c r="G45" s="30"/>
      <c r="H45" s="30"/>
      <c r="I45" s="30"/>
      <c r="J45" s="24"/>
      <c r="K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K46" s="24"/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236854.97999999998</v>
      </c>
      <c r="D49" s="42">
        <f>SUM(D42:D48)</f>
        <v>228800</v>
      </c>
      <c r="E49" s="42">
        <f>C49-D49</f>
        <v>8054.9799999999814</v>
      </c>
      <c r="F49" s="37" t="s">
        <v>33</v>
      </c>
      <c r="G49" s="42">
        <f>G35+G36+G37+G38+G39-H40</f>
        <v>213854.97999999998</v>
      </c>
      <c r="H49" s="42">
        <f>SUM(H42:H48)</f>
        <v>228800</v>
      </c>
      <c r="I49" s="42">
        <f>G49-H49</f>
        <v>-14945.020000000019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P31" sqref="P31"/>
    </sheetView>
  </sheetViews>
  <sheetFormatPr defaultRowHeight="15" x14ac:dyDescent="0.25"/>
  <cols>
    <col min="2" max="2" width="24.85546875" customWidth="1"/>
    <col min="4" max="4" width="13.5703125" customWidth="1"/>
    <col min="11" max="11" width="12.140625" customWidth="1"/>
  </cols>
  <sheetData>
    <row r="1" spans="1:12" ht="15.75" x14ac:dyDescent="0.25"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282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0" t="s">
        <v>260</v>
      </c>
      <c r="C5" s="3"/>
      <c r="D5" s="3">
        <v>200</v>
      </c>
      <c r="E5" s="3">
        <v>1650</v>
      </c>
      <c r="F5" s="3">
        <f>'SEPTEMBER 21'!J5:J30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s="49" t="s">
        <v>69</v>
      </c>
      <c r="C6" s="3"/>
      <c r="D6" s="3">
        <v>200</v>
      </c>
      <c r="E6" s="3"/>
      <c r="F6" s="3">
        <f>'SEPTEMBER 21'!J6:J31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250</v>
      </c>
      <c r="C7" s="3"/>
      <c r="D7" s="3">
        <v>200</v>
      </c>
      <c r="E7">
        <v>600</v>
      </c>
      <c r="F7" s="3">
        <f>'SEPTEMBER 21'!J7:J32</f>
        <v>0</v>
      </c>
      <c r="G7" s="3">
        <v>10000</v>
      </c>
      <c r="H7" s="3">
        <f t="shared" si="0"/>
        <v>10000</v>
      </c>
      <c r="I7" s="3">
        <f>4100+5900</f>
        <v>10000</v>
      </c>
      <c r="J7" s="3">
        <f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450</v>
      </c>
      <c r="F8" s="3">
        <f>'SEPTEMBER 21'!J8:J33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30" t="s">
        <v>263</v>
      </c>
      <c r="C9" s="3"/>
      <c r="D9" s="3">
        <v>200</v>
      </c>
      <c r="E9" s="3"/>
      <c r="F9" s="3">
        <f>'SEPTEMBER 21'!J9:J34</f>
        <v>0</v>
      </c>
      <c r="G9" s="3">
        <v>10000</v>
      </c>
      <c r="H9" s="3">
        <f t="shared" si="0"/>
        <v>10000</v>
      </c>
      <c r="I9" s="3">
        <v>10000</v>
      </c>
      <c r="J9" s="3">
        <f t="shared" ref="J9:J21" si="1">H9-I9</f>
        <v>0</v>
      </c>
      <c r="K9" s="3"/>
      <c r="L9" s="3">
        <v>500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300</v>
      </c>
      <c r="F10" s="3">
        <f>'SEPTEMBER 21'!J10:J35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>
        <f>'SEPTEMBER 21'!J11:J36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>
        <v>200</v>
      </c>
      <c r="E12" s="30"/>
      <c r="F12" s="3">
        <f>'SEPTEMBER 21'!J12:J37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>
        <v>200</v>
      </c>
      <c r="E13" s="3">
        <v>150</v>
      </c>
      <c r="F13" s="3">
        <f>'SEPTEMBER 21'!J13:J38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255</v>
      </c>
      <c r="C14" s="3"/>
      <c r="D14" s="3">
        <v>200</v>
      </c>
      <c r="E14" s="30">
        <v>600</v>
      </c>
      <c r="F14" s="3">
        <f>'SEPTEMBER 21'!J14:J39</f>
        <v>0</v>
      </c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300</v>
      </c>
      <c r="F15" s="3">
        <f>'SEPTEMBER 21'!J15:J40</f>
        <v>0</v>
      </c>
      <c r="G15" s="3">
        <v>12000</v>
      </c>
      <c r="H15" s="3">
        <f>C15+F15+G15</f>
        <v>12000</v>
      </c>
      <c r="I15" s="3"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>
        <f>'SEPTEMBER 21'!J16:J41</f>
        <v>0</v>
      </c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s="3"/>
      <c r="L16" s="3">
        <v>600</v>
      </c>
    </row>
    <row r="17" spans="1:13" x14ac:dyDescent="0.25">
      <c r="A17" s="3">
        <v>13</v>
      </c>
      <c r="B17" s="30" t="s">
        <v>192</v>
      </c>
      <c r="C17" s="3"/>
      <c r="D17" s="3"/>
      <c r="E17" s="30"/>
      <c r="F17" s="3">
        <f>'SEPTEMBER 21'!J17:J42</f>
        <v>60000</v>
      </c>
      <c r="G17" s="3"/>
      <c r="H17" s="3">
        <f>C17+F17+G17+10000</f>
        <v>70000</v>
      </c>
      <c r="I17" s="3"/>
      <c r="J17" s="3">
        <f t="shared" si="1"/>
        <v>70000</v>
      </c>
      <c r="K17" s="3"/>
      <c r="L17" s="3"/>
    </row>
    <row r="18" spans="1:13" x14ac:dyDescent="0.25">
      <c r="A18" s="3">
        <v>14</v>
      </c>
      <c r="B18" s="12" t="s">
        <v>70</v>
      </c>
      <c r="C18" s="3"/>
      <c r="D18" s="43">
        <v>200</v>
      </c>
      <c r="E18" s="3">
        <v>450</v>
      </c>
      <c r="F18" s="3">
        <f>'SEPTEMBER 21'!J18:J43</f>
        <v>0</v>
      </c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  <c r="K18" s="3"/>
      <c r="L18" s="3">
        <v>600</v>
      </c>
    </row>
    <row r="19" spans="1:13" x14ac:dyDescent="0.25">
      <c r="A19" s="3">
        <v>15</v>
      </c>
      <c r="B19" s="30" t="s">
        <v>269</v>
      </c>
      <c r="C19" s="3"/>
      <c r="D19" s="3">
        <v>200</v>
      </c>
      <c r="E19" s="3">
        <v>600</v>
      </c>
      <c r="F19" s="3">
        <f>'SEPTEMBER 21'!J19:J44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3" x14ac:dyDescent="0.25">
      <c r="A20" s="3">
        <v>16</v>
      </c>
      <c r="B20" s="3" t="s">
        <v>12</v>
      </c>
      <c r="C20" s="3"/>
      <c r="D20" s="3">
        <v>200</v>
      </c>
      <c r="E20" s="3">
        <v>750</v>
      </c>
      <c r="F20" s="3">
        <f>'SEPTEMBER 21'!J20:J45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3" x14ac:dyDescent="0.25">
      <c r="A21" s="3">
        <v>17</v>
      </c>
      <c r="B21" s="30" t="s">
        <v>249</v>
      </c>
      <c r="C21" s="3"/>
      <c r="D21" s="3">
        <v>200</v>
      </c>
      <c r="E21" s="3">
        <v>450</v>
      </c>
      <c r="F21" s="3">
        <f>'SEPTEMBER 21'!J21:J46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3" x14ac:dyDescent="0.25">
      <c r="A22" s="3">
        <v>18</v>
      </c>
      <c r="B22" s="3"/>
      <c r="C22" s="3"/>
      <c r="D22" s="3"/>
      <c r="E22" s="3"/>
      <c r="F22" s="3"/>
      <c r="G22" s="3"/>
      <c r="H22" s="3">
        <f>C22+F22+G22</f>
        <v>0</v>
      </c>
      <c r="I22" s="3"/>
      <c r="J22" s="3"/>
      <c r="K22" s="3"/>
      <c r="L22" s="3"/>
    </row>
    <row r="23" spans="1:13" x14ac:dyDescent="0.25">
      <c r="A23" s="3">
        <v>19</v>
      </c>
      <c r="B23" s="30" t="s">
        <v>270</v>
      </c>
      <c r="C23" s="3"/>
      <c r="D23" s="3"/>
      <c r="E23" s="30"/>
      <c r="F23" s="3">
        <f>'SEPTEMBER 21'!J23:J48</f>
        <v>0</v>
      </c>
      <c r="G23" s="3">
        <v>10000</v>
      </c>
      <c r="H23" s="3">
        <f t="shared" si="0"/>
        <v>10000</v>
      </c>
      <c r="I23" s="3"/>
      <c r="J23" s="3">
        <f>H23-I23</f>
        <v>10000</v>
      </c>
      <c r="K23" s="3"/>
      <c r="L23" s="3"/>
    </row>
    <row r="24" spans="1:13" x14ac:dyDescent="0.25">
      <c r="A24" s="3">
        <v>20</v>
      </c>
      <c r="B24" s="15" t="s">
        <v>281</v>
      </c>
      <c r="C24" s="3"/>
      <c r="D24" s="3"/>
      <c r="E24" s="30"/>
      <c r="F24" s="3">
        <f>'SEPTEMBER 21'!J24:J49</f>
        <v>0</v>
      </c>
      <c r="G24" s="3">
        <v>10000</v>
      </c>
      <c r="H24" s="3">
        <f t="shared" si="0"/>
        <v>10000</v>
      </c>
      <c r="I24" s="3">
        <v>10000</v>
      </c>
      <c r="J24" s="3">
        <f t="shared" ref="J24:J29" si="2">H24-I24</f>
        <v>0</v>
      </c>
      <c r="K24" s="3"/>
      <c r="L24" s="3"/>
    </row>
    <row r="25" spans="1:13" x14ac:dyDescent="0.25">
      <c r="A25" s="3">
        <v>21</v>
      </c>
      <c r="B25" s="3" t="s">
        <v>202</v>
      </c>
      <c r="C25" s="3"/>
      <c r="D25" s="3">
        <v>200</v>
      </c>
      <c r="E25" s="30">
        <v>300</v>
      </c>
      <c r="F25" s="3">
        <f>'SEPTEMBER 21'!J25:J50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3" x14ac:dyDescent="0.25">
      <c r="A26" s="3">
        <v>22</v>
      </c>
      <c r="B26" s="30" t="s">
        <v>234</v>
      </c>
      <c r="C26" s="3"/>
      <c r="D26" s="3">
        <v>200</v>
      </c>
      <c r="E26" s="3">
        <v>1050</v>
      </c>
      <c r="F26" s="3">
        <f>'SEPTEMBER 21'!J26:J51</f>
        <v>0</v>
      </c>
      <c r="G26" s="3">
        <v>10000</v>
      </c>
      <c r="H26" s="3">
        <f t="shared" si="0"/>
        <v>10000</v>
      </c>
      <c r="I26" s="3">
        <v>10000</v>
      </c>
      <c r="J26" s="3">
        <f>H26-I26</f>
        <v>0</v>
      </c>
      <c r="K26" s="3"/>
      <c r="L26" s="3">
        <v>600</v>
      </c>
    </row>
    <row r="27" spans="1:13" ht="15.75" x14ac:dyDescent="0.25">
      <c r="A27" s="3">
        <v>23</v>
      </c>
      <c r="B27" s="48" t="s">
        <v>230</v>
      </c>
      <c r="C27" s="3"/>
      <c r="D27" s="3">
        <v>200</v>
      </c>
      <c r="E27" s="30">
        <v>750</v>
      </c>
      <c r="F27" s="3">
        <f>'SEPTEMBER 21'!J27:J52</f>
        <v>0</v>
      </c>
      <c r="G27" s="3">
        <v>10000</v>
      </c>
      <c r="H27" s="3">
        <f t="shared" si="0"/>
        <v>10000</v>
      </c>
      <c r="I27" s="3">
        <v>10000</v>
      </c>
      <c r="J27" s="3">
        <f t="shared" si="2"/>
        <v>0</v>
      </c>
      <c r="K27" s="3"/>
      <c r="L27" s="3">
        <v>600</v>
      </c>
    </row>
    <row r="28" spans="1:13" x14ac:dyDescent="0.25">
      <c r="A28" s="3">
        <v>24</v>
      </c>
      <c r="B28" s="3" t="s">
        <v>278</v>
      </c>
      <c r="C28" s="3"/>
      <c r="D28" s="3">
        <v>200</v>
      </c>
      <c r="E28" s="30"/>
      <c r="F28" s="3">
        <f>'SEPTEMBER 21'!J28:J53</f>
        <v>3000</v>
      </c>
      <c r="G28" s="3">
        <v>10000</v>
      </c>
      <c r="H28" s="3">
        <f t="shared" si="0"/>
        <v>13000</v>
      </c>
      <c r="I28" s="3">
        <f>3000+6000</f>
        <v>9000</v>
      </c>
      <c r="J28" s="3">
        <f t="shared" si="2"/>
        <v>4000</v>
      </c>
      <c r="K28" s="3"/>
      <c r="L28" s="3"/>
    </row>
    <row r="29" spans="1:13" x14ac:dyDescent="0.25">
      <c r="A29" s="3">
        <v>25</v>
      </c>
      <c r="B29" s="3" t="s">
        <v>55</v>
      </c>
      <c r="C29" s="3"/>
      <c r="D29" s="3"/>
      <c r="E29" s="3"/>
      <c r="F29" s="3">
        <f>'SEPTEMBER 21'!J29:J54</f>
        <v>10000</v>
      </c>
      <c r="G29" s="3"/>
      <c r="H29" s="3">
        <f t="shared" si="0"/>
        <v>10000</v>
      </c>
      <c r="I29" s="3"/>
      <c r="J29" s="3">
        <f t="shared" si="2"/>
        <v>10000</v>
      </c>
      <c r="K29" s="3"/>
      <c r="L29" s="3"/>
      <c r="M29" t="s">
        <v>254</v>
      </c>
    </row>
    <row r="30" spans="1:13" x14ac:dyDescent="0.25">
      <c r="A30" s="2"/>
      <c r="B30" s="2" t="s">
        <v>33</v>
      </c>
      <c r="C30" s="2">
        <f>SUM(C5:C29)</f>
        <v>0</v>
      </c>
      <c r="D30" s="2">
        <f>SUM(D5:D29)</f>
        <v>4000</v>
      </c>
      <c r="E30" s="2">
        <f>SUM(E5:E29)</f>
        <v>10050</v>
      </c>
      <c r="F30" s="3">
        <f>'SEPTEMBER 21'!J30:J55</f>
        <v>93000</v>
      </c>
      <c r="G30" s="2">
        <f t="shared" ref="G30:L30" si="3">SUM(G5:G29)</f>
        <v>230000</v>
      </c>
      <c r="H30" s="2">
        <f t="shared" si="3"/>
        <v>313000</v>
      </c>
      <c r="I30" s="2">
        <f t="shared" si="3"/>
        <v>219000</v>
      </c>
      <c r="J30" s="2">
        <f t="shared" si="3"/>
        <v>94000</v>
      </c>
      <c r="K30" s="2">
        <f t="shared" si="3"/>
        <v>0</v>
      </c>
      <c r="L30" s="2">
        <f t="shared" si="3"/>
        <v>11300</v>
      </c>
    </row>
    <row r="31" spans="1:13" x14ac:dyDescent="0.25">
      <c r="A31" s="7"/>
      <c r="B31" s="7"/>
      <c r="C31" s="7"/>
      <c r="D31" s="7"/>
      <c r="E31" s="7"/>
      <c r="F31" s="3">
        <f>'AUGUST 21'!J31:J55</f>
        <v>0</v>
      </c>
      <c r="G31" s="40"/>
      <c r="H31" s="30"/>
      <c r="I31" s="30"/>
      <c r="J31" s="7"/>
    </row>
    <row r="32" spans="1:13" x14ac:dyDescent="0.25">
      <c r="B32" s="31" t="s">
        <v>23</v>
      </c>
      <c r="C32" s="32"/>
      <c r="D32" s="6"/>
      <c r="E32" s="33"/>
      <c r="F32" s="3"/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168</v>
      </c>
      <c r="C35" s="38">
        <f>C30+G30</f>
        <v>230000</v>
      </c>
      <c r="D35" s="30"/>
      <c r="E35" s="30"/>
      <c r="F35" s="30" t="s">
        <v>168</v>
      </c>
      <c r="G35" s="38">
        <f>I30</f>
        <v>219000</v>
      </c>
      <c r="H35" s="30"/>
      <c r="I35" s="30"/>
      <c r="M35">
        <f>900+800+2500+6900+4000</f>
        <v>15100</v>
      </c>
    </row>
    <row r="36" spans="2:13" x14ac:dyDescent="0.25">
      <c r="B36" s="30" t="s">
        <v>5</v>
      </c>
      <c r="C36" s="38">
        <f>'SEPTEMBER 21'!E49</f>
        <v>8054.9799999999814</v>
      </c>
      <c r="D36" s="30"/>
      <c r="E36" s="30"/>
      <c r="F36" s="30" t="s">
        <v>5</v>
      </c>
      <c r="G36" s="38">
        <f>'SEPTEMBER 21'!I49</f>
        <v>-14945.020000000019</v>
      </c>
      <c r="H36" s="30"/>
      <c r="I36" s="30"/>
    </row>
    <row r="37" spans="2:13" x14ac:dyDescent="0.25">
      <c r="B37" s="30" t="s">
        <v>35</v>
      </c>
      <c r="C37" s="38">
        <f>E30</f>
        <v>10050</v>
      </c>
      <c r="D37" s="30"/>
      <c r="E37" s="30"/>
      <c r="F37" s="30" t="s">
        <v>35</v>
      </c>
      <c r="G37" s="38">
        <f>E30</f>
        <v>10050</v>
      </c>
      <c r="H37" s="30"/>
      <c r="I37" s="30"/>
    </row>
    <row r="38" spans="2:13" x14ac:dyDescent="0.25">
      <c r="B38" s="30" t="s">
        <v>86</v>
      </c>
      <c r="C38" s="38">
        <f>K30</f>
        <v>0</v>
      </c>
      <c r="D38" s="30"/>
      <c r="E38" s="30"/>
      <c r="F38" s="30" t="s">
        <v>86</v>
      </c>
      <c r="G38" s="38">
        <f>C38</f>
        <v>0</v>
      </c>
      <c r="H38" s="30"/>
      <c r="I38" s="30"/>
      <c r="K38" s="24"/>
    </row>
    <row r="39" spans="2:13" x14ac:dyDescent="0.25">
      <c r="B39" s="30" t="s">
        <v>88</v>
      </c>
      <c r="C39" s="38">
        <f>L30</f>
        <v>11300</v>
      </c>
      <c r="D39" s="30"/>
      <c r="E39" s="30"/>
      <c r="F39" s="30" t="s">
        <v>88</v>
      </c>
      <c r="G39" s="38">
        <f>L30</f>
        <v>11300</v>
      </c>
      <c r="H39" s="30"/>
      <c r="I39" s="30"/>
    </row>
    <row r="40" spans="2:13" x14ac:dyDescent="0.25">
      <c r="B40" s="30" t="s">
        <v>30</v>
      </c>
      <c r="C40" s="39">
        <v>0.08</v>
      </c>
      <c r="D40" s="38">
        <f>C40*C35</f>
        <v>18400</v>
      </c>
      <c r="E40" s="30"/>
      <c r="F40" s="30" t="s">
        <v>30</v>
      </c>
      <c r="G40" s="39">
        <v>0.08</v>
      </c>
      <c r="H40" s="38">
        <f>G40*C35</f>
        <v>18400</v>
      </c>
      <c r="I40" s="30"/>
      <c r="L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283</v>
      </c>
      <c r="D43" s="30">
        <v>10000</v>
      </c>
      <c r="E43" s="30"/>
      <c r="F43" s="46"/>
      <c r="H43" s="30"/>
      <c r="I43" s="30"/>
    </row>
    <row r="44" spans="2:13" x14ac:dyDescent="0.25">
      <c r="B44" s="3" t="s">
        <v>284</v>
      </c>
      <c r="C44" s="40"/>
      <c r="D44">
        <v>4500</v>
      </c>
      <c r="E44" s="3"/>
      <c r="F44" s="3" t="s">
        <v>284</v>
      </c>
      <c r="G44" s="40"/>
      <c r="H44">
        <v>4500</v>
      </c>
      <c r="I44" s="30"/>
      <c r="K44" s="24"/>
    </row>
    <row r="45" spans="2:13" x14ac:dyDescent="0.25">
      <c r="B45" s="3" t="s">
        <v>285</v>
      </c>
      <c r="C45" s="30"/>
      <c r="D45" s="30">
        <v>210000</v>
      </c>
      <c r="E45" s="30"/>
      <c r="F45" s="3" t="s">
        <v>285</v>
      </c>
      <c r="G45" s="30"/>
      <c r="H45" s="30">
        <v>210000</v>
      </c>
      <c r="I45" s="30"/>
      <c r="J45" s="24"/>
      <c r="K45" s="24"/>
    </row>
    <row r="46" spans="2:13" x14ac:dyDescent="0.25">
      <c r="B46" s="40" t="s">
        <v>288</v>
      </c>
      <c r="C46" s="30"/>
      <c r="D46" s="30">
        <v>10000</v>
      </c>
      <c r="E46" s="30"/>
      <c r="F46" s="40"/>
      <c r="G46" s="30"/>
      <c r="H46" s="30"/>
      <c r="I46" s="30"/>
      <c r="K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241004.97999999998</v>
      </c>
      <c r="D49" s="42">
        <f>SUM(D42:D48)</f>
        <v>244500</v>
      </c>
      <c r="E49" s="42">
        <f>C49-D49</f>
        <v>-3495.0200000000186</v>
      </c>
      <c r="F49" s="37" t="s">
        <v>33</v>
      </c>
      <c r="G49" s="42">
        <f>G35+G36+G37+G38+G39-H40</f>
        <v>207004.97999999998</v>
      </c>
      <c r="H49" s="42">
        <f>SUM(H42:H48)</f>
        <v>224500</v>
      </c>
      <c r="I49" s="42">
        <f>G49-H49</f>
        <v>-17495.020000000019</v>
      </c>
    </row>
    <row r="50" spans="2:11" x14ac:dyDescent="0.25">
      <c r="B50" t="s">
        <v>37</v>
      </c>
      <c r="D50" t="s">
        <v>39</v>
      </c>
      <c r="G50" t="s">
        <v>41</v>
      </c>
      <c r="J50" s="24"/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4" workbookViewId="0">
      <selection activeCell="I6" sqref="I6"/>
    </sheetView>
  </sheetViews>
  <sheetFormatPr defaultRowHeight="15" x14ac:dyDescent="0.25"/>
  <cols>
    <col min="2" max="2" width="34.28515625" customWidth="1"/>
    <col min="6" max="6" width="18.42578125" customWidth="1"/>
    <col min="8" max="8" width="14" customWidth="1"/>
  </cols>
  <sheetData>
    <row r="1" spans="1:12" ht="15.75" x14ac:dyDescent="0.25"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286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0" t="s">
        <v>260</v>
      </c>
      <c r="C5" s="3"/>
      <c r="D5" s="3">
        <v>200</v>
      </c>
      <c r="E5" s="3">
        <v>1350</v>
      </c>
      <c r="F5" s="3">
        <f>'OCTOBER 21'!J5:J29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s="49" t="s">
        <v>69</v>
      </c>
      <c r="C6" s="3"/>
      <c r="D6" s="3">
        <v>200</v>
      </c>
      <c r="E6" s="3">
        <v>450</v>
      </c>
      <c r="F6" s="3">
        <f>'OCTOBER 21'!J6:J30</f>
        <v>0</v>
      </c>
      <c r="G6" s="3">
        <v>10000</v>
      </c>
      <c r="H6" s="3">
        <f t="shared" ref="H6:H29" si="0">C6+F6+G6</f>
        <v>10000</v>
      </c>
      <c r="I6" s="3">
        <f>7000+3000</f>
        <v>10000</v>
      </c>
      <c r="J6" s="3">
        <f>H6-I6</f>
        <v>0</v>
      </c>
      <c r="K6" s="3"/>
      <c r="L6" s="3">
        <v>350</v>
      </c>
    </row>
    <row r="7" spans="1:12" x14ac:dyDescent="0.25">
      <c r="A7" s="3">
        <v>3</v>
      </c>
      <c r="B7" s="3" t="s">
        <v>250</v>
      </c>
      <c r="C7" s="3"/>
      <c r="D7" s="3">
        <v>200</v>
      </c>
      <c r="E7">
        <v>900</v>
      </c>
      <c r="F7" s="3">
        <f>'OCTOBER 21'!J7:J31</f>
        <v>0</v>
      </c>
      <c r="G7" s="3">
        <v>10000</v>
      </c>
      <c r="H7" s="3">
        <f t="shared" si="0"/>
        <v>10000</v>
      </c>
      <c r="I7" s="3">
        <v>10000</v>
      </c>
      <c r="J7" s="3">
        <f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600</v>
      </c>
      <c r="F8" s="3">
        <f>'OCTOBER 21'!J8:J32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30" t="s">
        <v>263</v>
      </c>
      <c r="C9" s="3"/>
      <c r="D9" s="3">
        <v>200</v>
      </c>
      <c r="E9" s="3">
        <v>150</v>
      </c>
      <c r="F9" s="3">
        <f>'OCTOBER 21'!J9:J33</f>
        <v>0</v>
      </c>
      <c r="G9" s="3">
        <v>10000</v>
      </c>
      <c r="H9" s="3">
        <f t="shared" si="0"/>
        <v>10000</v>
      </c>
      <c r="I9" s="3">
        <v>10000</v>
      </c>
      <c r="J9" s="3">
        <f t="shared" ref="J9:J22" si="1">H9-I9</f>
        <v>0</v>
      </c>
      <c r="K9" s="3"/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600</v>
      </c>
      <c r="F10" s="3">
        <f>'OCTOBER 21'!J10:J34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700</v>
      </c>
      <c r="F11" s="3">
        <f>'OCTOBER 21'!J11:J35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>
        <v>200</v>
      </c>
      <c r="E12" s="30">
        <v>750</v>
      </c>
      <c r="F12" s="3">
        <f>'OCTOBER 21'!J12:J36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>
        <v>200</v>
      </c>
      <c r="E13" s="3">
        <v>150</v>
      </c>
      <c r="F13" s="3">
        <f>'OCTOBER 21'!J13:J37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255</v>
      </c>
      <c r="C14" s="3"/>
      <c r="D14" s="3">
        <v>200</v>
      </c>
      <c r="E14" s="30">
        <v>750</v>
      </c>
      <c r="F14" s="3">
        <f>'OCTOBER 21'!J14:J38</f>
        <v>0</v>
      </c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3</v>
      </c>
      <c r="B15" s="3" t="s">
        <v>18</v>
      </c>
      <c r="C15" s="3"/>
      <c r="D15" s="3">
        <v>200</v>
      </c>
      <c r="E15" s="30">
        <v>300</v>
      </c>
      <c r="F15" s="3">
        <f>'OCTOBER 21'!J15:J39</f>
        <v>0</v>
      </c>
      <c r="G15" s="3">
        <v>12000</v>
      </c>
      <c r="H15" s="3">
        <f>C15+F15+G15</f>
        <v>12000</v>
      </c>
      <c r="I15" s="3"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>
        <f>'OCTOBER 21'!J16:J40</f>
        <v>0</v>
      </c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s="3"/>
      <c r="L16" s="3">
        <v>600</v>
      </c>
    </row>
    <row r="17" spans="1:12" x14ac:dyDescent="0.25">
      <c r="A17" s="3">
        <v>13</v>
      </c>
      <c r="B17" s="30" t="s">
        <v>192</v>
      </c>
      <c r="C17" s="3"/>
      <c r="D17" s="3"/>
      <c r="E17" s="30"/>
      <c r="F17" s="3">
        <f>'OCTOBER 21'!J17:J41</f>
        <v>70000</v>
      </c>
      <c r="G17" s="3"/>
      <c r="H17" s="3">
        <f>C17+F17+G17+10000</f>
        <v>80000</v>
      </c>
      <c r="I17" s="3"/>
      <c r="J17" s="3">
        <f t="shared" si="1"/>
        <v>80000</v>
      </c>
      <c r="K17" s="3"/>
      <c r="L17" s="3"/>
    </row>
    <row r="18" spans="1:12" x14ac:dyDescent="0.25">
      <c r="A18" s="3">
        <v>14</v>
      </c>
      <c r="B18" s="12" t="s">
        <v>70</v>
      </c>
      <c r="C18" s="3"/>
      <c r="D18" s="43">
        <v>200</v>
      </c>
      <c r="E18" s="3">
        <v>450</v>
      </c>
      <c r="F18" s="3">
        <f>'OCTOBER 21'!J18:J42</f>
        <v>0</v>
      </c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  <c r="K18" s="3"/>
      <c r="L18" s="3">
        <v>600</v>
      </c>
    </row>
    <row r="19" spans="1:12" x14ac:dyDescent="0.25">
      <c r="A19" s="3">
        <v>15</v>
      </c>
      <c r="B19" s="30" t="s">
        <v>269</v>
      </c>
      <c r="C19" s="3"/>
      <c r="D19" s="3">
        <v>200</v>
      </c>
      <c r="E19" s="3">
        <v>1350</v>
      </c>
      <c r="F19" s="3">
        <f>'OCTOBER 21'!J19:J43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12</v>
      </c>
      <c r="C20" s="3"/>
      <c r="D20" s="3">
        <v>200</v>
      </c>
      <c r="E20" s="3">
        <v>900</v>
      </c>
      <c r="F20" s="3">
        <f>'OCTOBER 21'!J20:J44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0" t="s">
        <v>249</v>
      </c>
      <c r="C21" s="3"/>
      <c r="D21" s="3">
        <v>200</v>
      </c>
      <c r="E21" s="3">
        <v>300</v>
      </c>
      <c r="F21" s="3">
        <f>'OCTOBER 21'!J21:J45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43">
        <v>18</v>
      </c>
      <c r="B22" s="30" t="s">
        <v>270</v>
      </c>
      <c r="D22" s="43">
        <v>400</v>
      </c>
      <c r="E22" s="43">
        <v>900</v>
      </c>
      <c r="F22">
        <v>10000</v>
      </c>
      <c r="G22" s="43">
        <v>10000</v>
      </c>
      <c r="H22" s="3">
        <f>C22+F22+G22</f>
        <v>20000</v>
      </c>
      <c r="I22" s="43">
        <v>20000</v>
      </c>
      <c r="J22" s="3">
        <f t="shared" si="1"/>
        <v>0</v>
      </c>
      <c r="L22" s="43">
        <v>1200</v>
      </c>
    </row>
    <row r="23" spans="1:12" x14ac:dyDescent="0.25">
      <c r="A23" s="3">
        <v>19</v>
      </c>
      <c r="B23" s="46" t="s">
        <v>287</v>
      </c>
      <c r="C23" s="3">
        <v>10000</v>
      </c>
      <c r="D23" s="3">
        <v>200</v>
      </c>
      <c r="E23" s="30"/>
      <c r="F23" s="3"/>
      <c r="G23" s="3">
        <v>10000</v>
      </c>
      <c r="H23" s="3">
        <f>C23+F23+G23</f>
        <v>20000</v>
      </c>
      <c r="I23" s="3">
        <v>20000</v>
      </c>
      <c r="J23" s="3">
        <f>H23-I23</f>
        <v>0</v>
      </c>
      <c r="K23" s="3">
        <v>1500</v>
      </c>
      <c r="L23" s="3">
        <v>600</v>
      </c>
    </row>
    <row r="24" spans="1:12" x14ac:dyDescent="0.25">
      <c r="A24" s="3">
        <v>20</v>
      </c>
      <c r="B24" s="30" t="s">
        <v>281</v>
      </c>
      <c r="C24" s="3"/>
      <c r="D24" s="3">
        <v>200</v>
      </c>
      <c r="E24" s="30">
        <v>1050</v>
      </c>
      <c r="F24" s="3">
        <f>'OCTOBER 21'!J24:J48</f>
        <v>0</v>
      </c>
      <c r="G24" s="3">
        <v>10000</v>
      </c>
      <c r="H24" s="3">
        <f t="shared" si="0"/>
        <v>10000</v>
      </c>
      <c r="I24" s="3">
        <f>7000+3000</f>
        <v>10000</v>
      </c>
      <c r="J24" s="3">
        <f t="shared" ref="J24:J29" si="2">H24-I24</f>
        <v>0</v>
      </c>
      <c r="K24" s="3"/>
      <c r="L24" s="3">
        <v>1200</v>
      </c>
    </row>
    <row r="25" spans="1:12" x14ac:dyDescent="0.25">
      <c r="A25" s="3">
        <v>21</v>
      </c>
      <c r="B25" s="3" t="s">
        <v>202</v>
      </c>
      <c r="C25" s="3"/>
      <c r="D25" s="3">
        <v>200</v>
      </c>
      <c r="E25" s="30">
        <v>450</v>
      </c>
      <c r="F25" s="3">
        <f>'OCTOBER 21'!J25:J49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2" x14ac:dyDescent="0.25">
      <c r="A26" s="3">
        <v>22</v>
      </c>
      <c r="B26" s="30" t="s">
        <v>234</v>
      </c>
      <c r="C26" s="3"/>
      <c r="D26" s="3">
        <v>200</v>
      </c>
      <c r="E26" s="3">
        <v>1050</v>
      </c>
      <c r="F26" s="3">
        <f>'OCTOBER 21'!J26:J50</f>
        <v>0</v>
      </c>
      <c r="G26" s="3">
        <v>10000</v>
      </c>
      <c r="H26" s="3">
        <f t="shared" si="0"/>
        <v>10000</v>
      </c>
      <c r="I26" s="3">
        <v>10000</v>
      </c>
      <c r="J26" s="3">
        <f>H26-I26</f>
        <v>0</v>
      </c>
      <c r="K26" s="3"/>
      <c r="L26" s="3">
        <v>600</v>
      </c>
    </row>
    <row r="27" spans="1:12" ht="15.75" x14ac:dyDescent="0.25">
      <c r="A27" s="3">
        <v>23</v>
      </c>
      <c r="B27" s="48" t="s">
        <v>230</v>
      </c>
      <c r="C27" s="3"/>
      <c r="D27" s="3">
        <v>200</v>
      </c>
      <c r="E27" s="30">
        <v>600</v>
      </c>
      <c r="F27" s="3">
        <f>'OCTOBER 21'!J27:J51</f>
        <v>0</v>
      </c>
      <c r="G27" s="3">
        <v>10000</v>
      </c>
      <c r="H27" s="3">
        <f t="shared" si="0"/>
        <v>10000</v>
      </c>
      <c r="I27" s="3">
        <v>10000</v>
      </c>
      <c r="J27" s="3">
        <f t="shared" si="2"/>
        <v>0</v>
      </c>
      <c r="K27" s="3"/>
      <c r="L27" s="3">
        <v>600</v>
      </c>
    </row>
    <row r="28" spans="1:12" x14ac:dyDescent="0.25">
      <c r="A28" s="3">
        <v>24</v>
      </c>
      <c r="B28" s="3" t="s">
        <v>278</v>
      </c>
      <c r="C28" s="3"/>
      <c r="D28" s="3">
        <v>400</v>
      </c>
      <c r="E28" s="30">
        <v>450</v>
      </c>
      <c r="F28" s="3">
        <f>'OCTOBER 21'!J28:J52</f>
        <v>4000</v>
      </c>
      <c r="G28" s="3">
        <v>10000</v>
      </c>
      <c r="H28" s="3">
        <f t="shared" si="0"/>
        <v>14000</v>
      </c>
      <c r="I28" s="3">
        <f>5400+7000+1600</f>
        <v>14000</v>
      </c>
      <c r="J28" s="3">
        <f t="shared" si="2"/>
        <v>0</v>
      </c>
      <c r="K28" s="3"/>
      <c r="L28" s="3">
        <v>1200</v>
      </c>
    </row>
    <row r="29" spans="1:12" x14ac:dyDescent="0.25">
      <c r="A29" s="3">
        <v>25</v>
      </c>
      <c r="B29" s="3" t="s">
        <v>289</v>
      </c>
      <c r="C29" s="3"/>
      <c r="D29" s="3"/>
      <c r="E29" s="3"/>
      <c r="F29" s="3"/>
      <c r="G29" s="3"/>
      <c r="H29" s="3">
        <f t="shared" si="0"/>
        <v>0</v>
      </c>
      <c r="I29" s="3"/>
      <c r="J29" s="3">
        <f t="shared" si="2"/>
        <v>0</v>
      </c>
      <c r="K29" s="3"/>
      <c r="L29" s="3"/>
    </row>
    <row r="30" spans="1:12" x14ac:dyDescent="0.25">
      <c r="A30" s="2"/>
      <c r="B30" s="2" t="s">
        <v>33</v>
      </c>
      <c r="C30" s="2">
        <f>SUM(C5:C29)</f>
        <v>10000</v>
      </c>
      <c r="D30" s="2">
        <f>SUM(D5:D29)</f>
        <v>5000</v>
      </c>
      <c r="E30" s="2">
        <f>SUM(E5:E29)</f>
        <v>15250</v>
      </c>
      <c r="F30" s="3">
        <f>SUM(F5:F29)</f>
        <v>84000</v>
      </c>
      <c r="G30" s="2">
        <f t="shared" ref="G30:L30" si="3">SUM(G5:G29)</f>
        <v>240000</v>
      </c>
      <c r="H30" s="2">
        <f t="shared" si="3"/>
        <v>344000</v>
      </c>
      <c r="I30" s="2">
        <f t="shared" si="3"/>
        <v>264000</v>
      </c>
      <c r="J30" s="2">
        <f t="shared" si="3"/>
        <v>80000</v>
      </c>
      <c r="K30" s="2">
        <f t="shared" si="3"/>
        <v>1500</v>
      </c>
      <c r="L30" s="2">
        <f t="shared" si="3"/>
        <v>15350</v>
      </c>
    </row>
    <row r="31" spans="1:12" x14ac:dyDescent="0.25">
      <c r="A31" s="7"/>
      <c r="B31" s="7"/>
      <c r="C31" s="7"/>
      <c r="D31" s="7"/>
      <c r="E31" s="7"/>
      <c r="F31" s="3">
        <f>'AUGUST 21'!J31:J55</f>
        <v>0</v>
      </c>
      <c r="G31" s="40"/>
      <c r="H31" s="30"/>
      <c r="I31" s="30"/>
      <c r="J31" s="7"/>
    </row>
    <row r="32" spans="1:12" x14ac:dyDescent="0.25">
      <c r="B32" s="31" t="s">
        <v>23</v>
      </c>
      <c r="C32" s="32"/>
      <c r="D32" s="6"/>
      <c r="E32" s="33"/>
      <c r="F32" s="3"/>
      <c r="G32" s="30"/>
      <c r="H32" s="30"/>
      <c r="I32" s="30"/>
    </row>
    <row r="33" spans="2:12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2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2" x14ac:dyDescent="0.25">
      <c r="B35" s="30" t="s">
        <v>172</v>
      </c>
      <c r="C35" s="38">
        <f>C30+G30</f>
        <v>250000</v>
      </c>
      <c r="D35" s="30"/>
      <c r="E35" s="30"/>
      <c r="F35" s="30" t="s">
        <v>172</v>
      </c>
      <c r="G35" s="38">
        <f>I30</f>
        <v>264000</v>
      </c>
      <c r="H35" s="30"/>
      <c r="I35" s="30"/>
    </row>
    <row r="36" spans="2:12" x14ac:dyDescent="0.25">
      <c r="B36" s="30" t="s">
        <v>5</v>
      </c>
      <c r="C36" s="38">
        <f>'OCTOBER 21'!E49</f>
        <v>-3495.0200000000186</v>
      </c>
      <c r="D36" s="30"/>
      <c r="E36" s="30"/>
      <c r="F36" s="30" t="s">
        <v>5</v>
      </c>
      <c r="G36" s="38">
        <f>'OCTOBER 21'!I49</f>
        <v>-17495.020000000019</v>
      </c>
      <c r="H36" s="30"/>
      <c r="I36" s="30"/>
    </row>
    <row r="37" spans="2:12" x14ac:dyDescent="0.25">
      <c r="B37" s="30" t="s">
        <v>35</v>
      </c>
      <c r="C37" s="38">
        <f>E30</f>
        <v>15250</v>
      </c>
      <c r="D37" s="30"/>
      <c r="E37" s="30"/>
      <c r="F37" s="30" t="s">
        <v>35</v>
      </c>
      <c r="G37" s="38">
        <f>E30</f>
        <v>15250</v>
      </c>
      <c r="H37" s="30"/>
      <c r="I37" s="30"/>
    </row>
    <row r="38" spans="2:12" x14ac:dyDescent="0.25">
      <c r="B38" s="30" t="s">
        <v>86</v>
      </c>
      <c r="C38" s="38">
        <f>K30</f>
        <v>1500</v>
      </c>
      <c r="D38" s="30"/>
      <c r="E38" s="30"/>
      <c r="F38" s="30" t="s">
        <v>86</v>
      </c>
      <c r="G38" s="38">
        <f>C38</f>
        <v>1500</v>
      </c>
      <c r="H38" s="30"/>
      <c r="I38" s="30"/>
      <c r="K38" s="24"/>
    </row>
    <row r="39" spans="2:12" x14ac:dyDescent="0.25">
      <c r="B39" s="30" t="s">
        <v>88</v>
      </c>
      <c r="C39" s="38">
        <f>L30</f>
        <v>15350</v>
      </c>
      <c r="D39" s="30"/>
      <c r="E39" s="30"/>
      <c r="F39" s="30" t="s">
        <v>88</v>
      </c>
      <c r="G39" s="38">
        <f>L30</f>
        <v>15350</v>
      </c>
      <c r="H39" s="30"/>
      <c r="I39" s="30"/>
    </row>
    <row r="40" spans="2:12" x14ac:dyDescent="0.25">
      <c r="B40" s="30" t="s">
        <v>30</v>
      </c>
      <c r="C40" s="39">
        <v>0.08</v>
      </c>
      <c r="D40" s="38">
        <f>C40*C35</f>
        <v>20000</v>
      </c>
      <c r="E40" s="30"/>
      <c r="F40" s="30" t="s">
        <v>30</v>
      </c>
      <c r="G40" s="39">
        <v>0.08</v>
      </c>
      <c r="H40" s="38">
        <f>G40*C35</f>
        <v>20000</v>
      </c>
      <c r="I40" s="30"/>
      <c r="L40" s="24"/>
    </row>
    <row r="41" spans="2:12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2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2" x14ac:dyDescent="0.25">
      <c r="B43" s="46" t="s">
        <v>176</v>
      </c>
      <c r="D43" s="30">
        <v>230000</v>
      </c>
      <c r="E43" s="30"/>
      <c r="F43" s="46" t="s">
        <v>176</v>
      </c>
      <c r="H43" s="30">
        <v>230000</v>
      </c>
      <c r="I43" s="30"/>
    </row>
    <row r="44" spans="2:12" x14ac:dyDescent="0.25">
      <c r="B44" s="3"/>
      <c r="C44" s="40"/>
      <c r="E44" s="3"/>
      <c r="F44" s="3"/>
      <c r="G44" s="40"/>
      <c r="I44" s="30"/>
      <c r="K44" s="24"/>
    </row>
    <row r="45" spans="2:12" x14ac:dyDescent="0.25">
      <c r="B45" s="3"/>
      <c r="C45" s="30"/>
      <c r="D45" s="30"/>
      <c r="E45" s="30"/>
      <c r="F45" s="3"/>
      <c r="G45" s="30"/>
      <c r="H45" s="30"/>
      <c r="I45" s="30"/>
      <c r="J45" s="24"/>
      <c r="K45" s="24"/>
    </row>
    <row r="46" spans="2:12" x14ac:dyDescent="0.25">
      <c r="B46" s="40"/>
      <c r="C46" s="30"/>
      <c r="D46" s="30"/>
      <c r="E46" s="30"/>
      <c r="F46" s="40"/>
      <c r="G46" s="30"/>
      <c r="H46" s="30"/>
      <c r="I46" s="30"/>
    </row>
    <row r="47" spans="2:12" x14ac:dyDescent="0.25">
      <c r="B47" s="40"/>
      <c r="C47" s="44"/>
      <c r="D47" s="30"/>
      <c r="E47" s="30"/>
      <c r="F47" s="40"/>
      <c r="G47" s="44"/>
      <c r="H47" s="30"/>
      <c r="I47" s="30"/>
    </row>
    <row r="48" spans="2:12" x14ac:dyDescent="0.25">
      <c r="B48" s="41"/>
      <c r="C48" s="30"/>
      <c r="D48" s="30"/>
      <c r="E48" s="30"/>
      <c r="F48" s="41"/>
      <c r="G48" s="30"/>
      <c r="H48" s="30"/>
      <c r="I48" s="30"/>
    </row>
    <row r="49" spans="2:9" x14ac:dyDescent="0.25">
      <c r="B49" s="37" t="s">
        <v>33</v>
      </c>
      <c r="C49" s="42">
        <f>C35+C36+C37+C38+C39-D40</f>
        <v>258604.97999999998</v>
      </c>
      <c r="D49" s="42">
        <f>SUM(D42:D48)</f>
        <v>240000</v>
      </c>
      <c r="E49" s="42">
        <f>C49-D49</f>
        <v>18604.979999999981</v>
      </c>
      <c r="F49" s="37" t="s">
        <v>33</v>
      </c>
      <c r="G49" s="42">
        <f>G35+G36+G37+G38+G39-H40</f>
        <v>258604.97999999998</v>
      </c>
      <c r="H49" s="42">
        <f>SUM(H42:H48)</f>
        <v>240000</v>
      </c>
      <c r="I49" s="42">
        <f>G49-H49</f>
        <v>18604.979999999981</v>
      </c>
    </row>
    <row r="50" spans="2:9" x14ac:dyDescent="0.25">
      <c r="B50" t="s">
        <v>37</v>
      </c>
      <c r="D50" t="s">
        <v>39</v>
      </c>
      <c r="G50" t="s">
        <v>41</v>
      </c>
    </row>
    <row r="52" spans="2:9" x14ac:dyDescent="0.25">
      <c r="B52" t="s">
        <v>137</v>
      </c>
      <c r="D52" t="s">
        <v>40</v>
      </c>
      <c r="G52" t="s">
        <v>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6" workbookViewId="0">
      <selection activeCell="I25" sqref="I25"/>
    </sheetView>
  </sheetViews>
  <sheetFormatPr defaultRowHeight="15" x14ac:dyDescent="0.25"/>
  <cols>
    <col min="1" max="1" width="12.85546875" customWidth="1"/>
    <col min="2" max="2" width="23.7109375" customWidth="1"/>
    <col min="3" max="3" width="11" customWidth="1"/>
    <col min="4" max="4" width="10" customWidth="1"/>
    <col min="5" max="5" width="13.28515625" customWidth="1"/>
    <col min="6" max="6" width="16.140625" customWidth="1"/>
    <col min="7" max="7" width="12.140625" customWidth="1"/>
    <col min="9" max="9" width="13.5703125" customWidth="1"/>
  </cols>
  <sheetData>
    <row r="1" spans="1:12" ht="15.75" x14ac:dyDescent="0.25"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290</v>
      </c>
      <c r="D3" s="21"/>
      <c r="E3" s="21"/>
      <c r="F3" s="27"/>
      <c r="G3" s="27"/>
      <c r="I3" s="1"/>
      <c r="J3" s="1"/>
    </row>
    <row r="4" spans="1:12" s="52" customFormat="1" ht="30" x14ac:dyDescent="0.25">
      <c r="A4" s="50" t="s">
        <v>10</v>
      </c>
      <c r="B4" s="50" t="s">
        <v>3</v>
      </c>
      <c r="C4" s="50" t="s">
        <v>4</v>
      </c>
      <c r="D4" s="50" t="s">
        <v>34</v>
      </c>
      <c r="E4" s="51" t="s">
        <v>35</v>
      </c>
      <c r="F4" s="50" t="s">
        <v>5</v>
      </c>
      <c r="G4" s="50" t="s">
        <v>6</v>
      </c>
      <c r="H4" s="50" t="s">
        <v>7</v>
      </c>
      <c r="I4" s="50" t="s">
        <v>8</v>
      </c>
      <c r="J4" s="50" t="s">
        <v>9</v>
      </c>
      <c r="K4" s="51" t="s">
        <v>86</v>
      </c>
      <c r="L4" s="51" t="s">
        <v>88</v>
      </c>
    </row>
    <row r="5" spans="1:12" x14ac:dyDescent="0.25">
      <c r="A5" s="3">
        <v>1</v>
      </c>
      <c r="B5" s="30" t="s">
        <v>260</v>
      </c>
      <c r="C5" s="3"/>
      <c r="D5" s="3">
        <v>200</v>
      </c>
      <c r="E5" s="3">
        <v>1650</v>
      </c>
      <c r="F5" s="3">
        <f>'NOVEMBER  21'!J5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s="49" t="s">
        <v>69</v>
      </c>
      <c r="C6" s="3"/>
      <c r="D6" s="3"/>
      <c r="E6" s="3"/>
      <c r="F6" s="3">
        <f>'NOVEMBER  21'!J6</f>
        <v>0</v>
      </c>
      <c r="G6" s="3">
        <v>10000</v>
      </c>
      <c r="H6" s="3">
        <f t="shared" ref="H6:H29" si="0">C6+F6+G6</f>
        <v>10000</v>
      </c>
      <c r="I6" s="3">
        <f>4300+2000</f>
        <v>6300</v>
      </c>
      <c r="J6" s="3">
        <f>H6-I6</f>
        <v>3700</v>
      </c>
      <c r="K6" s="3"/>
      <c r="L6" s="3"/>
    </row>
    <row r="7" spans="1:12" x14ac:dyDescent="0.25">
      <c r="A7" s="3">
        <v>3</v>
      </c>
      <c r="B7" s="3" t="s">
        <v>250</v>
      </c>
      <c r="C7" s="3"/>
      <c r="D7" s="3"/>
      <c r="F7" s="3">
        <f>'NOVEMBER  21'!J7</f>
        <v>0</v>
      </c>
      <c r="G7" s="3">
        <v>10000</v>
      </c>
      <c r="H7" s="3">
        <f t="shared" si="0"/>
        <v>10000</v>
      </c>
      <c r="I7" s="3"/>
      <c r="J7" s="3">
        <f>H7-I7</f>
        <v>10000</v>
      </c>
      <c r="K7" s="3"/>
      <c r="L7" s="3"/>
    </row>
    <row r="8" spans="1:12" x14ac:dyDescent="0.25">
      <c r="A8" s="3">
        <v>4</v>
      </c>
      <c r="B8" s="3" t="s">
        <v>89</v>
      </c>
      <c r="C8" s="3"/>
      <c r="D8" s="3"/>
      <c r="E8" s="3"/>
      <c r="F8" s="3">
        <f>'NOVEMBER  21'!J8</f>
        <v>0</v>
      </c>
      <c r="G8" s="3">
        <v>10000</v>
      </c>
      <c r="H8" s="3">
        <f t="shared" si="0"/>
        <v>10000</v>
      </c>
      <c r="I8" s="3"/>
      <c r="J8" s="3">
        <f>H8-I8</f>
        <v>10000</v>
      </c>
      <c r="K8" s="3"/>
      <c r="L8" s="3"/>
    </row>
    <row r="9" spans="1:12" x14ac:dyDescent="0.25">
      <c r="A9" s="3">
        <v>5</v>
      </c>
      <c r="B9" s="30" t="s">
        <v>263</v>
      </c>
      <c r="C9" s="3"/>
      <c r="D9" s="3"/>
      <c r="E9" s="3"/>
      <c r="F9" s="3">
        <f>'NOVEMBER  21'!J9</f>
        <v>0</v>
      </c>
      <c r="G9" s="3">
        <v>10000</v>
      </c>
      <c r="H9" s="3">
        <f t="shared" si="0"/>
        <v>10000</v>
      </c>
      <c r="I9" s="3"/>
      <c r="J9" s="3">
        <f t="shared" ref="J9:J22" si="1">H9-I9</f>
        <v>10000</v>
      </c>
      <c r="K9" s="3"/>
      <c r="L9" s="3"/>
    </row>
    <row r="10" spans="1:12" x14ac:dyDescent="0.25">
      <c r="A10" s="3">
        <v>6</v>
      </c>
      <c r="B10" s="3" t="s">
        <v>13</v>
      </c>
      <c r="C10" s="3"/>
      <c r="D10" s="3"/>
      <c r="E10" s="30"/>
      <c r="F10" s="3">
        <f>'NOVEMBER  21'!J10</f>
        <v>0</v>
      </c>
      <c r="G10" s="3">
        <v>12000</v>
      </c>
      <c r="H10" s="3">
        <f t="shared" si="0"/>
        <v>12000</v>
      </c>
      <c r="I10" s="3"/>
      <c r="J10" s="3">
        <f t="shared" si="1"/>
        <v>12000</v>
      </c>
      <c r="K10" s="3"/>
      <c r="L10" s="3"/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450</v>
      </c>
      <c r="F11" s="3">
        <f>'NOVEMBER  21'!J11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/>
      <c r="E12" s="30"/>
      <c r="F12" s="3">
        <f>'NOVEMBER  21'!J12</f>
        <v>0</v>
      </c>
      <c r="G12" s="3">
        <v>10000</v>
      </c>
      <c r="H12" s="3">
        <f t="shared" si="0"/>
        <v>10000</v>
      </c>
      <c r="I12" s="3"/>
      <c r="J12" s="3">
        <f t="shared" si="1"/>
        <v>10000</v>
      </c>
      <c r="K12" s="3"/>
      <c r="L12" s="3"/>
    </row>
    <row r="13" spans="1:12" x14ac:dyDescent="0.25">
      <c r="A13" s="3">
        <v>9</v>
      </c>
      <c r="B13" s="3" t="s">
        <v>226</v>
      </c>
      <c r="C13" s="3"/>
      <c r="D13" s="3"/>
      <c r="E13" s="3"/>
      <c r="F13" s="3">
        <f>'NOVEMBER  21'!J13</f>
        <v>0</v>
      </c>
      <c r="G13" s="3">
        <v>10000</v>
      </c>
      <c r="H13" s="3">
        <f t="shared" si="0"/>
        <v>10000</v>
      </c>
      <c r="I13" s="3"/>
      <c r="J13" s="3">
        <f t="shared" si="1"/>
        <v>10000</v>
      </c>
      <c r="K13" s="3"/>
      <c r="L13" s="3"/>
    </row>
    <row r="14" spans="1:12" x14ac:dyDescent="0.25">
      <c r="A14" s="3">
        <v>10</v>
      </c>
      <c r="B14" s="3" t="s">
        <v>255</v>
      </c>
      <c r="C14" s="3"/>
      <c r="D14" s="3"/>
      <c r="E14" s="30"/>
      <c r="F14" s="3">
        <f>'NOVEMBER  21'!J14</f>
        <v>0</v>
      </c>
      <c r="G14" s="3">
        <v>10000</v>
      </c>
      <c r="H14" s="3">
        <f>C14+F14+G14</f>
        <v>10000</v>
      </c>
      <c r="I14" s="3"/>
      <c r="J14" s="3">
        <f t="shared" si="1"/>
        <v>10000</v>
      </c>
      <c r="K14" s="3"/>
      <c r="L14" s="3"/>
    </row>
    <row r="15" spans="1:12" x14ac:dyDescent="0.25">
      <c r="A15" s="3">
        <v>3</v>
      </c>
      <c r="B15" s="3" t="s">
        <v>18</v>
      </c>
      <c r="C15" s="3"/>
      <c r="D15" s="3"/>
      <c r="E15" s="30"/>
      <c r="F15" s="3">
        <f>'NOVEMBER  21'!J15</f>
        <v>0</v>
      </c>
      <c r="G15" s="3">
        <v>12000</v>
      </c>
      <c r="H15" s="3">
        <f>C15+F15+G15</f>
        <v>12000</v>
      </c>
      <c r="I15" s="3"/>
      <c r="J15" s="3">
        <f>H15-I15</f>
        <v>12000</v>
      </c>
      <c r="K15" s="3"/>
      <c r="L15" s="3"/>
    </row>
    <row r="16" spans="1:12" x14ac:dyDescent="0.25">
      <c r="A16" s="3">
        <v>12</v>
      </c>
      <c r="B16" s="3" t="s">
        <v>135</v>
      </c>
      <c r="C16" s="3"/>
      <c r="D16" s="3"/>
      <c r="E16" s="3"/>
      <c r="F16" s="3">
        <f>'NOVEMBER  21'!J16</f>
        <v>0</v>
      </c>
      <c r="G16" s="3">
        <v>10000</v>
      </c>
      <c r="H16" s="3">
        <f t="shared" si="0"/>
        <v>10000</v>
      </c>
      <c r="I16" s="3"/>
      <c r="J16" s="3">
        <f t="shared" si="1"/>
        <v>10000</v>
      </c>
      <c r="K16" s="3"/>
      <c r="L16" s="3"/>
    </row>
    <row r="17" spans="1:12" x14ac:dyDescent="0.25">
      <c r="A17" s="3">
        <v>13</v>
      </c>
      <c r="B17" s="30" t="s">
        <v>192</v>
      </c>
      <c r="C17" s="3"/>
      <c r="D17" s="3"/>
      <c r="E17" s="30"/>
      <c r="F17" s="3">
        <f>'NOVEMBER  21'!J17</f>
        <v>80000</v>
      </c>
      <c r="G17" s="3"/>
      <c r="H17" s="3">
        <f>C17+F17+G17+10000</f>
        <v>90000</v>
      </c>
      <c r="I17" s="3"/>
      <c r="J17" s="3">
        <f t="shared" si="1"/>
        <v>90000</v>
      </c>
      <c r="K17" s="3"/>
      <c r="L17" s="3"/>
    </row>
    <row r="18" spans="1:12" x14ac:dyDescent="0.25">
      <c r="A18" s="3">
        <v>14</v>
      </c>
      <c r="B18" s="12" t="s">
        <v>70</v>
      </c>
      <c r="C18" s="3"/>
      <c r="D18" s="43">
        <v>400</v>
      </c>
      <c r="E18" s="3">
        <v>650</v>
      </c>
      <c r="F18" s="3">
        <f>'NOVEMBER  21'!J18</f>
        <v>0</v>
      </c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  <c r="K18" s="3"/>
      <c r="L18" s="3"/>
    </row>
    <row r="19" spans="1:12" x14ac:dyDescent="0.25">
      <c r="A19" s="3">
        <v>15</v>
      </c>
      <c r="B19" s="30" t="s">
        <v>269</v>
      </c>
      <c r="C19" s="3"/>
      <c r="D19" s="3">
        <v>200</v>
      </c>
      <c r="E19" s="3">
        <v>750</v>
      </c>
      <c r="F19" s="3">
        <f>'NOVEMBER  21'!J19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12</v>
      </c>
      <c r="C20" s="3"/>
      <c r="D20" s="3">
        <v>200</v>
      </c>
      <c r="E20" s="3">
        <v>600</v>
      </c>
      <c r="F20" s="3">
        <f>'NOVEMBER  21'!J20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0" t="s">
        <v>249</v>
      </c>
      <c r="C21" s="3"/>
      <c r="D21" s="3">
        <v>200</v>
      </c>
      <c r="E21" s="3">
        <v>300</v>
      </c>
      <c r="F21" s="3">
        <f>'NOVEMBER  21'!J21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/>
    </row>
    <row r="22" spans="1:12" x14ac:dyDescent="0.25">
      <c r="A22" s="43">
        <v>18</v>
      </c>
      <c r="B22" s="30" t="s">
        <v>270</v>
      </c>
      <c r="D22" s="43"/>
      <c r="E22" s="43"/>
      <c r="F22" s="3">
        <f>'NOVEMBER  21'!J22</f>
        <v>0</v>
      </c>
      <c r="G22" s="43">
        <v>10000</v>
      </c>
      <c r="H22" s="3">
        <f>C22+F22+G22</f>
        <v>10000</v>
      </c>
      <c r="I22" s="43"/>
      <c r="J22" s="3">
        <f t="shared" si="1"/>
        <v>10000</v>
      </c>
      <c r="L22" s="43"/>
    </row>
    <row r="23" spans="1:12" x14ac:dyDescent="0.25">
      <c r="A23" s="3">
        <v>19</v>
      </c>
      <c r="B23" s="46" t="s">
        <v>287</v>
      </c>
      <c r="C23" s="3"/>
      <c r="D23" s="3"/>
      <c r="E23" s="30">
        <v>300</v>
      </c>
      <c r="F23" s="3">
        <f>'NOVEMBER  21'!J23</f>
        <v>0</v>
      </c>
      <c r="G23" s="3">
        <v>10000</v>
      </c>
      <c r="H23" s="3">
        <f>C23+F23+G23</f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2" x14ac:dyDescent="0.25">
      <c r="A24" s="3">
        <v>20</v>
      </c>
      <c r="B24" s="30" t="s">
        <v>281</v>
      </c>
      <c r="C24" s="3"/>
      <c r="D24" s="3"/>
      <c r="E24" s="30"/>
      <c r="F24" s="3">
        <f>'NOVEMBER  21'!J24</f>
        <v>0</v>
      </c>
      <c r="G24" s="3">
        <v>10000</v>
      </c>
      <c r="H24" s="3">
        <f t="shared" si="0"/>
        <v>10000</v>
      </c>
      <c r="I24" s="3">
        <v>10350</v>
      </c>
      <c r="J24" s="3">
        <f t="shared" ref="J24:J29" si="2">H24-I24</f>
        <v>-350</v>
      </c>
      <c r="K24" s="3"/>
      <c r="L24" s="3"/>
    </row>
    <row r="25" spans="1:12" x14ac:dyDescent="0.25">
      <c r="A25" s="3">
        <v>21</v>
      </c>
      <c r="B25" s="3" t="s">
        <v>202</v>
      </c>
      <c r="C25" s="3"/>
      <c r="D25" s="3"/>
      <c r="E25" s="30"/>
      <c r="F25" s="3">
        <f>'NOVEMBER  21'!J25</f>
        <v>0</v>
      </c>
      <c r="G25" s="3">
        <v>12000</v>
      </c>
      <c r="H25" s="3">
        <f t="shared" si="0"/>
        <v>12000</v>
      </c>
      <c r="I25" s="3"/>
      <c r="J25" s="3">
        <f t="shared" si="2"/>
        <v>12000</v>
      </c>
      <c r="K25" s="3"/>
      <c r="L25" s="3"/>
    </row>
    <row r="26" spans="1:12" x14ac:dyDescent="0.25">
      <c r="A26" s="3">
        <v>22</v>
      </c>
      <c r="B26" s="30" t="s">
        <v>234</v>
      </c>
      <c r="C26" s="3"/>
      <c r="D26" s="3"/>
      <c r="E26" s="3"/>
      <c r="F26" s="3">
        <f>'NOVEMBER  21'!J26</f>
        <v>0</v>
      </c>
      <c r="G26" s="3">
        <v>10000</v>
      </c>
      <c r="H26" s="3">
        <f t="shared" si="0"/>
        <v>10000</v>
      </c>
      <c r="I26" s="3"/>
      <c r="J26" s="3">
        <f>H26-I26</f>
        <v>10000</v>
      </c>
      <c r="K26" s="3"/>
      <c r="L26" s="3"/>
    </row>
    <row r="27" spans="1:12" ht="15.75" x14ac:dyDescent="0.25">
      <c r="A27" s="3">
        <v>23</v>
      </c>
      <c r="B27" s="48" t="s">
        <v>230</v>
      </c>
      <c r="C27" s="3"/>
      <c r="D27" s="3">
        <v>200</v>
      </c>
      <c r="E27" s="30">
        <v>600</v>
      </c>
      <c r="F27" s="3">
        <f>'NOVEMBER  21'!J27</f>
        <v>0</v>
      </c>
      <c r="G27" s="3">
        <v>10000</v>
      </c>
      <c r="H27" s="3">
        <f t="shared" si="0"/>
        <v>10000</v>
      </c>
      <c r="I27" s="3">
        <v>10100</v>
      </c>
      <c r="J27" s="3">
        <f t="shared" si="2"/>
        <v>-100</v>
      </c>
      <c r="K27" s="3"/>
      <c r="L27" s="3">
        <v>600</v>
      </c>
    </row>
    <row r="28" spans="1:12" x14ac:dyDescent="0.25">
      <c r="A28" s="3">
        <v>24</v>
      </c>
      <c r="B28" s="3" t="s">
        <v>278</v>
      </c>
      <c r="C28" s="3"/>
      <c r="D28" s="3"/>
      <c r="E28" s="30"/>
      <c r="F28" s="3">
        <f>'NOVEMBER  21'!J28</f>
        <v>0</v>
      </c>
      <c r="G28" s="3">
        <v>10000</v>
      </c>
      <c r="H28" s="3">
        <f t="shared" si="0"/>
        <v>10000</v>
      </c>
      <c r="I28" s="3"/>
      <c r="J28" s="3">
        <f t="shared" si="2"/>
        <v>10000</v>
      </c>
      <c r="K28" s="3"/>
      <c r="L28" s="3"/>
    </row>
    <row r="29" spans="1:12" x14ac:dyDescent="0.25">
      <c r="A29" s="3">
        <v>25</v>
      </c>
      <c r="B29" s="3" t="s">
        <v>289</v>
      </c>
      <c r="C29" s="3"/>
      <c r="D29" s="3"/>
      <c r="E29" s="3"/>
      <c r="F29" s="3">
        <f>'NOVEMBER  21'!J29</f>
        <v>0</v>
      </c>
      <c r="G29" s="3"/>
      <c r="H29" s="3">
        <f t="shared" si="0"/>
        <v>0</v>
      </c>
      <c r="I29" s="3"/>
      <c r="J29" s="3">
        <f t="shared" si="2"/>
        <v>0</v>
      </c>
      <c r="K29" s="3"/>
      <c r="L29" s="3"/>
    </row>
    <row r="30" spans="1:12" x14ac:dyDescent="0.25">
      <c r="A30" s="2"/>
      <c r="B30" s="2" t="s">
        <v>33</v>
      </c>
      <c r="C30" s="2">
        <f>SUM(C5:C29)</f>
        <v>0</v>
      </c>
      <c r="D30" s="2">
        <f>SUM(D5:D29)</f>
        <v>1600</v>
      </c>
      <c r="E30" s="2">
        <f>SUM(E5:E29)</f>
        <v>5300</v>
      </c>
      <c r="F30" s="3">
        <f>SUM(F5:F29)</f>
        <v>80000</v>
      </c>
      <c r="G30" s="2">
        <f t="shared" ref="G30:L30" si="3">SUM(G5:G29)</f>
        <v>240000</v>
      </c>
      <c r="H30" s="2">
        <f t="shared" si="3"/>
        <v>330000</v>
      </c>
      <c r="I30" s="2">
        <f t="shared" si="3"/>
        <v>100750</v>
      </c>
      <c r="J30" s="2">
        <f t="shared" si="3"/>
        <v>229250</v>
      </c>
      <c r="K30" s="2">
        <f t="shared" si="3"/>
        <v>0</v>
      </c>
      <c r="L30" s="2">
        <f t="shared" si="3"/>
        <v>3600</v>
      </c>
    </row>
    <row r="31" spans="1:12" x14ac:dyDescent="0.25">
      <c r="A31" s="7"/>
      <c r="B31" s="7"/>
      <c r="C31" s="7"/>
      <c r="D31" s="7"/>
      <c r="E31" s="7"/>
      <c r="F31" s="3">
        <f>'AUGUST 21'!J31:J55</f>
        <v>0</v>
      </c>
      <c r="G31" s="40"/>
      <c r="H31" s="30"/>
      <c r="I31" s="30"/>
      <c r="J31" s="7"/>
    </row>
    <row r="32" spans="1:12" x14ac:dyDescent="0.25">
      <c r="B32" s="31" t="s">
        <v>23</v>
      </c>
      <c r="C32" s="32"/>
      <c r="D32" s="6"/>
      <c r="E32" s="33"/>
      <c r="F32" s="3"/>
      <c r="G32" s="30"/>
      <c r="H32" s="30"/>
      <c r="I32" s="30"/>
    </row>
    <row r="33" spans="2:12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2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2" x14ac:dyDescent="0.25">
      <c r="B35" s="30" t="s">
        <v>177</v>
      </c>
      <c r="C35" s="38">
        <f>C30+G30</f>
        <v>240000</v>
      </c>
      <c r="D35" s="30"/>
      <c r="E35" s="30"/>
      <c r="F35" s="30" t="s">
        <v>177</v>
      </c>
      <c r="G35" s="38">
        <f>I30</f>
        <v>100750</v>
      </c>
      <c r="H35" s="30"/>
      <c r="I35" s="30"/>
    </row>
    <row r="36" spans="2:12" x14ac:dyDescent="0.25">
      <c r="B36" s="30" t="s">
        <v>5</v>
      </c>
      <c r="C36" s="38">
        <f>'NOVEMBER  21'!E49</f>
        <v>18604.979999999981</v>
      </c>
      <c r="D36" s="30"/>
      <c r="E36" s="30"/>
      <c r="F36" s="30" t="s">
        <v>5</v>
      </c>
      <c r="G36" s="38">
        <f>'NOVEMBER  21'!I49</f>
        <v>18604.979999999981</v>
      </c>
      <c r="H36" s="30"/>
      <c r="I36" s="30"/>
    </row>
    <row r="37" spans="2:12" x14ac:dyDescent="0.25">
      <c r="B37" s="30" t="s">
        <v>35</v>
      </c>
      <c r="C37" s="38">
        <f>E30</f>
        <v>5300</v>
      </c>
      <c r="D37" s="30"/>
      <c r="E37" s="30"/>
      <c r="F37" s="30" t="s">
        <v>35</v>
      </c>
      <c r="G37" s="38">
        <f>E30</f>
        <v>5300</v>
      </c>
      <c r="H37" s="30"/>
      <c r="I37" s="30"/>
    </row>
    <row r="38" spans="2:12" x14ac:dyDescent="0.25">
      <c r="B38" s="30" t="s">
        <v>86</v>
      </c>
      <c r="C38" s="38">
        <f>K30</f>
        <v>0</v>
      </c>
      <c r="D38" s="30"/>
      <c r="E38" s="30"/>
      <c r="F38" s="30" t="s">
        <v>86</v>
      </c>
      <c r="G38" s="38">
        <f>C38</f>
        <v>0</v>
      </c>
      <c r="H38" s="30"/>
      <c r="I38" s="30"/>
      <c r="K38" s="24"/>
    </row>
    <row r="39" spans="2:12" x14ac:dyDescent="0.25">
      <c r="B39" s="30" t="s">
        <v>88</v>
      </c>
      <c r="C39" s="38">
        <f>L30</f>
        <v>3600</v>
      </c>
      <c r="D39" s="30"/>
      <c r="E39" s="30"/>
      <c r="F39" s="30" t="s">
        <v>88</v>
      </c>
      <c r="G39" s="38">
        <f>L30</f>
        <v>3600</v>
      </c>
      <c r="H39" s="30"/>
      <c r="I39" s="30"/>
    </row>
    <row r="40" spans="2:12" x14ac:dyDescent="0.25">
      <c r="B40" s="30" t="s">
        <v>30</v>
      </c>
      <c r="C40" s="39">
        <v>0.08</v>
      </c>
      <c r="D40" s="38">
        <f>C40*C35</f>
        <v>19200</v>
      </c>
      <c r="E40" s="30"/>
      <c r="F40" s="30" t="s">
        <v>30</v>
      </c>
      <c r="G40" s="39">
        <v>0.08</v>
      </c>
      <c r="H40" s="38">
        <f>G40*C35</f>
        <v>19200</v>
      </c>
      <c r="I40" s="30"/>
      <c r="L40" s="24"/>
    </row>
    <row r="41" spans="2:12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2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2" x14ac:dyDescent="0.25">
      <c r="B43" s="46"/>
      <c r="D43" s="30"/>
      <c r="E43" s="30"/>
      <c r="F43" s="46"/>
      <c r="H43" s="30"/>
      <c r="I43" s="30"/>
    </row>
    <row r="44" spans="2:12" x14ac:dyDescent="0.25">
      <c r="B44" s="3"/>
      <c r="C44" s="40"/>
      <c r="E44" s="3"/>
      <c r="F44" s="3"/>
      <c r="G44" s="40"/>
      <c r="I44" s="30"/>
      <c r="K44" s="24"/>
    </row>
    <row r="45" spans="2:12" x14ac:dyDescent="0.25">
      <c r="B45" s="3"/>
      <c r="C45" s="30"/>
      <c r="D45" s="30"/>
      <c r="E45" s="30"/>
      <c r="F45" s="3"/>
      <c r="G45" s="30"/>
      <c r="H45" s="30"/>
      <c r="I45" s="30"/>
      <c r="J45" s="24"/>
      <c r="K45" s="24"/>
    </row>
    <row r="46" spans="2:12" x14ac:dyDescent="0.25">
      <c r="B46" s="40"/>
      <c r="C46" s="30"/>
      <c r="D46" s="30"/>
      <c r="E46" s="30"/>
      <c r="F46" s="40"/>
      <c r="G46" s="30"/>
      <c r="H46" s="30"/>
      <c r="I46" s="30"/>
    </row>
    <row r="47" spans="2:12" x14ac:dyDescent="0.25">
      <c r="B47" s="40"/>
      <c r="C47" s="44"/>
      <c r="D47" s="30"/>
      <c r="E47" s="30"/>
      <c r="F47" s="40"/>
      <c r="G47" s="44"/>
      <c r="H47" s="30"/>
      <c r="I47" s="30"/>
    </row>
    <row r="48" spans="2:12" x14ac:dyDescent="0.25">
      <c r="B48" s="41"/>
      <c r="C48" s="30"/>
      <c r="D48" s="30"/>
      <c r="E48" s="30"/>
      <c r="F48" s="41"/>
      <c r="G48" s="30"/>
      <c r="H48" s="30"/>
      <c r="I48" s="30"/>
    </row>
    <row r="49" spans="2:9" x14ac:dyDescent="0.25">
      <c r="B49" s="37" t="s">
        <v>33</v>
      </c>
      <c r="C49" s="42">
        <f>C35+C36+C37+C38+C39-D40</f>
        <v>248304.97999999998</v>
      </c>
      <c r="D49" s="42">
        <f>SUM(D42:D48)</f>
        <v>10000</v>
      </c>
      <c r="E49" s="42">
        <f>C49-D49</f>
        <v>238304.97999999998</v>
      </c>
      <c r="F49" s="37" t="s">
        <v>33</v>
      </c>
      <c r="G49" s="42">
        <f>G35+G36+G37+G38+G39-H40</f>
        <v>109054.97999999998</v>
      </c>
      <c r="H49" s="42">
        <f>SUM(H42:H48)</f>
        <v>10000</v>
      </c>
      <c r="I49" s="42">
        <f>G49-H49</f>
        <v>99054.979999999981</v>
      </c>
    </row>
    <row r="50" spans="2:9" x14ac:dyDescent="0.25">
      <c r="B50" t="s">
        <v>37</v>
      </c>
      <c r="D50" t="s">
        <v>39</v>
      </c>
      <c r="G50" t="s">
        <v>41</v>
      </c>
    </row>
    <row r="52" spans="2:9" x14ac:dyDescent="0.25">
      <c r="B52" t="s">
        <v>137</v>
      </c>
      <c r="D52" t="s">
        <v>40</v>
      </c>
      <c r="G52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10" workbookViewId="0">
      <selection activeCell="P31" sqref="P31"/>
    </sheetView>
  </sheetViews>
  <sheetFormatPr defaultRowHeight="15" x14ac:dyDescent="0.25"/>
  <cols>
    <col min="1" max="1" width="4.140625" customWidth="1"/>
    <col min="2" max="2" width="18.42578125" customWidth="1"/>
    <col min="3" max="3" width="8.28515625" customWidth="1"/>
    <col min="4" max="4" width="9.28515625" customWidth="1"/>
    <col min="6" max="6" width="14.7109375" customWidth="1"/>
    <col min="7" max="7" width="7.5703125" customWidth="1"/>
    <col min="8" max="8" width="10.28515625" customWidth="1"/>
    <col min="9" max="9" width="7.5703125" customWidth="1"/>
    <col min="10" max="10" width="8.42578125" customWidth="1"/>
  </cols>
  <sheetData>
    <row r="1" spans="1:11" ht="18.75" x14ac:dyDescent="0.3">
      <c r="A1" s="1"/>
      <c r="B1" s="1"/>
      <c r="C1" s="20" t="s">
        <v>0</v>
      </c>
      <c r="D1" s="20"/>
      <c r="E1" s="20"/>
      <c r="I1" s="1"/>
      <c r="J1" s="1"/>
    </row>
    <row r="2" spans="1:11" ht="18.75" x14ac:dyDescent="0.3">
      <c r="A2" s="1"/>
      <c r="B2" s="1"/>
      <c r="C2" s="20" t="s">
        <v>1</v>
      </c>
      <c r="D2" s="20"/>
      <c r="E2" s="20"/>
      <c r="I2" s="1"/>
      <c r="J2" s="1"/>
    </row>
    <row r="3" spans="1:11" ht="18.75" x14ac:dyDescent="0.3">
      <c r="A3" s="1"/>
      <c r="B3" s="1"/>
      <c r="C3" s="20" t="s">
        <v>83</v>
      </c>
      <c r="D3" s="20"/>
      <c r="E3" s="20"/>
      <c r="I3" s="1"/>
      <c r="J3" s="1"/>
    </row>
    <row r="4" spans="1:11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1" x14ac:dyDescent="0.25">
      <c r="A5" s="3">
        <v>1</v>
      </c>
      <c r="B5" s="3" t="s">
        <v>22</v>
      </c>
      <c r="C5" s="3"/>
      <c r="D5" s="3"/>
      <c r="E5" s="3"/>
      <c r="F5" s="3"/>
      <c r="G5" s="3">
        <v>12000</v>
      </c>
      <c r="H5" s="3">
        <f>C5+F5+G5</f>
        <v>12000</v>
      </c>
      <c r="I5" s="3">
        <v>12000</v>
      </c>
      <c r="J5" s="3">
        <f>H5-I5</f>
        <v>0</v>
      </c>
      <c r="K5" t="s">
        <v>77</v>
      </c>
    </row>
    <row r="6" spans="1:11" x14ac:dyDescent="0.25">
      <c r="A6" s="3">
        <v>2</v>
      </c>
      <c r="B6" t="s">
        <v>69</v>
      </c>
      <c r="C6" s="3"/>
      <c r="D6" s="3">
        <v>200</v>
      </c>
      <c r="E6" s="3">
        <v>300</v>
      </c>
      <c r="F6" s="3"/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</row>
    <row r="7" spans="1:11" x14ac:dyDescent="0.25">
      <c r="A7" s="3">
        <v>3</v>
      </c>
      <c r="B7" s="3" t="s">
        <v>12</v>
      </c>
      <c r="C7" s="3"/>
      <c r="D7" s="3">
        <v>200</v>
      </c>
      <c r="E7" s="3">
        <v>600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ref="J7:J25" si="1">H7-I7</f>
        <v>0</v>
      </c>
    </row>
    <row r="8" spans="1:11" x14ac:dyDescent="0.25">
      <c r="A8" s="3">
        <v>4</v>
      </c>
      <c r="B8" s="3" t="s">
        <v>89</v>
      </c>
      <c r="C8" s="3"/>
      <c r="D8" s="3">
        <v>400</v>
      </c>
      <c r="E8" s="3">
        <v>150</v>
      </c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</row>
    <row r="9" spans="1:11" x14ac:dyDescent="0.25">
      <c r="A9" s="3">
        <v>5</v>
      </c>
      <c r="B9" s="3" t="s">
        <v>36</v>
      </c>
      <c r="C9" s="3"/>
      <c r="D9" s="3"/>
      <c r="E9" s="3"/>
      <c r="F9" s="3"/>
      <c r="G9" s="3">
        <v>10000</v>
      </c>
      <c r="H9" s="3">
        <f t="shared" si="0"/>
        <v>10000</v>
      </c>
      <c r="I9" s="3"/>
      <c r="J9" s="3">
        <f t="shared" si="1"/>
        <v>10000</v>
      </c>
    </row>
    <row r="10" spans="1:11" x14ac:dyDescent="0.25">
      <c r="A10" s="3">
        <v>6</v>
      </c>
      <c r="B10" s="3" t="s">
        <v>13</v>
      </c>
      <c r="C10" s="3"/>
      <c r="D10" s="3">
        <v>200</v>
      </c>
      <c r="E10" s="3">
        <v>450</v>
      </c>
      <c r="F10" s="3"/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</row>
    <row r="11" spans="1:11" x14ac:dyDescent="0.25">
      <c r="A11" s="3">
        <v>7</v>
      </c>
      <c r="B11" s="3" t="s">
        <v>14</v>
      </c>
      <c r="C11" s="3"/>
      <c r="D11" s="3">
        <v>200</v>
      </c>
      <c r="E11" s="3">
        <v>900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</row>
    <row r="12" spans="1:11" x14ac:dyDescent="0.25">
      <c r="A12" s="3">
        <v>8</v>
      </c>
      <c r="B12" s="3" t="s">
        <v>15</v>
      </c>
      <c r="C12" s="3"/>
      <c r="D12" s="3"/>
      <c r="E12" s="3"/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</row>
    <row r="13" spans="1:11" x14ac:dyDescent="0.25">
      <c r="A13" s="3">
        <v>9</v>
      </c>
      <c r="B13" s="3" t="s">
        <v>16</v>
      </c>
      <c r="C13" s="3"/>
      <c r="D13" s="3">
        <v>200</v>
      </c>
      <c r="E13" s="3">
        <v>450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</row>
    <row r="14" spans="1:11" x14ac:dyDescent="0.25">
      <c r="A14" s="3">
        <v>10</v>
      </c>
      <c r="B14" s="3" t="s">
        <v>90</v>
      </c>
      <c r="C14" s="3"/>
      <c r="D14" s="3">
        <v>200</v>
      </c>
      <c r="E14" s="3">
        <v>450</v>
      </c>
      <c r="F14" s="3"/>
      <c r="G14" s="3">
        <v>10000</v>
      </c>
      <c r="H14" s="3">
        <f t="shared" si="0"/>
        <v>10000</v>
      </c>
      <c r="I14" s="3">
        <v>10000</v>
      </c>
      <c r="J14" s="3">
        <f t="shared" si="1"/>
        <v>0</v>
      </c>
    </row>
    <row r="15" spans="1:11" x14ac:dyDescent="0.25">
      <c r="A15" s="3">
        <v>11</v>
      </c>
      <c r="B15" s="3" t="s">
        <v>18</v>
      </c>
      <c r="C15" s="3"/>
      <c r="D15" s="3">
        <v>200</v>
      </c>
      <c r="E15" s="3">
        <v>600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</row>
    <row r="16" spans="1:11" x14ac:dyDescent="0.25">
      <c r="A16" s="3">
        <v>12</v>
      </c>
      <c r="B16" s="3" t="s">
        <v>54</v>
      </c>
      <c r="C16" s="3"/>
      <c r="D16" s="3">
        <v>200</v>
      </c>
      <c r="E16" s="3">
        <v>450</v>
      </c>
      <c r="F16" s="3"/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</row>
    <row r="17" spans="1:15" x14ac:dyDescent="0.25">
      <c r="A17" s="3">
        <v>13</v>
      </c>
      <c r="B17" s="12" t="s">
        <v>19</v>
      </c>
      <c r="C17" s="3"/>
      <c r="D17" s="3">
        <v>200</v>
      </c>
      <c r="E17" s="3">
        <v>750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</row>
    <row r="18" spans="1:15" x14ac:dyDescent="0.25">
      <c r="A18" s="3">
        <v>14</v>
      </c>
      <c r="B18" s="12" t="s">
        <v>70</v>
      </c>
      <c r="C18" s="3"/>
      <c r="D18" s="3">
        <v>200</v>
      </c>
      <c r="E18" s="3">
        <v>600</v>
      </c>
      <c r="F18" s="3"/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</row>
    <row r="19" spans="1:15" x14ac:dyDescent="0.25">
      <c r="A19" s="3">
        <v>15</v>
      </c>
      <c r="B19" s="3" t="s">
        <v>85</v>
      </c>
      <c r="C19" s="3">
        <v>10000</v>
      </c>
      <c r="D19" s="3">
        <v>200</v>
      </c>
      <c r="E19" s="3"/>
      <c r="F19" s="3"/>
      <c r="G19" s="3">
        <v>10000</v>
      </c>
      <c r="H19" s="3">
        <f>C19+F19+G19</f>
        <v>20000</v>
      </c>
      <c r="I19" s="3">
        <v>20000</v>
      </c>
      <c r="J19" s="3">
        <f t="shared" si="1"/>
        <v>0</v>
      </c>
    </row>
    <row r="20" spans="1:15" x14ac:dyDescent="0.25">
      <c r="A20" s="3">
        <v>16</v>
      </c>
      <c r="B20" s="3" t="s">
        <v>20</v>
      </c>
      <c r="C20" s="3"/>
      <c r="D20" s="3"/>
      <c r="E20" s="3"/>
      <c r="F20" s="3"/>
      <c r="G20" s="3">
        <v>12000</v>
      </c>
      <c r="H20" s="3">
        <f t="shared" si="0"/>
        <v>12000</v>
      </c>
      <c r="I20" s="3">
        <v>12000</v>
      </c>
      <c r="J20" s="3">
        <f t="shared" si="1"/>
        <v>0</v>
      </c>
      <c r="K20" t="s">
        <v>91</v>
      </c>
    </row>
    <row r="21" spans="1:15" x14ac:dyDescent="0.25">
      <c r="A21" s="3">
        <v>17</v>
      </c>
      <c r="B21" s="3" t="s">
        <v>67</v>
      </c>
      <c r="C21" s="3"/>
      <c r="D21" s="3"/>
      <c r="E21" s="3">
        <v>1950</v>
      </c>
      <c r="F21" s="3"/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</row>
    <row r="22" spans="1:15" x14ac:dyDescent="0.25">
      <c r="A22" s="3">
        <v>18</v>
      </c>
      <c r="B22" s="3" t="s">
        <v>21</v>
      </c>
      <c r="C22" s="3"/>
      <c r="D22" s="3">
        <v>200</v>
      </c>
      <c r="E22" s="3">
        <v>300</v>
      </c>
      <c r="F22" s="3"/>
      <c r="G22" s="3">
        <v>10000</v>
      </c>
      <c r="H22" s="3">
        <f t="shared" si="0"/>
        <v>10000</v>
      </c>
      <c r="I22" s="3">
        <v>10000</v>
      </c>
      <c r="J22" s="3">
        <f>H22-I22</f>
        <v>0</v>
      </c>
    </row>
    <row r="23" spans="1:15" x14ac:dyDescent="0.25">
      <c r="A23" s="3">
        <v>19</v>
      </c>
      <c r="B23" s="3" t="s">
        <v>74</v>
      </c>
      <c r="C23" s="3"/>
      <c r="D23" s="3"/>
      <c r="E23" s="3"/>
      <c r="F23" s="3"/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</row>
    <row r="24" spans="1:15" x14ac:dyDescent="0.25">
      <c r="A24" s="3">
        <v>20</v>
      </c>
      <c r="B24" s="3" t="s">
        <v>55</v>
      </c>
      <c r="C24" s="3"/>
      <c r="D24" s="3">
        <v>200</v>
      </c>
      <c r="E24" s="3">
        <v>600</v>
      </c>
      <c r="F24" s="3"/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</row>
    <row r="25" spans="1:15" x14ac:dyDescent="0.25">
      <c r="A25" s="2"/>
      <c r="B25" s="2" t="s">
        <v>33</v>
      </c>
      <c r="C25" s="2">
        <f t="shared" ref="C25:I25" si="2">SUM(C5:C24)</f>
        <v>10000</v>
      </c>
      <c r="D25" s="2">
        <f t="shared" si="2"/>
        <v>3000</v>
      </c>
      <c r="E25" s="2">
        <f t="shared" si="2"/>
        <v>8550</v>
      </c>
      <c r="F25" s="2">
        <f t="shared" si="2"/>
        <v>0</v>
      </c>
      <c r="G25" s="2">
        <f t="shared" si="2"/>
        <v>208000</v>
      </c>
      <c r="H25" s="2">
        <f t="shared" si="2"/>
        <v>218000</v>
      </c>
      <c r="I25" s="2">
        <f t="shared" si="2"/>
        <v>208000</v>
      </c>
      <c r="J25" s="2">
        <f t="shared" si="1"/>
        <v>10000</v>
      </c>
    </row>
    <row r="26" spans="1:1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5" x14ac:dyDescent="0.25">
      <c r="B27" s="4" t="s">
        <v>23</v>
      </c>
      <c r="C27" s="5"/>
      <c r="D27" s="6"/>
      <c r="E27" s="7"/>
      <c r="F27" s="8"/>
      <c r="G27" s="9"/>
      <c r="H27" s="8"/>
    </row>
    <row r="28" spans="1:15" x14ac:dyDescent="0.25">
      <c r="B28" s="1" t="s">
        <v>24</v>
      </c>
      <c r="C28" s="1"/>
      <c r="D28" s="1"/>
      <c r="E28" s="10"/>
      <c r="F28" s="1" t="s">
        <v>8</v>
      </c>
      <c r="G28" s="11"/>
      <c r="H28" s="11"/>
      <c r="I28" s="11"/>
    </row>
    <row r="29" spans="1:15" x14ac:dyDescent="0.25">
      <c r="B29" s="2" t="s">
        <v>25</v>
      </c>
      <c r="C29" s="2" t="s">
        <v>26</v>
      </c>
      <c r="D29" s="2" t="s">
        <v>27</v>
      </c>
      <c r="E29" s="2" t="s">
        <v>28</v>
      </c>
      <c r="F29" s="2" t="s">
        <v>25</v>
      </c>
      <c r="G29" s="2" t="s">
        <v>26</v>
      </c>
      <c r="H29" s="2" t="s">
        <v>27</v>
      </c>
      <c r="I29" s="2" t="s">
        <v>28</v>
      </c>
    </row>
    <row r="30" spans="1:15" x14ac:dyDescent="0.25">
      <c r="B30" s="12" t="s">
        <v>84</v>
      </c>
      <c r="C30" s="13">
        <f>C25+G25</f>
        <v>218000</v>
      </c>
      <c r="D30" s="12"/>
      <c r="E30" s="12"/>
      <c r="F30" s="12" t="s">
        <v>84</v>
      </c>
      <c r="G30" s="13">
        <f>I25</f>
        <v>208000</v>
      </c>
      <c r="H30" s="12"/>
      <c r="I30" s="12"/>
    </row>
    <row r="31" spans="1:15" x14ac:dyDescent="0.25">
      <c r="B31" s="12" t="s">
        <v>5</v>
      </c>
      <c r="C31" s="13">
        <v>-430</v>
      </c>
      <c r="D31" s="12"/>
      <c r="E31" s="12"/>
      <c r="F31" s="12" t="s">
        <v>5</v>
      </c>
      <c r="G31" s="13">
        <v>-430</v>
      </c>
      <c r="H31" s="12"/>
      <c r="I31" s="12"/>
    </row>
    <row r="32" spans="1:15" x14ac:dyDescent="0.25">
      <c r="B32" s="12" t="s">
        <v>86</v>
      </c>
      <c r="C32" s="13">
        <v>1500</v>
      </c>
      <c r="D32" s="12"/>
      <c r="E32" s="12"/>
      <c r="F32" s="12" t="s">
        <v>86</v>
      </c>
      <c r="G32" s="13">
        <v>1500</v>
      </c>
      <c r="H32" s="12"/>
      <c r="I32" s="12"/>
      <c r="M32" s="11">
        <v>7900</v>
      </c>
      <c r="N32" s="1" t="s">
        <v>104</v>
      </c>
      <c r="O32" s="1"/>
    </row>
    <row r="33" spans="2:15" x14ac:dyDescent="0.25">
      <c r="B33" s="12" t="s">
        <v>35</v>
      </c>
      <c r="C33" s="13">
        <f>E25</f>
        <v>8550</v>
      </c>
      <c r="D33" s="12"/>
      <c r="E33" s="12"/>
      <c r="F33" s="12" t="s">
        <v>35</v>
      </c>
      <c r="G33" s="13">
        <f>C33</f>
        <v>8550</v>
      </c>
      <c r="H33" s="12"/>
      <c r="I33" s="12"/>
      <c r="M33" s="11">
        <v>12000</v>
      </c>
      <c r="N33" s="1" t="s">
        <v>105</v>
      </c>
      <c r="O33" s="1"/>
    </row>
    <row r="34" spans="2:15" x14ac:dyDescent="0.25">
      <c r="B34" s="12" t="s">
        <v>30</v>
      </c>
      <c r="C34" s="14">
        <v>0.06</v>
      </c>
      <c r="D34" s="13">
        <f>C30*C34</f>
        <v>13080</v>
      </c>
      <c r="E34" s="12"/>
      <c r="F34" s="12" t="s">
        <v>30</v>
      </c>
      <c r="G34" s="14">
        <v>0.06</v>
      </c>
      <c r="H34" s="13">
        <f>D34</f>
        <v>13080</v>
      </c>
      <c r="I34" s="12"/>
      <c r="M34" s="11">
        <v>200</v>
      </c>
      <c r="N34" s="1" t="s">
        <v>106</v>
      </c>
      <c r="O34" s="1"/>
    </row>
    <row r="35" spans="2:15" x14ac:dyDescent="0.25">
      <c r="B35" s="15" t="s">
        <v>31</v>
      </c>
      <c r="C35" s="12" t="s">
        <v>32</v>
      </c>
      <c r="D35" s="12"/>
      <c r="E35" s="12"/>
      <c r="F35" s="15" t="s">
        <v>31</v>
      </c>
      <c r="G35" s="13"/>
      <c r="H35" s="12"/>
      <c r="I35" s="12"/>
      <c r="M35" s="11">
        <v>2400</v>
      </c>
      <c r="N35" s="1" t="s">
        <v>107</v>
      </c>
      <c r="O35" s="1"/>
    </row>
    <row r="36" spans="2:15" x14ac:dyDescent="0.25">
      <c r="B36" s="3" t="s">
        <v>87</v>
      </c>
      <c r="C36" s="3"/>
      <c r="D36" s="3">
        <v>17000</v>
      </c>
      <c r="E36" s="3"/>
      <c r="F36" s="3" t="s">
        <v>87</v>
      </c>
      <c r="G36" s="3"/>
      <c r="H36" s="3">
        <v>17000</v>
      </c>
      <c r="I36" s="12"/>
      <c r="M36" s="11">
        <v>2900</v>
      </c>
      <c r="N36" s="1" t="s">
        <v>108</v>
      </c>
      <c r="O36" s="1"/>
    </row>
    <row r="37" spans="2:15" x14ac:dyDescent="0.25">
      <c r="B37" s="26" t="s">
        <v>88</v>
      </c>
      <c r="C37" s="3"/>
      <c r="D37" s="3">
        <v>8000</v>
      </c>
      <c r="E37" s="3"/>
      <c r="F37" s="26" t="s">
        <v>88</v>
      </c>
      <c r="G37" s="3"/>
      <c r="H37" s="3">
        <v>8000</v>
      </c>
      <c r="I37" s="12"/>
      <c r="M37" s="11">
        <v>10000</v>
      </c>
      <c r="N37" s="1" t="s">
        <v>109</v>
      </c>
      <c r="O37" s="1"/>
    </row>
    <row r="38" spans="2:15" x14ac:dyDescent="0.25">
      <c r="B38" s="16">
        <v>43416</v>
      </c>
      <c r="C38" s="12"/>
      <c r="D38" s="12">
        <v>185000</v>
      </c>
      <c r="E38" s="12"/>
      <c r="F38" s="16">
        <v>43416</v>
      </c>
      <c r="G38" s="12"/>
      <c r="H38" s="12">
        <v>185000</v>
      </c>
      <c r="I38" s="12"/>
      <c r="M38" s="11">
        <v>5000</v>
      </c>
      <c r="N38" s="1" t="s">
        <v>110</v>
      </c>
      <c r="O38" s="1"/>
    </row>
    <row r="39" spans="2:15" x14ac:dyDescent="0.25">
      <c r="B39" s="16" t="s">
        <v>96</v>
      </c>
      <c r="C39" s="12"/>
      <c r="D39" s="12">
        <v>7000</v>
      </c>
      <c r="E39" s="12"/>
      <c r="F39" s="16" t="s">
        <v>96</v>
      </c>
      <c r="G39" s="12"/>
      <c r="H39" s="12">
        <v>7000</v>
      </c>
      <c r="I39" s="12"/>
      <c r="M39" s="1">
        <f>SUM(M32:M38)</f>
        <v>40400</v>
      </c>
      <c r="N39" s="1"/>
      <c r="O39" s="1"/>
    </row>
    <row r="40" spans="2:15" x14ac:dyDescent="0.25">
      <c r="B40" s="17" t="s">
        <v>95</v>
      </c>
      <c r="C40" s="12"/>
      <c r="D40" s="12">
        <v>20000</v>
      </c>
      <c r="E40" s="12"/>
      <c r="F40" s="17" t="s">
        <v>95</v>
      </c>
      <c r="G40" s="12"/>
      <c r="H40" s="12">
        <v>20000</v>
      </c>
      <c r="I40" s="12"/>
      <c r="M40" s="1"/>
      <c r="N40" s="1"/>
      <c r="O40" s="1"/>
    </row>
    <row r="41" spans="2:15" x14ac:dyDescent="0.25">
      <c r="B41" s="15" t="s">
        <v>33</v>
      </c>
      <c r="C41" s="18">
        <f>C30+C31+C32+C33-D34</f>
        <v>214540</v>
      </c>
      <c r="D41" s="18">
        <f>SUM(D36:D40)</f>
        <v>237000</v>
      </c>
      <c r="E41" s="18">
        <f>C41-D41</f>
        <v>-22460</v>
      </c>
      <c r="F41" s="15" t="s">
        <v>33</v>
      </c>
      <c r="G41" s="18">
        <f>G30+G31+G32+G33-H34</f>
        <v>204540</v>
      </c>
      <c r="H41" s="18">
        <f>SUM(H36:H40)</f>
        <v>237000</v>
      </c>
      <c r="I41" s="13">
        <f>G41-H41</f>
        <v>-32460</v>
      </c>
    </row>
    <row r="43" spans="2:15" x14ac:dyDescent="0.25">
      <c r="K43" s="25"/>
    </row>
    <row r="44" spans="2:15" x14ac:dyDescent="0.25">
      <c r="B44" t="s">
        <v>37</v>
      </c>
      <c r="D44" t="s">
        <v>39</v>
      </c>
      <c r="G44" t="s">
        <v>41</v>
      </c>
      <c r="K44">
        <v>178000</v>
      </c>
    </row>
    <row r="45" spans="2:15" x14ac:dyDescent="0.25">
      <c r="K45" s="24">
        <f>E41-K44</f>
        <v>-200460</v>
      </c>
    </row>
    <row r="46" spans="2:15" x14ac:dyDescent="0.25">
      <c r="B46" t="s">
        <v>38</v>
      </c>
      <c r="D46" t="s">
        <v>40</v>
      </c>
      <c r="G46" t="s">
        <v>42</v>
      </c>
    </row>
    <row r="47" spans="2:15" x14ac:dyDescent="0.25">
      <c r="C47" s="1"/>
      <c r="D47" s="1"/>
      <c r="E47" s="1"/>
      <c r="F47" s="22"/>
      <c r="G47" s="1"/>
      <c r="H47" s="1"/>
    </row>
    <row r="48" spans="2:15" x14ac:dyDescent="0.25">
      <c r="C48" s="1"/>
      <c r="D48" s="1"/>
      <c r="E48" s="1"/>
      <c r="F48" s="22"/>
      <c r="G48" s="1"/>
      <c r="H48" s="1"/>
    </row>
    <row r="49" spans="2:8" x14ac:dyDescent="0.25">
      <c r="C49" s="1"/>
      <c r="D49" s="1"/>
      <c r="E49" s="1"/>
      <c r="F49" s="22"/>
      <c r="G49" s="1"/>
      <c r="H49" s="1"/>
    </row>
    <row r="50" spans="2:8" x14ac:dyDescent="0.25">
      <c r="C50" s="1"/>
      <c r="D50" s="1"/>
      <c r="E50" s="1"/>
      <c r="F50" s="23"/>
      <c r="G50" s="1"/>
      <c r="H50" s="22"/>
    </row>
    <row r="56" spans="2:8" x14ac:dyDescent="0.25">
      <c r="B56" s="25"/>
    </row>
    <row r="57" spans="2:8" x14ac:dyDescent="0.25">
      <c r="B57" s="25"/>
      <c r="C57" s="24"/>
    </row>
  </sheetData>
  <pageMargins left="0" right="0" top="0" bottom="0" header="0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zoomScaleNormal="100" workbookViewId="0">
      <selection activeCell="L30" sqref="L30"/>
    </sheetView>
  </sheetViews>
  <sheetFormatPr defaultRowHeight="15" x14ac:dyDescent="0.25"/>
  <cols>
    <col min="1" max="1" width="4.140625" customWidth="1"/>
    <col min="2" max="2" width="19.140625" customWidth="1"/>
    <col min="3" max="3" width="8.28515625" customWidth="1"/>
    <col min="4" max="4" width="9.28515625" customWidth="1"/>
    <col min="6" max="6" width="13.7109375" customWidth="1"/>
    <col min="7" max="7" width="8.28515625" customWidth="1"/>
    <col min="8" max="8" width="10.28515625" customWidth="1"/>
    <col min="10" max="10" width="8.85546875" customWidth="1"/>
  </cols>
  <sheetData>
    <row r="1" spans="1:10" ht="15.75" x14ac:dyDescent="0.25">
      <c r="A1" s="1"/>
      <c r="B1" s="1"/>
      <c r="C1" s="21" t="s">
        <v>0</v>
      </c>
      <c r="D1" s="21"/>
      <c r="E1" s="21"/>
      <c r="F1" s="27"/>
      <c r="G1" s="27"/>
      <c r="I1" s="1"/>
      <c r="J1" s="1"/>
    </row>
    <row r="2" spans="1:10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0" ht="15.75" x14ac:dyDescent="0.25">
      <c r="A3" s="1"/>
      <c r="B3" s="1"/>
      <c r="C3" s="21" t="s">
        <v>92</v>
      </c>
      <c r="D3" s="21"/>
      <c r="E3" s="21"/>
      <c r="F3" s="27"/>
      <c r="G3" s="27"/>
      <c r="I3" s="1"/>
      <c r="J3" s="1"/>
    </row>
    <row r="4" spans="1:10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x14ac:dyDescent="0.25">
      <c r="A5" s="3">
        <v>1</v>
      </c>
      <c r="B5" s="3" t="s">
        <v>94</v>
      </c>
      <c r="C5" s="3"/>
      <c r="D5" s="3"/>
      <c r="E5" s="3"/>
      <c r="F5" s="3"/>
      <c r="G5" s="3">
        <v>12000</v>
      </c>
      <c r="H5" s="3">
        <f>C5+F5+G5</f>
        <v>12000</v>
      </c>
      <c r="I5" s="3">
        <v>12000</v>
      </c>
      <c r="J5" s="3">
        <f>H5-I5</f>
        <v>0</v>
      </c>
    </row>
    <row r="6" spans="1:10" x14ac:dyDescent="0.25">
      <c r="A6" s="3">
        <v>2</v>
      </c>
      <c r="B6" t="s">
        <v>69</v>
      </c>
      <c r="C6" s="3"/>
      <c r="D6" s="3">
        <v>200</v>
      </c>
      <c r="E6" s="3">
        <v>600</v>
      </c>
      <c r="F6" s="3"/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</row>
    <row r="7" spans="1:10" x14ac:dyDescent="0.25">
      <c r="A7" s="3">
        <v>3</v>
      </c>
      <c r="B7" s="3" t="s">
        <v>12</v>
      </c>
      <c r="C7" s="3"/>
      <c r="D7" s="3">
        <v>200</v>
      </c>
      <c r="E7" s="3">
        <v>600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ref="J7:J25" si="1">H7-I7</f>
        <v>0</v>
      </c>
    </row>
    <row r="8" spans="1:10" x14ac:dyDescent="0.25">
      <c r="A8" s="3">
        <v>4</v>
      </c>
      <c r="B8" s="3" t="s">
        <v>89</v>
      </c>
      <c r="C8" s="3"/>
      <c r="D8" s="3">
        <v>200</v>
      </c>
      <c r="E8" s="3">
        <v>450</v>
      </c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</row>
    <row r="9" spans="1:10" x14ac:dyDescent="0.25">
      <c r="A9" s="3">
        <v>5</v>
      </c>
      <c r="B9" s="3" t="s">
        <v>36</v>
      </c>
      <c r="C9" s="3"/>
      <c r="D9" s="3">
        <v>100</v>
      </c>
      <c r="E9" s="3"/>
      <c r="F9" s="3">
        <v>10000</v>
      </c>
      <c r="G9" s="3">
        <v>10000</v>
      </c>
      <c r="H9" s="3">
        <f t="shared" si="0"/>
        <v>20000</v>
      </c>
      <c r="I9" s="3">
        <v>8000</v>
      </c>
      <c r="J9" s="3">
        <f t="shared" si="1"/>
        <v>12000</v>
      </c>
    </row>
    <row r="10" spans="1:10" x14ac:dyDescent="0.25">
      <c r="A10" s="3">
        <v>6</v>
      </c>
      <c r="B10" s="3" t="s">
        <v>13</v>
      </c>
      <c r="C10" s="3"/>
      <c r="D10" s="3">
        <v>200</v>
      </c>
      <c r="E10" s="3">
        <v>600</v>
      </c>
      <c r="F10" s="3"/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</row>
    <row r="11" spans="1:10" x14ac:dyDescent="0.25">
      <c r="A11" s="3">
        <v>7</v>
      </c>
      <c r="B11" s="3" t="s">
        <v>14</v>
      </c>
      <c r="C11" s="3"/>
      <c r="D11" s="3">
        <v>200</v>
      </c>
      <c r="E11" s="3">
        <v>900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</row>
    <row r="12" spans="1:10" x14ac:dyDescent="0.25">
      <c r="A12" s="3">
        <v>8</v>
      </c>
      <c r="B12" s="3" t="s">
        <v>15</v>
      </c>
      <c r="C12" s="3"/>
      <c r="D12" s="3"/>
      <c r="E12" s="3"/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</row>
    <row r="13" spans="1:10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</row>
    <row r="14" spans="1:10" x14ac:dyDescent="0.25">
      <c r="A14" s="3">
        <v>10</v>
      </c>
      <c r="B14" s="3"/>
      <c r="C14" s="3"/>
      <c r="D14" s="3"/>
      <c r="E14" s="3"/>
      <c r="F14" s="3"/>
      <c r="G14" s="3"/>
      <c r="H14" s="3">
        <f t="shared" si="0"/>
        <v>0</v>
      </c>
      <c r="I14" s="3"/>
      <c r="J14" s="3">
        <f t="shared" si="1"/>
        <v>0</v>
      </c>
    </row>
    <row r="15" spans="1:10" x14ac:dyDescent="0.25">
      <c r="A15" s="3">
        <v>11</v>
      </c>
      <c r="B15" s="3" t="s">
        <v>18</v>
      </c>
      <c r="C15" s="3"/>
      <c r="D15" s="3">
        <v>200</v>
      </c>
      <c r="E15" s="3">
        <v>200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</row>
    <row r="16" spans="1:10" x14ac:dyDescent="0.25">
      <c r="A16" s="3">
        <v>12</v>
      </c>
      <c r="B16" s="3" t="s">
        <v>54</v>
      </c>
      <c r="C16" s="3"/>
      <c r="D16" s="3">
        <v>200</v>
      </c>
      <c r="E16" s="3">
        <v>800</v>
      </c>
      <c r="F16" s="3"/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</row>
    <row r="17" spans="1:11" x14ac:dyDescent="0.25">
      <c r="A17" s="3">
        <v>13</v>
      </c>
      <c r="B17" s="12" t="s">
        <v>19</v>
      </c>
      <c r="C17" s="3"/>
      <c r="D17" s="3">
        <v>200</v>
      </c>
      <c r="E17" s="3"/>
      <c r="F17" s="3"/>
      <c r="G17" s="3">
        <v>10000</v>
      </c>
      <c r="H17" s="3">
        <f t="shared" si="0"/>
        <v>10000</v>
      </c>
      <c r="I17" s="3">
        <v>9050</v>
      </c>
      <c r="J17" s="3">
        <f t="shared" si="1"/>
        <v>950</v>
      </c>
    </row>
    <row r="18" spans="1:11" x14ac:dyDescent="0.25">
      <c r="A18" s="3">
        <v>14</v>
      </c>
      <c r="B18" s="12" t="s">
        <v>70</v>
      </c>
      <c r="C18" s="3"/>
      <c r="D18" s="3">
        <v>200</v>
      </c>
      <c r="E18" s="3">
        <v>750</v>
      </c>
      <c r="F18" s="3"/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</row>
    <row r="19" spans="1:11" x14ac:dyDescent="0.25">
      <c r="A19" s="3">
        <v>15</v>
      </c>
      <c r="B19" s="3" t="s">
        <v>85</v>
      </c>
      <c r="C19" s="3"/>
      <c r="D19" s="3">
        <v>200</v>
      </c>
      <c r="E19" s="3">
        <v>300</v>
      </c>
      <c r="F19" s="3"/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</row>
    <row r="20" spans="1:11" x14ac:dyDescent="0.25">
      <c r="A20" s="3">
        <v>16</v>
      </c>
      <c r="B20" s="3" t="s">
        <v>20</v>
      </c>
      <c r="C20" s="3"/>
      <c r="D20" s="3"/>
      <c r="E20" s="3"/>
      <c r="F20" s="3"/>
      <c r="G20" s="3"/>
      <c r="H20" s="3">
        <f t="shared" si="0"/>
        <v>0</v>
      </c>
      <c r="I20" s="3"/>
      <c r="J20" s="3">
        <f t="shared" si="1"/>
        <v>0</v>
      </c>
    </row>
    <row r="21" spans="1:11" x14ac:dyDescent="0.25">
      <c r="A21" s="3">
        <v>17</v>
      </c>
      <c r="B21" s="3"/>
      <c r="C21" s="3"/>
      <c r="D21" s="3"/>
      <c r="E21" s="3"/>
      <c r="F21" s="3"/>
      <c r="G21" s="3"/>
      <c r="H21" s="3">
        <f t="shared" si="0"/>
        <v>0</v>
      </c>
      <c r="I21" s="3"/>
      <c r="J21" s="3">
        <f t="shared" si="1"/>
        <v>0</v>
      </c>
    </row>
    <row r="22" spans="1:11" x14ac:dyDescent="0.25">
      <c r="A22" s="3">
        <v>18</v>
      </c>
      <c r="B22" s="3" t="s">
        <v>21</v>
      </c>
      <c r="C22" s="3"/>
      <c r="D22" s="3"/>
      <c r="E22" s="3"/>
      <c r="F22" s="3"/>
      <c r="G22" s="3">
        <v>10000</v>
      </c>
      <c r="H22" s="3">
        <f t="shared" si="0"/>
        <v>10000</v>
      </c>
      <c r="I22" s="3">
        <v>10000</v>
      </c>
      <c r="J22" s="3">
        <f>H22-I22</f>
        <v>0</v>
      </c>
      <c r="K22" t="s">
        <v>60</v>
      </c>
    </row>
    <row r="23" spans="1:11" x14ac:dyDescent="0.25">
      <c r="A23" s="3">
        <v>19</v>
      </c>
      <c r="B23" s="3"/>
      <c r="C23" s="3"/>
      <c r="D23" s="3"/>
      <c r="E23" s="3"/>
      <c r="F23" s="3"/>
      <c r="G23" s="3"/>
      <c r="H23" s="3">
        <f t="shared" si="0"/>
        <v>0</v>
      </c>
      <c r="I23" s="3"/>
      <c r="J23" s="3">
        <f>H23-I23</f>
        <v>0</v>
      </c>
    </row>
    <row r="24" spans="1:11" x14ac:dyDescent="0.25">
      <c r="A24" s="3">
        <v>20</v>
      </c>
      <c r="B24" s="3" t="s">
        <v>55</v>
      </c>
      <c r="C24" s="3"/>
      <c r="D24" s="3">
        <v>200</v>
      </c>
      <c r="E24" s="3">
        <v>600</v>
      </c>
      <c r="F24" s="3"/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</row>
    <row r="25" spans="1:11" x14ac:dyDescent="0.25">
      <c r="A25" s="2"/>
      <c r="B25" s="2" t="s">
        <v>33</v>
      </c>
      <c r="C25" s="2">
        <f t="shared" ref="C25:I25" si="2">SUM(C5:C24)</f>
        <v>0</v>
      </c>
      <c r="D25" s="2">
        <f t="shared" si="2"/>
        <v>2500</v>
      </c>
      <c r="E25" s="2">
        <f t="shared" si="2"/>
        <v>6100</v>
      </c>
      <c r="F25" s="2">
        <f t="shared" si="2"/>
        <v>10000</v>
      </c>
      <c r="G25" s="2">
        <f t="shared" si="2"/>
        <v>166000</v>
      </c>
      <c r="H25" s="2">
        <f t="shared" si="2"/>
        <v>176000</v>
      </c>
      <c r="I25" s="2">
        <f t="shared" si="2"/>
        <v>163050</v>
      </c>
      <c r="J25" s="2">
        <f t="shared" si="1"/>
        <v>12950</v>
      </c>
    </row>
    <row r="26" spans="1:1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1" x14ac:dyDescent="0.25">
      <c r="B27" s="4" t="s">
        <v>23</v>
      </c>
      <c r="C27" s="5"/>
      <c r="D27" s="6"/>
      <c r="E27" s="7"/>
      <c r="F27" s="8"/>
      <c r="G27" s="9"/>
      <c r="H27" s="8"/>
    </row>
    <row r="28" spans="1:11" x14ac:dyDescent="0.25">
      <c r="B28" s="1" t="s">
        <v>24</v>
      </c>
      <c r="C28" s="1"/>
      <c r="D28" s="1"/>
      <c r="E28" s="10"/>
      <c r="F28" s="1" t="s">
        <v>8</v>
      </c>
      <c r="G28" s="11"/>
      <c r="H28" s="11"/>
      <c r="I28" s="11"/>
    </row>
    <row r="29" spans="1:11" x14ac:dyDescent="0.25">
      <c r="B29" s="2" t="s">
        <v>25</v>
      </c>
      <c r="C29" s="2" t="s">
        <v>26</v>
      </c>
      <c r="D29" s="2" t="s">
        <v>27</v>
      </c>
      <c r="E29" s="2" t="s">
        <v>28</v>
      </c>
      <c r="F29" s="2" t="s">
        <v>25</v>
      </c>
      <c r="G29" s="2" t="s">
        <v>26</v>
      </c>
      <c r="H29" s="2" t="s">
        <v>27</v>
      </c>
      <c r="I29" s="2" t="s">
        <v>28</v>
      </c>
    </row>
    <row r="30" spans="1:11" x14ac:dyDescent="0.25">
      <c r="B30" s="12" t="s">
        <v>93</v>
      </c>
      <c r="C30" s="13">
        <f>C25+G25</f>
        <v>166000</v>
      </c>
      <c r="D30" s="12"/>
      <c r="E30" s="12"/>
      <c r="F30" s="12" t="s">
        <v>93</v>
      </c>
      <c r="G30" s="13">
        <f>I25</f>
        <v>163050</v>
      </c>
      <c r="H30" s="12"/>
      <c r="I30" s="12"/>
    </row>
    <row r="31" spans="1:11" x14ac:dyDescent="0.25">
      <c r="B31" s="12" t="s">
        <v>5</v>
      </c>
      <c r="C31" s="13">
        <f>NOVEMBER!E41</f>
        <v>-22460</v>
      </c>
      <c r="D31" s="12"/>
      <c r="E31" s="12"/>
      <c r="F31" s="12" t="s">
        <v>5</v>
      </c>
      <c r="G31" s="13">
        <f>NOVEMBER!I41</f>
        <v>-32460</v>
      </c>
      <c r="H31" s="12"/>
      <c r="I31" s="12"/>
    </row>
    <row r="32" spans="1:11" x14ac:dyDescent="0.25">
      <c r="B32" s="12" t="s">
        <v>35</v>
      </c>
      <c r="C32" s="13">
        <f>E25</f>
        <v>6100</v>
      </c>
      <c r="D32" s="12"/>
      <c r="E32" s="12"/>
      <c r="F32" s="12" t="s">
        <v>35</v>
      </c>
      <c r="G32" s="13">
        <f>C32</f>
        <v>6100</v>
      </c>
      <c r="H32" s="12"/>
      <c r="I32" s="12"/>
    </row>
    <row r="33" spans="2:11" x14ac:dyDescent="0.25">
      <c r="B33" s="12" t="s">
        <v>30</v>
      </c>
      <c r="C33" s="14">
        <v>0.06</v>
      </c>
      <c r="D33" s="13">
        <f>C30*C33</f>
        <v>9960</v>
      </c>
      <c r="E33" s="12"/>
      <c r="F33" s="12" t="s">
        <v>30</v>
      </c>
      <c r="G33" s="14">
        <v>0.06</v>
      </c>
      <c r="H33" s="13">
        <f>D33</f>
        <v>9960</v>
      </c>
      <c r="I33" s="12"/>
    </row>
    <row r="34" spans="2:11" x14ac:dyDescent="0.25">
      <c r="B34" s="28" t="s">
        <v>31</v>
      </c>
      <c r="C34" s="12" t="s">
        <v>32</v>
      </c>
      <c r="D34" s="12"/>
      <c r="E34" s="12"/>
      <c r="F34" s="28" t="s">
        <v>31</v>
      </c>
      <c r="G34" s="13"/>
      <c r="H34" s="12"/>
      <c r="I34" s="12"/>
    </row>
    <row r="35" spans="2:11" x14ac:dyDescent="0.25">
      <c r="B35" s="26" t="s">
        <v>88</v>
      </c>
      <c r="C35" s="3"/>
      <c r="D35" s="3">
        <v>8000</v>
      </c>
      <c r="E35" s="3"/>
      <c r="F35" s="26" t="s">
        <v>88</v>
      </c>
      <c r="G35" s="3"/>
      <c r="H35" s="3">
        <v>8000</v>
      </c>
      <c r="I35" s="12"/>
    </row>
    <row r="36" spans="2:11" x14ac:dyDescent="0.25">
      <c r="B36" s="26" t="s">
        <v>97</v>
      </c>
      <c r="C36" s="3"/>
      <c r="D36" s="3">
        <v>131000</v>
      </c>
      <c r="E36" s="3"/>
      <c r="F36" s="26" t="s">
        <v>97</v>
      </c>
      <c r="G36" s="3"/>
      <c r="H36" s="3">
        <v>131000</v>
      </c>
      <c r="I36" s="12"/>
    </row>
    <row r="37" spans="2:11" x14ac:dyDescent="0.25">
      <c r="B37" s="26" t="s">
        <v>98</v>
      </c>
      <c r="C37" s="3"/>
      <c r="D37" s="3">
        <v>10000</v>
      </c>
      <c r="E37" s="3"/>
      <c r="F37" s="26" t="s">
        <v>98</v>
      </c>
      <c r="G37" s="3"/>
      <c r="H37" s="3">
        <v>10000</v>
      </c>
      <c r="I37" s="12"/>
    </row>
    <row r="38" spans="2:11" x14ac:dyDescent="0.25">
      <c r="B38" s="26"/>
      <c r="C38" s="3"/>
      <c r="D38" s="3"/>
      <c r="E38" s="3"/>
      <c r="F38" s="26"/>
      <c r="G38" s="3"/>
      <c r="H38" s="3"/>
      <c r="I38" s="12"/>
    </row>
    <row r="39" spans="2:11" x14ac:dyDescent="0.25">
      <c r="B39" s="26"/>
      <c r="C39" s="3"/>
      <c r="D39" s="3"/>
      <c r="E39" s="3"/>
      <c r="F39" s="26"/>
      <c r="G39" s="3"/>
      <c r="H39" s="3"/>
      <c r="I39" s="12"/>
    </row>
    <row r="40" spans="2:11" x14ac:dyDescent="0.25">
      <c r="B40" s="26"/>
      <c r="C40" s="3"/>
      <c r="D40" s="3"/>
      <c r="E40" s="3"/>
      <c r="F40" s="26"/>
      <c r="G40" s="3"/>
      <c r="H40" s="3"/>
      <c r="I40" s="12"/>
    </row>
    <row r="41" spans="2:11" x14ac:dyDescent="0.25">
      <c r="B41" s="26"/>
      <c r="C41" s="3"/>
      <c r="D41" s="3"/>
      <c r="E41" s="3"/>
      <c r="F41" s="26"/>
      <c r="G41" s="3"/>
      <c r="H41" s="3"/>
      <c r="I41" s="12"/>
      <c r="K41" s="24">
        <f>J25-I45</f>
        <v>35220</v>
      </c>
    </row>
    <row r="42" spans="2:11" x14ac:dyDescent="0.25">
      <c r="B42" s="26"/>
      <c r="C42" s="3"/>
      <c r="D42" s="3"/>
      <c r="E42" s="3"/>
      <c r="F42" s="26"/>
      <c r="G42" s="3"/>
      <c r="H42" s="3"/>
      <c r="I42" s="12"/>
    </row>
    <row r="43" spans="2:11" x14ac:dyDescent="0.25">
      <c r="B43" s="16"/>
      <c r="C43" s="12"/>
      <c r="D43" s="12"/>
      <c r="E43" s="12"/>
      <c r="F43" s="16"/>
      <c r="G43" s="12"/>
      <c r="H43" s="12"/>
      <c r="I43" s="12"/>
    </row>
    <row r="44" spans="2:11" x14ac:dyDescent="0.25">
      <c r="B44" s="17"/>
      <c r="C44" s="12"/>
      <c r="D44" s="12"/>
      <c r="E44" s="12"/>
      <c r="F44" s="3"/>
      <c r="G44" s="3"/>
      <c r="H44" s="3"/>
      <c r="I44" s="12"/>
    </row>
    <row r="45" spans="2:11" x14ac:dyDescent="0.25">
      <c r="B45" s="28" t="s">
        <v>33</v>
      </c>
      <c r="C45" s="29">
        <f>C30+C31+C32-D33</f>
        <v>139680</v>
      </c>
      <c r="D45" s="29">
        <f>SUM(D35:D44)</f>
        <v>149000</v>
      </c>
      <c r="E45" s="29">
        <f>C45-D45</f>
        <v>-9320</v>
      </c>
      <c r="F45" s="28" t="s">
        <v>33</v>
      </c>
      <c r="G45" s="29">
        <f>G30+G31+G32-H33</f>
        <v>126730</v>
      </c>
      <c r="H45" s="29">
        <f>SUM(H35:H44)</f>
        <v>149000</v>
      </c>
      <c r="I45" s="29">
        <f>G45-H45</f>
        <v>-22270</v>
      </c>
    </row>
    <row r="47" spans="2:11" x14ac:dyDescent="0.25">
      <c r="K47" s="25"/>
    </row>
    <row r="48" spans="2:11" x14ac:dyDescent="0.25">
      <c r="B48" t="s">
        <v>37</v>
      </c>
      <c r="D48" t="s">
        <v>39</v>
      </c>
      <c r="G48" t="s">
        <v>41</v>
      </c>
    </row>
    <row r="49" spans="2:11" x14ac:dyDescent="0.25">
      <c r="K49" s="24"/>
    </row>
    <row r="50" spans="2:11" x14ac:dyDescent="0.25">
      <c r="B50" t="s">
        <v>38</v>
      </c>
      <c r="D50" t="s">
        <v>40</v>
      </c>
      <c r="G50" t="s">
        <v>42</v>
      </c>
    </row>
    <row r="51" spans="2:11" x14ac:dyDescent="0.25">
      <c r="C51" s="1"/>
      <c r="D51" s="1"/>
      <c r="E51" s="1"/>
      <c r="F51" s="22"/>
      <c r="G51" s="1"/>
      <c r="H51" s="1"/>
    </row>
    <row r="52" spans="2:11" x14ac:dyDescent="0.25">
      <c r="C52" s="1"/>
      <c r="D52" s="1"/>
      <c r="E52" s="1"/>
      <c r="F52" s="22"/>
      <c r="G52" s="1"/>
      <c r="H52" s="1"/>
    </row>
    <row r="53" spans="2:11" x14ac:dyDescent="0.25">
      <c r="C53" s="1"/>
      <c r="D53" s="1"/>
      <c r="E53" s="1"/>
      <c r="F53" s="22"/>
      <c r="G53" s="1"/>
      <c r="H53" s="1"/>
    </row>
    <row r="54" spans="2:11" x14ac:dyDescent="0.25">
      <c r="C54" s="1"/>
      <c r="D54" s="1"/>
      <c r="E54" s="1"/>
      <c r="F54" s="23"/>
      <c r="G54" s="1"/>
      <c r="H54" s="22"/>
    </row>
    <row r="60" spans="2:11" x14ac:dyDescent="0.25">
      <c r="B60" s="25"/>
    </row>
    <row r="61" spans="2:11" x14ac:dyDescent="0.25">
      <c r="B61" s="25"/>
      <c r="C61" s="24"/>
    </row>
  </sheetData>
  <pageMargins left="0" right="0" top="0" bottom="0" header="0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L33" sqref="L33"/>
    </sheetView>
  </sheetViews>
  <sheetFormatPr defaultRowHeight="15" x14ac:dyDescent="0.25"/>
  <cols>
    <col min="1" max="1" width="3.85546875" customWidth="1"/>
    <col min="2" max="2" width="18.85546875" customWidth="1"/>
    <col min="3" max="3" width="8.28515625" customWidth="1"/>
    <col min="4" max="4" width="9.28515625" customWidth="1"/>
    <col min="5" max="5" width="8.85546875" customWidth="1"/>
    <col min="6" max="6" width="14.5703125" customWidth="1"/>
    <col min="7" max="7" width="8.28515625" customWidth="1"/>
    <col min="8" max="8" width="10.28515625" customWidth="1"/>
    <col min="9" max="9" width="8.7109375" customWidth="1"/>
    <col min="10" max="10" width="8.85546875" customWidth="1"/>
    <col min="11" max="11" width="14.85546875" customWidth="1"/>
  </cols>
  <sheetData>
    <row r="1" spans="1:11" ht="15.75" x14ac:dyDescent="0.25">
      <c r="A1" s="1"/>
      <c r="B1" s="1"/>
      <c r="C1" s="21" t="s">
        <v>0</v>
      </c>
      <c r="D1" s="21"/>
      <c r="E1" s="21"/>
      <c r="F1" s="27"/>
      <c r="G1" s="27"/>
      <c r="I1" s="1"/>
      <c r="J1" s="1"/>
    </row>
    <row r="2" spans="1:11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1" ht="15.75" x14ac:dyDescent="0.25">
      <c r="A3" s="1"/>
      <c r="B3" s="1"/>
      <c r="C3" s="21" t="s">
        <v>101</v>
      </c>
      <c r="D3" s="21"/>
      <c r="E3" s="21"/>
      <c r="F3" s="27"/>
      <c r="G3" s="27"/>
      <c r="I3" s="1"/>
      <c r="J3" s="1"/>
    </row>
    <row r="4" spans="1:11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</row>
    <row r="5" spans="1:11" x14ac:dyDescent="0.25">
      <c r="A5" s="3">
        <v>1</v>
      </c>
      <c r="B5" s="3" t="s">
        <v>94</v>
      </c>
      <c r="C5" s="3"/>
      <c r="D5" s="3"/>
      <c r="E5" s="3"/>
      <c r="F5" s="3"/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</row>
    <row r="6" spans="1:11" x14ac:dyDescent="0.25">
      <c r="A6" s="3">
        <v>2</v>
      </c>
      <c r="B6" t="s">
        <v>69</v>
      </c>
      <c r="C6" s="3"/>
      <c r="D6" s="3">
        <v>200</v>
      </c>
      <c r="E6" s="3">
        <v>300</v>
      </c>
      <c r="F6" s="3"/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</row>
    <row r="7" spans="1:11" x14ac:dyDescent="0.25">
      <c r="A7" s="3">
        <v>3</v>
      </c>
      <c r="B7" s="3" t="s">
        <v>12</v>
      </c>
      <c r="C7" s="3"/>
      <c r="D7" s="3">
        <v>200</v>
      </c>
      <c r="E7" s="3">
        <v>750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ref="J7:J22" si="1">H7-I7</f>
        <v>0</v>
      </c>
      <c r="K7" s="3"/>
    </row>
    <row r="8" spans="1:11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</row>
    <row r="9" spans="1:11" x14ac:dyDescent="0.25">
      <c r="A9" s="3">
        <v>5</v>
      </c>
      <c r="B9" s="3" t="s">
        <v>36</v>
      </c>
      <c r="C9" s="3"/>
      <c r="D9" s="3"/>
      <c r="E9" s="3"/>
      <c r="F9" s="3">
        <v>12000</v>
      </c>
      <c r="G9" s="3">
        <v>10000</v>
      </c>
      <c r="H9" s="3">
        <f t="shared" si="0"/>
        <v>22000</v>
      </c>
      <c r="I9" s="3">
        <v>9900</v>
      </c>
      <c r="J9" s="3">
        <f t="shared" si="1"/>
        <v>12100</v>
      </c>
      <c r="K9" s="3"/>
    </row>
    <row r="10" spans="1:11" x14ac:dyDescent="0.25">
      <c r="A10" s="3">
        <v>6</v>
      </c>
      <c r="B10" s="3" t="s">
        <v>13</v>
      </c>
      <c r="C10" s="3"/>
      <c r="D10" s="3">
        <v>200</v>
      </c>
      <c r="E10" s="3">
        <v>750</v>
      </c>
      <c r="F10" s="3"/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</row>
    <row r="11" spans="1:11" x14ac:dyDescent="0.25">
      <c r="A11" s="3">
        <v>7</v>
      </c>
      <c r="B11" s="3" t="s">
        <v>14</v>
      </c>
      <c r="C11" s="3"/>
      <c r="D11" s="3">
        <v>200</v>
      </c>
      <c r="E11" s="3">
        <v>1050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</row>
    <row r="12" spans="1:11" x14ac:dyDescent="0.25">
      <c r="A12" s="3">
        <v>8</v>
      </c>
      <c r="B12" s="3" t="s">
        <v>15</v>
      </c>
      <c r="C12" s="3"/>
      <c r="D12" s="3"/>
      <c r="E12" s="3"/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</row>
    <row r="13" spans="1:11" x14ac:dyDescent="0.25">
      <c r="A13" s="3">
        <v>9</v>
      </c>
      <c r="B13" s="3" t="s">
        <v>16</v>
      </c>
      <c r="C13" s="3"/>
      <c r="D13" s="3">
        <v>200</v>
      </c>
      <c r="E13" s="3">
        <v>150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</row>
    <row r="14" spans="1:11" x14ac:dyDescent="0.25">
      <c r="A14" s="3">
        <v>10</v>
      </c>
      <c r="B14" s="3" t="s">
        <v>99</v>
      </c>
      <c r="C14" s="3">
        <v>10000</v>
      </c>
      <c r="D14" s="3">
        <v>200</v>
      </c>
      <c r="E14" s="3"/>
      <c r="F14" s="3"/>
      <c r="G14" s="3">
        <v>10000</v>
      </c>
      <c r="H14" s="3">
        <f t="shared" si="0"/>
        <v>20000</v>
      </c>
      <c r="I14" s="3">
        <v>20000</v>
      </c>
      <c r="J14" s="3">
        <f t="shared" si="1"/>
        <v>0</v>
      </c>
      <c r="K14" s="3">
        <v>1500</v>
      </c>
    </row>
    <row r="15" spans="1:11" x14ac:dyDescent="0.25">
      <c r="A15" s="3">
        <v>11</v>
      </c>
      <c r="B15" s="3" t="s">
        <v>18</v>
      </c>
      <c r="C15" s="3"/>
      <c r="D15" s="3">
        <v>200</v>
      </c>
      <c r="E15" s="3">
        <v>900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</row>
    <row r="16" spans="1:11" x14ac:dyDescent="0.25">
      <c r="A16" s="3">
        <v>12</v>
      </c>
      <c r="B16" s="3" t="s">
        <v>54</v>
      </c>
      <c r="C16" s="3"/>
      <c r="D16" s="3"/>
      <c r="E16" s="3"/>
      <c r="F16" s="3"/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s="3"/>
    </row>
    <row r="17" spans="1:11" x14ac:dyDescent="0.25">
      <c r="A17" s="3">
        <v>13</v>
      </c>
      <c r="B17" s="12" t="s">
        <v>19</v>
      </c>
      <c r="C17" s="3"/>
      <c r="D17" s="3">
        <v>200</v>
      </c>
      <c r="E17" s="3">
        <v>1500</v>
      </c>
      <c r="F17" s="3">
        <v>950</v>
      </c>
      <c r="G17" s="3">
        <v>10000</v>
      </c>
      <c r="H17" s="3">
        <f t="shared" si="0"/>
        <v>10950</v>
      </c>
      <c r="I17" s="3">
        <v>10950</v>
      </c>
      <c r="J17" s="3">
        <f t="shared" si="1"/>
        <v>0</v>
      </c>
      <c r="K17" s="3"/>
    </row>
    <row r="18" spans="1:11" x14ac:dyDescent="0.25">
      <c r="A18" s="3">
        <v>14</v>
      </c>
      <c r="B18" s="12" t="s">
        <v>70</v>
      </c>
      <c r="C18" s="3"/>
      <c r="D18">
        <v>200</v>
      </c>
      <c r="E18" s="3">
        <v>1650</v>
      </c>
      <c r="F18" s="3"/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</row>
    <row r="19" spans="1:11" x14ac:dyDescent="0.25">
      <c r="A19" s="3">
        <v>15</v>
      </c>
      <c r="B19" s="3" t="s">
        <v>85</v>
      </c>
      <c r="C19" s="3"/>
      <c r="D19" s="3">
        <v>200</v>
      </c>
      <c r="E19" s="3">
        <v>300</v>
      </c>
      <c r="F19" s="3"/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</row>
    <row r="20" spans="1:11" x14ac:dyDescent="0.25">
      <c r="A20" s="3">
        <v>16</v>
      </c>
      <c r="B20" s="3" t="s">
        <v>111</v>
      </c>
      <c r="C20" s="3">
        <v>12000</v>
      </c>
      <c r="D20" s="3">
        <v>200</v>
      </c>
      <c r="E20" s="3"/>
      <c r="F20" s="3"/>
      <c r="G20" s="3">
        <v>12000</v>
      </c>
      <c r="H20" s="3">
        <f>C20+F20+G20</f>
        <v>24000</v>
      </c>
      <c r="I20" s="3">
        <v>24000</v>
      </c>
      <c r="J20" s="3"/>
      <c r="K20" s="3">
        <v>1500</v>
      </c>
    </row>
    <row r="21" spans="1:11" x14ac:dyDescent="0.25">
      <c r="A21" s="3">
        <v>17</v>
      </c>
      <c r="B21" s="3" t="s">
        <v>100</v>
      </c>
      <c r="C21" s="3">
        <v>10000</v>
      </c>
      <c r="D21" s="3">
        <v>200</v>
      </c>
      <c r="E21" s="3"/>
      <c r="F21" s="3"/>
      <c r="G21" s="3">
        <v>10000</v>
      </c>
      <c r="H21" s="3">
        <f t="shared" si="0"/>
        <v>20000</v>
      </c>
      <c r="I21" s="3">
        <v>20000</v>
      </c>
      <c r="J21" s="3">
        <f t="shared" si="1"/>
        <v>0</v>
      </c>
      <c r="K21" s="3">
        <v>2000</v>
      </c>
    </row>
    <row r="22" spans="1:11" x14ac:dyDescent="0.25">
      <c r="A22" s="3">
        <v>18</v>
      </c>
      <c r="B22" s="3" t="s">
        <v>103</v>
      </c>
      <c r="C22" s="3">
        <v>10000</v>
      </c>
      <c r="D22" s="3">
        <v>200</v>
      </c>
      <c r="E22" s="3"/>
      <c r="F22" s="3"/>
      <c r="G22" s="3">
        <v>10000</v>
      </c>
      <c r="H22" s="3">
        <f t="shared" si="0"/>
        <v>20000</v>
      </c>
      <c r="I22" s="3">
        <v>20000</v>
      </c>
      <c r="J22" s="3">
        <f t="shared" si="1"/>
        <v>0</v>
      </c>
      <c r="K22" s="3">
        <v>1500</v>
      </c>
    </row>
    <row r="23" spans="1:11" x14ac:dyDescent="0.25">
      <c r="A23" s="3">
        <v>19</v>
      </c>
      <c r="B23" s="3" t="s">
        <v>112</v>
      </c>
      <c r="C23" s="3">
        <v>10000</v>
      </c>
      <c r="D23" s="3">
        <v>200</v>
      </c>
      <c r="E23" s="3"/>
      <c r="F23" s="3"/>
      <c r="G23" s="3">
        <v>10000</v>
      </c>
      <c r="H23" s="3">
        <f t="shared" si="0"/>
        <v>20000</v>
      </c>
      <c r="I23" s="3">
        <v>20000</v>
      </c>
      <c r="J23" s="3">
        <f>H23-I23</f>
        <v>0</v>
      </c>
      <c r="K23" s="3">
        <v>1000</v>
      </c>
    </row>
    <row r="24" spans="1:11" x14ac:dyDescent="0.25">
      <c r="A24" s="3">
        <v>20</v>
      </c>
      <c r="B24" s="3" t="s">
        <v>55</v>
      </c>
      <c r="C24" s="3"/>
      <c r="D24" s="3">
        <v>200</v>
      </c>
      <c r="E24" s="3">
        <v>450</v>
      </c>
      <c r="F24" s="3"/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</row>
    <row r="25" spans="1:11" x14ac:dyDescent="0.25">
      <c r="A25" s="2"/>
      <c r="B25" s="2" t="s">
        <v>33</v>
      </c>
      <c r="C25" s="2">
        <f t="shared" ref="C25:K25" si="2">SUM(C5:C24)</f>
        <v>52000</v>
      </c>
      <c r="D25" s="2">
        <f t="shared" si="2"/>
        <v>3200</v>
      </c>
      <c r="E25" s="2">
        <f t="shared" si="2"/>
        <v>7950</v>
      </c>
      <c r="F25" s="2">
        <f t="shared" si="2"/>
        <v>12950</v>
      </c>
      <c r="G25" s="2">
        <f t="shared" si="2"/>
        <v>208000</v>
      </c>
      <c r="H25" s="2">
        <f t="shared" si="2"/>
        <v>272950</v>
      </c>
      <c r="I25" s="2">
        <f t="shared" si="2"/>
        <v>260850</v>
      </c>
      <c r="J25" s="2">
        <f t="shared" si="2"/>
        <v>12100</v>
      </c>
      <c r="K25" s="2">
        <f t="shared" si="2"/>
        <v>7500</v>
      </c>
    </row>
    <row r="26" spans="1:1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1" x14ac:dyDescent="0.25">
      <c r="B27" s="4" t="s">
        <v>23</v>
      </c>
      <c r="C27" s="5"/>
      <c r="D27" s="6"/>
      <c r="E27" s="7"/>
      <c r="F27" s="8"/>
      <c r="G27" s="9"/>
      <c r="H27" s="8"/>
    </row>
    <row r="28" spans="1:11" x14ac:dyDescent="0.25">
      <c r="B28" s="1" t="s">
        <v>24</v>
      </c>
      <c r="C28" s="1"/>
      <c r="D28" s="1"/>
      <c r="E28" s="10"/>
      <c r="F28" s="1" t="s">
        <v>8</v>
      </c>
      <c r="G28" s="11"/>
      <c r="H28" s="11"/>
      <c r="I28" s="11"/>
    </row>
    <row r="29" spans="1:11" x14ac:dyDescent="0.25">
      <c r="B29" s="2" t="s">
        <v>25</v>
      </c>
      <c r="C29" s="2" t="s">
        <v>26</v>
      </c>
      <c r="D29" s="2" t="s">
        <v>27</v>
      </c>
      <c r="E29" s="2" t="s">
        <v>28</v>
      </c>
      <c r="F29" s="2" t="s">
        <v>25</v>
      </c>
      <c r="G29" s="2" t="s">
        <v>26</v>
      </c>
      <c r="H29" s="2" t="s">
        <v>27</v>
      </c>
      <c r="I29" s="2" t="s">
        <v>28</v>
      </c>
    </row>
    <row r="30" spans="1:11" x14ac:dyDescent="0.25">
      <c r="B30" s="12" t="s">
        <v>102</v>
      </c>
      <c r="C30" s="13">
        <f>C25+G25</f>
        <v>260000</v>
      </c>
      <c r="D30" s="12"/>
      <c r="E30" s="12"/>
      <c r="F30" s="12" t="s">
        <v>102</v>
      </c>
      <c r="G30" s="13">
        <f>I25</f>
        <v>260850</v>
      </c>
      <c r="H30" s="12"/>
      <c r="I30" s="12"/>
    </row>
    <row r="31" spans="1:11" x14ac:dyDescent="0.25">
      <c r="B31" s="12" t="s">
        <v>5</v>
      </c>
      <c r="C31" s="13">
        <f>DECEMBER!E45</f>
        <v>-9320</v>
      </c>
      <c r="D31" s="12"/>
      <c r="E31" s="12"/>
      <c r="F31" s="12" t="s">
        <v>5</v>
      </c>
      <c r="G31" s="13">
        <f>DECEMBER!I45</f>
        <v>-22270</v>
      </c>
      <c r="H31" s="12"/>
      <c r="I31" s="12"/>
    </row>
    <row r="32" spans="1:11" x14ac:dyDescent="0.25">
      <c r="B32" s="12" t="s">
        <v>35</v>
      </c>
      <c r="C32" s="13">
        <f>E25</f>
        <v>7950</v>
      </c>
      <c r="D32" s="12"/>
      <c r="E32" s="12"/>
      <c r="F32" s="12" t="s">
        <v>35</v>
      </c>
      <c r="G32" s="13">
        <f>C32</f>
        <v>7950</v>
      </c>
      <c r="H32" s="12"/>
      <c r="I32" s="12"/>
    </row>
    <row r="33" spans="2:11" x14ac:dyDescent="0.25">
      <c r="B33" s="12" t="s">
        <v>86</v>
      </c>
      <c r="C33" s="13">
        <f>K25</f>
        <v>7500</v>
      </c>
      <c r="D33" s="12"/>
      <c r="E33" s="12"/>
      <c r="F33" s="12" t="s">
        <v>86</v>
      </c>
      <c r="G33" s="13">
        <f>C33</f>
        <v>7500</v>
      </c>
      <c r="H33" s="12"/>
      <c r="I33" s="12"/>
    </row>
    <row r="34" spans="2:11" x14ac:dyDescent="0.25">
      <c r="B34" s="12" t="s">
        <v>113</v>
      </c>
      <c r="C34" s="13">
        <v>4000</v>
      </c>
      <c r="D34" s="12"/>
      <c r="E34" s="12"/>
      <c r="F34" s="12" t="s">
        <v>113</v>
      </c>
      <c r="G34" s="13">
        <v>4000</v>
      </c>
      <c r="H34" s="12"/>
      <c r="I34" s="12"/>
    </row>
    <row r="35" spans="2:11" x14ac:dyDescent="0.25">
      <c r="B35" s="12" t="s">
        <v>30</v>
      </c>
      <c r="C35" s="14">
        <v>0.06</v>
      </c>
      <c r="D35" s="13">
        <f>C30*C35</f>
        <v>15600</v>
      </c>
      <c r="E35" s="12"/>
      <c r="F35" s="12" t="s">
        <v>30</v>
      </c>
      <c r="G35" s="14">
        <v>0.06</v>
      </c>
      <c r="H35" s="13">
        <f>D35</f>
        <v>15600</v>
      </c>
      <c r="I35" s="12"/>
    </row>
    <row r="36" spans="2:11" x14ac:dyDescent="0.25">
      <c r="B36" s="28" t="s">
        <v>31</v>
      </c>
      <c r="C36" s="12" t="s">
        <v>32</v>
      </c>
      <c r="D36" s="12"/>
      <c r="E36" s="12"/>
      <c r="F36" s="28" t="s">
        <v>31</v>
      </c>
      <c r="G36" s="13"/>
      <c r="H36" s="12"/>
      <c r="I36" s="12"/>
    </row>
    <row r="37" spans="2:11" x14ac:dyDescent="0.25">
      <c r="B37" s="26" t="s">
        <v>88</v>
      </c>
      <c r="C37" s="3"/>
      <c r="D37" s="3">
        <v>8000</v>
      </c>
      <c r="E37" s="3"/>
      <c r="F37" s="26" t="s">
        <v>88</v>
      </c>
      <c r="G37" s="3"/>
      <c r="H37" s="3">
        <v>8000</v>
      </c>
      <c r="I37" s="12"/>
    </row>
    <row r="38" spans="2:11" x14ac:dyDescent="0.25">
      <c r="B38" s="26" t="s">
        <v>114</v>
      </c>
      <c r="C38" s="3"/>
      <c r="D38" s="3">
        <v>241000</v>
      </c>
      <c r="E38" s="3"/>
      <c r="F38" s="26" t="s">
        <v>114</v>
      </c>
      <c r="G38" s="3"/>
      <c r="H38" s="3">
        <v>241000</v>
      </c>
      <c r="I38" s="12"/>
    </row>
    <row r="39" spans="2:11" x14ac:dyDescent="0.25">
      <c r="B39" s="26" t="s">
        <v>115</v>
      </c>
      <c r="C39" s="3"/>
      <c r="D39" s="3">
        <v>4000</v>
      </c>
      <c r="E39" s="3"/>
      <c r="F39" s="26" t="s">
        <v>115</v>
      </c>
      <c r="G39" s="3"/>
      <c r="H39" s="3">
        <v>4000</v>
      </c>
      <c r="I39" s="12"/>
    </row>
    <row r="40" spans="2:11" x14ac:dyDescent="0.25">
      <c r="B40" s="26"/>
      <c r="C40" s="3"/>
      <c r="D40" s="3"/>
      <c r="E40" s="3"/>
      <c r="F40" s="26"/>
      <c r="G40" s="3"/>
      <c r="H40" s="3"/>
      <c r="I40" s="12"/>
    </row>
    <row r="41" spans="2:11" x14ac:dyDescent="0.25">
      <c r="B41" s="26"/>
      <c r="C41" s="3"/>
      <c r="D41" s="3"/>
      <c r="E41" s="3"/>
      <c r="F41" s="26"/>
      <c r="G41" s="3"/>
      <c r="H41" s="3"/>
      <c r="I41" s="12"/>
    </row>
    <row r="42" spans="2:11" x14ac:dyDescent="0.25">
      <c r="B42" s="16"/>
      <c r="C42" s="12"/>
      <c r="D42" s="12"/>
      <c r="E42" s="12"/>
      <c r="F42" s="16"/>
      <c r="G42" s="12"/>
      <c r="H42" s="12"/>
      <c r="I42" s="12"/>
    </row>
    <row r="43" spans="2:11" x14ac:dyDescent="0.25">
      <c r="B43" s="17"/>
      <c r="C43" s="12"/>
      <c r="D43" s="12"/>
      <c r="E43" s="12"/>
      <c r="F43" s="3"/>
      <c r="G43" s="3"/>
      <c r="H43" s="3"/>
      <c r="I43" s="12"/>
    </row>
    <row r="44" spans="2:11" x14ac:dyDescent="0.25">
      <c r="B44" s="28" t="s">
        <v>33</v>
      </c>
      <c r="C44" s="29">
        <f>C30+C31+C32+C33+C34-D35</f>
        <v>254530</v>
      </c>
      <c r="D44" s="29">
        <f>SUM(D37:D43)</f>
        <v>253000</v>
      </c>
      <c r="E44" s="29">
        <f>C44-D44</f>
        <v>1530</v>
      </c>
      <c r="F44" s="28" t="s">
        <v>33</v>
      </c>
      <c r="G44" s="29">
        <f>G30+G31+G32+G33+G34-H35</f>
        <v>242430</v>
      </c>
      <c r="H44" s="29">
        <f>SUM(H37:H43)</f>
        <v>253000</v>
      </c>
      <c r="I44" s="29">
        <f>G44-H44</f>
        <v>-10570</v>
      </c>
    </row>
    <row r="46" spans="2:11" x14ac:dyDescent="0.25">
      <c r="K46" s="25"/>
    </row>
    <row r="47" spans="2:11" x14ac:dyDescent="0.25">
      <c r="B47" t="s">
        <v>37</v>
      </c>
      <c r="D47" t="s">
        <v>39</v>
      </c>
      <c r="G47" t="s">
        <v>41</v>
      </c>
    </row>
    <row r="48" spans="2:11" x14ac:dyDescent="0.25">
      <c r="K48" s="24"/>
    </row>
    <row r="49" spans="2:8" x14ac:dyDescent="0.25">
      <c r="B49" t="s">
        <v>38</v>
      </c>
      <c r="D49" t="s">
        <v>40</v>
      </c>
      <c r="G49" t="s">
        <v>42</v>
      </c>
    </row>
    <row r="50" spans="2:8" x14ac:dyDescent="0.25">
      <c r="C50" s="1"/>
      <c r="D50" s="1"/>
      <c r="E50" s="1"/>
      <c r="F50" s="22"/>
      <c r="G50" s="1"/>
      <c r="H50" s="1"/>
    </row>
    <row r="51" spans="2:8" x14ac:dyDescent="0.25">
      <c r="C51" s="1"/>
      <c r="D51" s="1"/>
      <c r="E51" s="1"/>
      <c r="F51" s="22"/>
      <c r="G51" s="1"/>
      <c r="H51" s="1"/>
    </row>
    <row r="52" spans="2:8" x14ac:dyDescent="0.25">
      <c r="C52" s="1"/>
      <c r="D52" s="1"/>
      <c r="E52" s="1"/>
      <c r="F52" s="22"/>
      <c r="G52" s="1"/>
      <c r="H52" s="1"/>
    </row>
    <row r="53" spans="2:8" x14ac:dyDescent="0.25">
      <c r="C53" s="1"/>
      <c r="D53" s="1"/>
      <c r="E53" s="1"/>
      <c r="F53" s="23"/>
      <c r="G53" s="1"/>
      <c r="H53" s="22"/>
    </row>
    <row r="59" spans="2:8" x14ac:dyDescent="0.25">
      <c r="B59" s="25"/>
    </row>
    <row r="60" spans="2:8" x14ac:dyDescent="0.25">
      <c r="B60" s="25"/>
      <c r="C60" s="24"/>
    </row>
  </sheetData>
  <pageMargins left="0.25" right="0.25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16" workbookViewId="0">
      <selection activeCell="F44" sqref="F44"/>
    </sheetView>
  </sheetViews>
  <sheetFormatPr defaultRowHeight="15" x14ac:dyDescent="0.25"/>
  <cols>
    <col min="1" max="1" width="3.85546875" customWidth="1"/>
    <col min="2" max="2" width="18.85546875" customWidth="1"/>
    <col min="3" max="3" width="8.28515625" customWidth="1"/>
    <col min="4" max="4" width="9.28515625" customWidth="1"/>
    <col min="5" max="5" width="8.85546875" customWidth="1"/>
    <col min="6" max="6" width="14.5703125" customWidth="1"/>
    <col min="7" max="7" width="8.28515625" customWidth="1"/>
    <col min="8" max="8" width="10.28515625" customWidth="1"/>
    <col min="9" max="9" width="8.7109375" customWidth="1"/>
    <col min="10" max="10" width="8.85546875" customWidth="1"/>
    <col min="11" max="11" width="14.85546875" customWidth="1"/>
  </cols>
  <sheetData>
    <row r="1" spans="1:11" ht="15.75" x14ac:dyDescent="0.25">
      <c r="B1" s="1"/>
      <c r="C1" s="21" t="s">
        <v>0</v>
      </c>
      <c r="D1" s="21"/>
      <c r="E1" s="21"/>
      <c r="F1" s="27"/>
      <c r="G1" s="27"/>
      <c r="I1" s="1"/>
      <c r="J1" s="1"/>
    </row>
    <row r="2" spans="1:11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1" ht="15.75" x14ac:dyDescent="0.25">
      <c r="A3" s="1"/>
      <c r="B3" s="1"/>
      <c r="C3" s="21" t="s">
        <v>116</v>
      </c>
      <c r="D3" s="21"/>
      <c r="E3" s="21"/>
      <c r="F3" s="27"/>
      <c r="G3" s="27"/>
      <c r="I3" s="1"/>
      <c r="J3" s="1"/>
    </row>
    <row r="4" spans="1:11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</row>
    <row r="5" spans="1:11" x14ac:dyDescent="0.25">
      <c r="A5" s="3">
        <v>1</v>
      </c>
      <c r="B5" s="3" t="s">
        <v>94</v>
      </c>
      <c r="C5" s="3"/>
      <c r="D5" s="3"/>
      <c r="E5" s="3"/>
      <c r="F5" s="3"/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</row>
    <row r="6" spans="1:11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/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</row>
    <row r="7" spans="1:11" x14ac:dyDescent="0.25">
      <c r="A7" s="3">
        <v>3</v>
      </c>
      <c r="B7" s="3" t="s">
        <v>12</v>
      </c>
      <c r="C7" s="3"/>
      <c r="D7" s="3">
        <v>200</v>
      </c>
      <c r="E7" s="3">
        <v>600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ref="J7:J22" si="1">H7-I7</f>
        <v>0</v>
      </c>
      <c r="K7" s="3"/>
    </row>
    <row r="8" spans="1:11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</row>
    <row r="9" spans="1:11" x14ac:dyDescent="0.25">
      <c r="A9" s="3">
        <v>5</v>
      </c>
      <c r="B9" s="3" t="s">
        <v>36</v>
      </c>
      <c r="C9" s="3"/>
      <c r="D9" s="3"/>
      <c r="E9" s="3"/>
      <c r="F9" s="3">
        <v>12100</v>
      </c>
      <c r="G9" s="3">
        <v>10000</v>
      </c>
      <c r="H9" s="3">
        <f t="shared" si="0"/>
        <v>22100</v>
      </c>
      <c r="I9" s="3"/>
      <c r="J9" s="3">
        <f t="shared" si="1"/>
        <v>22100</v>
      </c>
      <c r="K9" s="3"/>
    </row>
    <row r="10" spans="1:11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/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</row>
    <row r="11" spans="1:11" x14ac:dyDescent="0.25">
      <c r="A11" s="3">
        <v>7</v>
      </c>
      <c r="B11" s="3" t="s">
        <v>14</v>
      </c>
      <c r="C11" s="3"/>
      <c r="D11" s="3">
        <v>200</v>
      </c>
      <c r="E11" s="30">
        <v>750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</row>
    <row r="12" spans="1:11" x14ac:dyDescent="0.25">
      <c r="A12" s="3">
        <v>8</v>
      </c>
      <c r="B12" s="3" t="s">
        <v>15</v>
      </c>
      <c r="C12" s="3"/>
      <c r="D12" s="3">
        <v>200</v>
      </c>
      <c r="E12" s="30">
        <v>150</v>
      </c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</row>
    <row r="13" spans="1:11" x14ac:dyDescent="0.25">
      <c r="A13" s="3">
        <v>9</v>
      </c>
      <c r="B13" s="3" t="s">
        <v>16</v>
      </c>
      <c r="C13" s="3"/>
      <c r="D13" s="3">
        <v>200</v>
      </c>
      <c r="E13" s="3">
        <v>150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</row>
    <row r="14" spans="1:11" x14ac:dyDescent="0.25">
      <c r="A14" s="3">
        <v>10</v>
      </c>
      <c r="B14" s="3" t="s">
        <v>99</v>
      </c>
      <c r="C14" s="3"/>
      <c r="D14" s="3">
        <v>200</v>
      </c>
      <c r="E14" s="30">
        <v>450</v>
      </c>
      <c r="F14" s="3"/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</row>
    <row r="15" spans="1:11" x14ac:dyDescent="0.25">
      <c r="A15" s="3">
        <v>11</v>
      </c>
      <c r="B15" s="3" t="s">
        <v>18</v>
      </c>
      <c r="C15" s="3"/>
      <c r="D15" s="3">
        <v>200</v>
      </c>
      <c r="E15" s="30">
        <v>300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</row>
    <row r="16" spans="1:11" x14ac:dyDescent="0.25">
      <c r="A16" s="3">
        <v>12</v>
      </c>
      <c r="B16" s="3" t="s">
        <v>54</v>
      </c>
      <c r="C16" s="3"/>
      <c r="D16" s="3">
        <v>400</v>
      </c>
      <c r="E16" s="3">
        <v>600</v>
      </c>
      <c r="F16" s="3"/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s="3"/>
    </row>
    <row r="17" spans="1:11" x14ac:dyDescent="0.25">
      <c r="A17" s="3">
        <v>13</v>
      </c>
      <c r="B17" s="12" t="s">
        <v>19</v>
      </c>
      <c r="C17" s="3"/>
      <c r="D17" s="3">
        <v>200</v>
      </c>
      <c r="E17" s="30">
        <v>600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</row>
    <row r="18" spans="1:11" x14ac:dyDescent="0.25">
      <c r="A18" s="3">
        <v>14</v>
      </c>
      <c r="B18" s="12" t="s">
        <v>70</v>
      </c>
      <c r="C18" s="3"/>
      <c r="D18">
        <v>200</v>
      </c>
      <c r="E18" s="3">
        <v>1050</v>
      </c>
      <c r="F18" s="3"/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</row>
    <row r="19" spans="1:11" x14ac:dyDescent="0.25">
      <c r="A19" s="3">
        <v>15</v>
      </c>
      <c r="B19" s="3" t="s">
        <v>85</v>
      </c>
      <c r="C19" s="3"/>
      <c r="D19" s="3">
        <v>200</v>
      </c>
      <c r="E19" s="3">
        <v>300</v>
      </c>
      <c r="F19" s="3"/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</row>
    <row r="20" spans="1:11" x14ac:dyDescent="0.25">
      <c r="A20" s="3">
        <v>16</v>
      </c>
      <c r="B20" s="3" t="s">
        <v>111</v>
      </c>
      <c r="C20" s="3"/>
      <c r="D20" s="3">
        <v>200</v>
      </c>
      <c r="E20" s="3">
        <v>1050</v>
      </c>
      <c r="F20" s="3"/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</row>
    <row r="21" spans="1:11" x14ac:dyDescent="0.25">
      <c r="A21" s="3">
        <v>17</v>
      </c>
      <c r="B21" s="3" t="s">
        <v>100</v>
      </c>
      <c r="C21" s="3"/>
      <c r="D21" s="3">
        <v>200</v>
      </c>
      <c r="E21" s="3">
        <v>600</v>
      </c>
      <c r="F21" s="3"/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s="3"/>
    </row>
    <row r="22" spans="1:11" x14ac:dyDescent="0.25">
      <c r="A22" s="3">
        <v>18</v>
      </c>
      <c r="B22" s="3" t="s">
        <v>103</v>
      </c>
      <c r="C22" s="3"/>
      <c r="D22" s="3">
        <v>200</v>
      </c>
      <c r="E22" s="3">
        <v>300</v>
      </c>
      <c r="F22" s="3"/>
      <c r="G22" s="3">
        <v>10000</v>
      </c>
      <c r="H22" s="3">
        <f t="shared" si="0"/>
        <v>10000</v>
      </c>
      <c r="I22" s="3">
        <v>10000</v>
      </c>
      <c r="J22" s="3">
        <f t="shared" si="1"/>
        <v>0</v>
      </c>
      <c r="K22" s="3"/>
    </row>
    <row r="23" spans="1:11" x14ac:dyDescent="0.25">
      <c r="A23" s="3">
        <v>19</v>
      </c>
      <c r="B23" s="3" t="s">
        <v>112</v>
      </c>
      <c r="C23" s="3"/>
      <c r="D23" s="3">
        <v>200</v>
      </c>
      <c r="E23" s="30">
        <v>450</v>
      </c>
      <c r="F23" s="3"/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>
        <v>500</v>
      </c>
    </row>
    <row r="24" spans="1:11" x14ac:dyDescent="0.25">
      <c r="A24" s="3">
        <v>20</v>
      </c>
      <c r="B24" s="3" t="s">
        <v>55</v>
      </c>
      <c r="C24" s="3"/>
      <c r="D24" s="3">
        <v>200</v>
      </c>
      <c r="E24" s="3">
        <v>750</v>
      </c>
      <c r="F24" s="3"/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</row>
    <row r="25" spans="1:11" x14ac:dyDescent="0.25">
      <c r="A25" s="2"/>
      <c r="B25" s="2" t="s">
        <v>33</v>
      </c>
      <c r="C25" s="2">
        <f t="shared" ref="C25:J25" si="2">SUM(C5:C24)</f>
        <v>0</v>
      </c>
      <c r="D25" s="2">
        <f t="shared" si="2"/>
        <v>3800</v>
      </c>
      <c r="E25" s="2">
        <f t="shared" si="2"/>
        <v>9150</v>
      </c>
      <c r="F25" s="2">
        <f t="shared" si="2"/>
        <v>12100</v>
      </c>
      <c r="G25" s="2">
        <f t="shared" si="2"/>
        <v>208000</v>
      </c>
      <c r="H25" s="2">
        <f t="shared" si="2"/>
        <v>220100</v>
      </c>
      <c r="I25" s="2">
        <f t="shared" si="2"/>
        <v>198000</v>
      </c>
      <c r="J25" s="2">
        <f t="shared" si="2"/>
        <v>22100</v>
      </c>
      <c r="K25" s="2">
        <f>SUM(K5:K23)</f>
        <v>500</v>
      </c>
    </row>
    <row r="26" spans="1:1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1" x14ac:dyDescent="0.25">
      <c r="B27" s="31" t="s">
        <v>23</v>
      </c>
      <c r="C27" s="32"/>
      <c r="D27" s="6"/>
      <c r="E27" s="33"/>
      <c r="F27" s="34"/>
      <c r="G27" s="9"/>
      <c r="H27" s="34"/>
      <c r="I27" s="31"/>
    </row>
    <row r="28" spans="1:11" x14ac:dyDescent="0.25">
      <c r="B28" s="35" t="s">
        <v>24</v>
      </c>
      <c r="C28" s="35"/>
      <c r="D28" s="35"/>
      <c r="E28" s="36"/>
      <c r="F28" s="35" t="s">
        <v>8</v>
      </c>
      <c r="G28" s="31"/>
      <c r="H28" s="31"/>
      <c r="I28" s="31"/>
    </row>
    <row r="29" spans="1:11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37" t="s">
        <v>26</v>
      </c>
      <c r="H29" s="37" t="s">
        <v>27</v>
      </c>
      <c r="I29" s="37" t="s">
        <v>28</v>
      </c>
    </row>
    <row r="30" spans="1:11" x14ac:dyDescent="0.25">
      <c r="B30" s="30" t="s">
        <v>117</v>
      </c>
      <c r="C30" s="38">
        <f>C25+G25</f>
        <v>208000</v>
      </c>
      <c r="D30" s="30"/>
      <c r="E30" s="30"/>
      <c r="F30" s="30" t="s">
        <v>117</v>
      </c>
      <c r="G30" s="38">
        <f>I25</f>
        <v>198000</v>
      </c>
      <c r="H30" s="30"/>
      <c r="I30" s="30"/>
    </row>
    <row r="31" spans="1:11" x14ac:dyDescent="0.25">
      <c r="B31" s="30" t="s">
        <v>5</v>
      </c>
      <c r="C31" s="38">
        <f>JANUARY!E44</f>
        <v>1530</v>
      </c>
      <c r="D31" s="30"/>
      <c r="E31" s="30"/>
      <c r="F31" s="30" t="s">
        <v>5</v>
      </c>
      <c r="G31" s="38">
        <f>JANUARY!I44</f>
        <v>-10570</v>
      </c>
      <c r="H31" s="30"/>
      <c r="I31" s="30"/>
    </row>
    <row r="32" spans="1:11" x14ac:dyDescent="0.25">
      <c r="B32" s="30" t="s">
        <v>35</v>
      </c>
      <c r="C32" s="38">
        <f>E25</f>
        <v>9150</v>
      </c>
      <c r="D32" s="30"/>
      <c r="E32" s="30"/>
      <c r="F32" s="30" t="s">
        <v>35</v>
      </c>
      <c r="G32" s="38">
        <f>C32</f>
        <v>9150</v>
      </c>
      <c r="H32" s="30"/>
      <c r="I32" s="30"/>
    </row>
    <row r="33" spans="2:11" x14ac:dyDescent="0.25">
      <c r="B33" s="30" t="s">
        <v>86</v>
      </c>
      <c r="C33" s="38">
        <f>K25</f>
        <v>500</v>
      </c>
      <c r="D33" s="30"/>
      <c r="E33" s="30"/>
      <c r="F33" s="30" t="s">
        <v>86</v>
      </c>
      <c r="G33" s="38">
        <f>C33</f>
        <v>500</v>
      </c>
      <c r="H33" s="30"/>
      <c r="I33" s="30"/>
    </row>
    <row r="34" spans="2:11" x14ac:dyDescent="0.25">
      <c r="B34" s="30" t="s">
        <v>30</v>
      </c>
      <c r="C34" s="39">
        <v>0.06</v>
      </c>
      <c r="D34" s="38">
        <f>C30*C34</f>
        <v>12480</v>
      </c>
      <c r="E34" s="30"/>
      <c r="F34" s="30" t="s">
        <v>30</v>
      </c>
      <c r="G34" s="39">
        <v>0.06</v>
      </c>
      <c r="H34" s="38">
        <f>D34</f>
        <v>12480</v>
      </c>
      <c r="I34" s="30"/>
    </row>
    <row r="35" spans="2:11" x14ac:dyDescent="0.25">
      <c r="B35" s="30" t="s">
        <v>119</v>
      </c>
      <c r="C35" s="39"/>
      <c r="D35" s="38"/>
      <c r="E35" s="30"/>
      <c r="F35" s="30" t="s">
        <v>119</v>
      </c>
      <c r="G35" s="39"/>
      <c r="H35" s="38"/>
      <c r="I35" s="30"/>
    </row>
    <row r="36" spans="2:11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1" x14ac:dyDescent="0.25">
      <c r="B37" s="40" t="s">
        <v>88</v>
      </c>
      <c r="C37" s="30"/>
      <c r="D37" s="30">
        <v>8000</v>
      </c>
      <c r="E37" s="30"/>
      <c r="F37" s="40" t="s">
        <v>88</v>
      </c>
      <c r="G37" s="30"/>
      <c r="H37" s="30">
        <v>8000</v>
      </c>
      <c r="I37" s="30"/>
    </row>
    <row r="38" spans="2:11" x14ac:dyDescent="0.25">
      <c r="B38" s="40" t="s">
        <v>118</v>
      </c>
      <c r="C38" s="30"/>
      <c r="D38" s="30">
        <v>198200</v>
      </c>
      <c r="E38" s="30"/>
      <c r="F38" s="40" t="s">
        <v>118</v>
      </c>
      <c r="G38" s="30"/>
      <c r="H38" s="30">
        <v>198200</v>
      </c>
      <c r="I38" s="30"/>
    </row>
    <row r="39" spans="2:11" x14ac:dyDescent="0.25">
      <c r="B39" s="40" t="s">
        <v>120</v>
      </c>
      <c r="C39" s="30"/>
      <c r="D39" s="30">
        <v>1700</v>
      </c>
      <c r="E39" s="30"/>
      <c r="F39" s="40" t="s">
        <v>120</v>
      </c>
      <c r="G39" s="30"/>
      <c r="H39" s="30">
        <v>1700</v>
      </c>
      <c r="I39" s="30"/>
    </row>
    <row r="40" spans="2:11" x14ac:dyDescent="0.25">
      <c r="B40" s="40"/>
      <c r="C40" s="30"/>
      <c r="D40" s="30"/>
      <c r="E40" s="30"/>
      <c r="F40" s="40"/>
      <c r="G40" s="30"/>
      <c r="H40" s="30"/>
      <c r="I40" s="30"/>
    </row>
    <row r="41" spans="2:11" x14ac:dyDescent="0.25">
      <c r="B41" s="40"/>
      <c r="C41" s="30"/>
      <c r="D41" s="30"/>
      <c r="E41" s="30"/>
      <c r="F41" s="40"/>
      <c r="G41" s="30"/>
      <c r="H41" s="30"/>
      <c r="I41" s="30"/>
    </row>
    <row r="42" spans="2:11" x14ac:dyDescent="0.25">
      <c r="B42" s="40"/>
      <c r="C42" s="30"/>
      <c r="D42" s="30"/>
      <c r="E42" s="30"/>
      <c r="F42" s="40"/>
      <c r="G42" s="30"/>
      <c r="H42" s="30"/>
      <c r="I42" s="30"/>
    </row>
    <row r="43" spans="2:11" x14ac:dyDescent="0.25">
      <c r="B43" s="41"/>
      <c r="C43" s="30"/>
      <c r="D43" s="30"/>
      <c r="E43" s="30"/>
      <c r="F43" s="30"/>
      <c r="G43" s="30"/>
      <c r="H43" s="30"/>
      <c r="I43" s="30"/>
    </row>
    <row r="44" spans="2:11" x14ac:dyDescent="0.25">
      <c r="B44" s="37" t="s">
        <v>33</v>
      </c>
      <c r="C44" s="42">
        <f>C30+C31+C32+C33+C35-D34</f>
        <v>206700</v>
      </c>
      <c r="D44" s="42">
        <f>SUM(D37:D43)</f>
        <v>207900</v>
      </c>
      <c r="E44" s="42">
        <f>C44-D44</f>
        <v>-1200</v>
      </c>
      <c r="F44" s="37" t="s">
        <v>33</v>
      </c>
      <c r="G44" s="42">
        <f>G30+G31+G32+G33+G35-H34</f>
        <v>184600</v>
      </c>
      <c r="H44" s="42">
        <f>SUM(H37:H43)</f>
        <v>207900</v>
      </c>
      <c r="I44" s="42">
        <f>G44-H44</f>
        <v>-23300</v>
      </c>
    </row>
    <row r="46" spans="2:11" x14ac:dyDescent="0.25">
      <c r="K46" s="25"/>
    </row>
    <row r="47" spans="2:11" x14ac:dyDescent="0.25">
      <c r="B47" t="s">
        <v>37</v>
      </c>
      <c r="D47" t="s">
        <v>39</v>
      </c>
      <c r="G47" t="s">
        <v>41</v>
      </c>
    </row>
    <row r="48" spans="2:11" x14ac:dyDescent="0.25">
      <c r="K48" s="24"/>
    </row>
    <row r="49" spans="2:8" x14ac:dyDescent="0.25">
      <c r="B49" t="s">
        <v>38</v>
      </c>
      <c r="D49" t="s">
        <v>40</v>
      </c>
      <c r="G49" t="s">
        <v>42</v>
      </c>
    </row>
    <row r="50" spans="2:8" x14ac:dyDescent="0.25">
      <c r="C50" s="1"/>
      <c r="D50" s="1"/>
      <c r="E50" s="1"/>
      <c r="F50" s="22"/>
      <c r="G50" s="1"/>
      <c r="H50" s="1"/>
    </row>
    <row r="51" spans="2:8" x14ac:dyDescent="0.25">
      <c r="C51" s="1"/>
      <c r="D51" s="1"/>
      <c r="E51" s="1"/>
      <c r="F51" s="22"/>
      <c r="G51" s="1"/>
      <c r="H51" s="1"/>
    </row>
    <row r="52" spans="2:8" x14ac:dyDescent="0.25">
      <c r="C52" s="1"/>
      <c r="D52" s="1"/>
      <c r="E52" s="1"/>
      <c r="F52" s="22"/>
      <c r="G52" s="1"/>
      <c r="H52" s="1"/>
    </row>
    <row r="53" spans="2:8" x14ac:dyDescent="0.25">
      <c r="C53" s="1"/>
      <c r="D53" s="1"/>
      <c r="E53" s="1"/>
      <c r="F53" s="23"/>
      <c r="G53" s="1"/>
      <c r="H53" s="22"/>
    </row>
    <row r="59" spans="2:8" x14ac:dyDescent="0.25">
      <c r="B59" s="25"/>
    </row>
    <row r="60" spans="2:8" x14ac:dyDescent="0.25">
      <c r="B60" s="25"/>
      <c r="C60" s="24"/>
    </row>
  </sheetData>
  <pageMargins left="0.25" right="0.25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K36" sqref="K36"/>
    </sheetView>
  </sheetViews>
  <sheetFormatPr defaultRowHeight="15" x14ac:dyDescent="0.25"/>
  <cols>
    <col min="1" max="1" width="3.85546875" customWidth="1"/>
    <col min="2" max="2" width="18.85546875" customWidth="1"/>
    <col min="3" max="3" width="8.28515625" customWidth="1"/>
    <col min="4" max="4" width="9.28515625" customWidth="1"/>
    <col min="5" max="5" width="8.85546875" customWidth="1"/>
    <col min="6" max="6" width="14.5703125" customWidth="1"/>
    <col min="7" max="7" width="8.28515625" customWidth="1"/>
    <col min="8" max="8" width="10.28515625" customWidth="1"/>
    <col min="9" max="9" width="8.7109375" customWidth="1"/>
    <col min="10" max="10" width="8.85546875" customWidth="1"/>
    <col min="11" max="11" width="14.85546875" customWidth="1"/>
  </cols>
  <sheetData>
    <row r="1" spans="1:12" ht="15.75" x14ac:dyDescent="0.25">
      <c r="B1" s="1"/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2" ht="15.75" x14ac:dyDescent="0.25">
      <c r="A3" s="1"/>
      <c r="B3" s="1"/>
      <c r="C3" s="21" t="s">
        <v>122</v>
      </c>
      <c r="D3" s="21"/>
      <c r="E3" s="21"/>
      <c r="F3" s="27"/>
      <c r="G3" s="27"/>
      <c r="H3" s="1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/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/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12</v>
      </c>
      <c r="C7" s="3"/>
      <c r="D7" s="3">
        <v>200</v>
      </c>
      <c r="E7" s="3">
        <v>1050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ref="J7:J22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36</v>
      </c>
      <c r="C9" s="3"/>
      <c r="D9" s="3"/>
      <c r="E9" s="3"/>
      <c r="F9" s="3">
        <v>22100</v>
      </c>
      <c r="G9" s="3">
        <v>10000</v>
      </c>
      <c r="H9" s="3">
        <f t="shared" si="0"/>
        <v>32100</v>
      </c>
      <c r="I9" s="3">
        <v>10000</v>
      </c>
      <c r="J9" s="3">
        <f t="shared" si="1"/>
        <v>22100</v>
      </c>
      <c r="K9" s="3"/>
      <c r="L9" s="3"/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/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>
        <v>200</v>
      </c>
      <c r="E12" s="30">
        <v>300</v>
      </c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>
        <v>200</v>
      </c>
      <c r="E14" s="30">
        <v>600</v>
      </c>
      <c r="F14" s="3"/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450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2" x14ac:dyDescent="0.25">
      <c r="A16" s="3">
        <v>12</v>
      </c>
      <c r="B16" s="3"/>
      <c r="C16" s="3"/>
      <c r="D16" s="3"/>
      <c r="E16" s="3"/>
      <c r="F16" s="3"/>
      <c r="G16" s="3"/>
      <c r="H16" s="3">
        <f t="shared" si="0"/>
        <v>0</v>
      </c>
      <c r="I16" s="3"/>
      <c r="J16" s="3">
        <f t="shared" si="1"/>
        <v>0</v>
      </c>
      <c r="K16" s="3"/>
      <c r="L16" s="3"/>
    </row>
    <row r="17" spans="1:12" x14ac:dyDescent="0.25">
      <c r="A17" s="3">
        <v>13</v>
      </c>
      <c r="B17" s="12" t="s">
        <v>19</v>
      </c>
      <c r="C17" s="3"/>
      <c r="D17" s="3">
        <v>200</v>
      </c>
      <c r="E17" s="30">
        <v>900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</row>
    <row r="18" spans="1:12" x14ac:dyDescent="0.25">
      <c r="A18" s="3">
        <v>14</v>
      </c>
      <c r="B18" s="12" t="s">
        <v>70</v>
      </c>
      <c r="C18" s="3"/>
      <c r="D18">
        <v>200</v>
      </c>
      <c r="E18" s="3">
        <v>900</v>
      </c>
      <c r="F18" s="3"/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</row>
    <row r="19" spans="1:12" x14ac:dyDescent="0.25">
      <c r="A19" s="3">
        <v>15</v>
      </c>
      <c r="B19" s="3" t="s">
        <v>85</v>
      </c>
      <c r="C19" s="3"/>
      <c r="D19" s="3">
        <v>200</v>
      </c>
      <c r="E19" s="3">
        <v>450</v>
      </c>
      <c r="F19" s="3"/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111</v>
      </c>
      <c r="C20" s="3"/>
      <c r="D20" s="3">
        <v>200</v>
      </c>
      <c r="E20" s="3">
        <v>1200</v>
      </c>
      <c r="F20" s="3"/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" t="s">
        <v>100</v>
      </c>
      <c r="C21" s="3"/>
      <c r="D21" s="3">
        <v>200</v>
      </c>
      <c r="E21" s="3">
        <v>600</v>
      </c>
      <c r="F21" s="3"/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103</v>
      </c>
      <c r="C22" s="3"/>
      <c r="D22" s="3">
        <v>200</v>
      </c>
      <c r="E22" s="3">
        <v>750</v>
      </c>
      <c r="F22" s="3"/>
      <c r="G22" s="3">
        <v>10000</v>
      </c>
      <c r="H22" s="3">
        <f t="shared" si="0"/>
        <v>10000</v>
      </c>
      <c r="I22" s="3">
        <v>10000</v>
      </c>
      <c r="J22" s="3">
        <f t="shared" si="1"/>
        <v>0</v>
      </c>
      <c r="K22" s="3"/>
      <c r="L22" s="3">
        <v>600</v>
      </c>
    </row>
    <row r="23" spans="1:12" x14ac:dyDescent="0.25">
      <c r="A23" s="3">
        <v>19</v>
      </c>
      <c r="B23" s="3" t="s">
        <v>112</v>
      </c>
      <c r="C23" s="3"/>
      <c r="D23" s="3">
        <v>200</v>
      </c>
      <c r="E23" s="30">
        <v>900</v>
      </c>
      <c r="F23" s="3"/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2" x14ac:dyDescent="0.25">
      <c r="A24" s="3">
        <v>20</v>
      </c>
      <c r="B24" s="3" t="s">
        <v>55</v>
      </c>
      <c r="C24" s="3"/>
      <c r="D24" s="3">
        <v>200</v>
      </c>
      <c r="E24" s="3">
        <v>600</v>
      </c>
      <c r="F24" s="3"/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2" x14ac:dyDescent="0.25">
      <c r="A25" s="2"/>
      <c r="B25" s="2" t="s">
        <v>33</v>
      </c>
      <c r="C25" s="2">
        <f>SUM(C5:C24)</f>
        <v>0</v>
      </c>
      <c r="D25" s="2">
        <f>SUM(D5:D24)</f>
        <v>3400</v>
      </c>
      <c r="E25" s="2">
        <f>SUM(E5:E24)</f>
        <v>10650</v>
      </c>
      <c r="F25" s="2">
        <f>SUM(F5:F24)</f>
        <v>22100</v>
      </c>
      <c r="G25" s="2">
        <f t="shared" ref="G25:L25" si="2">SUM(G5:G24)</f>
        <v>198000</v>
      </c>
      <c r="H25" s="2">
        <f t="shared" si="2"/>
        <v>220100</v>
      </c>
      <c r="I25" s="2">
        <f t="shared" si="2"/>
        <v>198000</v>
      </c>
      <c r="J25" s="2">
        <f t="shared" si="2"/>
        <v>22100</v>
      </c>
      <c r="K25" s="2">
        <f t="shared" si="2"/>
        <v>0</v>
      </c>
      <c r="L25" s="2">
        <f t="shared" si="2"/>
        <v>10800</v>
      </c>
    </row>
    <row r="26" spans="1:1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2" x14ac:dyDescent="0.25">
      <c r="B27" s="31" t="s">
        <v>23</v>
      </c>
      <c r="C27" s="32"/>
      <c r="D27" s="6"/>
      <c r="E27" s="33"/>
      <c r="F27" s="34"/>
      <c r="G27" s="9"/>
      <c r="H27" s="34"/>
      <c r="I27" s="31"/>
    </row>
    <row r="28" spans="1:12" x14ac:dyDescent="0.25">
      <c r="B28" s="35" t="s">
        <v>24</v>
      </c>
      <c r="C28" s="35"/>
      <c r="D28" s="35"/>
      <c r="E28" s="36"/>
      <c r="F28" s="35" t="s">
        <v>8</v>
      </c>
      <c r="G28" s="31"/>
      <c r="H28" s="31"/>
      <c r="I28" s="31"/>
    </row>
    <row r="29" spans="1:12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37" t="s">
        <v>26</v>
      </c>
      <c r="H29" s="37" t="s">
        <v>27</v>
      </c>
      <c r="I29" s="37" t="s">
        <v>28</v>
      </c>
    </row>
    <row r="30" spans="1:12" x14ac:dyDescent="0.25">
      <c r="B30" s="30" t="s">
        <v>121</v>
      </c>
      <c r="C30" s="38">
        <f>C25+G25</f>
        <v>198000</v>
      </c>
      <c r="D30" s="30"/>
      <c r="E30" s="30"/>
      <c r="F30" s="30" t="s">
        <v>121</v>
      </c>
      <c r="G30" s="38">
        <f>I25</f>
        <v>198000</v>
      </c>
      <c r="H30" s="30"/>
      <c r="I30" s="30"/>
    </row>
    <row r="31" spans="1:12" x14ac:dyDescent="0.25">
      <c r="B31" s="30" t="s">
        <v>5</v>
      </c>
      <c r="C31" s="38">
        <f>FEBRUARY!E44</f>
        <v>-1200</v>
      </c>
      <c r="D31" s="30"/>
      <c r="E31" s="30"/>
      <c r="F31" s="30" t="s">
        <v>5</v>
      </c>
      <c r="G31" s="38">
        <f>FEBRUARY!I44</f>
        <v>-23300</v>
      </c>
      <c r="H31" s="30"/>
      <c r="I31" s="30"/>
    </row>
    <row r="32" spans="1:12" x14ac:dyDescent="0.25">
      <c r="B32" s="30" t="s">
        <v>35</v>
      </c>
      <c r="C32" s="38">
        <f>E25</f>
        <v>10650</v>
      </c>
      <c r="D32" s="30"/>
      <c r="E32" s="30"/>
      <c r="F32" s="30" t="s">
        <v>35</v>
      </c>
      <c r="G32" s="38">
        <f>C32</f>
        <v>10650</v>
      </c>
      <c r="H32" s="30"/>
      <c r="I32" s="30"/>
    </row>
    <row r="33" spans="2:14" x14ac:dyDescent="0.25">
      <c r="B33" s="30" t="s">
        <v>86</v>
      </c>
      <c r="C33" s="38">
        <f>K25</f>
        <v>0</v>
      </c>
      <c r="D33" s="30"/>
      <c r="E33" s="30"/>
      <c r="F33" s="30" t="s">
        <v>86</v>
      </c>
      <c r="G33" s="38">
        <f>C33</f>
        <v>0</v>
      </c>
      <c r="H33" s="30"/>
      <c r="I33" s="30"/>
    </row>
    <row r="34" spans="2:14" x14ac:dyDescent="0.25">
      <c r="B34" s="30" t="s">
        <v>88</v>
      </c>
      <c r="C34" s="38">
        <f>L25</f>
        <v>10800</v>
      </c>
      <c r="D34" s="30"/>
      <c r="E34" s="30"/>
      <c r="F34" s="30" t="s">
        <v>88</v>
      </c>
      <c r="G34" s="38">
        <f>C34</f>
        <v>10800</v>
      </c>
      <c r="H34" s="30"/>
      <c r="I34" s="30"/>
    </row>
    <row r="35" spans="2:14" x14ac:dyDescent="0.25">
      <c r="B35" s="30" t="s">
        <v>30</v>
      </c>
      <c r="C35" s="39">
        <v>0.06</v>
      </c>
      <c r="D35" s="38">
        <f>C30*C35</f>
        <v>11880</v>
      </c>
      <c r="E35" s="30"/>
      <c r="F35" s="30" t="s">
        <v>30</v>
      </c>
      <c r="G35" s="39">
        <v>0.06</v>
      </c>
      <c r="H35" s="38">
        <f>D35</f>
        <v>11880</v>
      </c>
      <c r="I35" s="30"/>
    </row>
    <row r="36" spans="2:14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4" x14ac:dyDescent="0.25">
      <c r="B37" s="40" t="s">
        <v>124</v>
      </c>
      <c r="C37" s="30"/>
      <c r="D37" s="30">
        <v>186170</v>
      </c>
      <c r="E37" s="30"/>
      <c r="F37" s="40" t="s">
        <v>124</v>
      </c>
      <c r="G37" s="30"/>
      <c r="H37" s="30">
        <v>186170</v>
      </c>
      <c r="I37" s="30"/>
    </row>
    <row r="38" spans="2:14" x14ac:dyDescent="0.25">
      <c r="B38" s="40" t="s">
        <v>125</v>
      </c>
      <c r="C38" s="30"/>
      <c r="D38" s="30">
        <v>2000</v>
      </c>
      <c r="E38" s="30"/>
      <c r="F38" s="40" t="s">
        <v>125</v>
      </c>
      <c r="G38" s="30"/>
      <c r="H38" s="30">
        <v>2000</v>
      </c>
      <c r="I38" s="30"/>
    </row>
    <row r="39" spans="2:14" x14ac:dyDescent="0.25">
      <c r="B39" s="40" t="s">
        <v>137</v>
      </c>
      <c r="C39" s="30"/>
      <c r="D39" s="30">
        <v>10000</v>
      </c>
      <c r="E39" s="30"/>
      <c r="F39" s="40" t="s">
        <v>137</v>
      </c>
      <c r="G39" s="30"/>
      <c r="H39" s="30">
        <v>10000</v>
      </c>
      <c r="I39" s="30"/>
    </row>
    <row r="40" spans="2:14" x14ac:dyDescent="0.25">
      <c r="B40" s="40" t="s">
        <v>88</v>
      </c>
      <c r="C40" s="30"/>
      <c r="D40" s="30">
        <v>8000</v>
      </c>
      <c r="E40" s="30"/>
      <c r="F40" s="40" t="s">
        <v>88</v>
      </c>
      <c r="G40" s="30"/>
      <c r="H40" s="30">
        <v>8000</v>
      </c>
      <c r="I40" s="30"/>
    </row>
    <row r="41" spans="2:14" x14ac:dyDescent="0.25">
      <c r="B41" s="40"/>
      <c r="C41" s="30"/>
      <c r="D41" s="30"/>
      <c r="E41" s="30"/>
      <c r="F41" s="40"/>
      <c r="G41" s="30"/>
      <c r="H41" s="30"/>
      <c r="I41" s="30"/>
    </row>
    <row r="42" spans="2:14" x14ac:dyDescent="0.25">
      <c r="B42" s="40"/>
      <c r="C42" s="30"/>
      <c r="D42" s="30"/>
      <c r="E42" s="30"/>
      <c r="F42" s="40"/>
      <c r="G42" s="30"/>
      <c r="H42" s="30"/>
      <c r="I42" s="30"/>
      <c r="N42" t="s">
        <v>123</v>
      </c>
    </row>
    <row r="43" spans="2:14" x14ac:dyDescent="0.25">
      <c r="B43" s="41"/>
      <c r="C43" s="30"/>
      <c r="D43" s="30"/>
      <c r="E43" s="30"/>
      <c r="F43" s="30"/>
      <c r="G43" s="30"/>
      <c r="H43" s="30"/>
      <c r="I43" s="30"/>
    </row>
    <row r="44" spans="2:14" x14ac:dyDescent="0.25">
      <c r="B44" s="37" t="s">
        <v>33</v>
      </c>
      <c r="C44" s="42">
        <f>C30+C31+C32+C33+C34-D35</f>
        <v>206370</v>
      </c>
      <c r="D44" s="42">
        <f>SUM(D37:D43)</f>
        <v>206170</v>
      </c>
      <c r="E44" s="42">
        <f>C44-D44</f>
        <v>200</v>
      </c>
      <c r="F44" s="37" t="s">
        <v>33</v>
      </c>
      <c r="G44" s="42">
        <f>G30+G31+G32+G33+G34-H35</f>
        <v>184270</v>
      </c>
      <c r="H44" s="42">
        <f>SUM(H37:H43)</f>
        <v>206170</v>
      </c>
      <c r="I44" s="42">
        <f>G44-H44</f>
        <v>-21900</v>
      </c>
    </row>
    <row r="45" spans="2:14" x14ac:dyDescent="0.25">
      <c r="B45" t="s">
        <v>37</v>
      </c>
      <c r="D45" t="s">
        <v>39</v>
      </c>
      <c r="G45" t="s">
        <v>41</v>
      </c>
    </row>
    <row r="46" spans="2:14" x14ac:dyDescent="0.25">
      <c r="K46" s="24"/>
    </row>
    <row r="47" spans="2:14" x14ac:dyDescent="0.25">
      <c r="B47" t="s">
        <v>38</v>
      </c>
      <c r="D47" t="s">
        <v>40</v>
      </c>
      <c r="G47" t="s">
        <v>42</v>
      </c>
    </row>
    <row r="48" spans="2:14" x14ac:dyDescent="0.25">
      <c r="C48" s="1"/>
      <c r="D48" s="1"/>
      <c r="E48" s="1"/>
      <c r="F48" s="22"/>
      <c r="G48" s="1"/>
      <c r="H48" s="1"/>
    </row>
    <row r="49" spans="2:8" x14ac:dyDescent="0.25">
      <c r="C49" s="1"/>
      <c r="D49" s="1"/>
      <c r="E49" s="1"/>
      <c r="F49" s="22"/>
      <c r="G49" s="1"/>
      <c r="H49" s="1"/>
    </row>
    <row r="50" spans="2:8" x14ac:dyDescent="0.25">
      <c r="C50" s="1"/>
      <c r="D50" s="1"/>
      <c r="E50" s="1"/>
      <c r="F50" s="22"/>
      <c r="G50" s="1"/>
      <c r="H50" s="1"/>
    </row>
    <row r="51" spans="2:8" x14ac:dyDescent="0.25">
      <c r="C51" s="1"/>
      <c r="D51" s="1"/>
      <c r="E51" s="1"/>
      <c r="F51" s="23"/>
      <c r="G51" s="1"/>
      <c r="H51" s="22"/>
    </row>
    <row r="57" spans="2:8" x14ac:dyDescent="0.25">
      <c r="B57" s="25"/>
    </row>
    <row r="58" spans="2:8" x14ac:dyDescent="0.25">
      <c r="B58" s="25"/>
      <c r="C58" s="24"/>
    </row>
  </sheetData>
  <pageMargins left="0.25" right="0.25" top="0.75" bottom="0.75" header="0.3" footer="0.3"/>
  <pageSetup paperSize="28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JULY</vt:lpstr>
      <vt:lpstr>AUGUST</vt:lpstr>
      <vt:lpstr>SEPTEMBER</vt:lpstr>
      <vt:lpstr>OCT</vt:lpstr>
      <vt:lpstr>NOVEMBER</vt:lpstr>
      <vt:lpstr>DECEMBER</vt:lpstr>
      <vt:lpstr>JANUARY</vt:lpstr>
      <vt:lpstr>FEBRUARY</vt:lpstr>
      <vt:lpstr>MARCH</vt:lpstr>
      <vt:lpstr>APRIL</vt:lpstr>
      <vt:lpstr>MAY</vt:lpstr>
      <vt:lpstr>JUNE</vt:lpstr>
      <vt:lpstr>JULY </vt:lpstr>
      <vt:lpstr>AUGUST19</vt:lpstr>
      <vt:lpstr>SEPTEMBER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Sheet4</vt:lpstr>
      <vt:lpstr>Sheet5</vt:lpstr>
      <vt:lpstr>Sheet6</vt:lpstr>
      <vt:lpstr>Sheet7</vt:lpstr>
      <vt:lpstr>Sheet8</vt:lpstr>
      <vt:lpstr>Sheet9</vt:lpstr>
      <vt:lpstr>AUGUST 20</vt:lpstr>
      <vt:lpstr>SEPTEMBER20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OCTOBER 21</vt:lpstr>
      <vt:lpstr>NOVEMBER 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2021-12-08T10:05:54Z</dcterms:modified>
</cp:coreProperties>
</file>