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360" yWindow="150" windowWidth="13395" windowHeight="7620" firstSheet="17" activeTab="21"/>
  </bookViews>
  <sheets>
    <sheet name="MARCH 20" sheetId="1" r:id="rId1"/>
    <sheet name="APRIL 20" sheetId="2" r:id="rId2"/>
    <sheet name="MAY 20" sheetId="3" r:id="rId3"/>
    <sheet name="JUNE 20" sheetId="4" r:id="rId4"/>
    <sheet name="JULY 20" sheetId="5" r:id="rId5"/>
    <sheet name="AUGUST 20" sheetId="6" r:id="rId6"/>
    <sheet name="SEPTEMBER" sheetId="7" r:id="rId7"/>
    <sheet name="OCTOBER20" sheetId="8" r:id="rId8"/>
    <sheet name="NOVEMBER20" sheetId="9" r:id="rId9"/>
    <sheet name="DECEMBER 20" sheetId="10" r:id="rId10"/>
    <sheet name="JANUARY 21" sheetId="11" r:id="rId11"/>
    <sheet name="FEBRUARY 21" sheetId="12" r:id="rId12"/>
    <sheet name="MARCH 21" sheetId="13" r:id="rId13"/>
    <sheet name="APRIL 21" sheetId="14" r:id="rId14"/>
    <sheet name="MAY21" sheetId="15" r:id="rId15"/>
    <sheet name="JUNE 21" sheetId="16" r:id="rId16"/>
    <sheet name="JULY 21" sheetId="17" r:id="rId17"/>
    <sheet name="AUGUST 21" sheetId="18" r:id="rId18"/>
    <sheet name="SEPT 21" sheetId="19" r:id="rId19"/>
    <sheet name="OCTOBER 21" sheetId="20" r:id="rId20"/>
    <sheet name="NOVEMBER 21" sheetId="21" r:id="rId21"/>
    <sheet name="DECEMBER 21" sheetId="22" r:id="rId22"/>
  </sheets>
  <externalReferences>
    <externalReference r:id="rId23"/>
  </externalReferences>
  <calcPr calcId="162913"/>
</workbook>
</file>

<file path=xl/calcChain.xml><?xml version="1.0" encoding="utf-8"?>
<calcChain xmlns="http://schemas.openxmlformats.org/spreadsheetml/2006/main">
  <c r="L26" i="22" l="1"/>
  <c r="G42" i="21" l="1"/>
  <c r="G29" i="21"/>
  <c r="D14" i="22" l="1"/>
  <c r="H62" i="22"/>
  <c r="C62" i="22"/>
  <c r="D46" i="22"/>
  <c r="E45" i="22"/>
  <c r="B48" i="22" s="1"/>
  <c r="G45" i="22"/>
  <c r="F32" i="22"/>
  <c r="H32" i="22" s="1"/>
  <c r="I26" i="22"/>
  <c r="B51" i="22" s="1"/>
  <c r="G26" i="22"/>
  <c r="E26" i="22"/>
  <c r="C26" i="22"/>
  <c r="L17" i="22"/>
  <c r="F7" i="22"/>
  <c r="H7" i="22" s="1"/>
  <c r="F48" i="22" l="1"/>
  <c r="L19" i="22"/>
  <c r="L21" i="22" s="1"/>
  <c r="F51" i="22"/>
  <c r="H49" i="22"/>
  <c r="C49" i="22"/>
  <c r="L20" i="22" s="1"/>
  <c r="L18" i="22"/>
  <c r="G37" i="21"/>
  <c r="L23" i="22" l="1"/>
  <c r="L25" i="22" s="1"/>
  <c r="L27" i="22" s="1"/>
  <c r="L29" i="22" s="1"/>
  <c r="G44" i="20"/>
  <c r="B51" i="20" l="1"/>
  <c r="G33" i="20" l="1"/>
  <c r="G42" i="19"/>
  <c r="D46" i="20"/>
  <c r="D47" i="20"/>
  <c r="D14" i="21" l="1"/>
  <c r="H62" i="21"/>
  <c r="C62" i="21"/>
  <c r="D46" i="21"/>
  <c r="E45" i="21"/>
  <c r="G45" i="21"/>
  <c r="I26" i="21"/>
  <c r="F51" i="21" s="1"/>
  <c r="G26" i="21"/>
  <c r="E26" i="21"/>
  <c r="L17" i="21" s="1"/>
  <c r="C26" i="21"/>
  <c r="B48" i="21" l="1"/>
  <c r="H49" i="21" s="1"/>
  <c r="L18" i="21"/>
  <c r="L19" i="21" s="1"/>
  <c r="F48" i="21"/>
  <c r="C49" i="21"/>
  <c r="L20" i="21" s="1"/>
  <c r="G43" i="20"/>
  <c r="L21" i="21" l="1"/>
  <c r="L23" i="21" s="1"/>
  <c r="G36" i="19"/>
  <c r="G13" i="19"/>
  <c r="G31" i="19" l="1"/>
  <c r="D7" i="20" l="1"/>
  <c r="F7" i="20" s="1"/>
  <c r="H7" i="20" s="1"/>
  <c r="F7" i="21" s="1"/>
  <c r="H7" i="21" s="1"/>
  <c r="H62" i="20"/>
  <c r="C62" i="20"/>
  <c r="E45" i="20"/>
  <c r="L18" i="20" s="1"/>
  <c r="G45" i="20"/>
  <c r="I26" i="20"/>
  <c r="E26" i="20"/>
  <c r="L17" i="20" s="1"/>
  <c r="C26" i="20"/>
  <c r="G26" i="20"/>
  <c r="L19" i="20" l="1"/>
  <c r="B48" i="20"/>
  <c r="H49" i="20" s="1"/>
  <c r="F48" i="20"/>
  <c r="F51" i="20"/>
  <c r="C49" i="20" l="1"/>
  <c r="L20" i="20" s="1"/>
  <c r="L21" i="20" s="1"/>
  <c r="L23" i="20" s="1"/>
  <c r="L25" i="20" s="1"/>
  <c r="G12" i="19"/>
  <c r="H59" i="19" l="1"/>
  <c r="C59" i="19"/>
  <c r="B53" i="19"/>
  <c r="G34" i="19"/>
  <c r="G33" i="19"/>
  <c r="G35" i="19"/>
  <c r="G41" i="19" l="1"/>
  <c r="G7" i="19" l="1"/>
  <c r="M22" i="19" l="1"/>
  <c r="C57" i="19"/>
  <c r="G31" i="18" l="1"/>
  <c r="G36" i="18"/>
  <c r="G43" i="18" l="1"/>
  <c r="H34" i="14"/>
  <c r="D14" i="19" l="1"/>
  <c r="D14" i="20" s="1"/>
  <c r="H62" i="19"/>
  <c r="C62" i="19"/>
  <c r="D46" i="19"/>
  <c r="G45" i="19"/>
  <c r="E45" i="19"/>
  <c r="M11" i="19" s="1"/>
  <c r="I26" i="19"/>
  <c r="F51" i="19" s="1"/>
  <c r="G26" i="19"/>
  <c r="E26" i="19"/>
  <c r="C26" i="19"/>
  <c r="M10" i="19"/>
  <c r="F7" i="19"/>
  <c r="G18" i="18"/>
  <c r="M12" i="19" l="1"/>
  <c r="M15" i="19" s="1"/>
  <c r="M18" i="19" s="1"/>
  <c r="M20" i="19" s="1"/>
  <c r="M24" i="19" s="1"/>
  <c r="B48" i="19"/>
  <c r="C49" i="19" s="1"/>
  <c r="B51" i="19"/>
  <c r="F48" i="19"/>
  <c r="H34" i="15"/>
  <c r="G13" i="18"/>
  <c r="H49" i="19" l="1"/>
  <c r="G44" i="18"/>
  <c r="G35" i="18"/>
  <c r="G33" i="18"/>
  <c r="G43" i="17" l="1"/>
  <c r="G38" i="18"/>
  <c r="G37" i="18" l="1"/>
  <c r="G7" i="18" l="1"/>
  <c r="G12" i="18" l="1"/>
  <c r="G32" i="17" l="1"/>
  <c r="I13" i="16"/>
  <c r="D14" i="18"/>
  <c r="H41" i="15"/>
  <c r="H30" i="15"/>
  <c r="H32" i="15"/>
  <c r="H33" i="15"/>
  <c r="H36" i="15"/>
  <c r="H37" i="15"/>
  <c r="H38" i="15"/>
  <c r="H40" i="15"/>
  <c r="H42" i="15"/>
  <c r="H29" i="15"/>
  <c r="H43" i="15"/>
  <c r="H44" i="15"/>
  <c r="H62" i="18"/>
  <c r="C62" i="18"/>
  <c r="D46" i="18"/>
  <c r="E45" i="18"/>
  <c r="L29" i="18"/>
  <c r="L31" i="18" s="1"/>
  <c r="G45" i="18"/>
  <c r="I26" i="18"/>
  <c r="F51" i="18" s="1"/>
  <c r="E26" i="18"/>
  <c r="M10" i="18" s="1"/>
  <c r="C26" i="18"/>
  <c r="G26" i="18"/>
  <c r="F7" i="18"/>
  <c r="H7" i="18" s="1"/>
  <c r="F6" i="18"/>
  <c r="B48" i="18" l="1"/>
  <c r="C49" i="18" s="1"/>
  <c r="M16" i="18" s="1"/>
  <c r="M11" i="18"/>
  <c r="M12" i="18" s="1"/>
  <c r="M14" i="18" s="1"/>
  <c r="F48" i="18"/>
  <c r="H6" i="18"/>
  <c r="B51" i="18"/>
  <c r="G38" i="17"/>
  <c r="G38" i="16"/>
  <c r="H38" i="16"/>
  <c r="G12" i="17"/>
  <c r="G7" i="17"/>
  <c r="G13" i="17"/>
  <c r="G44" i="17"/>
  <c r="G35" i="17"/>
  <c r="G34" i="17"/>
  <c r="H49" i="18" l="1"/>
  <c r="M17" i="18"/>
  <c r="M19" i="18" s="1"/>
  <c r="D6" i="19"/>
  <c r="G31" i="17"/>
  <c r="D6" i="20" l="1"/>
  <c r="F6" i="20" s="1"/>
  <c r="F6" i="19"/>
  <c r="G42" i="17"/>
  <c r="H6" i="19" l="1"/>
  <c r="H6" i="20"/>
  <c r="D6" i="21" s="1"/>
  <c r="G33" i="17"/>
  <c r="F6" i="21" l="1"/>
  <c r="G29" i="17"/>
  <c r="H6" i="21" l="1"/>
  <c r="D6" i="22" s="1"/>
  <c r="G18" i="17"/>
  <c r="F6" i="22" l="1"/>
  <c r="G37" i="17"/>
  <c r="H6" i="22" l="1"/>
  <c r="G30" i="17"/>
  <c r="L29" i="17" l="1"/>
  <c r="P18" i="16"/>
  <c r="L58" i="16"/>
  <c r="E45" i="17"/>
  <c r="E45" i="12" l="1"/>
  <c r="F45" i="12"/>
  <c r="M11" i="17"/>
  <c r="D14" i="17"/>
  <c r="F7" i="17"/>
  <c r="H7" i="17" s="1"/>
  <c r="K43" i="16"/>
  <c r="H62" i="17"/>
  <c r="C62" i="17"/>
  <c r="D46" i="17"/>
  <c r="F41" i="17"/>
  <c r="H41" i="17" s="1"/>
  <c r="D41" i="18" s="1"/>
  <c r="F41" i="18" s="1"/>
  <c r="H41" i="18" s="1"/>
  <c r="D41" i="19" s="1"/>
  <c r="F41" i="19" s="1"/>
  <c r="H41" i="19" s="1"/>
  <c r="G45" i="17"/>
  <c r="I26" i="17"/>
  <c r="E26" i="17"/>
  <c r="M10" i="17" s="1"/>
  <c r="C26" i="17"/>
  <c r="F21" i="17"/>
  <c r="H21" i="17" s="1"/>
  <c r="D21" i="18" s="1"/>
  <c r="F21" i="18" s="1"/>
  <c r="H21" i="18" s="1"/>
  <c r="D21" i="19" s="1"/>
  <c r="G26" i="17"/>
  <c r="F6" i="17"/>
  <c r="D41" i="20" l="1"/>
  <c r="F41" i="20" s="1"/>
  <c r="H41" i="20" s="1"/>
  <c r="D41" i="21" s="1"/>
  <c r="F41" i="21" s="1"/>
  <c r="H41" i="21" s="1"/>
  <c r="D41" i="22" s="1"/>
  <c r="F41" i="22" s="1"/>
  <c r="H41" i="22" s="1"/>
  <c r="F51" i="17"/>
  <c r="B51" i="17"/>
  <c r="D21" i="20"/>
  <c r="F21" i="20" s="1"/>
  <c r="H21" i="20" s="1"/>
  <c r="D21" i="21" s="1"/>
  <c r="F21" i="21" s="1"/>
  <c r="H21" i="21" s="1"/>
  <c r="D21" i="22" s="1"/>
  <c r="F21" i="22" s="1"/>
  <c r="H21" i="22" s="1"/>
  <c r="F21" i="19"/>
  <c r="H21" i="19" s="1"/>
  <c r="M12" i="17"/>
  <c r="M14" i="17" s="1"/>
  <c r="F48" i="17"/>
  <c r="B48" i="17"/>
  <c r="H6" i="17"/>
  <c r="H44" i="16"/>
  <c r="H49" i="17" l="1"/>
  <c r="C49" i="17"/>
  <c r="M16" i="17" s="1"/>
  <c r="M17" i="17" s="1"/>
  <c r="M19" i="17" s="1"/>
  <c r="M21" i="17" s="1"/>
  <c r="G13" i="16" l="1"/>
  <c r="H35" i="16" l="1"/>
  <c r="H34" i="16"/>
  <c r="H31" i="16"/>
  <c r="H30" i="16" l="1"/>
  <c r="G18" i="16" l="1"/>
  <c r="H42" i="16" l="1"/>
  <c r="H43" i="16"/>
  <c r="M60" i="12" l="1"/>
  <c r="G13" i="15"/>
  <c r="G21" i="15" l="1"/>
  <c r="K67" i="14"/>
  <c r="M18" i="16"/>
  <c r="O21" i="15"/>
  <c r="I21" i="15" l="1"/>
  <c r="G21" i="12"/>
  <c r="G21" i="11"/>
  <c r="D46" i="16" l="1"/>
  <c r="D14" i="16"/>
  <c r="H62" i="16"/>
  <c r="C62" i="16"/>
  <c r="F45" i="16"/>
  <c r="M11" i="16" s="1"/>
  <c r="E45" i="16"/>
  <c r="I38" i="16"/>
  <c r="D38" i="17" s="1"/>
  <c r="F38" i="17" s="1"/>
  <c r="H38" i="17" s="1"/>
  <c r="D38" i="18" s="1"/>
  <c r="F38" i="18" s="1"/>
  <c r="H38" i="18" s="1"/>
  <c r="D38" i="19" s="1"/>
  <c r="F38" i="19" s="1"/>
  <c r="H38" i="19" s="1"/>
  <c r="H45" i="16"/>
  <c r="I26" i="16"/>
  <c r="E26" i="16"/>
  <c r="M10" i="16" s="1"/>
  <c r="C26" i="16"/>
  <c r="G26" i="16"/>
  <c r="D38" i="20" l="1"/>
  <c r="F38" i="20" s="1"/>
  <c r="H38" i="20" s="1"/>
  <c r="D38" i="21" s="1"/>
  <c r="F38" i="21" s="1"/>
  <c r="H38" i="21" s="1"/>
  <c r="D38" i="22" s="1"/>
  <c r="F38" i="22" s="1"/>
  <c r="H38" i="22" s="1"/>
  <c r="F51" i="16"/>
  <c r="B51" i="16"/>
  <c r="M12" i="16"/>
  <c r="M14" i="16" s="1"/>
  <c r="B48" i="16"/>
  <c r="C49" i="16" s="1"/>
  <c r="M16" i="16" s="1"/>
  <c r="F48" i="16"/>
  <c r="M17" i="16" l="1"/>
  <c r="M20" i="16" s="1"/>
  <c r="M22" i="16" s="1"/>
  <c r="M23" i="16" s="1"/>
  <c r="H49" i="16"/>
  <c r="G7" i="15" l="1"/>
  <c r="H58" i="14" l="1"/>
  <c r="N16" i="15"/>
  <c r="N59" i="13"/>
  <c r="N14" i="14"/>
  <c r="D14" i="15" l="1"/>
  <c r="C59" i="13" l="1"/>
  <c r="C61" i="13" s="1"/>
  <c r="H62" i="15"/>
  <c r="C62" i="15"/>
  <c r="F45" i="15"/>
  <c r="E45" i="15"/>
  <c r="G40" i="15"/>
  <c r="I40" i="15" s="1"/>
  <c r="G40" i="16" s="1"/>
  <c r="I40" i="16" s="1"/>
  <c r="D40" i="17" s="1"/>
  <c r="F40" i="17" s="1"/>
  <c r="H40" i="17" s="1"/>
  <c r="D40" i="18" s="1"/>
  <c r="F40" i="18" s="1"/>
  <c r="H40" i="18" s="1"/>
  <c r="D40" i="19" s="1"/>
  <c r="F40" i="19" s="1"/>
  <c r="H40" i="19" s="1"/>
  <c r="I38" i="15"/>
  <c r="H45" i="15"/>
  <c r="E26" i="15"/>
  <c r="N10" i="15" s="1"/>
  <c r="C26" i="15"/>
  <c r="I26" i="15"/>
  <c r="G26" i="15"/>
  <c r="F7" i="15"/>
  <c r="H7" i="15" s="1"/>
  <c r="F7" i="16" s="1"/>
  <c r="H7" i="16" s="1"/>
  <c r="C60" i="14"/>
  <c r="I21" i="14"/>
  <c r="D40" i="20" l="1"/>
  <c r="F40" i="20" s="1"/>
  <c r="H40" i="20" s="1"/>
  <c r="D40" i="21" s="1"/>
  <c r="F40" i="21" s="1"/>
  <c r="B48" i="15"/>
  <c r="C49" i="15" s="1"/>
  <c r="N14" i="15" s="1"/>
  <c r="N11" i="15"/>
  <c r="N13" i="15" s="1"/>
  <c r="F51" i="15"/>
  <c r="F48" i="15"/>
  <c r="H49" i="15"/>
  <c r="G13" i="14"/>
  <c r="H41" i="14"/>
  <c r="H40" i="21" l="1"/>
  <c r="D40" i="22" s="1"/>
  <c r="F40" i="22" s="1"/>
  <c r="H40" i="22" s="1"/>
  <c r="F6" i="16"/>
  <c r="N15" i="15"/>
  <c r="N17" i="15" s="1"/>
  <c r="N19" i="15" s="1"/>
  <c r="H44" i="14"/>
  <c r="H6" i="16" l="1"/>
  <c r="H36" i="14"/>
  <c r="H43" i="14"/>
  <c r="H29" i="14"/>
  <c r="G21" i="14"/>
  <c r="E70" i="14" l="1"/>
  <c r="K63" i="13"/>
  <c r="H60" i="13"/>
  <c r="D14" i="14"/>
  <c r="G21" i="13"/>
  <c r="H37" i="14" l="1"/>
  <c r="H32" i="14" l="1"/>
  <c r="H43" i="12" l="1"/>
  <c r="G18" i="11"/>
  <c r="G13" i="13"/>
  <c r="H42" i="14" l="1"/>
  <c r="H61" i="13" l="1"/>
  <c r="D14" i="11" l="1"/>
  <c r="G13" i="10"/>
  <c r="G13" i="8"/>
  <c r="G13" i="9"/>
  <c r="G13" i="11"/>
  <c r="G13" i="6" l="1"/>
  <c r="G24" i="13" l="1"/>
  <c r="H60" i="14"/>
  <c r="F45" i="14"/>
  <c r="E45" i="14"/>
  <c r="I38" i="14"/>
  <c r="D38" i="15" s="1"/>
  <c r="H45" i="14"/>
  <c r="I26" i="14"/>
  <c r="B51" i="14" s="1"/>
  <c r="E26" i="14"/>
  <c r="N9" i="14" s="1"/>
  <c r="C26" i="14"/>
  <c r="G26" i="14"/>
  <c r="F7" i="14"/>
  <c r="H7" i="14" s="1"/>
  <c r="B48" i="14" l="1"/>
  <c r="C49" i="14" s="1"/>
  <c r="N10" i="14"/>
  <c r="N11" i="14" s="1"/>
  <c r="N13" i="14" s="1"/>
  <c r="N15" i="14" s="1"/>
  <c r="N17" i="14" s="1"/>
  <c r="F51" i="14"/>
  <c r="F48" i="14"/>
  <c r="H49" i="14" l="1"/>
  <c r="H43" i="13"/>
  <c r="H44" i="13" l="1"/>
  <c r="I26" i="13"/>
  <c r="B51" i="13" l="1"/>
  <c r="N58" i="13" s="1"/>
  <c r="F51" i="13"/>
  <c r="H29" i="13"/>
  <c r="H33" i="13" l="1"/>
  <c r="H40" i="13" l="1"/>
  <c r="H34" i="13" l="1"/>
  <c r="K34" i="13" s="1"/>
  <c r="H38" i="13" l="1"/>
  <c r="H41" i="13" l="1"/>
  <c r="H30" i="13" l="1"/>
  <c r="H36" i="13" l="1"/>
  <c r="H35" i="13" l="1"/>
  <c r="G7" i="13" l="1"/>
  <c r="H37" i="13" l="1"/>
  <c r="H32" i="13" l="1"/>
  <c r="M62" i="12" l="1"/>
  <c r="D14" i="13" l="1"/>
  <c r="F45" i="13"/>
  <c r="M10" i="13" s="1"/>
  <c r="E45" i="13"/>
  <c r="G40" i="13"/>
  <c r="I40" i="13" s="1"/>
  <c r="D40" i="14" s="1"/>
  <c r="G40" i="14" s="1"/>
  <c r="I40" i="14" s="1"/>
  <c r="I38" i="13"/>
  <c r="D38" i="14" s="1"/>
  <c r="H45" i="13"/>
  <c r="E26" i="13"/>
  <c r="M9" i="13" s="1"/>
  <c r="C26" i="13"/>
  <c r="F21" i="13"/>
  <c r="H21" i="13" s="1"/>
  <c r="F21" i="14" s="1"/>
  <c r="H21" i="14" s="1"/>
  <c r="D21" i="15" s="1"/>
  <c r="F21" i="15" s="1"/>
  <c r="H21" i="15" s="1"/>
  <c r="D21" i="16" s="1"/>
  <c r="F21" i="16" s="1"/>
  <c r="H21" i="16" s="1"/>
  <c r="G26" i="13"/>
  <c r="F48" i="13" s="1"/>
  <c r="F7" i="13"/>
  <c r="H7" i="13" s="1"/>
  <c r="H31" i="12"/>
  <c r="M11" i="13" l="1"/>
  <c r="F24" i="14"/>
  <c r="B48" i="13"/>
  <c r="H49" i="13" s="1"/>
  <c r="H44" i="12"/>
  <c r="H24" i="14" l="1"/>
  <c r="D24" i="15" s="1"/>
  <c r="F24" i="15" s="1"/>
  <c r="H24" i="15" s="1"/>
  <c r="D24" i="16" s="1"/>
  <c r="F24" i="16" s="1"/>
  <c r="H24" i="16" s="1"/>
  <c r="D24" i="17" s="1"/>
  <c r="F24" i="17" s="1"/>
  <c r="H24" i="17" s="1"/>
  <c r="D24" i="18" s="1"/>
  <c r="F24" i="18" s="1"/>
  <c r="H24" i="18" s="1"/>
  <c r="D24" i="19" s="1"/>
  <c r="C49" i="13"/>
  <c r="M12" i="13" s="1"/>
  <c r="M13" i="13" s="1"/>
  <c r="H34" i="12"/>
  <c r="D24" i="20" l="1"/>
  <c r="F24" i="20" s="1"/>
  <c r="H24" i="20" s="1"/>
  <c r="D24" i="21" s="1"/>
  <c r="F24" i="21" s="1"/>
  <c r="H24" i="21" s="1"/>
  <c r="D24" i="22" s="1"/>
  <c r="F24" i="22" s="1"/>
  <c r="H24" i="22" s="1"/>
  <c r="F24" i="19"/>
  <c r="H24" i="19" s="1"/>
  <c r="M16" i="13"/>
  <c r="O13" i="13"/>
  <c r="O14" i="13" s="1"/>
  <c r="G13" i="12"/>
  <c r="H41" i="12" l="1"/>
  <c r="N53" i="12" l="1"/>
  <c r="H38" i="12" l="1"/>
  <c r="H32" i="12" l="1"/>
  <c r="H30" i="12" l="1"/>
  <c r="H36" i="12" l="1"/>
  <c r="H37" i="12" l="1"/>
  <c r="G18" i="12" l="1"/>
  <c r="C61" i="11" l="1"/>
  <c r="D14" i="12" l="1"/>
  <c r="H60" i="12"/>
  <c r="C60" i="12"/>
  <c r="I38" i="12"/>
  <c r="D38" i="13" s="1"/>
  <c r="H45" i="12"/>
  <c r="E26" i="12"/>
  <c r="C26" i="12"/>
  <c r="F21" i="12"/>
  <c r="H21" i="12" s="1"/>
  <c r="G26" i="12"/>
  <c r="F7" i="12"/>
  <c r="H7" i="12" s="1"/>
  <c r="B48" i="12" l="1"/>
  <c r="C49" i="12" s="1"/>
  <c r="F48" i="12"/>
  <c r="H49" i="12"/>
  <c r="N51" i="12" l="1"/>
  <c r="N52" i="12" s="1"/>
  <c r="N54" i="12" s="1"/>
  <c r="H33" i="11"/>
  <c r="H29" i="11" l="1"/>
  <c r="H34" i="11"/>
  <c r="H36" i="11"/>
  <c r="H31" i="11" l="1"/>
  <c r="H34" i="9" l="1"/>
  <c r="H38" i="11" l="1"/>
  <c r="H41" i="11" l="1"/>
  <c r="H30" i="11" l="1"/>
  <c r="H37" i="11" l="1"/>
  <c r="H62" i="10" l="1"/>
  <c r="C62" i="10"/>
  <c r="H40" i="10" l="1"/>
  <c r="H29" i="10"/>
  <c r="H42" i="11" l="1"/>
  <c r="G18" i="10" l="1"/>
  <c r="H61" i="11" l="1"/>
  <c r="F45" i="11"/>
  <c r="E45" i="11"/>
  <c r="I38" i="11"/>
  <c r="D38" i="12" s="1"/>
  <c r="G35" i="11"/>
  <c r="I35" i="11" s="1"/>
  <c r="D35" i="12" s="1"/>
  <c r="G35" i="12" s="1"/>
  <c r="I35" i="12" s="1"/>
  <c r="D35" i="13" s="1"/>
  <c r="H45" i="11"/>
  <c r="E26" i="11"/>
  <c r="M14" i="11" s="1"/>
  <c r="C26" i="11"/>
  <c r="F24" i="11"/>
  <c r="H24" i="11" s="1"/>
  <c r="F21" i="11"/>
  <c r="H21" i="11" s="1"/>
  <c r="F19" i="11"/>
  <c r="H19" i="11" s="1"/>
  <c r="D19" i="12" s="1"/>
  <c r="F19" i="12" s="1"/>
  <c r="H19" i="12" s="1"/>
  <c r="D19" i="13" s="1"/>
  <c r="G26" i="11"/>
  <c r="F6" i="11"/>
  <c r="D24" i="12" l="1"/>
  <c r="F24" i="12" s="1"/>
  <c r="H24" i="12" s="1"/>
  <c r="D24" i="13"/>
  <c r="F24" i="13" s="1"/>
  <c r="H24" i="13" s="1"/>
  <c r="M15" i="11"/>
  <c r="N15" i="11" s="1"/>
  <c r="M17" i="11" s="1"/>
  <c r="B48" i="11"/>
  <c r="F19" i="13"/>
  <c r="H19" i="13" s="1"/>
  <c r="G35" i="13"/>
  <c r="F48" i="11"/>
  <c r="H49" i="11"/>
  <c r="H6" i="11"/>
  <c r="D6" i="12" s="1"/>
  <c r="F6" i="12" s="1"/>
  <c r="H6" i="12" s="1"/>
  <c r="D6" i="13" s="1"/>
  <c r="F6" i="13" s="1"/>
  <c r="H6" i="13" s="1"/>
  <c r="H42" i="10"/>
  <c r="D6" i="14" l="1"/>
  <c r="F6" i="14" s="1"/>
  <c r="H6" i="14" s="1"/>
  <c r="D6" i="15" s="1"/>
  <c r="F6" i="15" s="1"/>
  <c r="D19" i="14"/>
  <c r="F19" i="14" s="1"/>
  <c r="H19" i="14" s="1"/>
  <c r="D19" i="15" s="1"/>
  <c r="F19" i="15" s="1"/>
  <c r="H19" i="15" s="1"/>
  <c r="D19" i="16" s="1"/>
  <c r="F19" i="16" s="1"/>
  <c r="H19" i="16" s="1"/>
  <c r="D19" i="17" s="1"/>
  <c r="F19" i="17" s="1"/>
  <c r="H19" i="17" s="1"/>
  <c r="D19" i="18" s="1"/>
  <c r="F19" i="18" s="1"/>
  <c r="H19" i="18" s="1"/>
  <c r="D19" i="19" s="1"/>
  <c r="I35" i="13"/>
  <c r="C49" i="11"/>
  <c r="H34" i="10"/>
  <c r="D19" i="20" l="1"/>
  <c r="F19" i="20" s="1"/>
  <c r="H19" i="20" s="1"/>
  <c r="D19" i="21" s="1"/>
  <c r="F19" i="21" s="1"/>
  <c r="H19" i="21" s="1"/>
  <c r="D19" i="22" s="1"/>
  <c r="F19" i="22" s="1"/>
  <c r="H19" i="22" s="1"/>
  <c r="F19" i="19"/>
  <c r="H19" i="19" s="1"/>
  <c r="H6" i="15"/>
  <c r="D35" i="14"/>
  <c r="H38" i="10"/>
  <c r="G35" i="14" l="1"/>
  <c r="H32" i="10"/>
  <c r="I35" i="14" l="1"/>
  <c r="H30" i="10"/>
  <c r="D35" i="15" l="1"/>
  <c r="G35" i="15" s="1"/>
  <c r="O17" i="10"/>
  <c r="O14" i="10"/>
  <c r="O16" i="10" s="1"/>
  <c r="H36" i="10"/>
  <c r="P41" i="9"/>
  <c r="O18" i="10" l="1"/>
  <c r="O20" i="10" s="1"/>
  <c r="I35" i="15"/>
  <c r="H29" i="9"/>
  <c r="H36" i="9"/>
  <c r="D35" i="16" l="1"/>
  <c r="G35" i="16" s="1"/>
  <c r="D14" i="10"/>
  <c r="H66" i="10"/>
  <c r="C66" i="10"/>
  <c r="F45" i="10"/>
  <c r="E45" i="10"/>
  <c r="I38" i="10"/>
  <c r="D38" i="11" s="1"/>
  <c r="H45" i="10"/>
  <c r="E26" i="10"/>
  <c r="C26" i="10"/>
  <c r="F24" i="10"/>
  <c r="H24" i="10" s="1"/>
  <c r="F19" i="10"/>
  <c r="H19" i="10" s="1"/>
  <c r="G26" i="10"/>
  <c r="F6" i="10"/>
  <c r="I35" i="16" l="1"/>
  <c r="B50" i="10"/>
  <c r="H51" i="10" s="1"/>
  <c r="E48" i="10"/>
  <c r="C51" i="10"/>
  <c r="H6" i="10"/>
  <c r="F50" i="10"/>
  <c r="H35" i="9"/>
  <c r="D35" i="17" l="1"/>
  <c r="G18" i="9"/>
  <c r="F35" i="17" l="1"/>
  <c r="H31" i="9"/>
  <c r="H35" i="17" l="1"/>
  <c r="D35" i="18" s="1"/>
  <c r="F35" i="18" s="1"/>
  <c r="H35" i="18" s="1"/>
  <c r="D35" i="19" s="1"/>
  <c r="F35" i="19" s="1"/>
  <c r="H35" i="19" s="1"/>
  <c r="H42" i="9"/>
  <c r="H40" i="9"/>
  <c r="H32" i="9"/>
  <c r="F21" i="9"/>
  <c r="H21" i="9" s="1"/>
  <c r="D35" i="20" l="1"/>
  <c r="F35" i="20" s="1"/>
  <c r="H35" i="20" s="1"/>
  <c r="D35" i="21" s="1"/>
  <c r="F35" i="21" s="1"/>
  <c r="H35" i="21" s="1"/>
  <c r="D35" i="22" s="1"/>
  <c r="F35" i="22" s="1"/>
  <c r="H35" i="22" s="1"/>
  <c r="F21" i="10"/>
  <c r="G33" i="9"/>
  <c r="I33" i="9" s="1"/>
  <c r="D33" i="10" s="1"/>
  <c r="G33" i="10" s="1"/>
  <c r="I33" i="10" s="1"/>
  <c r="D33" i="11" s="1"/>
  <c r="G33" i="11" s="1"/>
  <c r="I33" i="11" s="1"/>
  <c r="D33" i="12" s="1"/>
  <c r="G33" i="12" s="1"/>
  <c r="I33" i="12" s="1"/>
  <c r="D33" i="13" s="1"/>
  <c r="G33" i="13" s="1"/>
  <c r="I33" i="13" s="1"/>
  <c r="D33" i="14" s="1"/>
  <c r="G33" i="14" s="1"/>
  <c r="I33" i="14" s="1"/>
  <c r="D33" i="15" s="1"/>
  <c r="G33" i="15" s="1"/>
  <c r="I33" i="15" s="1"/>
  <c r="D33" i="16" s="1"/>
  <c r="G33" i="16" s="1"/>
  <c r="I33" i="16" s="1"/>
  <c r="G24" i="9"/>
  <c r="J73" i="9"/>
  <c r="G19" i="7"/>
  <c r="G19" i="8"/>
  <c r="G24" i="8"/>
  <c r="B54" i="8"/>
  <c r="D33" i="17" l="1"/>
  <c r="F33" i="17" s="1"/>
  <c r="H33" i="17" s="1"/>
  <c r="D33" i="18" s="1"/>
  <c r="F33" i="18" s="1"/>
  <c r="H33" i="18" s="1"/>
  <c r="D33" i="19" s="1"/>
  <c r="F33" i="19" s="1"/>
  <c r="H33" i="19" s="1"/>
  <c r="H21" i="10"/>
  <c r="H37" i="9"/>
  <c r="D33" i="20" l="1"/>
  <c r="F33" i="20" s="1"/>
  <c r="H33" i="20" s="1"/>
  <c r="D33" i="21" s="1"/>
  <c r="F33" i="21" s="1"/>
  <c r="H33" i="21" s="1"/>
  <c r="D33" i="22" s="1"/>
  <c r="F33" i="22" s="1"/>
  <c r="H33" i="22" s="1"/>
  <c r="G24" i="7"/>
  <c r="H35" i="8" l="1"/>
  <c r="H29" i="8" l="1"/>
  <c r="H65" i="9" l="1"/>
  <c r="C65" i="9"/>
  <c r="H45" i="9"/>
  <c r="F45" i="9"/>
  <c r="P35" i="9" s="1"/>
  <c r="E45" i="9"/>
  <c r="I38" i="9"/>
  <c r="D38" i="10" s="1"/>
  <c r="G37" i="9"/>
  <c r="I37" i="9" s="1"/>
  <c r="D37" i="10" s="1"/>
  <c r="G37" i="10" s="1"/>
  <c r="I37" i="10" s="1"/>
  <c r="D37" i="11" s="1"/>
  <c r="G37" i="11" s="1"/>
  <c r="I37" i="11" s="1"/>
  <c r="D37" i="12" s="1"/>
  <c r="G37" i="12" s="1"/>
  <c r="I37" i="12" s="1"/>
  <c r="D37" i="13" s="1"/>
  <c r="G37" i="13" s="1"/>
  <c r="I37" i="13" s="1"/>
  <c r="D37" i="14" s="1"/>
  <c r="G37" i="14" s="1"/>
  <c r="I37" i="14" s="1"/>
  <c r="D37" i="15" s="1"/>
  <c r="G37" i="15" s="1"/>
  <c r="I37" i="15" s="1"/>
  <c r="D37" i="16" s="1"/>
  <c r="G26" i="9"/>
  <c r="E26" i="9"/>
  <c r="P36" i="9" s="1"/>
  <c r="C26" i="9"/>
  <c r="P37" i="9" l="1"/>
  <c r="G37" i="16"/>
  <c r="I37" i="16" s="1"/>
  <c r="B50" i="9"/>
  <c r="H51" i="9" s="1"/>
  <c r="E48" i="9"/>
  <c r="F50" i="9"/>
  <c r="D37" i="17" l="1"/>
  <c r="F37" i="17" s="1"/>
  <c r="H37" i="17" s="1"/>
  <c r="D37" i="18" s="1"/>
  <c r="F37" i="18" s="1"/>
  <c r="H37" i="18" s="1"/>
  <c r="D37" i="19" s="1"/>
  <c r="F37" i="19" s="1"/>
  <c r="H37" i="19" s="1"/>
  <c r="C51" i="9"/>
  <c r="P38" i="9" s="1"/>
  <c r="P39" i="9" s="1"/>
  <c r="P42" i="9" s="1"/>
  <c r="H40" i="8"/>
  <c r="D37" i="20" l="1"/>
  <c r="F37" i="20" s="1"/>
  <c r="H37" i="20" s="1"/>
  <c r="D37" i="21" s="1"/>
  <c r="F37" i="21" s="1"/>
  <c r="H37" i="21" s="1"/>
  <c r="D37" i="22" s="1"/>
  <c r="F37" i="22" s="1"/>
  <c r="H37" i="22" s="1"/>
  <c r="P44" i="9"/>
  <c r="P47" i="9" s="1"/>
  <c r="P50" i="9" s="1"/>
  <c r="H31" i="8"/>
  <c r="G18" i="8" l="1"/>
  <c r="H44" i="7"/>
  <c r="H36" i="8" l="1"/>
  <c r="H42" i="8"/>
  <c r="H34" i="8" l="1"/>
  <c r="H41" i="8"/>
  <c r="H32" i="8" l="1"/>
  <c r="H30" i="8" l="1"/>
  <c r="H21" i="3" l="1"/>
  <c r="G21" i="2"/>
  <c r="G18" i="7"/>
  <c r="G13" i="7"/>
  <c r="G21" i="8" l="1"/>
  <c r="D46" i="8" l="1"/>
  <c r="D47" i="8"/>
  <c r="H62" i="8"/>
  <c r="C62" i="8"/>
  <c r="F45" i="8"/>
  <c r="E45" i="8"/>
  <c r="H45" i="8"/>
  <c r="E26" i="8"/>
  <c r="L11" i="8" s="1"/>
  <c r="F24" i="8"/>
  <c r="H24" i="8" s="1"/>
  <c r="F24" i="9" s="1"/>
  <c r="F19" i="8"/>
  <c r="H19" i="8" s="1"/>
  <c r="F19" i="9" s="1"/>
  <c r="H19" i="9" s="1"/>
  <c r="G26" i="8"/>
  <c r="H24" i="9" l="1"/>
  <c r="N11" i="8"/>
  <c r="B50" i="8"/>
  <c r="L12" i="8"/>
  <c r="L13" i="8" s="1"/>
  <c r="L15" i="8" s="1"/>
  <c r="E48" i="8"/>
  <c r="C51" i="8"/>
  <c r="H51" i="8"/>
  <c r="H37" i="7"/>
  <c r="H29" i="7"/>
  <c r="N12" i="8" l="1"/>
  <c r="L16" i="8"/>
  <c r="L17" i="8" s="1"/>
  <c r="L19" i="8" s="1"/>
  <c r="N13" i="8"/>
  <c r="N15" i="8" s="1"/>
  <c r="N17" i="8" s="1"/>
  <c r="H35" i="7"/>
  <c r="N19" i="8" l="1"/>
  <c r="P20" i="8" s="1"/>
  <c r="H40" i="7"/>
  <c r="H31" i="7" l="1"/>
  <c r="H41" i="7" l="1"/>
  <c r="H42" i="7" l="1"/>
  <c r="H33" i="7" l="1"/>
  <c r="H34" i="7" l="1"/>
  <c r="H30" i="7" l="1"/>
  <c r="H36" i="7"/>
  <c r="H38" i="7" l="1"/>
  <c r="G24" i="6" l="1"/>
  <c r="F45" i="7" l="1"/>
  <c r="D46" i="7"/>
  <c r="H61" i="7" l="1"/>
  <c r="C61" i="7"/>
  <c r="E45" i="7"/>
  <c r="H45" i="7"/>
  <c r="E26" i="7"/>
  <c r="B50" i="7" s="1"/>
  <c r="G26" i="7"/>
  <c r="F50" i="7" l="1"/>
  <c r="E48" i="7"/>
  <c r="C51" i="7"/>
  <c r="H51" i="7"/>
  <c r="H31" i="6"/>
  <c r="H35" i="6" l="1"/>
  <c r="G21" i="5" l="1"/>
  <c r="G21" i="6"/>
  <c r="H42" i="6" l="1"/>
  <c r="H36" i="6"/>
  <c r="G18" i="6"/>
  <c r="H34" i="6" l="1"/>
  <c r="G24" i="5" l="1"/>
  <c r="G40" i="6" l="1"/>
  <c r="I40" i="6" s="1"/>
  <c r="D40" i="7" s="1"/>
  <c r="G40" i="7" s="1"/>
  <c r="I40" i="7" s="1"/>
  <c r="D40" i="8" s="1"/>
  <c r="G40" i="8" s="1"/>
  <c r="I40" i="8" s="1"/>
  <c r="D40" i="9" s="1"/>
  <c r="G40" i="9" s="1"/>
  <c r="I40" i="9" s="1"/>
  <c r="D40" i="10" s="1"/>
  <c r="G40" i="10" s="1"/>
  <c r="I40" i="10" s="1"/>
  <c r="D40" i="11" s="1"/>
  <c r="G40" i="11" s="1"/>
  <c r="I40" i="11" s="1"/>
  <c r="D40" i="12" s="1"/>
  <c r="G40" i="12" s="1"/>
  <c r="I40" i="12" s="1"/>
  <c r="H61" i="6"/>
  <c r="C61" i="6"/>
  <c r="H45" i="6"/>
  <c r="F45" i="6"/>
  <c r="E45" i="6"/>
  <c r="C45" i="6"/>
  <c r="B54" i="6" s="1"/>
  <c r="I28" i="6"/>
  <c r="G26" i="6"/>
  <c r="E26" i="6"/>
  <c r="E48" i="6" s="1"/>
  <c r="C26" i="6"/>
  <c r="D28" i="11" l="1"/>
  <c r="D28" i="12"/>
  <c r="F50" i="6"/>
  <c r="D28" i="10"/>
  <c r="D28" i="9"/>
  <c r="D28" i="8"/>
  <c r="D28" i="7"/>
  <c r="B50" i="6"/>
  <c r="C51" i="6" s="1"/>
  <c r="H51" i="6" l="1"/>
  <c r="H36" i="5" l="1"/>
  <c r="G18" i="5" l="1"/>
  <c r="H37" i="5" l="1"/>
  <c r="I28" i="5" l="1"/>
  <c r="G40" i="5" l="1"/>
  <c r="I40" i="5" s="1"/>
  <c r="G41" i="5"/>
  <c r="I41" i="5" s="1"/>
  <c r="D41" i="6" s="1"/>
  <c r="G41" i="6" s="1"/>
  <c r="I41" i="6" s="1"/>
  <c r="D41" i="7" s="1"/>
  <c r="G41" i="7" s="1"/>
  <c r="I41" i="7" s="1"/>
  <c r="D41" i="8" s="1"/>
  <c r="G41" i="8" s="1"/>
  <c r="I41" i="8" s="1"/>
  <c r="D41" i="9" s="1"/>
  <c r="G41" i="9" s="1"/>
  <c r="I41" i="9" s="1"/>
  <c r="D41" i="10" s="1"/>
  <c r="G41" i="10" s="1"/>
  <c r="I41" i="10" s="1"/>
  <c r="D41" i="11" s="1"/>
  <c r="G41" i="11" s="1"/>
  <c r="I41" i="11" s="1"/>
  <c r="D41" i="12" s="1"/>
  <c r="G41" i="12" s="1"/>
  <c r="I41" i="12" s="1"/>
  <c r="D41" i="13" s="1"/>
  <c r="G41" i="13" s="1"/>
  <c r="I41" i="13" s="1"/>
  <c r="D41" i="14" s="1"/>
  <c r="G41" i="14" s="1"/>
  <c r="I41" i="14" s="1"/>
  <c r="D41" i="15" s="1"/>
  <c r="G41" i="15" s="1"/>
  <c r="I41" i="15" s="1"/>
  <c r="D41" i="16" s="1"/>
  <c r="G41" i="16" s="1"/>
  <c r="I41" i="16" s="1"/>
  <c r="G42" i="5"/>
  <c r="I42" i="5" s="1"/>
  <c r="D42" i="6" s="1"/>
  <c r="G42" i="6" s="1"/>
  <c r="I42" i="6" s="1"/>
  <c r="D42" i="7" s="1"/>
  <c r="G42" i="7" s="1"/>
  <c r="I42" i="7" s="1"/>
  <c r="D42" i="8" s="1"/>
  <c r="G42" i="8" s="1"/>
  <c r="I42" i="8" s="1"/>
  <c r="D42" i="9" s="1"/>
  <c r="G42" i="9" s="1"/>
  <c r="I42" i="9" s="1"/>
  <c r="D42" i="10" s="1"/>
  <c r="G42" i="10" s="1"/>
  <c r="I42" i="10" s="1"/>
  <c r="D42" i="11" s="1"/>
  <c r="G42" i="11" s="1"/>
  <c r="I42" i="11" s="1"/>
  <c r="D42" i="12" s="1"/>
  <c r="G42" i="12" s="1"/>
  <c r="I42" i="12" s="1"/>
  <c r="D42" i="13" s="1"/>
  <c r="G42" i="13" s="1"/>
  <c r="I42" i="13" s="1"/>
  <c r="D42" i="14" s="1"/>
  <c r="G42" i="14" s="1"/>
  <c r="I42" i="14" s="1"/>
  <c r="D42" i="15" s="1"/>
  <c r="G42" i="15" s="1"/>
  <c r="I42" i="15" s="1"/>
  <c r="D42" i="16" s="1"/>
  <c r="G42" i="16" s="1"/>
  <c r="I42" i="16" s="1"/>
  <c r="G43" i="5"/>
  <c r="I43" i="5" s="1"/>
  <c r="D43" i="6" s="1"/>
  <c r="G43" i="6" s="1"/>
  <c r="I43" i="6" s="1"/>
  <c r="D43" i="7" s="1"/>
  <c r="G43" i="7" s="1"/>
  <c r="I43" i="7" s="1"/>
  <c r="D43" i="8" s="1"/>
  <c r="G43" i="8" s="1"/>
  <c r="I43" i="8" s="1"/>
  <c r="D43" i="9" s="1"/>
  <c r="G43" i="9" s="1"/>
  <c r="I43" i="9" s="1"/>
  <c r="G43" i="10" s="1"/>
  <c r="I43" i="10" s="1"/>
  <c r="D43" i="11" s="1"/>
  <c r="G43" i="11" s="1"/>
  <c r="I43" i="11" s="1"/>
  <c r="D43" i="12" s="1"/>
  <c r="G44" i="5"/>
  <c r="I44" i="5" s="1"/>
  <c r="D44" i="6" s="1"/>
  <c r="G44" i="6" s="1"/>
  <c r="I44" i="6" s="1"/>
  <c r="D44" i="7" s="1"/>
  <c r="G44" i="7" s="1"/>
  <c r="I44" i="7" s="1"/>
  <c r="D44" i="8" s="1"/>
  <c r="G44" i="8" s="1"/>
  <c r="I44" i="8" s="1"/>
  <c r="D44" i="9" s="1"/>
  <c r="G44" i="9" s="1"/>
  <c r="I44" i="9" s="1"/>
  <c r="G44" i="10" s="1"/>
  <c r="I44" i="10" s="1"/>
  <c r="D44" i="11" s="1"/>
  <c r="G44" i="11" s="1"/>
  <c r="I44" i="11" s="1"/>
  <c r="D44" i="12" s="1"/>
  <c r="G44" i="12" s="1"/>
  <c r="I44" i="12" s="1"/>
  <c r="D44" i="13" s="1"/>
  <c r="G44" i="13" s="1"/>
  <c r="I44" i="13" s="1"/>
  <c r="D44" i="14" s="1"/>
  <c r="G44" i="14" s="1"/>
  <c r="I44" i="14" s="1"/>
  <c r="D44" i="15" s="1"/>
  <c r="G44" i="15" s="1"/>
  <c r="I44" i="15" s="1"/>
  <c r="D44" i="16" s="1"/>
  <c r="G44" i="16" s="1"/>
  <c r="I44" i="16" s="1"/>
  <c r="D44" i="17" l="1"/>
  <c r="F44" i="17" s="1"/>
  <c r="H44" i="17" s="1"/>
  <c r="D44" i="18" s="1"/>
  <c r="F44" i="18" s="1"/>
  <c r="H44" i="18" s="1"/>
  <c r="D42" i="17"/>
  <c r="F42" i="17" s="1"/>
  <c r="H42" i="17" s="1"/>
  <c r="D42" i="18" s="1"/>
  <c r="F42" i="18" s="1"/>
  <c r="H42" i="18" s="1"/>
  <c r="D42" i="19" s="1"/>
  <c r="F42" i="19" s="1"/>
  <c r="H42" i="19" s="1"/>
  <c r="G43" i="12"/>
  <c r="I43" i="12" s="1"/>
  <c r="D43" i="13" s="1"/>
  <c r="G43" i="13" s="1"/>
  <c r="I43" i="13" s="1"/>
  <c r="D43" i="14" s="1"/>
  <c r="G43" i="14" s="1"/>
  <c r="I43" i="14" s="1"/>
  <c r="D43" i="15" s="1"/>
  <c r="G43" i="15" s="1"/>
  <c r="I43" i="15" s="1"/>
  <c r="D43" i="16" s="1"/>
  <c r="G43" i="16" s="1"/>
  <c r="I43" i="16" s="1"/>
  <c r="C61" i="5"/>
  <c r="H61" i="5"/>
  <c r="H45" i="5"/>
  <c r="E45" i="5"/>
  <c r="C45" i="5"/>
  <c r="B54" i="5" s="1"/>
  <c r="E26" i="5"/>
  <c r="C26" i="5"/>
  <c r="G26" i="5"/>
  <c r="D42" i="20" l="1"/>
  <c r="D44" i="19"/>
  <c r="F44" i="19" s="1"/>
  <c r="H44" i="19" s="1"/>
  <c r="D43" i="17"/>
  <c r="F43" i="17" s="1"/>
  <c r="H43" i="17" s="1"/>
  <c r="D43" i="18" s="1"/>
  <c r="F43" i="18" s="1"/>
  <c r="H43" i="18" s="1"/>
  <c r="D43" i="19" s="1"/>
  <c r="F50" i="5"/>
  <c r="E48" i="5"/>
  <c r="F45" i="5"/>
  <c r="B50" i="5" s="1"/>
  <c r="H24" i="4"/>
  <c r="D44" i="20" l="1"/>
  <c r="F44" i="20" s="1"/>
  <c r="H44" i="20" s="1"/>
  <c r="F44" i="21" s="1"/>
  <c r="H44" i="21" s="1"/>
  <c r="D44" i="22" s="1"/>
  <c r="F44" i="22" s="1"/>
  <c r="H44" i="22" s="1"/>
  <c r="F42" i="20"/>
  <c r="H42" i="20" s="1"/>
  <c r="D42" i="21" s="1"/>
  <c r="F42" i="21" s="1"/>
  <c r="H42" i="21" s="1"/>
  <c r="D42" i="22" s="1"/>
  <c r="F43" i="19"/>
  <c r="H51" i="5"/>
  <c r="C51" i="5"/>
  <c r="F42" i="22" l="1"/>
  <c r="H43" i="19"/>
  <c r="H18" i="4"/>
  <c r="H42" i="22" l="1"/>
  <c r="D43" i="20"/>
  <c r="F43" i="20" s="1"/>
  <c r="H43" i="20" s="1"/>
  <c r="D43" i="21" s="1"/>
  <c r="F43" i="21" s="1"/>
  <c r="H43" i="21" s="1"/>
  <c r="D43" i="22" s="1"/>
  <c r="F43" i="22" s="1"/>
  <c r="H43" i="22" s="1"/>
  <c r="H21" i="4"/>
  <c r="H7" i="4" l="1"/>
  <c r="H48" i="3" l="1"/>
  <c r="H64" i="3" l="1"/>
  <c r="H18" i="3" l="1"/>
  <c r="C64" i="3" l="1"/>
  <c r="H32" i="3"/>
  <c r="H65" i="4" l="1"/>
  <c r="C65" i="4"/>
  <c r="F49" i="4"/>
  <c r="E49" i="4"/>
  <c r="C49" i="4"/>
  <c r="B58" i="4" s="1"/>
  <c r="H49" i="4"/>
  <c r="F26" i="4"/>
  <c r="E26" i="4"/>
  <c r="C26" i="4"/>
  <c r="H26" i="4"/>
  <c r="G54" i="4" l="1"/>
  <c r="E52" i="4"/>
  <c r="B54" i="4"/>
  <c r="H55" i="4" s="1"/>
  <c r="C55" i="4" l="1"/>
  <c r="H24" i="3" l="1"/>
  <c r="H46" i="3" l="1"/>
  <c r="E49" i="3" l="1"/>
  <c r="E26" i="3"/>
  <c r="E50" i="3" l="1"/>
  <c r="E49" i="2"/>
  <c r="F49" i="3"/>
  <c r="H49" i="3" l="1"/>
  <c r="C49" i="3"/>
  <c r="B56" i="3" s="1"/>
  <c r="F26" i="3"/>
  <c r="C26" i="3"/>
  <c r="H26" i="3"/>
  <c r="G52" i="3" l="1"/>
  <c r="B52" i="3"/>
  <c r="G18" i="2"/>
  <c r="G13" i="1"/>
  <c r="H53" i="3" l="1"/>
  <c r="C53" i="3"/>
  <c r="B55" i="1"/>
  <c r="E26" i="2"/>
  <c r="D45" i="2" l="1"/>
  <c r="F45" i="2" s="1"/>
  <c r="H45" i="2" s="1"/>
  <c r="D45" i="3" s="1"/>
  <c r="G45" i="3" s="1"/>
  <c r="I45" i="3" s="1"/>
  <c r="D45" i="4" s="1"/>
  <c r="G45" i="4" s="1"/>
  <c r="I45" i="4" s="1"/>
  <c r="D46" i="2"/>
  <c r="F46" i="2" s="1"/>
  <c r="H46" i="2" s="1"/>
  <c r="D46" i="3" s="1"/>
  <c r="G46" i="3" s="1"/>
  <c r="I46" i="3" s="1"/>
  <c r="D46" i="4" s="1"/>
  <c r="G46" i="4" s="1"/>
  <c r="I46" i="4" s="1"/>
  <c r="D47" i="2"/>
  <c r="D48" i="2"/>
  <c r="F48" i="2" s="1"/>
  <c r="H48" i="2" s="1"/>
  <c r="D48" i="3" s="1"/>
  <c r="G48" i="3" s="1"/>
  <c r="I48" i="3" s="1"/>
  <c r="D48" i="4" s="1"/>
  <c r="G48" i="4" s="1"/>
  <c r="I48" i="4" s="1"/>
  <c r="G64" i="2"/>
  <c r="C64" i="2"/>
  <c r="G49" i="2"/>
  <c r="C49" i="2"/>
  <c r="B56" i="2" s="1"/>
  <c r="F47" i="2"/>
  <c r="H47" i="2" s="1"/>
  <c r="D47" i="3" s="1"/>
  <c r="G47" i="3" s="1"/>
  <c r="I47" i="3" s="1"/>
  <c r="D47" i="4" s="1"/>
  <c r="G47" i="4" s="1"/>
  <c r="I47" i="4" s="1"/>
  <c r="G26" i="2"/>
  <c r="F52" i="2" s="1"/>
  <c r="C26" i="2"/>
  <c r="B52" i="2" l="1"/>
  <c r="G53" i="2" s="1"/>
  <c r="C53" i="2" l="1"/>
  <c r="G49" i="1" l="1"/>
  <c r="E26" i="1" l="1"/>
  <c r="J28" i="1" l="1"/>
  <c r="J34" i="1" s="1"/>
  <c r="E49" i="1"/>
  <c r="C65" i="1"/>
  <c r="F45" i="1"/>
  <c r="F46" i="1"/>
  <c r="F47" i="1"/>
  <c r="F48" i="1"/>
  <c r="F29" i="1"/>
  <c r="F7" i="1"/>
  <c r="H7" i="1" s="1"/>
  <c r="D7" i="2" s="1"/>
  <c r="F7" i="2" s="1"/>
  <c r="H7" i="2" s="1"/>
  <c r="D7" i="3" s="1"/>
  <c r="G7" i="3" s="1"/>
  <c r="I7" i="3" s="1"/>
  <c r="D7" i="4" s="1"/>
  <c r="G7" i="4" s="1"/>
  <c r="I7" i="4" s="1"/>
  <c r="D7" i="5" s="1"/>
  <c r="F7" i="5" s="1"/>
  <c r="H7" i="5" s="1"/>
  <c r="D7" i="6" s="1"/>
  <c r="F7" i="6" s="1"/>
  <c r="H7" i="6" s="1"/>
  <c r="D7" i="7" s="1"/>
  <c r="F7" i="7" s="1"/>
  <c r="H7" i="7" s="1"/>
  <c r="D7" i="8" s="1"/>
  <c r="F7" i="8" s="1"/>
  <c r="H7" i="8" s="1"/>
  <c r="D7" i="9" s="1"/>
  <c r="F7" i="9" s="1"/>
  <c r="H7" i="9" s="1"/>
  <c r="F8" i="1"/>
  <c r="H8" i="1" s="1"/>
  <c r="D8" i="2" s="1"/>
  <c r="F8" i="2" s="1"/>
  <c r="H8" i="2" s="1"/>
  <c r="D8" i="3" s="1"/>
  <c r="G8" i="3" s="1"/>
  <c r="I8" i="3" s="1"/>
  <c r="D8" i="4" s="1"/>
  <c r="G8" i="4" s="1"/>
  <c r="I8" i="4" s="1"/>
  <c r="D8" i="5" s="1"/>
  <c r="F8" i="5" s="1"/>
  <c r="H8" i="5" s="1"/>
  <c r="D8" i="6" s="1"/>
  <c r="F8" i="6" s="1"/>
  <c r="H8" i="6" s="1"/>
  <c r="D8" i="7" s="1"/>
  <c r="F8" i="7" s="1"/>
  <c r="H8" i="7" s="1"/>
  <c r="D8" i="8" s="1"/>
  <c r="F8" i="8" s="1"/>
  <c r="H8" i="8" s="1"/>
  <c r="D8" i="9" s="1"/>
  <c r="F8" i="9" s="1"/>
  <c r="H8" i="9" s="1"/>
  <c r="F9" i="1"/>
  <c r="H9" i="1" s="1"/>
  <c r="F9" i="2" s="1"/>
  <c r="H9" i="2" s="1"/>
  <c r="D9" i="3" s="1"/>
  <c r="G9" i="3" s="1"/>
  <c r="I9" i="3" s="1"/>
  <c r="D9" i="4" s="1"/>
  <c r="G9" i="4" s="1"/>
  <c r="I9" i="4" s="1"/>
  <c r="D9" i="5" s="1"/>
  <c r="F9" i="5" s="1"/>
  <c r="H9" i="5" s="1"/>
  <c r="D9" i="6" s="1"/>
  <c r="F9" i="6" s="1"/>
  <c r="H9" i="6" s="1"/>
  <c r="D9" i="7" s="1"/>
  <c r="F9" i="7" s="1"/>
  <c r="H9" i="7" s="1"/>
  <c r="D9" i="8" s="1"/>
  <c r="F9" i="8" s="1"/>
  <c r="H9" i="8" s="1"/>
  <c r="D9" i="9" s="1"/>
  <c r="F9" i="9" s="1"/>
  <c r="H9" i="9" s="1"/>
  <c r="F10" i="1"/>
  <c r="H10" i="1" s="1"/>
  <c r="D10" i="2" s="1"/>
  <c r="F10" i="2" s="1"/>
  <c r="H10" i="2" s="1"/>
  <c r="D10" i="3" s="1"/>
  <c r="G10" i="3" s="1"/>
  <c r="I10" i="3" s="1"/>
  <c r="D10" i="4" s="1"/>
  <c r="G10" i="4" s="1"/>
  <c r="I10" i="4" s="1"/>
  <c r="D10" i="5" s="1"/>
  <c r="F10" i="5" s="1"/>
  <c r="H10" i="5" s="1"/>
  <c r="D10" i="6" s="1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F11" i="1"/>
  <c r="H11" i="1" s="1"/>
  <c r="D11" i="2" s="1"/>
  <c r="F11" i="2" s="1"/>
  <c r="H11" i="2" s="1"/>
  <c r="D11" i="3" s="1"/>
  <c r="G11" i="3" s="1"/>
  <c r="I11" i="3" s="1"/>
  <c r="D11" i="4" s="1"/>
  <c r="G11" i="4" s="1"/>
  <c r="I11" i="4" s="1"/>
  <c r="D11" i="5" s="1"/>
  <c r="F11" i="5" s="1"/>
  <c r="H11" i="5" s="1"/>
  <c r="D11" i="6" s="1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F12" i="1"/>
  <c r="H12" i="1" s="1"/>
  <c r="D12" i="2" s="1"/>
  <c r="F12" i="2" s="1"/>
  <c r="H12" i="2" s="1"/>
  <c r="D12" i="3" s="1"/>
  <c r="G12" i="3" s="1"/>
  <c r="I12" i="3" s="1"/>
  <c r="D12" i="4" s="1"/>
  <c r="G12" i="4" s="1"/>
  <c r="I12" i="4" s="1"/>
  <c r="D12" i="5" s="1"/>
  <c r="F12" i="5" s="1"/>
  <c r="H12" i="5" s="1"/>
  <c r="D12" i="6" s="1"/>
  <c r="F12" i="6" s="1"/>
  <c r="H12" i="6" s="1"/>
  <c r="D12" i="7" s="1"/>
  <c r="F12" i="7" s="1"/>
  <c r="H12" i="7" s="1"/>
  <c r="D12" i="8" s="1"/>
  <c r="F12" i="8" s="1"/>
  <c r="H12" i="8" s="1"/>
  <c r="D12" i="9" s="1"/>
  <c r="F12" i="9" s="1"/>
  <c r="H12" i="9" s="1"/>
  <c r="F13" i="1"/>
  <c r="H13" i="1" s="1"/>
  <c r="D13" i="2" s="1"/>
  <c r="F13" i="2" s="1"/>
  <c r="H13" i="2" s="1"/>
  <c r="D13" i="3" s="1"/>
  <c r="G13" i="3" s="1"/>
  <c r="I13" i="3" s="1"/>
  <c r="D13" i="4" s="1"/>
  <c r="G13" i="4" s="1"/>
  <c r="I13" i="4" s="1"/>
  <c r="D13" i="5" s="1"/>
  <c r="F13" i="5" s="1"/>
  <c r="H13" i="5" s="1"/>
  <c r="D13" i="6" s="1"/>
  <c r="F13" i="6" s="1"/>
  <c r="H13" i="6" s="1"/>
  <c r="D13" i="7" s="1"/>
  <c r="F13" i="7" s="1"/>
  <c r="H13" i="7" s="1"/>
  <c r="D13" i="8" s="1"/>
  <c r="F13" i="8" s="1"/>
  <c r="H13" i="8" s="1"/>
  <c r="F14" i="1"/>
  <c r="H14" i="1" s="1"/>
  <c r="D14" i="2" s="1"/>
  <c r="F14" i="2" s="1"/>
  <c r="H14" i="2" s="1"/>
  <c r="D14" i="3" s="1"/>
  <c r="G14" i="3" s="1"/>
  <c r="I14" i="3" s="1"/>
  <c r="D14" i="4" s="1"/>
  <c r="G14" i="4" s="1"/>
  <c r="I14" i="4" s="1"/>
  <c r="D14" i="5" s="1"/>
  <c r="F14" i="5" s="1"/>
  <c r="H14" i="5" s="1"/>
  <c r="D14" i="6" s="1"/>
  <c r="F14" i="6" s="1"/>
  <c r="H14" i="6" s="1"/>
  <c r="D14" i="7" s="1"/>
  <c r="F14" i="7" s="1"/>
  <c r="H14" i="7" s="1"/>
  <c r="D14" i="8" s="1"/>
  <c r="F14" i="8" s="1"/>
  <c r="H14" i="8" s="1"/>
  <c r="F15" i="1"/>
  <c r="H15" i="1" s="1"/>
  <c r="D15" i="2" s="1"/>
  <c r="F15" i="2" s="1"/>
  <c r="H15" i="2" s="1"/>
  <c r="D15" i="3" s="1"/>
  <c r="G15" i="3" s="1"/>
  <c r="I15" i="3" s="1"/>
  <c r="D15" i="4" s="1"/>
  <c r="G15" i="4" s="1"/>
  <c r="I15" i="4" s="1"/>
  <c r="D15" i="5" s="1"/>
  <c r="F15" i="5" s="1"/>
  <c r="H15" i="5" s="1"/>
  <c r="D15" i="6" s="1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F16" i="1"/>
  <c r="H16" i="1" s="1"/>
  <c r="D16" i="2" s="1"/>
  <c r="F16" i="2" s="1"/>
  <c r="H16" i="2" s="1"/>
  <c r="D16" i="3" s="1"/>
  <c r="G16" i="3" s="1"/>
  <c r="I16" i="3" s="1"/>
  <c r="D16" i="4" s="1"/>
  <c r="G16" i="4" s="1"/>
  <c r="I16" i="4" s="1"/>
  <c r="D16" i="5" s="1"/>
  <c r="F16" i="5" s="1"/>
  <c r="H16" i="5" s="1"/>
  <c r="D16" i="6" s="1"/>
  <c r="F16" i="6" s="1"/>
  <c r="H16" i="6" s="1"/>
  <c r="D16" i="7" s="1"/>
  <c r="F16" i="7" s="1"/>
  <c r="H16" i="7" s="1"/>
  <c r="D16" i="8" s="1"/>
  <c r="F16" i="8" s="1"/>
  <c r="H16" i="8" s="1"/>
  <c r="D16" i="9" s="1"/>
  <c r="F16" i="9" s="1"/>
  <c r="H16" i="9" s="1"/>
  <c r="F17" i="1"/>
  <c r="H17" i="1" s="1"/>
  <c r="D17" i="2" s="1"/>
  <c r="F17" i="2" s="1"/>
  <c r="H17" i="2" s="1"/>
  <c r="D17" i="3" s="1"/>
  <c r="G17" i="3" s="1"/>
  <c r="I17" i="3" s="1"/>
  <c r="D17" i="4" s="1"/>
  <c r="G17" i="4" s="1"/>
  <c r="I17" i="4" s="1"/>
  <c r="D17" i="5" s="1"/>
  <c r="F17" i="5" s="1"/>
  <c r="H17" i="5" s="1"/>
  <c r="D17" i="6" s="1"/>
  <c r="F17" i="6" s="1"/>
  <c r="H17" i="6" s="1"/>
  <c r="D17" i="7" s="1"/>
  <c r="F17" i="7" s="1"/>
  <c r="H17" i="7" s="1"/>
  <c r="D17" i="8" s="1"/>
  <c r="F17" i="8" s="1"/>
  <c r="H17" i="8" s="1"/>
  <c r="D17" i="9" s="1"/>
  <c r="F17" i="9" s="1"/>
  <c r="H17" i="9" s="1"/>
  <c r="F18" i="1"/>
  <c r="H18" i="1" s="1"/>
  <c r="D18" i="2" s="1"/>
  <c r="F18" i="2" s="1"/>
  <c r="H18" i="2" s="1"/>
  <c r="D18" i="3" s="1"/>
  <c r="G18" i="3" s="1"/>
  <c r="I18" i="3" s="1"/>
  <c r="D18" i="4" s="1"/>
  <c r="G18" i="4" s="1"/>
  <c r="I18" i="4" s="1"/>
  <c r="D18" i="5" s="1"/>
  <c r="F18" i="5" s="1"/>
  <c r="H18" i="5" s="1"/>
  <c r="D18" i="6" s="1"/>
  <c r="F18" i="6" s="1"/>
  <c r="H18" i="6" s="1"/>
  <c r="D18" i="7" s="1"/>
  <c r="F18" i="7" s="1"/>
  <c r="H18" i="7" s="1"/>
  <c r="D18" i="8" s="1"/>
  <c r="F18" i="8" s="1"/>
  <c r="H18" i="8" s="1"/>
  <c r="D18" i="9" s="1"/>
  <c r="F18" i="9" s="1"/>
  <c r="H18" i="9" s="1"/>
  <c r="F19" i="1"/>
  <c r="H19" i="1" s="1"/>
  <c r="D19" i="2" s="1"/>
  <c r="F19" i="2" s="1"/>
  <c r="H19" i="2" s="1"/>
  <c r="D19" i="3" s="1"/>
  <c r="G19" i="3" s="1"/>
  <c r="I19" i="3" s="1"/>
  <c r="D19" i="4" s="1"/>
  <c r="G19" i="4" s="1"/>
  <c r="I19" i="4" s="1"/>
  <c r="D19" i="5" s="1"/>
  <c r="F19" i="5" s="1"/>
  <c r="H19" i="5" s="1"/>
  <c r="D19" i="6" s="1"/>
  <c r="F19" i="6" s="1"/>
  <c r="H19" i="6" s="1"/>
  <c r="D19" i="7" s="1"/>
  <c r="F19" i="7" s="1"/>
  <c r="H19" i="7" s="1"/>
  <c r="F20" i="1"/>
  <c r="H20" i="1" s="1"/>
  <c r="D20" i="2" s="1"/>
  <c r="F20" i="2" s="1"/>
  <c r="H20" i="2" s="1"/>
  <c r="D20" i="3" s="1"/>
  <c r="G20" i="3" s="1"/>
  <c r="I20" i="3" s="1"/>
  <c r="D20" i="4" s="1"/>
  <c r="G20" i="4" s="1"/>
  <c r="I20" i="4" s="1"/>
  <c r="D20" i="5" s="1"/>
  <c r="F20" i="5" s="1"/>
  <c r="H20" i="5" s="1"/>
  <c r="D20" i="6" s="1"/>
  <c r="F20" i="6" s="1"/>
  <c r="H20" i="6" s="1"/>
  <c r="D20" i="7" s="1"/>
  <c r="F20" i="7" s="1"/>
  <c r="H20" i="7" s="1"/>
  <c r="D20" i="8" s="1"/>
  <c r="F20" i="8" s="1"/>
  <c r="H20" i="8" s="1"/>
  <c r="D20" i="9" s="1"/>
  <c r="F20" i="9" s="1"/>
  <c r="H20" i="9" s="1"/>
  <c r="F21" i="1"/>
  <c r="H21" i="1" s="1"/>
  <c r="D21" i="2" s="1"/>
  <c r="F21" i="2" s="1"/>
  <c r="H21" i="2" s="1"/>
  <c r="D21" i="3" s="1"/>
  <c r="F22" i="1"/>
  <c r="H22" i="1" s="1"/>
  <c r="D22" i="2" s="1"/>
  <c r="F22" i="2" s="1"/>
  <c r="H22" i="2" s="1"/>
  <c r="D22" i="3" s="1"/>
  <c r="G22" i="3" s="1"/>
  <c r="I22" i="3" s="1"/>
  <c r="D22" i="4" s="1"/>
  <c r="G22" i="4" s="1"/>
  <c r="I22" i="4" s="1"/>
  <c r="D22" i="5" s="1"/>
  <c r="F22" i="5" s="1"/>
  <c r="H22" i="5" s="1"/>
  <c r="D22" i="6" s="1"/>
  <c r="F22" i="6" s="1"/>
  <c r="H22" i="6" s="1"/>
  <c r="D22" i="7" s="1"/>
  <c r="F22" i="7" s="1"/>
  <c r="H22" i="7" s="1"/>
  <c r="D22" i="8" s="1"/>
  <c r="F22" i="8" s="1"/>
  <c r="H22" i="8" s="1"/>
  <c r="D22" i="9" s="1"/>
  <c r="F22" i="9" s="1"/>
  <c r="H22" i="9" s="1"/>
  <c r="F23" i="1"/>
  <c r="H23" i="1" s="1"/>
  <c r="D23" i="2" s="1"/>
  <c r="F23" i="2" s="1"/>
  <c r="H23" i="2" s="1"/>
  <c r="D23" i="3" s="1"/>
  <c r="G23" i="3" s="1"/>
  <c r="I23" i="3" s="1"/>
  <c r="D23" i="4" s="1"/>
  <c r="G23" i="4" s="1"/>
  <c r="I23" i="4" s="1"/>
  <c r="D23" i="5" s="1"/>
  <c r="F23" i="5" s="1"/>
  <c r="H23" i="5" s="1"/>
  <c r="D23" i="6" s="1"/>
  <c r="F23" i="6" s="1"/>
  <c r="H23" i="6" s="1"/>
  <c r="D23" i="7" s="1"/>
  <c r="F23" i="7" s="1"/>
  <c r="H23" i="7" s="1"/>
  <c r="D23" i="8" s="1"/>
  <c r="F23" i="8" s="1"/>
  <c r="H23" i="8" s="1"/>
  <c r="D23" i="9" s="1"/>
  <c r="F23" i="9" s="1"/>
  <c r="H23" i="9" s="1"/>
  <c r="F24" i="1"/>
  <c r="H24" i="1" s="1"/>
  <c r="D24" i="2" s="1"/>
  <c r="F24" i="2" s="1"/>
  <c r="H24" i="2" s="1"/>
  <c r="D24" i="3" s="1"/>
  <c r="G24" i="3" s="1"/>
  <c r="I24" i="3" s="1"/>
  <c r="D24" i="4" s="1"/>
  <c r="G24" i="4" s="1"/>
  <c r="I24" i="4" s="1"/>
  <c r="D24" i="5" s="1"/>
  <c r="F24" i="5" s="1"/>
  <c r="H24" i="5" s="1"/>
  <c r="D24" i="6" s="1"/>
  <c r="F24" i="6" s="1"/>
  <c r="H24" i="6" s="1"/>
  <c r="D24" i="7" s="1"/>
  <c r="F24" i="7" s="1"/>
  <c r="F25" i="1"/>
  <c r="H25" i="1" s="1"/>
  <c r="D25" i="2" s="1"/>
  <c r="F25" i="2" s="1"/>
  <c r="H25" i="2" s="1"/>
  <c r="D25" i="3" s="1"/>
  <c r="G25" i="3" s="1"/>
  <c r="I25" i="3" s="1"/>
  <c r="D25" i="4" s="1"/>
  <c r="G25" i="4" s="1"/>
  <c r="I25" i="4" s="1"/>
  <c r="D25" i="5" s="1"/>
  <c r="F25" i="5" s="1"/>
  <c r="H25" i="5" s="1"/>
  <c r="D25" i="6" s="1"/>
  <c r="F25" i="6" s="1"/>
  <c r="H25" i="6" s="1"/>
  <c r="D25" i="7" s="1"/>
  <c r="F25" i="7" s="1"/>
  <c r="H25" i="7" s="1"/>
  <c r="D25" i="8" s="1"/>
  <c r="F25" i="8" s="1"/>
  <c r="H25" i="8" s="1"/>
  <c r="D25" i="9" s="1"/>
  <c r="F25" i="9" s="1"/>
  <c r="H25" i="9" s="1"/>
  <c r="D13" i="9" l="1"/>
  <c r="F13" i="9" s="1"/>
  <c r="H13" i="9" s="1"/>
  <c r="D25" i="10"/>
  <c r="F25" i="10" s="1"/>
  <c r="H25" i="10" s="1"/>
  <c r="D25" i="11"/>
  <c r="F25" i="11" s="1"/>
  <c r="H25" i="11" s="1"/>
  <c r="D23" i="10"/>
  <c r="F23" i="10" s="1"/>
  <c r="H23" i="10" s="1"/>
  <c r="D23" i="11"/>
  <c r="F23" i="11" s="1"/>
  <c r="H23" i="11" s="1"/>
  <c r="D17" i="10"/>
  <c r="F17" i="10" s="1"/>
  <c r="H17" i="10" s="1"/>
  <c r="D17" i="11" s="1"/>
  <c r="F17" i="11" s="1"/>
  <c r="H17" i="11" s="1"/>
  <c r="D17" i="12" s="1"/>
  <c r="F17" i="12" s="1"/>
  <c r="H17" i="12" s="1"/>
  <c r="D17" i="13" s="1"/>
  <c r="F17" i="13" s="1"/>
  <c r="H17" i="13" s="1"/>
  <c r="D15" i="10"/>
  <c r="F15" i="10" s="1"/>
  <c r="H15" i="10" s="1"/>
  <c r="D15" i="11" s="1"/>
  <c r="F15" i="11" s="1"/>
  <c r="H15" i="11" s="1"/>
  <c r="D15" i="12" s="1"/>
  <c r="F15" i="12" s="1"/>
  <c r="H15" i="12" s="1"/>
  <c r="D15" i="13" s="1"/>
  <c r="F15" i="13" s="1"/>
  <c r="H15" i="13" s="1"/>
  <c r="D13" i="10"/>
  <c r="F13" i="10" s="1"/>
  <c r="H13" i="10" s="1"/>
  <c r="D13" i="11" s="1"/>
  <c r="F13" i="11" s="1"/>
  <c r="H13" i="11" s="1"/>
  <c r="D11" i="10"/>
  <c r="F11" i="10" s="1"/>
  <c r="H11" i="10" s="1"/>
  <c r="D11" i="11" s="1"/>
  <c r="F11" i="11" s="1"/>
  <c r="H11" i="11" s="1"/>
  <c r="D11" i="12" s="1"/>
  <c r="F11" i="12" s="1"/>
  <c r="H11" i="12" s="1"/>
  <c r="D11" i="13" s="1"/>
  <c r="F11" i="13" s="1"/>
  <c r="H11" i="13" s="1"/>
  <c r="D9" i="10"/>
  <c r="F9" i="10" s="1"/>
  <c r="H9" i="10" s="1"/>
  <c r="D9" i="11" s="1"/>
  <c r="F9" i="11" s="1"/>
  <c r="H9" i="11" s="1"/>
  <c r="D9" i="12" s="1"/>
  <c r="F9" i="12" s="1"/>
  <c r="H9" i="12" s="1"/>
  <c r="D9" i="13" s="1"/>
  <c r="F9" i="13" s="1"/>
  <c r="H9" i="13" s="1"/>
  <c r="D7" i="10"/>
  <c r="D22" i="10"/>
  <c r="F22" i="10" s="1"/>
  <c r="H22" i="10" s="1"/>
  <c r="D22" i="11"/>
  <c r="F22" i="11" s="1"/>
  <c r="H22" i="11" s="1"/>
  <c r="D20" i="10"/>
  <c r="F20" i="10" s="1"/>
  <c r="H20" i="10" s="1"/>
  <c r="D20" i="11" s="1"/>
  <c r="F20" i="11" s="1"/>
  <c r="H20" i="11" s="1"/>
  <c r="D20" i="12" s="1"/>
  <c r="F20" i="12" s="1"/>
  <c r="H20" i="12" s="1"/>
  <c r="D20" i="13" s="1"/>
  <c r="F20" i="13" s="1"/>
  <c r="H20" i="13" s="1"/>
  <c r="D20" i="14" s="1"/>
  <c r="F20" i="14" s="1"/>
  <c r="H20" i="14" s="1"/>
  <c r="D20" i="15" s="1"/>
  <c r="F20" i="15" s="1"/>
  <c r="H20" i="15" s="1"/>
  <c r="D20" i="16" s="1"/>
  <c r="F20" i="16" s="1"/>
  <c r="H20" i="16" s="1"/>
  <c r="D20" i="17" s="1"/>
  <c r="F20" i="17" s="1"/>
  <c r="H20" i="17" s="1"/>
  <c r="D20" i="18" s="1"/>
  <c r="F20" i="18" s="1"/>
  <c r="H20" i="18" s="1"/>
  <c r="D20" i="19" s="1"/>
  <c r="D18" i="10"/>
  <c r="F18" i="10" s="1"/>
  <c r="H18" i="10" s="1"/>
  <c r="F18" i="11"/>
  <c r="H18" i="11" s="1"/>
  <c r="D18" i="12" s="1"/>
  <c r="D16" i="10"/>
  <c r="F16" i="10" s="1"/>
  <c r="H16" i="10" s="1"/>
  <c r="D16" i="11" s="1"/>
  <c r="F16" i="11" s="1"/>
  <c r="H16" i="11" s="1"/>
  <c r="D16" i="12" s="1"/>
  <c r="F16" i="12" s="1"/>
  <c r="H16" i="12" s="1"/>
  <c r="D16" i="13" s="1"/>
  <c r="F16" i="13" s="1"/>
  <c r="H16" i="13" s="1"/>
  <c r="D12" i="10"/>
  <c r="F12" i="10" s="1"/>
  <c r="H12" i="10" s="1"/>
  <c r="D12" i="11" s="1"/>
  <c r="F12" i="11" s="1"/>
  <c r="H12" i="11" s="1"/>
  <c r="D12" i="12" s="1"/>
  <c r="F12" i="12" s="1"/>
  <c r="H12" i="12" s="1"/>
  <c r="D12" i="13" s="1"/>
  <c r="F12" i="13" s="1"/>
  <c r="H12" i="13" s="1"/>
  <c r="D10" i="10"/>
  <c r="F10" i="10" s="1"/>
  <c r="H10" i="10" s="1"/>
  <c r="D10" i="11" s="1"/>
  <c r="F10" i="11" s="1"/>
  <c r="H10" i="11" s="1"/>
  <c r="D10" i="12" s="1"/>
  <c r="F10" i="12" s="1"/>
  <c r="H10" i="12" s="1"/>
  <c r="D10" i="13" s="1"/>
  <c r="F10" i="13" s="1"/>
  <c r="H10" i="13" s="1"/>
  <c r="D8" i="10"/>
  <c r="F8" i="10" s="1"/>
  <c r="H8" i="10" s="1"/>
  <c r="D8" i="11" s="1"/>
  <c r="F8" i="11" s="1"/>
  <c r="H8" i="11" s="1"/>
  <c r="D8" i="12" s="1"/>
  <c r="F8" i="12" s="1"/>
  <c r="F7" i="10"/>
  <c r="G21" i="3"/>
  <c r="I21" i="3" s="1"/>
  <c r="J56" i="1"/>
  <c r="B52" i="1"/>
  <c r="C53" i="1" s="1"/>
  <c r="G53" i="1" s="1"/>
  <c r="G65" i="1"/>
  <c r="F57" i="1"/>
  <c r="D49" i="1"/>
  <c r="C49" i="1"/>
  <c r="F44" i="1"/>
  <c r="H44" i="1" s="1"/>
  <c r="D44" i="2" s="1"/>
  <c r="F44" i="2" s="1"/>
  <c r="H44" i="2" s="1"/>
  <c r="D44" i="3" s="1"/>
  <c r="G44" i="3" s="1"/>
  <c r="I44" i="3" s="1"/>
  <c r="G44" i="4" s="1"/>
  <c r="I44" i="4" s="1"/>
  <c r="F43" i="1"/>
  <c r="H43" i="1" s="1"/>
  <c r="D43" i="2" s="1"/>
  <c r="F43" i="2" s="1"/>
  <c r="H43" i="2" s="1"/>
  <c r="D43" i="3" s="1"/>
  <c r="G43" i="3" s="1"/>
  <c r="I43" i="3" s="1"/>
  <c r="D43" i="4" s="1"/>
  <c r="G43" i="4" s="1"/>
  <c r="I43" i="4" s="1"/>
  <c r="D39" i="5" s="1"/>
  <c r="G39" i="5" s="1"/>
  <c r="I39" i="5" s="1"/>
  <c r="D39" i="6" s="1"/>
  <c r="G39" i="6" s="1"/>
  <c r="I39" i="6" s="1"/>
  <c r="D39" i="7" s="1"/>
  <c r="G39" i="7" s="1"/>
  <c r="I39" i="7" s="1"/>
  <c r="D39" i="8" s="1"/>
  <c r="G39" i="8" s="1"/>
  <c r="I39" i="8" s="1"/>
  <c r="D39" i="9" s="1"/>
  <c r="G39" i="9" s="1"/>
  <c r="I39" i="9" s="1"/>
  <c r="D39" i="10" s="1"/>
  <c r="G39" i="10" s="1"/>
  <c r="I39" i="10" s="1"/>
  <c r="D39" i="11" s="1"/>
  <c r="G39" i="11" s="1"/>
  <c r="I39" i="11" s="1"/>
  <c r="D39" i="12" s="1"/>
  <c r="G39" i="12" s="1"/>
  <c r="I39" i="12" s="1"/>
  <c r="D39" i="13" s="1"/>
  <c r="G39" i="13" s="1"/>
  <c r="I39" i="13" s="1"/>
  <c r="D39" i="14" s="1"/>
  <c r="G39" i="14" s="1"/>
  <c r="I39" i="14" s="1"/>
  <c r="D39" i="15" s="1"/>
  <c r="G39" i="15" s="1"/>
  <c r="I39" i="15" s="1"/>
  <c r="D39" i="16" s="1"/>
  <c r="F42" i="1"/>
  <c r="H42" i="1" s="1"/>
  <c r="D42" i="2" s="1"/>
  <c r="F42" i="2" s="1"/>
  <c r="H42" i="2" s="1"/>
  <c r="D42" i="3" s="1"/>
  <c r="G42" i="3" s="1"/>
  <c r="I42" i="3" s="1"/>
  <c r="D42" i="4" s="1"/>
  <c r="G42" i="4" s="1"/>
  <c r="I42" i="4" s="1"/>
  <c r="F41" i="1"/>
  <c r="H41" i="1" s="1"/>
  <c r="D41" i="2" s="1"/>
  <c r="F41" i="2" s="1"/>
  <c r="H41" i="2" s="1"/>
  <c r="D41" i="3" s="1"/>
  <c r="G41" i="3" s="1"/>
  <c r="I41" i="3" s="1"/>
  <c r="D41" i="4" s="1"/>
  <c r="G41" i="4" s="1"/>
  <c r="I41" i="4" s="1"/>
  <c r="F40" i="1"/>
  <c r="H40" i="1" s="1"/>
  <c r="D40" i="2" s="1"/>
  <c r="F40" i="2" s="1"/>
  <c r="H40" i="2" s="1"/>
  <c r="D40" i="3" s="1"/>
  <c r="G40" i="3" s="1"/>
  <c r="I40" i="3" s="1"/>
  <c r="D40" i="4" s="1"/>
  <c r="G40" i="4" s="1"/>
  <c r="I40" i="4" s="1"/>
  <c r="F39" i="1"/>
  <c r="H39" i="1" s="1"/>
  <c r="D39" i="2" s="1"/>
  <c r="F39" i="2" s="1"/>
  <c r="H39" i="2" s="1"/>
  <c r="D39" i="3" s="1"/>
  <c r="G39" i="3" s="1"/>
  <c r="I39" i="3" s="1"/>
  <c r="D39" i="4" s="1"/>
  <c r="G39" i="4" s="1"/>
  <c r="I39" i="4" s="1"/>
  <c r="F38" i="1"/>
  <c r="H38" i="1" s="1"/>
  <c r="D38" i="2" s="1"/>
  <c r="F38" i="2" s="1"/>
  <c r="H38" i="2" s="1"/>
  <c r="D38" i="3" s="1"/>
  <c r="G38" i="3" s="1"/>
  <c r="I38" i="3" s="1"/>
  <c r="D38" i="4" s="1"/>
  <c r="G38" i="4" s="1"/>
  <c r="I38" i="4" s="1"/>
  <c r="D38" i="5" s="1"/>
  <c r="G38" i="5" s="1"/>
  <c r="I38" i="5" s="1"/>
  <c r="D38" i="6" s="1"/>
  <c r="G38" i="6" s="1"/>
  <c r="I38" i="6" s="1"/>
  <c r="D38" i="7" s="1"/>
  <c r="G38" i="7" s="1"/>
  <c r="I38" i="7" s="1"/>
  <c r="D38" i="8" s="1"/>
  <c r="G38" i="8" s="1"/>
  <c r="I38" i="8" s="1"/>
  <c r="D38" i="9" s="1"/>
  <c r="F37" i="1"/>
  <c r="H37" i="1" s="1"/>
  <c r="D37" i="2" s="1"/>
  <c r="F37" i="2" s="1"/>
  <c r="H37" i="2" s="1"/>
  <c r="D37" i="3" s="1"/>
  <c r="G37" i="3" s="1"/>
  <c r="I37" i="3" s="1"/>
  <c r="D37" i="4" s="1"/>
  <c r="G37" i="4" s="1"/>
  <c r="I37" i="4" s="1"/>
  <c r="D37" i="5" s="1"/>
  <c r="G37" i="5" s="1"/>
  <c r="I37" i="5" s="1"/>
  <c r="D37" i="6" s="1"/>
  <c r="G37" i="6" s="1"/>
  <c r="I37" i="6" s="1"/>
  <c r="D37" i="7" s="1"/>
  <c r="G37" i="7" s="1"/>
  <c r="I37" i="7" s="1"/>
  <c r="D37" i="8" s="1"/>
  <c r="G37" i="8" s="1"/>
  <c r="I37" i="8" s="1"/>
  <c r="F36" i="1"/>
  <c r="H36" i="1" s="1"/>
  <c r="D36" i="2" s="1"/>
  <c r="F36" i="2" s="1"/>
  <c r="H36" i="2" s="1"/>
  <c r="D36" i="3" s="1"/>
  <c r="G36" i="3" s="1"/>
  <c r="I36" i="3" s="1"/>
  <c r="D36" i="4" s="1"/>
  <c r="G36" i="4" s="1"/>
  <c r="I36" i="4" s="1"/>
  <c r="D36" i="5" s="1"/>
  <c r="G36" i="5" s="1"/>
  <c r="I36" i="5" s="1"/>
  <c r="D36" i="6" s="1"/>
  <c r="G36" i="6" s="1"/>
  <c r="I36" i="6" s="1"/>
  <c r="D36" i="7" s="1"/>
  <c r="G36" i="7" s="1"/>
  <c r="I36" i="7" s="1"/>
  <c r="D36" i="8" s="1"/>
  <c r="G36" i="8" s="1"/>
  <c r="I36" i="8" s="1"/>
  <c r="D36" i="9" s="1"/>
  <c r="G36" i="9" s="1"/>
  <c r="I36" i="9" s="1"/>
  <c r="D36" i="10" s="1"/>
  <c r="G36" i="10" s="1"/>
  <c r="I36" i="10" s="1"/>
  <c r="D36" i="11" s="1"/>
  <c r="G36" i="11" s="1"/>
  <c r="I36" i="11" s="1"/>
  <c r="D36" i="12" s="1"/>
  <c r="G36" i="12" s="1"/>
  <c r="I36" i="12" s="1"/>
  <c r="D36" i="13" s="1"/>
  <c r="G36" i="13" s="1"/>
  <c r="I36" i="13" s="1"/>
  <c r="D36" i="14" s="1"/>
  <c r="G36" i="14" s="1"/>
  <c r="I36" i="14" s="1"/>
  <c r="D36" i="15" s="1"/>
  <c r="G36" i="15" s="1"/>
  <c r="I36" i="15" s="1"/>
  <c r="G36" i="16" s="1"/>
  <c r="I36" i="16" s="1"/>
  <c r="D36" i="17" s="1"/>
  <c r="F36" i="17" s="1"/>
  <c r="H36" i="17" s="1"/>
  <c r="D36" i="18" s="1"/>
  <c r="F36" i="18" s="1"/>
  <c r="H36" i="18" s="1"/>
  <c r="D36" i="19" s="1"/>
  <c r="F36" i="19" s="1"/>
  <c r="H36" i="19" s="1"/>
  <c r="F35" i="1"/>
  <c r="H35" i="1" s="1"/>
  <c r="D35" i="2" s="1"/>
  <c r="F35" i="2" s="1"/>
  <c r="F34" i="1"/>
  <c r="H34" i="1" s="1"/>
  <c r="D34" i="2" s="1"/>
  <c r="F34" i="2" s="1"/>
  <c r="H34" i="2" s="1"/>
  <c r="D34" i="3" s="1"/>
  <c r="G34" i="3" s="1"/>
  <c r="I34" i="3" s="1"/>
  <c r="G34" i="4" s="1"/>
  <c r="I34" i="4" s="1"/>
  <c r="D34" i="5" s="1"/>
  <c r="G34" i="5" s="1"/>
  <c r="I34" i="5" s="1"/>
  <c r="D34" i="6" s="1"/>
  <c r="G34" i="6" s="1"/>
  <c r="I34" i="6" s="1"/>
  <c r="D34" i="7" s="1"/>
  <c r="G34" i="7" s="1"/>
  <c r="I34" i="7" s="1"/>
  <c r="D34" i="8" s="1"/>
  <c r="G34" i="8" s="1"/>
  <c r="I34" i="8" s="1"/>
  <c r="D34" i="9" s="1"/>
  <c r="G34" i="9" s="1"/>
  <c r="I34" i="9" s="1"/>
  <c r="D34" i="10" s="1"/>
  <c r="G34" i="10" s="1"/>
  <c r="I34" i="10" s="1"/>
  <c r="D34" i="11" s="1"/>
  <c r="G34" i="11" s="1"/>
  <c r="I34" i="11" s="1"/>
  <c r="D34" i="12" s="1"/>
  <c r="F33" i="1"/>
  <c r="H33" i="1" s="1"/>
  <c r="D33" i="2" s="1"/>
  <c r="F33" i="2" s="1"/>
  <c r="H33" i="2" s="1"/>
  <c r="D33" i="3" s="1"/>
  <c r="G33" i="3" s="1"/>
  <c r="I33" i="3" s="1"/>
  <c r="D33" i="4" s="1"/>
  <c r="G33" i="4" s="1"/>
  <c r="I33" i="4" s="1"/>
  <c r="D33" i="5" s="1"/>
  <c r="G33" i="5" s="1"/>
  <c r="I33" i="5" s="1"/>
  <c r="D33" i="6" s="1"/>
  <c r="G33" i="6" s="1"/>
  <c r="I33" i="6" s="1"/>
  <c r="D33" i="7" s="1"/>
  <c r="G33" i="7" s="1"/>
  <c r="I33" i="7" s="1"/>
  <c r="D33" i="8" s="1"/>
  <c r="G33" i="8" s="1"/>
  <c r="I33" i="8" s="1"/>
  <c r="F32" i="1"/>
  <c r="H32" i="1" s="1"/>
  <c r="D32" i="2" s="1"/>
  <c r="F32" i="2" s="1"/>
  <c r="H32" i="2" s="1"/>
  <c r="D32" i="3" s="1"/>
  <c r="G32" i="3" s="1"/>
  <c r="I32" i="3" s="1"/>
  <c r="D32" i="4" s="1"/>
  <c r="G32" i="4" s="1"/>
  <c r="I32" i="4" s="1"/>
  <c r="D32" i="5" s="1"/>
  <c r="G32" i="5" s="1"/>
  <c r="I32" i="5" s="1"/>
  <c r="D32" i="6" s="1"/>
  <c r="G32" i="6" s="1"/>
  <c r="I32" i="6" s="1"/>
  <c r="D32" i="7" s="1"/>
  <c r="G32" i="7" s="1"/>
  <c r="I32" i="7" s="1"/>
  <c r="D32" i="8" s="1"/>
  <c r="G32" i="8" s="1"/>
  <c r="I32" i="8" s="1"/>
  <c r="D32" i="9" s="1"/>
  <c r="G32" i="9" s="1"/>
  <c r="I32" i="9" s="1"/>
  <c r="D32" i="10" s="1"/>
  <c r="G32" i="10" s="1"/>
  <c r="I32" i="10" s="1"/>
  <c r="D32" i="11" s="1"/>
  <c r="G32" i="11" s="1"/>
  <c r="I32" i="11" s="1"/>
  <c r="D32" i="12" s="1"/>
  <c r="G32" i="12" s="1"/>
  <c r="I32" i="12" s="1"/>
  <c r="D32" i="13" s="1"/>
  <c r="G32" i="13" s="1"/>
  <c r="I32" i="13" s="1"/>
  <c r="D32" i="14" s="1"/>
  <c r="G32" i="14" s="1"/>
  <c r="I32" i="14" s="1"/>
  <c r="D32" i="15" s="1"/>
  <c r="G32" i="15" s="1"/>
  <c r="I32" i="15" s="1"/>
  <c r="D32" i="16" s="1"/>
  <c r="G32" i="16" s="1"/>
  <c r="I32" i="16" s="1"/>
  <c r="F31" i="1"/>
  <c r="H31" i="1" s="1"/>
  <c r="D31" i="2" s="1"/>
  <c r="F31" i="2" s="1"/>
  <c r="H31" i="2" s="1"/>
  <c r="D31" i="3" s="1"/>
  <c r="G31" i="3" s="1"/>
  <c r="I31" i="3" s="1"/>
  <c r="D31" i="4" s="1"/>
  <c r="G31" i="4" s="1"/>
  <c r="I31" i="4" s="1"/>
  <c r="D31" i="5" s="1"/>
  <c r="G31" i="5" s="1"/>
  <c r="I31" i="5" s="1"/>
  <c r="D31" i="6" s="1"/>
  <c r="G31" i="6" s="1"/>
  <c r="I31" i="6" s="1"/>
  <c r="D31" i="7" s="1"/>
  <c r="G31" i="7" s="1"/>
  <c r="I31" i="7" s="1"/>
  <c r="D31" i="8" s="1"/>
  <c r="G31" i="8" s="1"/>
  <c r="I31" i="8" s="1"/>
  <c r="D31" i="9" s="1"/>
  <c r="G31" i="9" s="1"/>
  <c r="I31" i="9" s="1"/>
  <c r="D31" i="10" s="1"/>
  <c r="G31" i="10" s="1"/>
  <c r="I31" i="10" s="1"/>
  <c r="D31" i="11" s="1"/>
  <c r="G31" i="11" s="1"/>
  <c r="I31" i="11" s="1"/>
  <c r="D31" i="12" s="1"/>
  <c r="G31" i="12" s="1"/>
  <c r="I31" i="12" s="1"/>
  <c r="D31" i="13" s="1"/>
  <c r="G31" i="13" s="1"/>
  <c r="I31" i="13" s="1"/>
  <c r="D31" i="14" s="1"/>
  <c r="G31" i="14" s="1"/>
  <c r="I31" i="14" s="1"/>
  <c r="D31" i="15" s="1"/>
  <c r="G31" i="15" s="1"/>
  <c r="I31" i="15" s="1"/>
  <c r="D31" i="16" s="1"/>
  <c r="G31" i="16" s="1"/>
  <c r="I31" i="16" s="1"/>
  <c r="F30" i="1"/>
  <c r="H30" i="1" s="1"/>
  <c r="D30" i="2" s="1"/>
  <c r="F30" i="2" s="1"/>
  <c r="H30" i="2" s="1"/>
  <c r="D30" i="3" s="1"/>
  <c r="G30" i="3" s="1"/>
  <c r="I30" i="3" s="1"/>
  <c r="D30" i="4" s="1"/>
  <c r="G30" i="4" s="1"/>
  <c r="I30" i="4" s="1"/>
  <c r="D30" i="5" s="1"/>
  <c r="G30" i="5" s="1"/>
  <c r="I30" i="5" s="1"/>
  <c r="D30" i="6" s="1"/>
  <c r="G30" i="6" s="1"/>
  <c r="I30" i="6" s="1"/>
  <c r="D30" i="7" s="1"/>
  <c r="H29" i="1"/>
  <c r="D29" i="2" s="1"/>
  <c r="F29" i="2" s="1"/>
  <c r="H29" i="2" s="1"/>
  <c r="D29" i="3" s="1"/>
  <c r="G29" i="3" s="1"/>
  <c r="I29" i="3" s="1"/>
  <c r="D29" i="4" s="1"/>
  <c r="G29" i="4" s="1"/>
  <c r="I29" i="4" s="1"/>
  <c r="D29" i="5" s="1"/>
  <c r="G29" i="5" s="1"/>
  <c r="I29" i="5" s="1"/>
  <c r="D29" i="6" s="1"/>
  <c r="G29" i="6" s="1"/>
  <c r="I29" i="6" s="1"/>
  <c r="F28" i="1"/>
  <c r="G26" i="1"/>
  <c r="F52" i="1" s="1"/>
  <c r="D26" i="1"/>
  <c r="C26" i="1"/>
  <c r="F6" i="1"/>
  <c r="H6" i="1" s="1"/>
  <c r="D6" i="2" s="1"/>
  <c r="C29" i="21" l="1"/>
  <c r="C45" i="21" s="1"/>
  <c r="C29" i="22"/>
  <c r="D36" i="20"/>
  <c r="F36" i="20" s="1"/>
  <c r="H36" i="20" s="1"/>
  <c r="D36" i="21" s="1"/>
  <c r="F36" i="21" s="1"/>
  <c r="H36" i="21" s="1"/>
  <c r="D36" i="22" s="1"/>
  <c r="F36" i="22" s="1"/>
  <c r="H36" i="22" s="1"/>
  <c r="I20" i="11"/>
  <c r="D23" i="12"/>
  <c r="F23" i="12" s="1"/>
  <c r="H23" i="12" s="1"/>
  <c r="D23" i="13"/>
  <c r="F23" i="13" s="1"/>
  <c r="H23" i="13" s="1"/>
  <c r="D23" i="14" s="1"/>
  <c r="F23" i="14" s="1"/>
  <c r="H23" i="14" s="1"/>
  <c r="D23" i="15" s="1"/>
  <c r="F23" i="15" s="1"/>
  <c r="H23" i="15" s="1"/>
  <c r="D23" i="16" s="1"/>
  <c r="F23" i="16" s="1"/>
  <c r="H23" i="16" s="1"/>
  <c r="D23" i="17" s="1"/>
  <c r="F23" i="17" s="1"/>
  <c r="H23" i="17" s="1"/>
  <c r="D23" i="18" s="1"/>
  <c r="F23" i="18" s="1"/>
  <c r="H23" i="18" s="1"/>
  <c r="D23" i="19" s="1"/>
  <c r="D25" i="12"/>
  <c r="F25" i="12" s="1"/>
  <c r="H25" i="12" s="1"/>
  <c r="D25" i="13"/>
  <c r="F25" i="13" s="1"/>
  <c r="H25" i="13" s="1"/>
  <c r="D25" i="14" s="1"/>
  <c r="F25" i="14" s="1"/>
  <c r="H25" i="14" s="1"/>
  <c r="D25" i="15" s="1"/>
  <c r="F25" i="15" s="1"/>
  <c r="H25" i="15" s="1"/>
  <c r="D25" i="16" s="1"/>
  <c r="F25" i="16" s="1"/>
  <c r="H25" i="16" s="1"/>
  <c r="D25" i="17" s="1"/>
  <c r="F25" i="17" s="1"/>
  <c r="H25" i="17" s="1"/>
  <c r="D25" i="18" s="1"/>
  <c r="F25" i="18" s="1"/>
  <c r="H25" i="18" s="1"/>
  <c r="D25" i="19" s="1"/>
  <c r="C29" i="11"/>
  <c r="C45" i="11" s="1"/>
  <c r="C29" i="20"/>
  <c r="C29" i="19"/>
  <c r="C29" i="18"/>
  <c r="C45" i="18" s="1"/>
  <c r="C29" i="17"/>
  <c r="C45" i="17" s="1"/>
  <c r="C29" i="16"/>
  <c r="C45" i="16" s="1"/>
  <c r="C29" i="15"/>
  <c r="C45" i="15" s="1"/>
  <c r="C29" i="14"/>
  <c r="C45" i="14" s="1"/>
  <c r="C29" i="13"/>
  <c r="C45" i="13" s="1"/>
  <c r="C29" i="12"/>
  <c r="C45" i="12" s="1"/>
  <c r="D20" i="20"/>
  <c r="F20" i="20" s="1"/>
  <c r="H20" i="20" s="1"/>
  <c r="D20" i="21" s="1"/>
  <c r="F20" i="21" s="1"/>
  <c r="H20" i="21" s="1"/>
  <c r="D20" i="22" s="1"/>
  <c r="F20" i="22" s="1"/>
  <c r="H20" i="22" s="1"/>
  <c r="F20" i="19"/>
  <c r="H20" i="19" s="1"/>
  <c r="D22" i="12"/>
  <c r="F22" i="12" s="1"/>
  <c r="H22" i="12" s="1"/>
  <c r="D22" i="13"/>
  <c r="F22" i="13" s="1"/>
  <c r="H22" i="13" s="1"/>
  <c r="D22" i="14" s="1"/>
  <c r="F22" i="14" s="1"/>
  <c r="H22" i="14" s="1"/>
  <c r="D22" i="15" s="1"/>
  <c r="F22" i="15" s="1"/>
  <c r="H22" i="15" s="1"/>
  <c r="D22" i="16" s="1"/>
  <c r="F22" i="16" s="1"/>
  <c r="H22" i="16" s="1"/>
  <c r="D22" i="17" s="1"/>
  <c r="F22" i="17" s="1"/>
  <c r="H22" i="17" s="1"/>
  <c r="D22" i="18" s="1"/>
  <c r="F22" i="18" s="1"/>
  <c r="H22" i="18" s="1"/>
  <c r="D22" i="19" s="1"/>
  <c r="D26" i="10"/>
  <c r="D32" i="17"/>
  <c r="F32" i="17" s="1"/>
  <c r="H32" i="17" s="1"/>
  <c r="D32" i="18" s="1"/>
  <c r="D31" i="17"/>
  <c r="F31" i="17" s="1"/>
  <c r="H31" i="17" s="1"/>
  <c r="D31" i="18" s="1"/>
  <c r="F31" i="18"/>
  <c r="H31" i="18" s="1"/>
  <c r="D31" i="19" s="1"/>
  <c r="F31" i="19" s="1"/>
  <c r="H31" i="19" s="1"/>
  <c r="G39" i="16"/>
  <c r="I39" i="16" s="1"/>
  <c r="D9" i="14"/>
  <c r="F9" i="14" s="1"/>
  <c r="H9" i="14" s="1"/>
  <c r="D9" i="15" s="1"/>
  <c r="F9" i="15" s="1"/>
  <c r="H9" i="15" s="1"/>
  <c r="D9" i="16" s="1"/>
  <c r="F9" i="16" s="1"/>
  <c r="H9" i="16" s="1"/>
  <c r="D9" i="17" s="1"/>
  <c r="F9" i="17" s="1"/>
  <c r="H9" i="17" s="1"/>
  <c r="D9" i="18" s="1"/>
  <c r="F9" i="18" s="1"/>
  <c r="H9" i="18" s="1"/>
  <c r="D9" i="19" s="1"/>
  <c r="D11" i="14"/>
  <c r="F11" i="14" s="1"/>
  <c r="H11" i="14" s="1"/>
  <c r="D11" i="15" s="1"/>
  <c r="F11" i="15" s="1"/>
  <c r="H11" i="15" s="1"/>
  <c r="D11" i="16" s="1"/>
  <c r="F11" i="16" s="1"/>
  <c r="H11" i="16" s="1"/>
  <c r="D11" i="17" s="1"/>
  <c r="F11" i="17" s="1"/>
  <c r="H11" i="17" s="1"/>
  <c r="D11" i="18" s="1"/>
  <c r="F11" i="18" s="1"/>
  <c r="H11" i="18" s="1"/>
  <c r="D11" i="19" s="1"/>
  <c r="D15" i="14"/>
  <c r="F15" i="14" s="1"/>
  <c r="H15" i="14" s="1"/>
  <c r="D15" i="15" s="1"/>
  <c r="F15" i="15" s="1"/>
  <c r="H15" i="15" s="1"/>
  <c r="D15" i="16" s="1"/>
  <c r="F15" i="16" s="1"/>
  <c r="H15" i="16" s="1"/>
  <c r="D15" i="17" s="1"/>
  <c r="F15" i="17" s="1"/>
  <c r="H15" i="17" s="1"/>
  <c r="D15" i="18" s="1"/>
  <c r="F15" i="18" s="1"/>
  <c r="H15" i="18" s="1"/>
  <c r="D15" i="19" s="1"/>
  <c r="D17" i="14"/>
  <c r="F17" i="14" s="1"/>
  <c r="H17" i="14" s="1"/>
  <c r="D17" i="15" s="1"/>
  <c r="F17" i="15" s="1"/>
  <c r="H17" i="15" s="1"/>
  <c r="D17" i="16" s="1"/>
  <c r="F17" i="16" s="1"/>
  <c r="H17" i="16" s="1"/>
  <c r="D17" i="17" s="1"/>
  <c r="F17" i="17" s="1"/>
  <c r="H17" i="17" s="1"/>
  <c r="D17" i="18" s="1"/>
  <c r="F17" i="18" s="1"/>
  <c r="H17" i="18" s="1"/>
  <c r="D17" i="19" s="1"/>
  <c r="D10" i="14"/>
  <c r="F10" i="14" s="1"/>
  <c r="H10" i="14" s="1"/>
  <c r="D10" i="15" s="1"/>
  <c r="F10" i="15" s="1"/>
  <c r="H10" i="15" s="1"/>
  <c r="D10" i="16" s="1"/>
  <c r="F10" i="16" s="1"/>
  <c r="H10" i="16" s="1"/>
  <c r="D10" i="17" s="1"/>
  <c r="F10" i="17" s="1"/>
  <c r="H10" i="17" s="1"/>
  <c r="D10" i="18" s="1"/>
  <c r="F10" i="18" s="1"/>
  <c r="H10" i="18" s="1"/>
  <c r="D10" i="19" s="1"/>
  <c r="D12" i="14"/>
  <c r="F12" i="14" s="1"/>
  <c r="H12" i="14" s="1"/>
  <c r="D12" i="15" s="1"/>
  <c r="F12" i="15" s="1"/>
  <c r="H12" i="15" s="1"/>
  <c r="D12" i="16" s="1"/>
  <c r="F12" i="16" s="1"/>
  <c r="H12" i="16" s="1"/>
  <c r="D12" i="17" s="1"/>
  <c r="F12" i="17" s="1"/>
  <c r="H12" i="17" s="1"/>
  <c r="D12" i="18" s="1"/>
  <c r="F12" i="18" s="1"/>
  <c r="H12" i="18" s="1"/>
  <c r="D12" i="19" s="1"/>
  <c r="D16" i="14"/>
  <c r="F16" i="14" s="1"/>
  <c r="H16" i="14" s="1"/>
  <c r="D16" i="15" s="1"/>
  <c r="F16" i="15" s="1"/>
  <c r="H16" i="15" s="1"/>
  <c r="H8" i="12"/>
  <c r="D8" i="13" s="1"/>
  <c r="F18" i="12"/>
  <c r="H18" i="12" s="1"/>
  <c r="D18" i="13" s="1"/>
  <c r="D13" i="12"/>
  <c r="F13" i="12" s="1"/>
  <c r="H13" i="12" s="1"/>
  <c r="G34" i="12"/>
  <c r="I34" i="12" s="1"/>
  <c r="D34" i="13" s="1"/>
  <c r="G34" i="13" s="1"/>
  <c r="I34" i="13" s="1"/>
  <c r="D34" i="14" s="1"/>
  <c r="G34" i="14" s="1"/>
  <c r="I34" i="14" s="1"/>
  <c r="D34" i="15" s="1"/>
  <c r="G34" i="15" s="1"/>
  <c r="I34" i="15" s="1"/>
  <c r="D34" i="16" s="1"/>
  <c r="G34" i="16" s="1"/>
  <c r="I34" i="16" s="1"/>
  <c r="F49" i="1"/>
  <c r="H49" i="1" s="1"/>
  <c r="D26" i="11"/>
  <c r="F7" i="11"/>
  <c r="F26" i="1"/>
  <c r="C29" i="10"/>
  <c r="C45" i="10" s="1"/>
  <c r="C29" i="9"/>
  <c r="C45" i="9" s="1"/>
  <c r="C29" i="8"/>
  <c r="C45" i="8" s="1"/>
  <c r="C29" i="7"/>
  <c r="D29" i="7"/>
  <c r="G29" i="7" s="1"/>
  <c r="F65" i="1"/>
  <c r="H7" i="10"/>
  <c r="H26" i="10" s="1"/>
  <c r="F26" i="10"/>
  <c r="D21" i="4"/>
  <c r="H35" i="2"/>
  <c r="D35" i="3" s="1"/>
  <c r="D26" i="2"/>
  <c r="F26" i="2" s="1"/>
  <c r="F6" i="2"/>
  <c r="H6" i="2" s="1"/>
  <c r="H26" i="1"/>
  <c r="B65" i="1"/>
  <c r="D65" i="1" s="1"/>
  <c r="B57" i="2" s="1"/>
  <c r="B64" i="2" s="1"/>
  <c r="B58" i="1"/>
  <c r="H65" i="1"/>
  <c r="H28" i="1"/>
  <c r="D28" i="2" s="1"/>
  <c r="F58" i="1"/>
  <c r="C45" i="22" l="1"/>
  <c r="D31" i="20"/>
  <c r="F31" i="20" s="1"/>
  <c r="H31" i="20" s="1"/>
  <c r="D31" i="21" s="1"/>
  <c r="F31" i="21" s="1"/>
  <c r="H31" i="21" s="1"/>
  <c r="D31" i="22" s="1"/>
  <c r="F31" i="22" s="1"/>
  <c r="H31" i="22" s="1"/>
  <c r="D12" i="20"/>
  <c r="F12" i="20" s="1"/>
  <c r="H12" i="20" s="1"/>
  <c r="D12" i="21" s="1"/>
  <c r="F12" i="21" s="1"/>
  <c r="H12" i="21" s="1"/>
  <c r="D12" i="22" s="1"/>
  <c r="F12" i="22" s="1"/>
  <c r="H12" i="22" s="1"/>
  <c r="F12" i="19"/>
  <c r="H12" i="19" s="1"/>
  <c r="D17" i="20"/>
  <c r="F17" i="20" s="1"/>
  <c r="H17" i="20" s="1"/>
  <c r="D17" i="21" s="1"/>
  <c r="F17" i="21" s="1"/>
  <c r="H17" i="21" s="1"/>
  <c r="D17" i="22" s="1"/>
  <c r="F17" i="22" s="1"/>
  <c r="H17" i="22" s="1"/>
  <c r="F17" i="19"/>
  <c r="H17" i="19" s="1"/>
  <c r="D11" i="20"/>
  <c r="F11" i="20" s="1"/>
  <c r="H11" i="20" s="1"/>
  <c r="D11" i="21" s="1"/>
  <c r="F11" i="21" s="1"/>
  <c r="H11" i="21" s="1"/>
  <c r="D11" i="22" s="1"/>
  <c r="F11" i="22" s="1"/>
  <c r="H11" i="22" s="1"/>
  <c r="F11" i="19"/>
  <c r="H11" i="19" s="1"/>
  <c r="D26" i="12"/>
  <c r="D22" i="20"/>
  <c r="F22" i="20" s="1"/>
  <c r="H22" i="20" s="1"/>
  <c r="D22" i="21" s="1"/>
  <c r="F22" i="21" s="1"/>
  <c r="H22" i="21" s="1"/>
  <c r="D22" i="22" s="1"/>
  <c r="F22" i="22" s="1"/>
  <c r="H22" i="22" s="1"/>
  <c r="F22" i="19"/>
  <c r="H22" i="19" s="1"/>
  <c r="C45" i="20"/>
  <c r="D25" i="20"/>
  <c r="F25" i="20" s="1"/>
  <c r="H25" i="20" s="1"/>
  <c r="D25" i="21" s="1"/>
  <c r="F25" i="21" s="1"/>
  <c r="H25" i="21" s="1"/>
  <c r="D25" i="22" s="1"/>
  <c r="F25" i="22" s="1"/>
  <c r="H25" i="22" s="1"/>
  <c r="F25" i="19"/>
  <c r="H25" i="19" s="1"/>
  <c r="D23" i="20"/>
  <c r="F23" i="20" s="1"/>
  <c r="H23" i="20" s="1"/>
  <c r="D23" i="21" s="1"/>
  <c r="F23" i="21" s="1"/>
  <c r="H23" i="21" s="1"/>
  <c r="D23" i="22" s="1"/>
  <c r="F23" i="22" s="1"/>
  <c r="H23" i="22" s="1"/>
  <c r="F23" i="19"/>
  <c r="H23" i="19" s="1"/>
  <c r="D13" i="13"/>
  <c r="F13" i="13" s="1"/>
  <c r="H13" i="13" s="1"/>
  <c r="D13" i="14" s="1"/>
  <c r="F13" i="14" s="1"/>
  <c r="H13" i="14" s="1"/>
  <c r="D13" i="15" s="1"/>
  <c r="F13" i="15" s="1"/>
  <c r="H13" i="15" s="1"/>
  <c r="D13" i="16" s="1"/>
  <c r="F13" i="16" s="1"/>
  <c r="H13" i="16" s="1"/>
  <c r="D13" i="17" s="1"/>
  <c r="F13" i="17" s="1"/>
  <c r="H13" i="17" s="1"/>
  <c r="D13" i="18" s="1"/>
  <c r="F13" i="18" s="1"/>
  <c r="H13" i="18" s="1"/>
  <c r="D13" i="19" s="1"/>
  <c r="K56" i="12"/>
  <c r="D10" i="20"/>
  <c r="F10" i="20" s="1"/>
  <c r="H10" i="20" s="1"/>
  <c r="D10" i="21" s="1"/>
  <c r="F10" i="21" s="1"/>
  <c r="H10" i="21" s="1"/>
  <c r="D10" i="22" s="1"/>
  <c r="F10" i="22" s="1"/>
  <c r="H10" i="22" s="1"/>
  <c r="F10" i="19"/>
  <c r="H10" i="19" s="1"/>
  <c r="D15" i="20"/>
  <c r="F15" i="20" s="1"/>
  <c r="H15" i="20" s="1"/>
  <c r="D15" i="21" s="1"/>
  <c r="F15" i="21" s="1"/>
  <c r="H15" i="21" s="1"/>
  <c r="D15" i="22" s="1"/>
  <c r="F15" i="22" s="1"/>
  <c r="H15" i="22" s="1"/>
  <c r="F15" i="19"/>
  <c r="H15" i="19" s="1"/>
  <c r="D9" i="20"/>
  <c r="F9" i="20" s="1"/>
  <c r="H9" i="20" s="1"/>
  <c r="D9" i="21" s="1"/>
  <c r="F9" i="21" s="1"/>
  <c r="H9" i="21" s="1"/>
  <c r="D9" i="22" s="1"/>
  <c r="F9" i="22" s="1"/>
  <c r="H9" i="22" s="1"/>
  <c r="F9" i="19"/>
  <c r="H9" i="19" s="1"/>
  <c r="C45" i="19"/>
  <c r="F32" i="18"/>
  <c r="H32" i="18" s="1"/>
  <c r="D32" i="19" s="1"/>
  <c r="F32" i="19" s="1"/>
  <c r="H32" i="19" s="1"/>
  <c r="D39" i="17"/>
  <c r="F39" i="17" s="1"/>
  <c r="H39" i="17" s="1"/>
  <c r="D39" i="18" s="1"/>
  <c r="F39" i="18" s="1"/>
  <c r="H39" i="18" s="1"/>
  <c r="D39" i="19" s="1"/>
  <c r="F39" i="19" s="1"/>
  <c r="H39" i="19" s="1"/>
  <c r="D34" i="17"/>
  <c r="F34" i="17" s="1"/>
  <c r="H34" i="17" s="1"/>
  <c r="D34" i="18" s="1"/>
  <c r="D16" i="16"/>
  <c r="F16" i="16" s="1"/>
  <c r="H16" i="16" s="1"/>
  <c r="D16" i="17" s="1"/>
  <c r="F16" i="17" s="1"/>
  <c r="H16" i="17" s="1"/>
  <c r="D16" i="18" s="1"/>
  <c r="F16" i="18" s="1"/>
  <c r="H16" i="18" s="1"/>
  <c r="D16" i="19" s="1"/>
  <c r="F18" i="13"/>
  <c r="H18" i="13" s="1"/>
  <c r="F8" i="13"/>
  <c r="J26" i="12"/>
  <c r="F26" i="12"/>
  <c r="H26" i="12"/>
  <c r="H7" i="11"/>
  <c r="H26" i="11" s="1"/>
  <c r="F26" i="11"/>
  <c r="H26" i="2"/>
  <c r="D6" i="3"/>
  <c r="G30" i="7"/>
  <c r="I30" i="7" s="1"/>
  <c r="D30" i="8" s="1"/>
  <c r="G30" i="8" s="1"/>
  <c r="I30" i="8" s="1"/>
  <c r="D30" i="9" s="1"/>
  <c r="G30" i="9" s="1"/>
  <c r="I30" i="9" s="1"/>
  <c r="D30" i="10" s="1"/>
  <c r="G30" i="10" s="1"/>
  <c r="I30" i="10" s="1"/>
  <c r="D30" i="11" s="1"/>
  <c r="G30" i="11" s="1"/>
  <c r="I30" i="11" s="1"/>
  <c r="D30" i="12" s="1"/>
  <c r="G30" i="12" s="1"/>
  <c r="I30" i="12" s="1"/>
  <c r="D30" i="13" s="1"/>
  <c r="G30" i="13" s="1"/>
  <c r="I30" i="13" s="1"/>
  <c r="D30" i="14" s="1"/>
  <c r="G30" i="14" s="1"/>
  <c r="I30" i="14" s="1"/>
  <c r="D30" i="15" s="1"/>
  <c r="G30" i="15" s="1"/>
  <c r="I30" i="15" s="1"/>
  <c r="D30" i="16" s="1"/>
  <c r="G30" i="16" s="1"/>
  <c r="C45" i="7"/>
  <c r="G21" i="4"/>
  <c r="I21" i="4" s="1"/>
  <c r="G35" i="3"/>
  <c r="F57" i="2"/>
  <c r="F58" i="2" s="1"/>
  <c r="D49" i="2"/>
  <c r="F28" i="2"/>
  <c r="F49" i="2" s="1"/>
  <c r="H49" i="2" s="1"/>
  <c r="B58" i="2"/>
  <c r="D64" i="2"/>
  <c r="D26" i="13" l="1"/>
  <c r="J26" i="13"/>
  <c r="D32" i="20"/>
  <c r="F32" i="20" s="1"/>
  <c r="H32" i="20" s="1"/>
  <c r="D32" i="21" s="1"/>
  <c r="F32" i="21" s="1"/>
  <c r="H32" i="21" s="1"/>
  <c r="D39" i="20"/>
  <c r="F39" i="20" s="1"/>
  <c r="H39" i="20" s="1"/>
  <c r="D39" i="21" s="1"/>
  <c r="F39" i="21" s="1"/>
  <c r="H39" i="21" s="1"/>
  <c r="D39" i="22" s="1"/>
  <c r="F39" i="22" s="1"/>
  <c r="H39" i="22" s="1"/>
  <c r="D16" i="20"/>
  <c r="F16" i="20" s="1"/>
  <c r="H16" i="20" s="1"/>
  <c r="D16" i="21" s="1"/>
  <c r="F16" i="21" s="1"/>
  <c r="H16" i="21" s="1"/>
  <c r="D16" i="22" s="1"/>
  <c r="F16" i="22" s="1"/>
  <c r="H16" i="22" s="1"/>
  <c r="F16" i="19"/>
  <c r="H16" i="19" s="1"/>
  <c r="D13" i="20"/>
  <c r="F13" i="20" s="1"/>
  <c r="H13" i="20" s="1"/>
  <c r="D13" i="21" s="1"/>
  <c r="F13" i="21" s="1"/>
  <c r="H13" i="21" s="1"/>
  <c r="D13" i="22" s="1"/>
  <c r="F13" i="22" s="1"/>
  <c r="H13" i="22" s="1"/>
  <c r="F13" i="19"/>
  <c r="H13" i="19" s="1"/>
  <c r="F34" i="18"/>
  <c r="I30" i="16"/>
  <c r="D18" i="14"/>
  <c r="F18" i="14" s="1"/>
  <c r="H18" i="14" s="1"/>
  <c r="D18" i="15" s="1"/>
  <c r="F18" i="15" s="1"/>
  <c r="H18" i="15" s="1"/>
  <c r="D18" i="16" s="1"/>
  <c r="F18" i="16" s="1"/>
  <c r="H18" i="16" s="1"/>
  <c r="D18" i="17" s="1"/>
  <c r="F18" i="17" s="1"/>
  <c r="H18" i="17" s="1"/>
  <c r="D18" i="18" s="1"/>
  <c r="F18" i="18" s="1"/>
  <c r="H18" i="18" s="1"/>
  <c r="D18" i="19" s="1"/>
  <c r="H8" i="13"/>
  <c r="D8" i="14" s="1"/>
  <c r="F26" i="13"/>
  <c r="G6" i="3"/>
  <c r="I6" i="3" s="1"/>
  <c r="D26" i="3"/>
  <c r="G26" i="3" s="1"/>
  <c r="D21" i="5"/>
  <c r="F64" i="2"/>
  <c r="H64" i="2" s="1"/>
  <c r="B57" i="3"/>
  <c r="B64" i="3" s="1"/>
  <c r="D64" i="3" s="1"/>
  <c r="B59" i="4" s="1"/>
  <c r="I35" i="3"/>
  <c r="D35" i="4" s="1"/>
  <c r="H28" i="2"/>
  <c r="D28" i="3" s="1"/>
  <c r="D18" i="20" l="1"/>
  <c r="F18" i="20" s="1"/>
  <c r="H18" i="20" s="1"/>
  <c r="D18" i="21" s="1"/>
  <c r="F18" i="21" s="1"/>
  <c r="H18" i="21" s="1"/>
  <c r="D18" i="22" s="1"/>
  <c r="F18" i="22" s="1"/>
  <c r="H18" i="22" s="1"/>
  <c r="F18" i="19"/>
  <c r="H18" i="19" s="1"/>
  <c r="H34" i="18"/>
  <c r="K42" i="18" s="1"/>
  <c r="B58" i="3"/>
  <c r="D30" i="17"/>
  <c r="F30" i="17" s="1"/>
  <c r="H30" i="17" s="1"/>
  <c r="D30" i="18" s="1"/>
  <c r="D45" i="18" s="1"/>
  <c r="H26" i="13"/>
  <c r="G57" i="3"/>
  <c r="G64" i="3" s="1"/>
  <c r="G28" i="3"/>
  <c r="D49" i="3"/>
  <c r="D6" i="4"/>
  <c r="I26" i="3"/>
  <c r="F21" i="5"/>
  <c r="I64" i="3"/>
  <c r="G35" i="4"/>
  <c r="B60" i="4"/>
  <c r="B65" i="4"/>
  <c r="D65" i="4" s="1"/>
  <c r="D34" i="19" l="1"/>
  <c r="F34" i="19" s="1"/>
  <c r="H34" i="19" s="1"/>
  <c r="F30" i="18"/>
  <c r="F8" i="14"/>
  <c r="D26" i="14"/>
  <c r="G58" i="3"/>
  <c r="G6" i="4"/>
  <c r="I6" i="4" s="1"/>
  <c r="D26" i="4"/>
  <c r="G26" i="4" s="1"/>
  <c r="I28" i="3"/>
  <c r="G49" i="3"/>
  <c r="I49" i="3" s="1"/>
  <c r="H21" i="5"/>
  <c r="G59" i="4"/>
  <c r="G65" i="4" s="1"/>
  <c r="I65" i="4" s="1"/>
  <c r="B55" i="5"/>
  <c r="B56" i="5" s="1"/>
  <c r="I35" i="4"/>
  <c r="D35" i="5" s="1"/>
  <c r="D34" i="20" l="1"/>
  <c r="F34" i="20" s="1"/>
  <c r="H34" i="20" s="1"/>
  <c r="D34" i="21" s="1"/>
  <c r="F34" i="21" s="1"/>
  <c r="H34" i="21" s="1"/>
  <c r="D34" i="22" s="1"/>
  <c r="F34" i="22" s="1"/>
  <c r="H34" i="22" s="1"/>
  <c r="H30" i="18"/>
  <c r="D30" i="19" s="1"/>
  <c r="F30" i="19" s="1"/>
  <c r="H30" i="19" s="1"/>
  <c r="H8" i="14"/>
  <c r="F26" i="14"/>
  <c r="D28" i="6"/>
  <c r="D28" i="4"/>
  <c r="D28" i="5"/>
  <c r="D6" i="5"/>
  <c r="I26" i="4"/>
  <c r="G35" i="5"/>
  <c r="D45" i="5"/>
  <c r="G60" i="4"/>
  <c r="D21" i="6"/>
  <c r="F55" i="5"/>
  <c r="F61" i="5" s="1"/>
  <c r="I61" i="5" s="1"/>
  <c r="F55" i="6" s="1"/>
  <c r="B61" i="5"/>
  <c r="D61" i="5" s="1"/>
  <c r="B55" i="6" s="1"/>
  <c r="B56" i="6" s="1"/>
  <c r="D30" i="20" l="1"/>
  <c r="F30" i="20" s="1"/>
  <c r="H30" i="20" s="1"/>
  <c r="D30" i="21" s="1"/>
  <c r="F30" i="21" s="1"/>
  <c r="H30" i="21" s="1"/>
  <c r="D30" i="22" s="1"/>
  <c r="F30" i="22" s="1"/>
  <c r="H30" i="22" s="1"/>
  <c r="H26" i="14"/>
  <c r="D26" i="15" s="1"/>
  <c r="D8" i="15"/>
  <c r="F8" i="15" s="1"/>
  <c r="F6" i="5"/>
  <c r="D26" i="5"/>
  <c r="G28" i="4"/>
  <c r="D49" i="4"/>
  <c r="I35" i="5"/>
  <c r="G45" i="5"/>
  <c r="F56" i="5"/>
  <c r="F21" i="6"/>
  <c r="F61" i="6"/>
  <c r="I61" i="6" s="1"/>
  <c r="F55" i="7" s="1"/>
  <c r="F56" i="6"/>
  <c r="B61" i="6"/>
  <c r="D61" i="6" s="1"/>
  <c r="B55" i="7" s="1"/>
  <c r="H8" i="15" l="1"/>
  <c r="F26" i="15"/>
  <c r="I28" i="4"/>
  <c r="G49" i="4"/>
  <c r="I49" i="4" s="1"/>
  <c r="H6" i="5"/>
  <c r="F26" i="5"/>
  <c r="D35" i="6"/>
  <c r="I45" i="5"/>
  <c r="I46" i="5" s="1"/>
  <c r="D46" i="6" s="1"/>
  <c r="H21" i="6"/>
  <c r="B56" i="7"/>
  <c r="B61" i="7"/>
  <c r="D61" i="7" s="1"/>
  <c r="B55" i="8" s="1"/>
  <c r="B62" i="8" s="1"/>
  <c r="D8" i="16" l="1"/>
  <c r="F8" i="16" s="1"/>
  <c r="H26" i="15"/>
  <c r="D6" i="6"/>
  <c r="H26" i="5"/>
  <c r="G35" i="6"/>
  <c r="D45" i="6"/>
  <c r="D21" i="7"/>
  <c r="B56" i="8"/>
  <c r="D62" i="8"/>
  <c r="B55" i="9" s="1"/>
  <c r="B65" i="9" s="1"/>
  <c r="I29" i="7"/>
  <c r="D26" i="16" l="1"/>
  <c r="H8" i="16"/>
  <c r="F26" i="16"/>
  <c r="F6" i="6"/>
  <c r="D26" i="6"/>
  <c r="D65" i="9"/>
  <c r="B55" i="10" s="1"/>
  <c r="B56" i="9"/>
  <c r="D29" i="8"/>
  <c r="G29" i="8" s="1"/>
  <c r="I35" i="6"/>
  <c r="G45" i="6"/>
  <c r="F21" i="7"/>
  <c r="D8" i="17" l="1"/>
  <c r="H26" i="16"/>
  <c r="B66" i="10"/>
  <c r="B56" i="10"/>
  <c r="H6" i="6"/>
  <c r="F26" i="6"/>
  <c r="D66" i="10"/>
  <c r="I29" i="8"/>
  <c r="D29" i="9" s="1"/>
  <c r="G29" i="9" s="1"/>
  <c r="D35" i="7"/>
  <c r="I45" i="6"/>
  <c r="H21" i="7"/>
  <c r="F8" i="17" l="1"/>
  <c r="D26" i="17"/>
  <c r="B53" i="11"/>
  <c r="B52" i="11"/>
  <c r="B61" i="11" s="1"/>
  <c r="C6" i="8"/>
  <c r="C26" i="8" s="1"/>
  <c r="C6" i="7"/>
  <c r="D6" i="7"/>
  <c r="D26" i="7" s="1"/>
  <c r="H26" i="6"/>
  <c r="I29" i="9"/>
  <c r="D29" i="10" s="1"/>
  <c r="G35" i="7"/>
  <c r="D45" i="7"/>
  <c r="D21" i="8"/>
  <c r="H8" i="17" l="1"/>
  <c r="F26" i="17"/>
  <c r="D61" i="11"/>
  <c r="B54" i="11"/>
  <c r="C26" i="7"/>
  <c r="F6" i="7"/>
  <c r="G29" i="10"/>
  <c r="I35" i="7"/>
  <c r="G45" i="7"/>
  <c r="F61" i="7"/>
  <c r="I61" i="7" s="1"/>
  <c r="F55" i="8" s="1"/>
  <c r="F56" i="7"/>
  <c r="F21" i="8"/>
  <c r="H21" i="8" s="1"/>
  <c r="I46" i="8" s="1"/>
  <c r="I47" i="8" l="1"/>
  <c r="D46" i="10"/>
  <c r="D46" i="9"/>
  <c r="H26" i="17"/>
  <c r="D8" i="18"/>
  <c r="B53" i="12"/>
  <c r="B60" i="12" s="1"/>
  <c r="D60" i="12" s="1"/>
  <c r="B53" i="13" s="1"/>
  <c r="B61" i="13" s="1"/>
  <c r="H6" i="7"/>
  <c r="F26" i="7"/>
  <c r="I29" i="10"/>
  <c r="D29" i="11" s="1"/>
  <c r="D35" i="8"/>
  <c r="G35" i="8" s="1"/>
  <c r="I45" i="7"/>
  <c r="B54" i="12" l="1"/>
  <c r="F8" i="18"/>
  <c r="D26" i="18"/>
  <c r="D47" i="10"/>
  <c r="D47" i="9"/>
  <c r="F50" i="8"/>
  <c r="B54" i="13"/>
  <c r="D61" i="13"/>
  <c r="B53" i="14" s="1"/>
  <c r="B60" i="14" s="1"/>
  <c r="G29" i="11"/>
  <c r="D45" i="11"/>
  <c r="D6" i="8"/>
  <c r="H26" i="7"/>
  <c r="D45" i="8"/>
  <c r="I35" i="8"/>
  <c r="G45" i="8"/>
  <c r="F62" i="8" l="1"/>
  <c r="I62" i="8" s="1"/>
  <c r="F55" i="9" s="1"/>
  <c r="F65" i="9" s="1"/>
  <c r="I65" i="9" s="1"/>
  <c r="F56" i="8"/>
  <c r="H8" i="18"/>
  <c r="F26" i="18"/>
  <c r="B54" i="14"/>
  <c r="D60" i="14"/>
  <c r="B53" i="15" s="1"/>
  <c r="B62" i="15" s="1"/>
  <c r="F55" i="10"/>
  <c r="F66" i="10" s="1"/>
  <c r="I66" i="10" s="1"/>
  <c r="G45" i="11"/>
  <c r="I29" i="11"/>
  <c r="F6" i="8"/>
  <c r="D26" i="8"/>
  <c r="F56" i="9"/>
  <c r="F56" i="10"/>
  <c r="I45" i="8"/>
  <c r="D45" i="9" s="1"/>
  <c r="D35" i="9"/>
  <c r="G35" i="9" s="1"/>
  <c r="D8" i="19" l="1"/>
  <c r="H26" i="18"/>
  <c r="F52" i="11"/>
  <c r="F61" i="11" s="1"/>
  <c r="I61" i="11" s="1"/>
  <c r="B54" i="15"/>
  <c r="D62" i="15"/>
  <c r="H72" i="10"/>
  <c r="I45" i="11"/>
  <c r="D45" i="12" s="1"/>
  <c r="D29" i="12"/>
  <c r="G29" i="12" s="1"/>
  <c r="F53" i="11"/>
  <c r="F54" i="11" s="1"/>
  <c r="H6" i="8"/>
  <c r="F26" i="8"/>
  <c r="I35" i="9"/>
  <c r="G45" i="9"/>
  <c r="D8" i="20" l="1"/>
  <c r="F8" i="20" s="1"/>
  <c r="F8" i="19"/>
  <c r="D26" i="19"/>
  <c r="D26" i="20" s="1"/>
  <c r="K69" i="11"/>
  <c r="K70" i="11" s="1"/>
  <c r="B53" i="16"/>
  <c r="B54" i="16" s="1"/>
  <c r="I29" i="12"/>
  <c r="G45" i="12"/>
  <c r="F53" i="12"/>
  <c r="D6" i="9"/>
  <c r="F6" i="9" s="1"/>
  <c r="H26" i="8"/>
  <c r="D26" i="9" s="1"/>
  <c r="I45" i="9"/>
  <c r="D35" i="10"/>
  <c r="H8" i="19" l="1"/>
  <c r="H26" i="19" s="1"/>
  <c r="F26" i="19"/>
  <c r="H8" i="20"/>
  <c r="F26" i="20"/>
  <c r="B62" i="16"/>
  <c r="D62" i="16" s="1"/>
  <c r="B53" i="17" s="1"/>
  <c r="B54" i="17" s="1"/>
  <c r="I45" i="12"/>
  <c r="D29" i="13"/>
  <c r="F60" i="12"/>
  <c r="I60" i="12" s="1"/>
  <c r="F54" i="12"/>
  <c r="H6" i="9"/>
  <c r="H26" i="9" s="1"/>
  <c r="F26" i="9"/>
  <c r="G35" i="10"/>
  <c r="D45" i="10"/>
  <c r="H26" i="20" l="1"/>
  <c r="D8" i="21"/>
  <c r="B62" i="17"/>
  <c r="D62" i="17" s="1"/>
  <c r="B53" i="18" s="1"/>
  <c r="B62" i="18" s="1"/>
  <c r="D62" i="18" s="1"/>
  <c r="K57" i="12"/>
  <c r="B54" i="18"/>
  <c r="G29" i="13"/>
  <c r="D45" i="13"/>
  <c r="F53" i="13"/>
  <c r="F61" i="13" s="1"/>
  <c r="I61" i="13" s="1"/>
  <c r="I35" i="10"/>
  <c r="I45" i="10" s="1"/>
  <c r="G45" i="10"/>
  <c r="F8" i="21" l="1"/>
  <c r="D26" i="21"/>
  <c r="B54" i="19"/>
  <c r="B62" i="19"/>
  <c r="D62" i="19" s="1"/>
  <c r="B53" i="20" s="1"/>
  <c r="I29" i="13"/>
  <c r="G45" i="13"/>
  <c r="F54" i="13"/>
  <c r="F53" i="14"/>
  <c r="H8" i="21" l="1"/>
  <c r="F26" i="21"/>
  <c r="B54" i="20"/>
  <c r="B62" i="20"/>
  <c r="D62" i="20" s="1"/>
  <c r="B53" i="21" s="1"/>
  <c r="D29" i="14"/>
  <c r="I45" i="13"/>
  <c r="F54" i="14"/>
  <c r="F60" i="14"/>
  <c r="I60" i="14" s="1"/>
  <c r="H26" i="21" l="1"/>
  <c r="D8" i="22"/>
  <c r="B54" i="21"/>
  <c r="B62" i="21"/>
  <c r="D62" i="21" s="1"/>
  <c r="B53" i="22" s="1"/>
  <c r="G29" i="14"/>
  <c r="D45" i="14"/>
  <c r="F53" i="15"/>
  <c r="F62" i="15" s="1"/>
  <c r="I62" i="15" s="1"/>
  <c r="F8" i="22" l="1"/>
  <c r="D26" i="22"/>
  <c r="B54" i="22"/>
  <c r="B62" i="22"/>
  <c r="D62" i="22" s="1"/>
  <c r="I70" i="15"/>
  <c r="F54" i="15"/>
  <c r="I29" i="14"/>
  <c r="G45" i="14"/>
  <c r="F53" i="16"/>
  <c r="F62" i="16" s="1"/>
  <c r="I62" i="16" s="1"/>
  <c r="H8" i="22" l="1"/>
  <c r="H26" i="22" s="1"/>
  <c r="F26" i="22"/>
  <c r="F54" i="16"/>
  <c r="F53" i="17"/>
  <c r="F62" i="17" s="1"/>
  <c r="I62" i="17" s="1"/>
  <c r="D29" i="15"/>
  <c r="G29" i="15" s="1"/>
  <c r="I45" i="14"/>
  <c r="D45" i="15" s="1"/>
  <c r="F54" i="17" l="1"/>
  <c r="F53" i="18"/>
  <c r="F54" i="18" s="1"/>
  <c r="I29" i="15"/>
  <c r="G45" i="15"/>
  <c r="F62" i="18" l="1"/>
  <c r="I62" i="18" s="1"/>
  <c r="D29" i="16"/>
  <c r="G29" i="16" s="1"/>
  <c r="G45" i="16" s="1"/>
  <c r="I45" i="15"/>
  <c r="F53" i="19" l="1"/>
  <c r="F62" i="19" s="1"/>
  <c r="I62" i="19" s="1"/>
  <c r="F53" i="20" s="1"/>
  <c r="F54" i="19"/>
  <c r="D45" i="16"/>
  <c r="K29" i="15"/>
  <c r="I29" i="16"/>
  <c r="F62" i="20" l="1"/>
  <c r="I62" i="20" s="1"/>
  <c r="F53" i="21" s="1"/>
  <c r="F62" i="21" s="1"/>
  <c r="F54" i="20"/>
  <c r="F29" i="18"/>
  <c r="D29" i="17"/>
  <c r="I45" i="16"/>
  <c r="F54" i="21" l="1"/>
  <c r="I62" i="21"/>
  <c r="F53" i="22" s="1"/>
  <c r="J62" i="16"/>
  <c r="J46" i="16"/>
  <c r="J47" i="16" s="1"/>
  <c r="H29" i="18"/>
  <c r="D29" i="19" s="1"/>
  <c r="F45" i="18"/>
  <c r="F29" i="17"/>
  <c r="D45" i="17"/>
  <c r="F54" i="22" l="1"/>
  <c r="F62" i="22"/>
  <c r="I62" i="22" s="1"/>
  <c r="H45" i="18"/>
  <c r="H29" i="17"/>
  <c r="H45" i="17" s="1"/>
  <c r="I45" i="17" s="1"/>
  <c r="K57" i="17" s="1"/>
  <c r="F45" i="17"/>
  <c r="F29" i="19" l="1"/>
  <c r="D45" i="19"/>
  <c r="H29" i="19" l="1"/>
  <c r="F45" i="19"/>
  <c r="H45" i="19" l="1"/>
  <c r="D29" i="20"/>
  <c r="F29" i="20" l="1"/>
  <c r="D45" i="20"/>
  <c r="H29" i="20"/>
  <c r="F45" i="20"/>
  <c r="H45" i="20" l="1"/>
  <c r="D29" i="21"/>
  <c r="F29" i="21" l="1"/>
  <c r="D45" i="21"/>
  <c r="H29" i="21" l="1"/>
  <c r="F45" i="21"/>
  <c r="H45" i="21" l="1"/>
  <c r="D29" i="22"/>
  <c r="F29" i="22" l="1"/>
  <c r="D45" i="22"/>
  <c r="H29" i="22" l="1"/>
  <c r="H45" i="22" s="1"/>
  <c r="F45" i="22"/>
</calcChain>
</file>

<file path=xl/sharedStrings.xml><?xml version="1.0" encoding="utf-8"?>
<sst xmlns="http://schemas.openxmlformats.org/spreadsheetml/2006/main" count="2815" uniqueCount="275">
  <si>
    <t xml:space="preserve">RENT STATEMENT </t>
  </si>
  <si>
    <t>NO</t>
  </si>
  <si>
    <t>NAME</t>
  </si>
  <si>
    <t>DEP. BAL</t>
  </si>
  <si>
    <t>BAL B/F</t>
  </si>
  <si>
    <t>RENT</t>
  </si>
  <si>
    <t>DUE BILL</t>
  </si>
  <si>
    <t>PAID</t>
  </si>
  <si>
    <t>RENT  CF</t>
  </si>
  <si>
    <t>TOTAL</t>
  </si>
  <si>
    <t>SUMMARY</t>
  </si>
  <si>
    <t xml:space="preserve">DETAILS </t>
  </si>
  <si>
    <t xml:space="preserve">CR </t>
  </si>
  <si>
    <t>DR</t>
  </si>
  <si>
    <t>BL</t>
  </si>
  <si>
    <t>BAL</t>
  </si>
  <si>
    <t>JANUARY</t>
  </si>
  <si>
    <t xml:space="preserve">COMMISION  </t>
  </si>
  <si>
    <t xml:space="preserve">DEPOSIT </t>
  </si>
  <si>
    <t>BF</t>
  </si>
  <si>
    <t>DEDUCTION</t>
  </si>
  <si>
    <t>PREPARED BY</t>
  </si>
  <si>
    <t>APPROVED BY</t>
  </si>
  <si>
    <t>RECEIVED BY</t>
  </si>
  <si>
    <t>GRACE</t>
  </si>
  <si>
    <t>JACKSON/ ELIZABETH</t>
  </si>
  <si>
    <t>LEMARON</t>
  </si>
  <si>
    <t>FOR THE MONTH OF MARCH 2020</t>
  </si>
  <si>
    <t>LEMARON KAMBI</t>
  </si>
  <si>
    <t>ANTHONY ANDREW</t>
  </si>
  <si>
    <t>JOYCE WANJIRU</t>
  </si>
  <si>
    <t>EVANS MWANGI</t>
  </si>
  <si>
    <t>MOSES INGANGA</t>
  </si>
  <si>
    <t>GODFREY KAMWER</t>
  </si>
  <si>
    <t>DOMINIC BARAZA</t>
  </si>
  <si>
    <t>HAGGAI OTOLIMU</t>
  </si>
  <si>
    <t>RONO ISMAEL</t>
  </si>
  <si>
    <t>BENSON MWANZIA</t>
  </si>
  <si>
    <t>MWAIGANI WAMBUI</t>
  </si>
  <si>
    <t>EVANS JAIRO</t>
  </si>
  <si>
    <t>VACANT</t>
  </si>
  <si>
    <t>KEVIN KAPENDO</t>
  </si>
  <si>
    <t>LNK1</t>
  </si>
  <si>
    <t>LNK2</t>
  </si>
  <si>
    <t>LNK3</t>
  </si>
  <si>
    <t>LNK4</t>
  </si>
  <si>
    <t>LNK5</t>
  </si>
  <si>
    <t>LNK6</t>
  </si>
  <si>
    <t>LNK7</t>
  </si>
  <si>
    <t>LNK8</t>
  </si>
  <si>
    <t>LNK9</t>
  </si>
  <si>
    <t>LNK10</t>
  </si>
  <si>
    <t>LNK11</t>
  </si>
  <si>
    <t>LNK12</t>
  </si>
  <si>
    <t>LNK13</t>
  </si>
  <si>
    <t>LNK14</t>
  </si>
  <si>
    <t>LNK15</t>
  </si>
  <si>
    <t>LNK16</t>
  </si>
  <si>
    <t>LNK17</t>
  </si>
  <si>
    <t>LNK18</t>
  </si>
  <si>
    <t>LNK19</t>
  </si>
  <si>
    <t>LNK20</t>
  </si>
  <si>
    <t>LNK21</t>
  </si>
  <si>
    <t>MARCH</t>
  </si>
  <si>
    <t>ENOS</t>
  </si>
  <si>
    <t>JAMAICAH LEMARON</t>
  </si>
  <si>
    <t>L/A1</t>
  </si>
  <si>
    <t>L/A2</t>
  </si>
  <si>
    <t>L/A3</t>
  </si>
  <si>
    <t>L/A4</t>
  </si>
  <si>
    <t>L/A5</t>
  </si>
  <si>
    <t>L/B1</t>
  </si>
  <si>
    <t>L/B2</t>
  </si>
  <si>
    <t>L/B3</t>
  </si>
  <si>
    <t>L/B4</t>
  </si>
  <si>
    <t>L/B5</t>
  </si>
  <si>
    <t>L/A6</t>
  </si>
  <si>
    <t>L/B6</t>
  </si>
  <si>
    <t>L/A7</t>
  </si>
  <si>
    <t>L/B7</t>
  </si>
  <si>
    <t>L/A8</t>
  </si>
  <si>
    <t>L/B8</t>
  </si>
  <si>
    <t>L/B9</t>
  </si>
  <si>
    <t>L/B10</t>
  </si>
  <si>
    <t>L/B11</t>
  </si>
  <si>
    <t>L/B12</t>
  </si>
  <si>
    <t>ROBIN LOMULEN</t>
  </si>
  <si>
    <t>MARTIN NAMANDA</t>
  </si>
  <si>
    <t>PATRICK KINARU</t>
  </si>
  <si>
    <t>LORAINE NDEGWA</t>
  </si>
  <si>
    <t>EDWARD THOTO</t>
  </si>
  <si>
    <t>GEORGE KIARIER</t>
  </si>
  <si>
    <t>LOCKED</t>
  </si>
  <si>
    <t>LL</t>
  </si>
  <si>
    <t>EVANS</t>
  </si>
  <si>
    <t>PAID ON 11/3</t>
  </si>
  <si>
    <t>FRIDAH MUKAMI</t>
  </si>
  <si>
    <t>MESHACK KYULE</t>
  </si>
  <si>
    <t>PAID ON 12/3</t>
  </si>
  <si>
    <t>APRIL</t>
  </si>
  <si>
    <t>FOR THE MONTH OF APRIL 2020</t>
  </si>
  <si>
    <t>PAID ON 18/3</t>
  </si>
  <si>
    <t>MISHECK KYULE</t>
  </si>
  <si>
    <t>VACCANT</t>
  </si>
  <si>
    <t>LL3000</t>
  </si>
  <si>
    <t>PAID ON 17/4</t>
  </si>
  <si>
    <t>VACCATED</t>
  </si>
  <si>
    <t>DOMINIC BARAZA(CARETAKER)</t>
  </si>
  <si>
    <t>MESHACK</t>
  </si>
  <si>
    <t>FOR THE MONTH OF MAY 2020</t>
  </si>
  <si>
    <t>MAY</t>
  </si>
  <si>
    <t>PAID ON 28/4</t>
  </si>
  <si>
    <t>GEOFREY KIGOTHO</t>
  </si>
  <si>
    <t>ANASTATIA/NYAKU</t>
  </si>
  <si>
    <t>rent</t>
  </si>
  <si>
    <t>NEW</t>
  </si>
  <si>
    <t>WAMBUA</t>
  </si>
  <si>
    <t>PAID ON 14/5</t>
  </si>
  <si>
    <t>ELIZABETH ACGIENG</t>
  </si>
  <si>
    <t>LL2500</t>
  </si>
  <si>
    <t>FESTUS ODERE</t>
  </si>
  <si>
    <t>FOR THE MONTH OF JUNE 2020</t>
  </si>
  <si>
    <t>PAID ON16/5</t>
  </si>
  <si>
    <t>DENNIS WAWERU</t>
  </si>
  <si>
    <t>TABITHA AKINYI</t>
  </si>
  <si>
    <t>DOUBLE POLE</t>
  </si>
  <si>
    <t xml:space="preserve">NAFTALI MHATI </t>
  </si>
  <si>
    <t>WILLIAM KATANA</t>
  </si>
  <si>
    <t>JUNE</t>
  </si>
  <si>
    <t>DOUBLE POLE(ELECTRICITY REPAIR)</t>
  </si>
  <si>
    <t>PAID ON 10/6</t>
  </si>
  <si>
    <t>GEOFREY KIGOTHO/STEPHEN</t>
  </si>
  <si>
    <t>SAMSON BIRYA</t>
  </si>
  <si>
    <t>FESTUS OKILA</t>
  </si>
  <si>
    <t>WAMBUI</t>
  </si>
  <si>
    <t>FOR THE MONTH OF JULY 2020</t>
  </si>
  <si>
    <t>JULY</t>
  </si>
  <si>
    <t>PAID ON 17/6</t>
  </si>
  <si>
    <t>KENNEDY</t>
  </si>
  <si>
    <t>FOR THE MONTH OF AUGUST 2020</t>
  </si>
  <si>
    <t>AUGUST</t>
  </si>
  <si>
    <t>PAID ON 10/7</t>
  </si>
  <si>
    <t>ROBIN B1 VACCATED</t>
  </si>
  <si>
    <t>comm</t>
  </si>
  <si>
    <t>LOAN</t>
  </si>
  <si>
    <t>PAID ON 12/8</t>
  </si>
  <si>
    <t>FOR THE MONTH OF SEPTEMBER 2020</t>
  </si>
  <si>
    <t>SEPTEMBER</t>
  </si>
  <si>
    <t>DENNIS LETEIPAN</t>
  </si>
  <si>
    <t>LORAINE</t>
  </si>
  <si>
    <t>JOSEPH OMBATI</t>
  </si>
  <si>
    <t>ERIC KARANI</t>
  </si>
  <si>
    <t>PAID ON 30/9</t>
  </si>
  <si>
    <t>FOR THE MONTH OF OCTOBER 2020</t>
  </si>
  <si>
    <t>OCTOBER</t>
  </si>
  <si>
    <t>COMMISION</t>
  </si>
  <si>
    <t>total</t>
  </si>
  <si>
    <t>b11 vaccated</t>
  </si>
  <si>
    <t>DEPOSIT</t>
  </si>
  <si>
    <t>EDWARD VACCATED</t>
  </si>
  <si>
    <t>WAMBUI VACCTED</t>
  </si>
  <si>
    <t>PAID ON 10/9</t>
  </si>
  <si>
    <t>DANSON OPONDO</t>
  </si>
  <si>
    <t>FOR THE MONTH OF NOVEMBER 2020</t>
  </si>
  <si>
    <t>NOVEMBER</t>
  </si>
  <si>
    <t>MARTIN PAID LL</t>
  </si>
  <si>
    <t>DANIEL MBUVI</t>
  </si>
  <si>
    <t xml:space="preserve"> SILVESTER MUHEMO</t>
  </si>
  <si>
    <t>NAFTALI VACCATED</t>
  </si>
  <si>
    <t>PAID ON 2/11</t>
  </si>
  <si>
    <t>MOSES  A5</t>
  </si>
  <si>
    <t>COMM</t>
  </si>
  <si>
    <t>MOSES NO.6  DID NOT MOVE TO BEDSITTER ON OCT</t>
  </si>
  <si>
    <t>CECILIA NAVATENDE</t>
  </si>
  <si>
    <t>TO BE EVICTED</t>
  </si>
  <si>
    <t>FOR THE MONTH OF DECEMBER 2020</t>
  </si>
  <si>
    <t>DECEMBER</t>
  </si>
  <si>
    <t>OTIS JONES</t>
  </si>
  <si>
    <t>PAID ON 23/11</t>
  </si>
  <si>
    <t>JOSEPH KURIA</t>
  </si>
  <si>
    <t>NO.21</t>
  </si>
  <si>
    <t>NO.20</t>
  </si>
  <si>
    <t>DANSON NO 20 EVICTED</t>
  </si>
  <si>
    <t>JOSEPH NO.21 EVICTED</t>
  </si>
  <si>
    <t>PAID ON 9/12</t>
  </si>
  <si>
    <t>PAID ON 21/12</t>
  </si>
  <si>
    <t>FOR THE MONTH OF JANUARY 2021</t>
  </si>
  <si>
    <t>SAMSON VACCATED</t>
  </si>
  <si>
    <t>PAID ON 24/12</t>
  </si>
  <si>
    <t>PAID ON 30/12</t>
  </si>
  <si>
    <t>PAID ON 31/12</t>
  </si>
  <si>
    <t>PAID ON 2/01</t>
  </si>
  <si>
    <t>PAID ON 11/01</t>
  </si>
  <si>
    <t>PAID ON 15/01</t>
  </si>
  <si>
    <t>FLORENCE</t>
  </si>
  <si>
    <t>FOR THE MONTH OF FEBRUARY 2021</t>
  </si>
  <si>
    <t>FEBRUARY</t>
  </si>
  <si>
    <t>PAID ON 12/1</t>
  </si>
  <si>
    <t>B/F</t>
  </si>
  <si>
    <t>HARON ONYANGO</t>
  </si>
  <si>
    <t>COLLINS</t>
  </si>
  <si>
    <t>HUMPREY LUMUMBA</t>
  </si>
  <si>
    <t>ROBERT KIPROP</t>
  </si>
  <si>
    <t>JIMMY</t>
  </si>
  <si>
    <t>JAMES B11 PAID LL</t>
  </si>
  <si>
    <t>FOR THE MONTH OF MARCH 2021</t>
  </si>
  <si>
    <t>commission</t>
  </si>
  <si>
    <t>JAMES</t>
  </si>
  <si>
    <t>balance</t>
  </si>
  <si>
    <t>PAID ON 8/3/21</t>
  </si>
  <si>
    <t>PAID ON 10/3</t>
  </si>
  <si>
    <t>DAVID  MAKORI</t>
  </si>
  <si>
    <t>ERICK</t>
  </si>
  <si>
    <t>WATER</t>
  </si>
  <si>
    <t>FOR THE MONTH OF APRIL 2021</t>
  </si>
  <si>
    <t>PAID ON 29/3</t>
  </si>
  <si>
    <t>new</t>
  </si>
  <si>
    <t>PAID ON 12/4</t>
  </si>
  <si>
    <t>DANIEL CARETAKER</t>
  </si>
  <si>
    <t>FOR THE MONTH OF MAY 2021</t>
  </si>
  <si>
    <t>PAID ON 29/4</t>
  </si>
  <si>
    <t>PAID ON 30/4</t>
  </si>
  <si>
    <t>PAID ON 3/4</t>
  </si>
  <si>
    <t xml:space="preserve">GEORGE </t>
  </si>
  <si>
    <t>FOR THE MONTH OF JUNE 2021</t>
  </si>
  <si>
    <t>DEPOSIT B8</t>
  </si>
  <si>
    <t>DEPOSITB8</t>
  </si>
  <si>
    <t xml:space="preserve">DEPOSITB8 </t>
  </si>
  <si>
    <t>PAID ON 23/5</t>
  </si>
  <si>
    <t>DENNIS NJAGI</t>
  </si>
  <si>
    <t>PAID ON 27/5</t>
  </si>
  <si>
    <t>DEPOSIT A4,B8</t>
  </si>
  <si>
    <t>PAID ON 31/5</t>
  </si>
  <si>
    <t>BREDA MHINDI</t>
  </si>
  <si>
    <t>PETER MAKOHA</t>
  </si>
  <si>
    <t>STEPHEN EVICTED</t>
  </si>
  <si>
    <t>PAID ON 2/6</t>
  </si>
  <si>
    <t>PAID ON 4/6</t>
  </si>
  <si>
    <t>no.17  evicted</t>
  </si>
  <si>
    <t>PAID ON 25/6</t>
  </si>
  <si>
    <t>FOR THE MONTH OF JULY 2021</t>
  </si>
  <si>
    <t>GEOFREY KIGOTHO/STEPHEN/NEW</t>
  </si>
  <si>
    <t>NO.17</t>
  </si>
  <si>
    <t>NO.18</t>
  </si>
  <si>
    <t>BALANCE</t>
  </si>
  <si>
    <t>PETER MURIITHI</t>
  </si>
  <si>
    <t>URBUNUS</t>
  </si>
  <si>
    <t>PAID ON 6/7</t>
  </si>
  <si>
    <t>FOR THE MONTH OF AUGUST 2021</t>
  </si>
  <si>
    <t>CLEARED</t>
  </si>
  <si>
    <t>PAID ON 10/8</t>
  </si>
  <si>
    <t>GERALD MWANJIJE</t>
  </si>
  <si>
    <t>PAID ON 24/8</t>
  </si>
  <si>
    <t>GAS</t>
  </si>
  <si>
    <t>FOR THE MONTH OF SEPTEMBER 2021</t>
  </si>
  <si>
    <t>GARBAGE NO.9</t>
  </si>
  <si>
    <t>ARREARS</t>
  </si>
  <si>
    <t>PAID ON 11/9</t>
  </si>
  <si>
    <t>GARBAGE</t>
  </si>
  <si>
    <t>ARREARS N.P</t>
  </si>
  <si>
    <t>PAID ON 13/9</t>
  </si>
  <si>
    <t>RENT STATEMENT FOR THE MONTH OF OCTOBER 2021</t>
  </si>
  <si>
    <t>RENT STATEMENT FOR THE MONTH OF NOVEMBER 2021</t>
  </si>
  <si>
    <t>NOV</t>
  </si>
  <si>
    <t>PAID ON 12/10</t>
  </si>
  <si>
    <t>PAID ON 15/10</t>
  </si>
  <si>
    <t>PAID ON 10/11</t>
  </si>
  <si>
    <t>JANET ACHIENG MULESHE</t>
  </si>
  <si>
    <t>RENT STATEMENT FOR THE MONTH OF DECEMBER 2021</t>
  </si>
  <si>
    <t>PAID  22/11</t>
  </si>
  <si>
    <t>CARETAKER</t>
  </si>
  <si>
    <t>EVICTED</t>
  </si>
  <si>
    <t>EVANS NO.5 EVICTED</t>
  </si>
  <si>
    <t>PAID ON 2/12</t>
  </si>
  <si>
    <t>NO.5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</si>
</sst>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4"/>
      <color rgb="FF92D05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0" xfId="0" applyFont="1" applyAlignment="1">
      <alignment horizontal="left" vertical="top"/>
    </xf>
    <xf numFmtId="0" fontId="0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5" fillId="0" borderId="1" xfId="0" applyFont="1" applyBorder="1" applyAlignment="1">
      <alignment horizontal="center" vertical="center" wrapText="1"/>
    </xf>
    <xf numFmtId="43" fontId="5" fillId="0" borderId="1" xfId="1" applyFont="1" applyBorder="1" applyAlignment="1">
      <alignment vertical="center" wrapText="1"/>
    </xf>
    <xf numFmtId="164" fontId="5" fillId="0" borderId="1" xfId="1" applyNumberFormat="1" applyFont="1" applyBorder="1" applyAlignment="1">
      <alignment vertical="center"/>
    </xf>
    <xf numFmtId="164" fontId="5" fillId="0" borderId="1" xfId="1" applyNumberFormat="1" applyFont="1" applyBorder="1" applyAlignment="1">
      <alignment horizontal="right" vertical="center" wrapText="1"/>
    </xf>
    <xf numFmtId="164" fontId="6" fillId="0" borderId="1" xfId="1" applyNumberFormat="1" applyFont="1" applyBorder="1" applyAlignment="1">
      <alignment vertical="center"/>
    </xf>
    <xf numFmtId="164" fontId="5" fillId="0" borderId="1" xfId="0" applyNumberFormat="1" applyFont="1" applyBorder="1"/>
    <xf numFmtId="0" fontId="5" fillId="0" borderId="1" xfId="0" applyFont="1" applyBorder="1"/>
    <xf numFmtId="164" fontId="6" fillId="0" borderId="1" xfId="1" applyNumberFormat="1" applyFont="1" applyFill="1" applyBorder="1" applyAlignment="1">
      <alignment vertical="center"/>
    </xf>
    <xf numFmtId="43" fontId="8" fillId="0" borderId="1" xfId="1" applyFont="1" applyBorder="1" applyAlignment="1">
      <alignment vertical="center" wrapText="1"/>
    </xf>
    <xf numFmtId="164" fontId="7" fillId="0" borderId="1" xfId="1" applyNumberFormat="1" applyFont="1" applyBorder="1" applyAlignment="1">
      <alignment vertical="center" wrapText="1"/>
    </xf>
    <xf numFmtId="164" fontId="7" fillId="0" borderId="1" xfId="1" applyNumberFormat="1" applyFont="1" applyBorder="1" applyAlignment="1">
      <alignment vertical="center"/>
    </xf>
    <xf numFmtId="0" fontId="5" fillId="0" borderId="0" xfId="0" applyFont="1" applyBorder="1"/>
    <xf numFmtId="43" fontId="5" fillId="0" borderId="0" xfId="1" applyFont="1" applyBorder="1" applyAlignment="1">
      <alignment vertical="center"/>
    </xf>
    <xf numFmtId="43" fontId="5" fillId="0" borderId="0" xfId="0" applyNumberFormat="1" applyFont="1"/>
    <xf numFmtId="164" fontId="0" fillId="0" borderId="0" xfId="0" applyNumberFormat="1" applyFont="1"/>
    <xf numFmtId="0" fontId="9" fillId="0" borderId="1" xfId="0" applyFont="1" applyBorder="1"/>
    <xf numFmtId="164" fontId="9" fillId="0" borderId="1" xfId="0" applyNumberFormat="1" applyFont="1" applyBorder="1"/>
    <xf numFmtId="0" fontId="10" fillId="0" borderId="1" xfId="0" applyFont="1" applyBorder="1"/>
    <xf numFmtId="164" fontId="0" fillId="0" borderId="1" xfId="0" applyNumberFormat="1" applyFont="1" applyBorder="1"/>
    <xf numFmtId="0" fontId="0" fillId="0" borderId="1" xfId="0" applyFont="1" applyBorder="1"/>
    <xf numFmtId="9" fontId="10" fillId="0" borderId="1" xfId="0" applyNumberFormat="1" applyFont="1" applyBorder="1"/>
    <xf numFmtId="164" fontId="10" fillId="0" borderId="1" xfId="0" applyNumberFormat="1" applyFont="1" applyBorder="1"/>
    <xf numFmtId="0" fontId="10" fillId="0" borderId="1" xfId="0" applyFont="1" applyFill="1" applyBorder="1"/>
    <xf numFmtId="0" fontId="11" fillId="0" borderId="1" xfId="0" applyFont="1" applyBorder="1"/>
    <xf numFmtId="43" fontId="10" fillId="0" borderId="1" xfId="0" applyNumberFormat="1" applyFont="1" applyBorder="1"/>
    <xf numFmtId="0" fontId="12" fillId="0" borderId="1" xfId="0" applyFont="1" applyFill="1" applyBorder="1"/>
    <xf numFmtId="0" fontId="13" fillId="0" borderId="1" xfId="0" applyFont="1" applyBorder="1"/>
    <xf numFmtId="3" fontId="12" fillId="0" borderId="1" xfId="0" applyNumberFormat="1" applyFont="1" applyBorder="1"/>
    <xf numFmtId="0" fontId="12" fillId="0" borderId="1" xfId="0" applyFont="1" applyBorder="1"/>
    <xf numFmtId="164" fontId="13" fillId="0" borderId="1" xfId="0" applyNumberFormat="1" applyFont="1" applyBorder="1"/>
    <xf numFmtId="14" fontId="13" fillId="0" borderId="1" xfId="0" applyNumberFormat="1" applyFont="1" applyFill="1" applyBorder="1"/>
    <xf numFmtId="3" fontId="13" fillId="0" borderId="1" xfId="0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164" fontId="2" fillId="0" borderId="1" xfId="0" applyNumberFormat="1" applyFont="1" applyBorder="1"/>
    <xf numFmtId="0" fontId="5" fillId="0" borderId="0" xfId="0" applyFont="1"/>
    <xf numFmtId="0" fontId="12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64" fontId="13" fillId="0" borderId="1" xfId="1" applyNumberFormat="1" applyFont="1" applyBorder="1" applyAlignment="1">
      <alignment horizontal="right" vertical="center" wrapText="1"/>
    </xf>
    <xf numFmtId="164" fontId="15" fillId="0" borderId="1" xfId="1" applyNumberFormat="1" applyFont="1" applyBorder="1" applyAlignment="1">
      <alignment vertical="center" wrapText="1"/>
    </xf>
    <xf numFmtId="164" fontId="13" fillId="0" borderId="1" xfId="1" applyNumberFormat="1" applyFont="1" applyBorder="1" applyAlignment="1">
      <alignment vertical="center"/>
    </xf>
    <xf numFmtId="164" fontId="17" fillId="0" borderId="1" xfId="1" applyNumberFormat="1" applyFont="1" applyBorder="1" applyAlignment="1">
      <alignment vertical="center"/>
    </xf>
    <xf numFmtId="164" fontId="17" fillId="0" borderId="1" xfId="0" applyNumberFormat="1" applyFont="1" applyBorder="1"/>
    <xf numFmtId="164" fontId="17" fillId="0" borderId="2" xfId="0" applyNumberFormat="1" applyFont="1" applyBorder="1"/>
    <xf numFmtId="0" fontId="17" fillId="0" borderId="0" xfId="0" applyFont="1"/>
    <xf numFmtId="0" fontId="18" fillId="0" borderId="1" xfId="0" applyFont="1" applyBorder="1" applyAlignment="1">
      <alignment vertical="center" wrapText="1"/>
    </xf>
    <xf numFmtId="0" fontId="18" fillId="0" borderId="1" xfId="0" applyFont="1" applyBorder="1"/>
    <xf numFmtId="0" fontId="18" fillId="0" borderId="1" xfId="0" applyFont="1" applyFill="1" applyBorder="1" applyAlignment="1">
      <alignment vertical="center" wrapText="1"/>
    </xf>
    <xf numFmtId="165" fontId="0" fillId="0" borderId="0" xfId="0" applyNumberFormat="1"/>
    <xf numFmtId="164" fontId="0" fillId="0" borderId="0" xfId="0" applyNumberFormat="1"/>
    <xf numFmtId="164" fontId="5" fillId="0" borderId="0" xfId="0" applyNumberFormat="1" applyFont="1" applyBorder="1"/>
    <xf numFmtId="164" fontId="19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vertical="center"/>
    </xf>
    <xf numFmtId="0" fontId="21" fillId="0" borderId="0" xfId="0" applyFont="1"/>
    <xf numFmtId="0" fontId="20" fillId="0" borderId="0" xfId="0" applyFont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43" fontId="20" fillId="0" borderId="1" xfId="1" applyFont="1" applyBorder="1" applyAlignment="1">
      <alignment vertical="center" wrapText="1"/>
    </xf>
    <xf numFmtId="164" fontId="20" fillId="0" borderId="1" xfId="1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right" vertical="center" wrapText="1"/>
    </xf>
    <xf numFmtId="164" fontId="23" fillId="0" borderId="1" xfId="1" applyNumberFormat="1" applyFont="1" applyBorder="1" applyAlignment="1">
      <alignment vertical="center"/>
    </xf>
    <xf numFmtId="164" fontId="20" fillId="0" borderId="1" xfId="0" applyNumberFormat="1" applyFont="1" applyBorder="1"/>
    <xf numFmtId="0" fontId="23" fillId="0" borderId="1" xfId="0" applyFont="1" applyBorder="1" applyAlignment="1">
      <alignment vertical="center" wrapText="1"/>
    </xf>
    <xf numFmtId="0" fontId="23" fillId="0" borderId="1" xfId="0" applyFont="1" applyBorder="1"/>
    <xf numFmtId="0" fontId="20" fillId="0" borderId="1" xfId="0" applyFont="1" applyBorder="1"/>
    <xf numFmtId="0" fontId="21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164" fontId="23" fillId="0" borderId="1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vertical="center" wrapText="1"/>
    </xf>
    <xf numFmtId="0" fontId="21" fillId="0" borderId="0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vertical="center" wrapText="1"/>
    </xf>
    <xf numFmtId="43" fontId="21" fillId="0" borderId="1" xfId="1" applyFont="1" applyBorder="1" applyAlignment="1">
      <alignment vertical="center" wrapText="1"/>
    </xf>
    <xf numFmtId="164" fontId="21" fillId="0" borderId="1" xfId="1" applyNumberFormat="1" applyFont="1" applyBorder="1" applyAlignment="1">
      <alignment vertical="center"/>
    </xf>
    <xf numFmtId="164" fontId="24" fillId="0" borderId="1" xfId="1" applyNumberFormat="1" applyFont="1" applyBorder="1" applyAlignment="1">
      <alignment vertical="center" wrapText="1"/>
    </xf>
    <xf numFmtId="164" fontId="24" fillId="0" borderId="1" xfId="1" applyNumberFormat="1" applyFont="1" applyBorder="1" applyAlignment="1">
      <alignment vertical="center"/>
    </xf>
    <xf numFmtId="164" fontId="21" fillId="0" borderId="2" xfId="0" applyNumberFormat="1" applyFont="1" applyBorder="1"/>
    <xf numFmtId="165" fontId="20" fillId="0" borderId="0" xfId="0" applyNumberFormat="1" applyFont="1"/>
    <xf numFmtId="164" fontId="21" fillId="0" borderId="1" xfId="0" applyNumberFormat="1" applyFont="1" applyBorder="1"/>
    <xf numFmtId="0" fontId="20" fillId="0" borderId="0" xfId="0" applyFont="1" applyBorder="1"/>
    <xf numFmtId="43" fontId="20" fillId="0" borderId="0" xfId="1" applyFont="1" applyBorder="1" applyAlignment="1">
      <alignment vertical="center"/>
    </xf>
    <xf numFmtId="43" fontId="20" fillId="0" borderId="0" xfId="0" applyNumberFormat="1" applyFont="1"/>
    <xf numFmtId="164" fontId="20" fillId="0" borderId="0" xfId="0" applyNumberFormat="1" applyFont="1"/>
    <xf numFmtId="0" fontId="25" fillId="0" borderId="1" xfId="0" applyFont="1" applyBorder="1"/>
    <xf numFmtId="164" fontId="25" fillId="0" borderId="1" xfId="0" applyNumberFormat="1" applyFont="1" applyBorder="1"/>
    <xf numFmtId="9" fontId="23" fillId="0" borderId="1" xfId="0" applyNumberFormat="1" applyFont="1" applyBorder="1"/>
    <xf numFmtId="164" fontId="23" fillId="0" borderId="1" xfId="0" applyNumberFormat="1" applyFont="1" applyBorder="1"/>
    <xf numFmtId="0" fontId="23" fillId="0" borderId="1" xfId="0" applyFont="1" applyFill="1" applyBorder="1"/>
    <xf numFmtId="0" fontId="22" fillId="0" borderId="1" xfId="0" applyFont="1" applyBorder="1"/>
    <xf numFmtId="43" fontId="23" fillId="0" borderId="1" xfId="0" applyNumberFormat="1" applyFont="1" applyBorder="1"/>
    <xf numFmtId="3" fontId="23" fillId="0" borderId="1" xfId="0" applyNumberFormat="1" applyFont="1" applyBorder="1"/>
    <xf numFmtId="14" fontId="20" fillId="0" borderId="1" xfId="0" applyNumberFormat="1" applyFont="1" applyFill="1" applyBorder="1"/>
    <xf numFmtId="3" fontId="20" fillId="0" borderId="1" xfId="0" applyNumberFormat="1" applyFont="1" applyBorder="1"/>
    <xf numFmtId="0" fontId="21" fillId="0" borderId="1" xfId="0" applyFont="1" applyBorder="1"/>
    <xf numFmtId="164" fontId="21" fillId="0" borderId="1" xfId="1" applyNumberFormat="1" applyFont="1" applyBorder="1"/>
    <xf numFmtId="164" fontId="20" fillId="0" borderId="0" xfId="0" applyNumberFormat="1" applyFont="1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43" fontId="0" fillId="0" borderId="1" xfId="1" applyFont="1" applyBorder="1" applyAlignment="1">
      <alignment vertical="center" wrapText="1"/>
    </xf>
    <xf numFmtId="164" fontId="0" fillId="0" borderId="1" xfId="1" applyNumberFormat="1" applyFont="1" applyBorder="1" applyAlignment="1">
      <alignment vertical="center"/>
    </xf>
    <xf numFmtId="164" fontId="10" fillId="0" borderId="1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164" fontId="10" fillId="0" borderId="1" xfId="1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vertical="center" wrapText="1"/>
    </xf>
    <xf numFmtId="43" fontId="2" fillId="0" borderId="1" xfId="1" applyFont="1" applyBorder="1" applyAlignment="1">
      <alignment vertical="center" wrapText="1"/>
    </xf>
    <xf numFmtId="164" fontId="2" fillId="0" borderId="1" xfId="1" applyNumberFormat="1" applyFont="1" applyBorder="1" applyAlignment="1">
      <alignment vertical="center"/>
    </xf>
    <xf numFmtId="164" fontId="26" fillId="0" borderId="1" xfId="1" applyNumberFormat="1" applyFont="1" applyBorder="1" applyAlignment="1">
      <alignment vertical="center"/>
    </xf>
    <xf numFmtId="164" fontId="2" fillId="0" borderId="2" xfId="0" applyNumberFormat="1" applyFont="1" applyBorder="1"/>
    <xf numFmtId="0" fontId="0" fillId="0" borderId="0" xfId="0" applyFont="1" applyBorder="1"/>
    <xf numFmtId="43" fontId="0" fillId="0" borderId="0" xfId="1" applyFont="1" applyBorder="1" applyAlignment="1">
      <alignment vertical="center"/>
    </xf>
    <xf numFmtId="164" fontId="0" fillId="0" borderId="0" xfId="0" applyNumberFormat="1" applyFont="1" applyBorder="1"/>
    <xf numFmtId="3" fontId="10" fillId="0" borderId="1" xfId="0" applyNumberFormat="1" applyFont="1" applyBorder="1"/>
    <xf numFmtId="14" fontId="0" fillId="0" borderId="1" xfId="0" applyNumberFormat="1" applyFont="1" applyFill="1" applyBorder="1"/>
    <xf numFmtId="3" fontId="0" fillId="0" borderId="1" xfId="0" applyNumberFormat="1" applyFont="1" applyBorder="1"/>
    <xf numFmtId="3" fontId="0" fillId="0" borderId="0" xfId="0" applyNumberFormat="1"/>
    <xf numFmtId="0" fontId="27" fillId="0" borderId="0" xfId="0" applyFont="1"/>
    <xf numFmtId="0" fontId="27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43" fontId="27" fillId="0" borderId="1" xfId="1" applyFont="1" applyBorder="1" applyAlignment="1">
      <alignment vertical="center" wrapText="1"/>
    </xf>
    <xf numFmtId="164" fontId="27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7" fillId="0" borderId="1" xfId="0" applyNumberFormat="1" applyFont="1" applyBorder="1"/>
    <xf numFmtId="0" fontId="29" fillId="0" borderId="1" xfId="0" applyFont="1" applyBorder="1" applyAlignment="1">
      <alignment vertical="center" wrapText="1"/>
    </xf>
    <xf numFmtId="0" fontId="29" fillId="0" borderId="1" xfId="0" applyFont="1" applyBorder="1"/>
    <xf numFmtId="0" fontId="27" fillId="0" borderId="1" xfId="0" applyFont="1" applyBorder="1"/>
    <xf numFmtId="0" fontId="3" fillId="0" borderId="3" xfId="0" applyFont="1" applyBorder="1" applyAlignment="1">
      <alignment horizontal="center" vertical="center" wrapText="1"/>
    </xf>
    <xf numFmtId="0" fontId="28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 wrapText="1"/>
    </xf>
    <xf numFmtId="164" fontId="29" fillId="0" borderId="1" xfId="1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vertical="center" wrapText="1"/>
    </xf>
    <xf numFmtId="0" fontId="27" fillId="0" borderId="1" xfId="0" applyFont="1" applyBorder="1" applyAlignment="1">
      <alignment horizontal="center" vertical="center" wrapText="1"/>
    </xf>
    <xf numFmtId="43" fontId="3" fillId="0" borderId="1" xfId="1" applyFont="1" applyBorder="1" applyAlignment="1">
      <alignment vertical="center" wrapText="1"/>
    </xf>
    <xf numFmtId="164" fontId="3" fillId="0" borderId="1" xfId="1" applyNumberFormat="1" applyFont="1" applyBorder="1" applyAlignment="1">
      <alignment vertical="center"/>
    </xf>
    <xf numFmtId="164" fontId="14" fillId="0" borderId="1" xfId="1" applyNumberFormat="1" applyFont="1" applyBorder="1" applyAlignment="1">
      <alignment vertical="center"/>
    </xf>
    <xf numFmtId="164" fontId="3" fillId="0" borderId="2" xfId="0" applyNumberFormat="1" applyFont="1" applyBorder="1"/>
    <xf numFmtId="164" fontId="3" fillId="0" borderId="1" xfId="0" applyNumberFormat="1" applyFont="1" applyBorder="1"/>
    <xf numFmtId="0" fontId="27" fillId="0" borderId="0" xfId="0" applyFont="1" applyBorder="1"/>
    <xf numFmtId="43" fontId="27" fillId="0" borderId="0" xfId="1" applyFont="1" applyBorder="1" applyAlignment="1">
      <alignment vertical="center"/>
    </xf>
    <xf numFmtId="164" fontId="27" fillId="0" borderId="0" xfId="0" applyNumberFormat="1" applyFont="1" applyBorder="1"/>
    <xf numFmtId="164" fontId="27" fillId="0" borderId="0" xfId="0" applyNumberFormat="1" applyFont="1"/>
    <xf numFmtId="0" fontId="30" fillId="0" borderId="1" xfId="0" applyFont="1" applyBorder="1"/>
    <xf numFmtId="164" fontId="30" fillId="0" borderId="1" xfId="0" applyNumberFormat="1" applyFont="1" applyBorder="1"/>
    <xf numFmtId="9" fontId="29" fillId="0" borderId="1" xfId="0" applyNumberFormat="1" applyFont="1" applyBorder="1"/>
    <xf numFmtId="164" fontId="29" fillId="0" borderId="1" xfId="0" applyNumberFormat="1" applyFont="1" applyBorder="1"/>
    <xf numFmtId="0" fontId="29" fillId="0" borderId="1" xfId="0" applyFont="1" applyFill="1" applyBorder="1"/>
    <xf numFmtId="0" fontId="16" fillId="0" borderId="1" xfId="0" applyFont="1" applyBorder="1"/>
    <xf numFmtId="43" fontId="29" fillId="0" borderId="1" xfId="0" applyNumberFormat="1" applyFont="1" applyBorder="1"/>
    <xf numFmtId="3" fontId="29" fillId="0" borderId="1" xfId="0" applyNumberFormat="1" applyFont="1" applyBorder="1"/>
    <xf numFmtId="14" fontId="27" fillId="0" borderId="1" xfId="0" applyNumberFormat="1" applyFont="1" applyFill="1" applyBorder="1"/>
    <xf numFmtId="3" fontId="27" fillId="0" borderId="1" xfId="0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0" fontId="19" fillId="0" borderId="1" xfId="0" applyFont="1" applyBorder="1" applyAlignment="1">
      <alignment vertical="center" wrapText="1"/>
    </xf>
    <xf numFmtId="0" fontId="19" fillId="0" borderId="1" xfId="0" applyFont="1" applyBorder="1"/>
    <xf numFmtId="0" fontId="19" fillId="0" borderId="1" xfId="0" applyFont="1" applyFill="1" applyBorder="1" applyAlignment="1">
      <alignment vertical="center" wrapText="1"/>
    </xf>
    <xf numFmtId="164" fontId="19" fillId="0" borderId="1" xfId="1" applyNumberFormat="1" applyFont="1" applyBorder="1" applyAlignment="1">
      <alignment vertical="center"/>
    </xf>
    <xf numFmtId="164" fontId="19" fillId="0" borderId="1" xfId="0" applyNumberFormat="1" applyFont="1" applyBorder="1"/>
    <xf numFmtId="164" fontId="31" fillId="0" borderId="1" xfId="0" applyNumberFormat="1" applyFont="1" applyBorder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ELIZABETH%20MWA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5"/>
      <sheetName val="MARCH 2015"/>
      <sheetName val="APRIL 2015"/>
      <sheetName val="MAY 2015"/>
      <sheetName val="JUNE  2015"/>
      <sheetName val="JULY"/>
      <sheetName val="AUGUST"/>
      <sheetName val="SEP"/>
      <sheetName val="OCTO"/>
      <sheetName val="NOV"/>
      <sheetName val="DEC"/>
      <sheetName val="JAN"/>
      <sheetName val="FEB 2016"/>
      <sheetName val="MARCH 2016"/>
      <sheetName val="APRIL 2016"/>
      <sheetName val="JAN 2017"/>
      <sheetName val="FEB 2017"/>
      <sheetName val="MARCH 2017"/>
      <sheetName val="APRIL 2017"/>
      <sheetName val="MAY 2017"/>
      <sheetName val="JUNE 2017"/>
      <sheetName val="JULY 2017"/>
      <sheetName val="AUGUST  2017"/>
      <sheetName val="SEP 2017"/>
      <sheetName val="OCTOMBER"/>
      <sheetName val="NOVEMBER"/>
      <sheetName val="DEC  2017"/>
      <sheetName val="JAN 18"/>
      <sheetName val="FEB 2018"/>
      <sheetName val="MARCH "/>
      <sheetName val="APRILL"/>
      <sheetName val="MAY"/>
      <sheetName val="JUNE "/>
      <sheetName val="JULY7"/>
      <sheetName val="AUG"/>
      <sheetName val="SEPT"/>
      <sheetName val="OCT"/>
      <sheetName val="NOVE"/>
      <sheetName val="DECEM"/>
      <sheetName val="JANUARY"/>
      <sheetName val="FEBRUARY"/>
      <sheetName val="MARCH 19"/>
      <sheetName val="APRIL "/>
      <sheetName val="MAY "/>
      <sheetName val="JUNEE"/>
      <sheetName val="JULY "/>
      <sheetName val="AUGUST 19"/>
      <sheetName val="SEPTEMBER 19"/>
      <sheetName val="OCTOBER 19"/>
      <sheetName val="Sheet1"/>
      <sheetName val="NOVEMBER 19"/>
      <sheetName val="Sheet2"/>
      <sheetName val="DECEMBER 19"/>
      <sheetName val="Sheet3"/>
      <sheetName val="JANUARY 20"/>
      <sheetName val="Sheet4"/>
      <sheetName val="FEBRUARY 20"/>
      <sheetName val="MARCH 20"/>
      <sheetName val="APRIL 20"/>
      <sheetName val="MAY 20"/>
      <sheetName val="JUNE 20"/>
      <sheetName val="JULY 20"/>
      <sheetName val="AUGUST 20"/>
      <sheetName val="SEPTEMBER 20"/>
      <sheetName val="OCTOBER 20"/>
      <sheetName val="NOVEMBER20"/>
      <sheetName val="DECEMBER"/>
      <sheetName val="JANUARY 21"/>
      <sheetName val="FEBRUARY 21"/>
      <sheetName val="MARCH 21"/>
      <sheetName val="APRIL21"/>
      <sheetName val="MAY 21"/>
      <sheetName val="JUNE 21"/>
      <sheetName val="JULY 21"/>
      <sheetName val="AUGUST 21"/>
      <sheetName val="SEP 21"/>
      <sheetName val="OCT 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22" workbookViewId="0">
      <selection activeCell="J60" sqref="J60"/>
    </sheetView>
  </sheetViews>
  <sheetFormatPr defaultRowHeight="15" x14ac:dyDescent="0.25"/>
  <cols>
    <col min="2" max="2" width="18.7109375" customWidth="1"/>
    <col min="3" max="3" width="15.7109375" customWidth="1"/>
    <col min="10" max="10" width="9.5703125" bestFit="1" customWidth="1"/>
  </cols>
  <sheetData>
    <row r="1" spans="1:9" ht="15.75" x14ac:dyDescent="0.25">
      <c r="C1" s="1" t="s">
        <v>26</v>
      </c>
      <c r="D1" s="2"/>
      <c r="E1" s="2"/>
      <c r="F1" s="2"/>
    </row>
    <row r="2" spans="1:9" ht="15.75" x14ac:dyDescent="0.25">
      <c r="C2" s="3" t="s">
        <v>0</v>
      </c>
      <c r="D2" s="4"/>
      <c r="E2" s="2"/>
      <c r="F2" s="2"/>
    </row>
    <row r="3" spans="1:9" ht="21" x14ac:dyDescent="0.25">
      <c r="C3" s="4" t="s">
        <v>27</v>
      </c>
      <c r="D3" s="3"/>
      <c r="E3" s="5"/>
      <c r="F3" s="5"/>
    </row>
    <row r="4" spans="1:9" x14ac:dyDescent="0.25">
      <c r="D4" s="6" t="s">
        <v>65</v>
      </c>
    </row>
    <row r="5" spans="1:9" ht="15.75" x14ac:dyDescent="0.25">
      <c r="A5" s="46" t="s">
        <v>1</v>
      </c>
      <c r="B5" s="46" t="s">
        <v>2</v>
      </c>
      <c r="C5" s="46" t="s">
        <v>3</v>
      </c>
      <c r="D5" s="46" t="s">
        <v>4</v>
      </c>
      <c r="E5" s="46" t="s">
        <v>5</v>
      </c>
      <c r="F5" s="47" t="s">
        <v>6</v>
      </c>
      <c r="G5" s="46" t="s">
        <v>7</v>
      </c>
      <c r="H5" s="48" t="s">
        <v>8</v>
      </c>
    </row>
    <row r="6" spans="1:9" x14ac:dyDescent="0.25">
      <c r="A6" s="49" t="s">
        <v>66</v>
      </c>
      <c r="B6" s="61" t="s">
        <v>40</v>
      </c>
      <c r="C6" s="8"/>
      <c r="D6" s="56"/>
      <c r="E6" s="10"/>
      <c r="F6" s="56">
        <f>C6+D6+E6</f>
        <v>0</v>
      </c>
      <c r="G6" s="11"/>
      <c r="H6" s="36">
        <f t="shared" ref="H6:H25" si="0">F6-G6</f>
        <v>0</v>
      </c>
    </row>
    <row r="7" spans="1:9" x14ac:dyDescent="0.25">
      <c r="A7" s="49" t="s">
        <v>71</v>
      </c>
      <c r="B7" s="43" t="s">
        <v>86</v>
      </c>
      <c r="C7" s="8"/>
      <c r="D7" s="56"/>
      <c r="E7" s="56">
        <v>4000</v>
      </c>
      <c r="F7" s="56">
        <f t="shared" ref="F7:F25" si="1">C7+D7+E7</f>
        <v>4000</v>
      </c>
      <c r="G7" s="9">
        <v>4000</v>
      </c>
      <c r="H7" s="36">
        <f t="shared" si="0"/>
        <v>0</v>
      </c>
    </row>
    <row r="8" spans="1:9" x14ac:dyDescent="0.25">
      <c r="A8" s="49" t="s">
        <v>67</v>
      </c>
      <c r="B8" s="62" t="s">
        <v>103</v>
      </c>
      <c r="C8" s="13"/>
      <c r="D8" s="56"/>
      <c r="E8" s="56"/>
      <c r="F8" s="56">
        <f t="shared" si="1"/>
        <v>0</v>
      </c>
      <c r="G8" s="13"/>
      <c r="H8" s="36">
        <f t="shared" si="0"/>
        <v>0</v>
      </c>
    </row>
    <row r="9" spans="1:9" x14ac:dyDescent="0.25">
      <c r="A9" s="50" t="s">
        <v>72</v>
      </c>
      <c r="B9" s="43" t="s">
        <v>102</v>
      </c>
      <c r="C9" s="13">
        <v>5000</v>
      </c>
      <c r="D9" s="56"/>
      <c r="E9" s="56">
        <v>5000</v>
      </c>
      <c r="F9" s="56">
        <f t="shared" si="1"/>
        <v>10000</v>
      </c>
      <c r="G9" s="12">
        <v>5000</v>
      </c>
      <c r="H9" s="36">
        <f t="shared" si="0"/>
        <v>5000</v>
      </c>
    </row>
    <row r="10" spans="1:9" x14ac:dyDescent="0.25">
      <c r="A10" s="51" t="s">
        <v>68</v>
      </c>
      <c r="B10" s="61" t="s">
        <v>40</v>
      </c>
      <c r="C10" s="8"/>
      <c r="D10" s="56"/>
      <c r="E10" s="56"/>
      <c r="F10" s="56">
        <f t="shared" si="1"/>
        <v>0</v>
      </c>
      <c r="G10" s="11"/>
      <c r="H10" s="36">
        <f t="shared" si="0"/>
        <v>0</v>
      </c>
    </row>
    <row r="11" spans="1:9" x14ac:dyDescent="0.25">
      <c r="A11" s="52" t="s">
        <v>73</v>
      </c>
      <c r="B11" s="63" t="s">
        <v>40</v>
      </c>
      <c r="C11" s="13"/>
      <c r="D11" s="56"/>
      <c r="E11" s="56"/>
      <c r="F11" s="56">
        <f t="shared" si="1"/>
        <v>0</v>
      </c>
      <c r="G11" s="14"/>
      <c r="H11" s="36">
        <f t="shared" si="0"/>
        <v>0</v>
      </c>
    </row>
    <row r="12" spans="1:9" x14ac:dyDescent="0.25">
      <c r="A12" s="49" t="s">
        <v>69</v>
      </c>
      <c r="B12" s="63" t="s">
        <v>40</v>
      </c>
      <c r="C12" s="8"/>
      <c r="D12" s="56"/>
      <c r="E12" s="56"/>
      <c r="F12" s="56">
        <f t="shared" si="1"/>
        <v>0</v>
      </c>
      <c r="G12" s="11"/>
      <c r="H12" s="36">
        <f t="shared" si="0"/>
        <v>0</v>
      </c>
    </row>
    <row r="13" spans="1:9" x14ac:dyDescent="0.25">
      <c r="A13" s="49" t="s">
        <v>74</v>
      </c>
      <c r="B13" s="44" t="s">
        <v>87</v>
      </c>
      <c r="C13" s="8"/>
      <c r="D13" s="56"/>
      <c r="E13" s="56">
        <v>4000</v>
      </c>
      <c r="F13" s="56">
        <f t="shared" si="1"/>
        <v>4000</v>
      </c>
      <c r="G13" s="11">
        <f>1000+3000</f>
        <v>4000</v>
      </c>
      <c r="H13" s="36">
        <f t="shared" si="0"/>
        <v>0</v>
      </c>
      <c r="I13" t="s">
        <v>104</v>
      </c>
    </row>
    <row r="14" spans="1:9" x14ac:dyDescent="0.25">
      <c r="A14" s="53" t="s">
        <v>70</v>
      </c>
      <c r="B14" s="63" t="s">
        <v>40</v>
      </c>
      <c r="C14" s="8"/>
      <c r="D14" s="56"/>
      <c r="E14" s="56"/>
      <c r="F14" s="56">
        <f t="shared" si="1"/>
        <v>0</v>
      </c>
      <c r="G14" s="11"/>
      <c r="H14" s="36">
        <f t="shared" si="0"/>
        <v>0</v>
      </c>
    </row>
    <row r="15" spans="1:9" x14ac:dyDescent="0.25">
      <c r="A15" s="53" t="s">
        <v>75</v>
      </c>
      <c r="B15" s="63" t="s">
        <v>40</v>
      </c>
      <c r="C15" s="8"/>
      <c r="D15" s="56"/>
      <c r="E15" s="56"/>
      <c r="F15" s="56">
        <f t="shared" si="1"/>
        <v>0</v>
      </c>
      <c r="G15" s="11"/>
      <c r="H15" s="36">
        <f t="shared" si="0"/>
        <v>0</v>
      </c>
    </row>
    <row r="16" spans="1:9" x14ac:dyDescent="0.25">
      <c r="A16" s="53" t="s">
        <v>76</v>
      </c>
      <c r="B16" s="63" t="s">
        <v>40</v>
      </c>
      <c r="C16" s="8"/>
      <c r="D16" s="56"/>
      <c r="E16" s="56"/>
      <c r="F16" s="56">
        <f t="shared" si="1"/>
        <v>0</v>
      </c>
      <c r="G16" s="11"/>
      <c r="H16" s="36">
        <f t="shared" si="0"/>
        <v>0</v>
      </c>
    </row>
    <row r="17" spans="1:10" x14ac:dyDescent="0.25">
      <c r="A17" s="53" t="s">
        <v>77</v>
      </c>
      <c r="B17" s="63" t="s">
        <v>40</v>
      </c>
      <c r="C17" s="8"/>
      <c r="D17" s="56"/>
      <c r="E17" s="56"/>
      <c r="F17" s="56">
        <f t="shared" si="1"/>
        <v>0</v>
      </c>
      <c r="G17" s="11"/>
      <c r="H17" s="36">
        <f t="shared" si="0"/>
        <v>0</v>
      </c>
    </row>
    <row r="18" spans="1:10" x14ac:dyDescent="0.25">
      <c r="A18" s="53" t="s">
        <v>78</v>
      </c>
      <c r="B18" s="44" t="s">
        <v>88</v>
      </c>
      <c r="C18" s="8"/>
      <c r="D18" s="56"/>
      <c r="E18" s="56">
        <v>5000</v>
      </c>
      <c r="F18" s="56">
        <f t="shared" si="1"/>
        <v>5000</v>
      </c>
      <c r="G18" s="11">
        <v>5000</v>
      </c>
      <c r="H18" s="36">
        <f t="shared" si="0"/>
        <v>0</v>
      </c>
    </row>
    <row r="19" spans="1:10" x14ac:dyDescent="0.25">
      <c r="A19" s="53" t="s">
        <v>79</v>
      </c>
      <c r="B19" s="63" t="s">
        <v>40</v>
      </c>
      <c r="C19" s="8"/>
      <c r="D19" s="56"/>
      <c r="E19" s="56"/>
      <c r="F19" s="56">
        <f t="shared" si="1"/>
        <v>0</v>
      </c>
      <c r="G19" s="11"/>
      <c r="H19" s="36">
        <f t="shared" si="0"/>
        <v>0</v>
      </c>
    </row>
    <row r="20" spans="1:10" x14ac:dyDescent="0.25">
      <c r="A20" s="53" t="s">
        <v>80</v>
      </c>
      <c r="B20" s="63" t="s">
        <v>40</v>
      </c>
      <c r="C20" s="8"/>
      <c r="D20" s="56"/>
      <c r="E20" s="56"/>
      <c r="F20" s="56">
        <f t="shared" si="1"/>
        <v>0</v>
      </c>
      <c r="G20" s="11"/>
      <c r="H20" s="36">
        <f t="shared" si="0"/>
        <v>0</v>
      </c>
    </row>
    <row r="21" spans="1:10" x14ac:dyDescent="0.25">
      <c r="A21" s="53" t="s">
        <v>81</v>
      </c>
      <c r="B21" s="44" t="s">
        <v>89</v>
      </c>
      <c r="C21" s="8"/>
      <c r="D21" s="56"/>
      <c r="E21" s="56">
        <v>4000</v>
      </c>
      <c r="F21" s="56">
        <f t="shared" si="1"/>
        <v>4000</v>
      </c>
      <c r="G21" s="11">
        <v>4000</v>
      </c>
      <c r="H21" s="36">
        <f t="shared" si="0"/>
        <v>0</v>
      </c>
    </row>
    <row r="22" spans="1:10" x14ac:dyDescent="0.25">
      <c r="A22" s="53" t="s">
        <v>82</v>
      </c>
      <c r="B22" s="63" t="s">
        <v>40</v>
      </c>
      <c r="C22" s="8"/>
      <c r="D22" s="56"/>
      <c r="E22" s="56"/>
      <c r="F22" s="56">
        <f t="shared" si="1"/>
        <v>0</v>
      </c>
      <c r="G22" s="11"/>
      <c r="H22" s="36">
        <f t="shared" si="0"/>
        <v>0</v>
      </c>
    </row>
    <row r="23" spans="1:10" x14ac:dyDescent="0.25">
      <c r="A23" s="53" t="s">
        <v>83</v>
      </c>
      <c r="B23" s="63" t="s">
        <v>40</v>
      </c>
      <c r="C23" s="8"/>
      <c r="D23" s="56"/>
      <c r="E23" s="56"/>
      <c r="F23" s="56">
        <f t="shared" si="1"/>
        <v>0</v>
      </c>
      <c r="G23" s="11"/>
      <c r="H23" s="36">
        <f t="shared" si="0"/>
        <v>0</v>
      </c>
    </row>
    <row r="24" spans="1:10" x14ac:dyDescent="0.25">
      <c r="A24" s="53" t="s">
        <v>84</v>
      </c>
      <c r="B24" s="44" t="s">
        <v>90</v>
      </c>
      <c r="C24" s="8"/>
      <c r="D24" s="56"/>
      <c r="E24" s="56">
        <v>5000</v>
      </c>
      <c r="F24" s="56">
        <f t="shared" si="1"/>
        <v>5000</v>
      </c>
      <c r="G24" s="11">
        <v>5000</v>
      </c>
      <c r="H24" s="36">
        <f t="shared" si="0"/>
        <v>0</v>
      </c>
    </row>
    <row r="25" spans="1:10" x14ac:dyDescent="0.25">
      <c r="A25" s="53" t="s">
        <v>85</v>
      </c>
      <c r="B25" s="63" t="s">
        <v>40</v>
      </c>
      <c r="C25" s="8"/>
      <c r="D25" s="56"/>
      <c r="E25" s="8"/>
      <c r="F25" s="56">
        <f t="shared" si="1"/>
        <v>0</v>
      </c>
      <c r="G25" s="11"/>
      <c r="H25" s="36">
        <f t="shared" si="0"/>
        <v>0</v>
      </c>
    </row>
    <row r="26" spans="1:10" ht="15.75" x14ac:dyDescent="0.25">
      <c r="A26" s="7"/>
      <c r="B26" s="45" t="s">
        <v>9</v>
      </c>
      <c r="C26" s="15">
        <f>SUM(C6:C25)</f>
        <v>5000</v>
      </c>
      <c r="D26" s="57">
        <f>SUM(D6:D25)</f>
        <v>0</v>
      </c>
      <c r="E26" s="16">
        <f>SUM(E6:E25)</f>
        <v>27000</v>
      </c>
      <c r="F26" s="57">
        <f>C26+D26+E26</f>
        <v>32000</v>
      </c>
      <c r="G26" s="17">
        <f>SUM(G6:G25)</f>
        <v>27000</v>
      </c>
      <c r="H26" s="59">
        <f>SUM(H6:H25)</f>
        <v>5000</v>
      </c>
    </row>
    <row r="27" spans="1:10" x14ac:dyDescent="0.25">
      <c r="C27" s="6"/>
      <c r="D27" s="6" t="s">
        <v>28</v>
      </c>
      <c r="E27" s="6"/>
    </row>
    <row r="28" spans="1:10" x14ac:dyDescent="0.25">
      <c r="A28" s="49" t="s">
        <v>42</v>
      </c>
      <c r="B28" s="43" t="s">
        <v>91</v>
      </c>
      <c r="C28" s="8"/>
      <c r="D28" s="9"/>
      <c r="E28" s="54">
        <v>2500</v>
      </c>
      <c r="F28" s="56">
        <f t="shared" ref="F28:F48" si="2">C28+D28+E28</f>
        <v>2500</v>
      </c>
      <c r="G28" s="9">
        <v>2500</v>
      </c>
      <c r="H28" s="36">
        <f t="shared" ref="H28:H44" si="3">F28-G28</f>
        <v>0</v>
      </c>
      <c r="J28" s="64">
        <f>E26*0.1</f>
        <v>2700</v>
      </c>
    </row>
    <row r="29" spans="1:10" x14ac:dyDescent="0.25">
      <c r="A29" s="49" t="s">
        <v>43</v>
      </c>
      <c r="B29" s="43" t="s">
        <v>29</v>
      </c>
      <c r="C29" s="8"/>
      <c r="D29" s="9"/>
      <c r="E29" s="54">
        <v>2500</v>
      </c>
      <c r="F29" s="56">
        <f>C29+D29+E29</f>
        <v>2500</v>
      </c>
      <c r="G29" s="9">
        <v>2500</v>
      </c>
      <c r="H29" s="36">
        <f t="shared" si="3"/>
        <v>0</v>
      </c>
    </row>
    <row r="30" spans="1:10" x14ac:dyDescent="0.25">
      <c r="A30" s="49" t="s">
        <v>44</v>
      </c>
      <c r="B30" s="62" t="s">
        <v>40</v>
      </c>
      <c r="C30" s="13"/>
      <c r="D30" s="9"/>
      <c r="E30" s="54"/>
      <c r="F30" s="56">
        <f t="shared" si="2"/>
        <v>0</v>
      </c>
      <c r="G30" s="13"/>
      <c r="H30" s="36">
        <f t="shared" si="3"/>
        <v>0</v>
      </c>
    </row>
    <row r="31" spans="1:10" x14ac:dyDescent="0.25">
      <c r="A31" s="49" t="s">
        <v>45</v>
      </c>
      <c r="B31" s="43" t="s">
        <v>30</v>
      </c>
      <c r="C31" s="13"/>
      <c r="D31" s="9"/>
      <c r="E31" s="54">
        <v>2500</v>
      </c>
      <c r="F31" s="56">
        <f t="shared" si="2"/>
        <v>2500</v>
      </c>
      <c r="G31" s="12">
        <v>2500</v>
      </c>
      <c r="H31" s="36">
        <f t="shared" si="3"/>
        <v>0</v>
      </c>
    </row>
    <row r="32" spans="1:10" x14ac:dyDescent="0.25">
      <c r="A32" s="49" t="s">
        <v>46</v>
      </c>
      <c r="B32" s="43" t="s">
        <v>31</v>
      </c>
      <c r="C32" s="8"/>
      <c r="D32" s="9"/>
      <c r="E32" s="54">
        <v>2500</v>
      </c>
      <c r="F32" s="56">
        <f t="shared" si="2"/>
        <v>2500</v>
      </c>
      <c r="G32" s="11">
        <v>2500</v>
      </c>
      <c r="H32" s="36">
        <f t="shared" si="3"/>
        <v>0</v>
      </c>
    </row>
    <row r="33" spans="1:10" x14ac:dyDescent="0.25">
      <c r="A33" s="49" t="s">
        <v>47</v>
      </c>
      <c r="B33" s="44" t="s">
        <v>32</v>
      </c>
      <c r="C33" s="13"/>
      <c r="D33" s="9"/>
      <c r="E33" s="54">
        <v>2500</v>
      </c>
      <c r="F33" s="56">
        <f t="shared" si="2"/>
        <v>2500</v>
      </c>
      <c r="G33" s="14">
        <v>2500</v>
      </c>
      <c r="H33" s="36">
        <f t="shared" si="3"/>
        <v>0</v>
      </c>
    </row>
    <row r="34" spans="1:10" x14ac:dyDescent="0.25">
      <c r="A34" s="49" t="s">
        <v>48</v>
      </c>
      <c r="B34" s="63" t="s">
        <v>40</v>
      </c>
      <c r="C34" s="8"/>
      <c r="D34" s="9"/>
      <c r="E34" s="54"/>
      <c r="F34" s="56">
        <f t="shared" si="2"/>
        <v>0</v>
      </c>
      <c r="G34" s="11"/>
      <c r="H34" s="36">
        <f t="shared" si="3"/>
        <v>0</v>
      </c>
      <c r="J34" s="64">
        <f>E26-J28</f>
        <v>24300</v>
      </c>
    </row>
    <row r="35" spans="1:10" x14ac:dyDescent="0.25">
      <c r="A35" s="49" t="s">
        <v>49</v>
      </c>
      <c r="B35" s="44" t="s">
        <v>96</v>
      </c>
      <c r="C35" s="8"/>
      <c r="D35" s="9"/>
      <c r="E35" s="54">
        <v>2500</v>
      </c>
      <c r="F35" s="56">
        <f t="shared" si="2"/>
        <v>2500</v>
      </c>
      <c r="G35" s="11">
        <v>2500</v>
      </c>
      <c r="H35" s="36">
        <f t="shared" si="3"/>
        <v>0</v>
      </c>
    </row>
    <row r="36" spans="1:10" x14ac:dyDescent="0.25">
      <c r="A36" s="49" t="s">
        <v>50</v>
      </c>
      <c r="B36" s="43" t="s">
        <v>33</v>
      </c>
      <c r="C36" s="8"/>
      <c r="D36" s="9"/>
      <c r="E36" s="54">
        <v>2500</v>
      </c>
      <c r="F36" s="56">
        <f>C36+D36+E36</f>
        <v>2500</v>
      </c>
      <c r="G36" s="11">
        <v>2500</v>
      </c>
      <c r="H36" s="36">
        <f t="shared" si="3"/>
        <v>0</v>
      </c>
    </row>
    <row r="37" spans="1:10" x14ac:dyDescent="0.25">
      <c r="A37" s="49" t="s">
        <v>51</v>
      </c>
      <c r="B37" s="61" t="s">
        <v>40</v>
      </c>
      <c r="C37" s="8"/>
      <c r="D37" s="9"/>
      <c r="E37" s="54"/>
      <c r="F37" s="56">
        <f t="shared" si="2"/>
        <v>0</v>
      </c>
      <c r="G37" s="11"/>
      <c r="H37" s="36">
        <f t="shared" si="3"/>
        <v>0</v>
      </c>
    </row>
    <row r="38" spans="1:10" x14ac:dyDescent="0.25">
      <c r="A38" s="49" t="s">
        <v>52</v>
      </c>
      <c r="B38" s="63" t="s">
        <v>40</v>
      </c>
      <c r="C38" s="8"/>
      <c r="D38" s="9"/>
      <c r="E38" s="54"/>
      <c r="F38" s="56">
        <f>C38+D38+E38</f>
        <v>0</v>
      </c>
      <c r="G38" s="11"/>
      <c r="H38" s="36">
        <f>F38-G38</f>
        <v>0</v>
      </c>
    </row>
    <row r="39" spans="1:10" x14ac:dyDescent="0.25">
      <c r="A39" s="49" t="s">
        <v>53</v>
      </c>
      <c r="B39" s="61" t="s">
        <v>40</v>
      </c>
      <c r="C39" s="8"/>
      <c r="D39" s="9"/>
      <c r="E39" s="54"/>
      <c r="F39" s="56">
        <f t="shared" si="2"/>
        <v>0</v>
      </c>
      <c r="G39" s="11"/>
      <c r="H39" s="36">
        <f t="shared" si="3"/>
        <v>0</v>
      </c>
    </row>
    <row r="40" spans="1:10" x14ac:dyDescent="0.25">
      <c r="A40" s="49" t="s">
        <v>54</v>
      </c>
      <c r="B40" s="43" t="s">
        <v>34</v>
      </c>
      <c r="C40" s="8"/>
      <c r="D40" s="9"/>
      <c r="E40" s="54"/>
      <c r="F40" s="56">
        <f t="shared" si="2"/>
        <v>0</v>
      </c>
      <c r="G40" s="11"/>
      <c r="H40" s="36">
        <f>F40-G40</f>
        <v>0</v>
      </c>
    </row>
    <row r="41" spans="1:10" x14ac:dyDescent="0.25">
      <c r="A41" s="49" t="s">
        <v>55</v>
      </c>
      <c r="B41" s="43" t="s">
        <v>35</v>
      </c>
      <c r="C41" s="8"/>
      <c r="D41" s="9"/>
      <c r="E41" s="54">
        <v>2500</v>
      </c>
      <c r="F41" s="56">
        <f t="shared" si="2"/>
        <v>2500</v>
      </c>
      <c r="G41" s="11">
        <v>2500</v>
      </c>
      <c r="H41" s="36">
        <f t="shared" si="3"/>
        <v>0</v>
      </c>
    </row>
    <row r="42" spans="1:10" x14ac:dyDescent="0.25">
      <c r="A42" s="49" t="s">
        <v>56</v>
      </c>
      <c r="B42" s="61" t="s">
        <v>40</v>
      </c>
      <c r="C42" s="8"/>
      <c r="D42" s="9"/>
      <c r="E42" s="54"/>
      <c r="F42" s="56">
        <f>C42+D42+E42</f>
        <v>0</v>
      </c>
      <c r="G42" s="11"/>
      <c r="H42" s="36">
        <f>F42-G42</f>
        <v>0</v>
      </c>
    </row>
    <row r="43" spans="1:10" x14ac:dyDescent="0.25">
      <c r="A43" s="49" t="s">
        <v>57</v>
      </c>
      <c r="B43" s="43" t="s">
        <v>36</v>
      </c>
      <c r="C43" s="8"/>
      <c r="D43" s="9"/>
      <c r="E43" s="54">
        <v>2500</v>
      </c>
      <c r="F43" s="56">
        <f>C43+D43+E43</f>
        <v>2500</v>
      </c>
      <c r="G43" s="11">
        <v>2500</v>
      </c>
      <c r="H43" s="36">
        <f>F43-G43</f>
        <v>0</v>
      </c>
    </row>
    <row r="44" spans="1:10" x14ac:dyDescent="0.25">
      <c r="A44" s="49" t="s">
        <v>58</v>
      </c>
      <c r="B44" s="43" t="s">
        <v>37</v>
      </c>
      <c r="C44" s="8"/>
      <c r="D44" s="9"/>
      <c r="E44" s="54">
        <v>2500</v>
      </c>
      <c r="F44" s="56">
        <f t="shared" si="2"/>
        <v>2500</v>
      </c>
      <c r="G44" s="11">
        <v>2500</v>
      </c>
      <c r="H44" s="36">
        <f t="shared" si="3"/>
        <v>0</v>
      </c>
    </row>
    <row r="45" spans="1:10" x14ac:dyDescent="0.25">
      <c r="A45" s="49" t="s">
        <v>59</v>
      </c>
      <c r="B45" s="43" t="s">
        <v>92</v>
      </c>
      <c r="C45" s="8"/>
      <c r="D45" s="9"/>
      <c r="E45" s="54"/>
      <c r="F45" s="56">
        <f t="shared" si="2"/>
        <v>0</v>
      </c>
      <c r="G45" s="11"/>
      <c r="H45" s="36"/>
    </row>
    <row r="46" spans="1:10" x14ac:dyDescent="0.25">
      <c r="A46" s="49" t="s">
        <v>60</v>
      </c>
      <c r="B46" s="43" t="s">
        <v>38</v>
      </c>
      <c r="C46" s="8"/>
      <c r="D46" s="9"/>
      <c r="E46" s="54">
        <v>2500</v>
      </c>
      <c r="F46" s="56">
        <f t="shared" si="2"/>
        <v>2500</v>
      </c>
      <c r="G46" s="11">
        <v>2500</v>
      </c>
      <c r="H46" s="36"/>
    </row>
    <row r="47" spans="1:10" x14ac:dyDescent="0.25">
      <c r="A47" s="49" t="s">
        <v>61</v>
      </c>
      <c r="B47" s="43" t="s">
        <v>41</v>
      </c>
      <c r="C47" s="8"/>
      <c r="D47" s="9"/>
      <c r="E47" s="54">
        <v>2500</v>
      </c>
      <c r="F47" s="56">
        <f t="shared" si="2"/>
        <v>2500</v>
      </c>
      <c r="G47" s="11">
        <v>2500</v>
      </c>
      <c r="H47" s="36"/>
    </row>
    <row r="48" spans="1:10" x14ac:dyDescent="0.25">
      <c r="A48" s="49" t="s">
        <v>62</v>
      </c>
      <c r="B48" s="43" t="s">
        <v>39</v>
      </c>
      <c r="C48" s="8"/>
      <c r="D48" s="9"/>
      <c r="E48" s="54">
        <v>2500</v>
      </c>
      <c r="F48" s="56">
        <f t="shared" si="2"/>
        <v>2500</v>
      </c>
      <c r="G48" s="11">
        <v>2500</v>
      </c>
      <c r="H48" s="36"/>
      <c r="I48" t="s">
        <v>93</v>
      </c>
    </row>
    <row r="49" spans="1:10" ht="15.75" x14ac:dyDescent="0.25">
      <c r="A49" s="7"/>
      <c r="B49" s="45" t="s">
        <v>9</v>
      </c>
      <c r="C49" s="15">
        <f>SUM(C28:C44)</f>
        <v>0</v>
      </c>
      <c r="D49" s="9">
        <f>SUM(D28:D44)</f>
        <v>0</v>
      </c>
      <c r="E49" s="55">
        <f>SUM(E28:E48)</f>
        <v>32500</v>
      </c>
      <c r="F49" s="57">
        <f>SUM(F28:F48)</f>
        <v>32500</v>
      </c>
      <c r="G49" s="17">
        <f>SUM(G28:G48)</f>
        <v>32500</v>
      </c>
      <c r="H49" s="58">
        <f>F49-G49</f>
        <v>0</v>
      </c>
    </row>
    <row r="50" spans="1:10" x14ac:dyDescent="0.25">
      <c r="A50" s="60" t="s">
        <v>10</v>
      </c>
      <c r="B50" s="18"/>
      <c r="C50" s="19"/>
      <c r="D50" s="18"/>
      <c r="E50" s="20"/>
      <c r="F50" s="18"/>
      <c r="G50" s="2"/>
      <c r="H50" s="21"/>
    </row>
    <row r="51" spans="1:10" x14ac:dyDescent="0.25">
      <c r="A51" s="22" t="s">
        <v>11</v>
      </c>
      <c r="B51" s="22" t="s">
        <v>12</v>
      </c>
      <c r="C51" s="22" t="s">
        <v>13</v>
      </c>
      <c r="D51" s="22" t="s">
        <v>14</v>
      </c>
      <c r="E51" s="22" t="s">
        <v>11</v>
      </c>
      <c r="F51" s="22" t="s">
        <v>12</v>
      </c>
      <c r="G51" s="22" t="s">
        <v>13</v>
      </c>
      <c r="H51" s="23" t="s">
        <v>15</v>
      </c>
    </row>
    <row r="52" spans="1:10" x14ac:dyDescent="0.25">
      <c r="A52" s="24" t="s">
        <v>63</v>
      </c>
      <c r="B52" s="25">
        <f>E49+E26</f>
        <v>59500</v>
      </c>
      <c r="C52" s="26"/>
      <c r="D52" s="26"/>
      <c r="E52" s="24" t="s">
        <v>16</v>
      </c>
      <c r="F52" s="25">
        <f>G49+G26</f>
        <v>59500</v>
      </c>
      <c r="G52" s="26"/>
      <c r="H52" s="25"/>
    </row>
    <row r="53" spans="1:10" x14ac:dyDescent="0.25">
      <c r="A53" s="24" t="s">
        <v>17</v>
      </c>
      <c r="B53" s="27">
        <v>0.1</v>
      </c>
      <c r="C53" s="28">
        <f>B52*B53</f>
        <v>5950</v>
      </c>
      <c r="D53" s="24"/>
      <c r="E53" s="24" t="s">
        <v>17</v>
      </c>
      <c r="F53" s="27">
        <v>0.1</v>
      </c>
      <c r="G53" s="28">
        <f>C53</f>
        <v>5950</v>
      </c>
      <c r="H53" s="25"/>
    </row>
    <row r="54" spans="1:10" x14ac:dyDescent="0.25">
      <c r="A54" s="29" t="s">
        <v>18</v>
      </c>
      <c r="B54" s="28"/>
      <c r="C54" s="24"/>
      <c r="D54" s="24"/>
      <c r="E54" s="29"/>
      <c r="F54" s="28"/>
      <c r="G54" s="24"/>
      <c r="H54" s="25"/>
    </row>
    <row r="55" spans="1:10" x14ac:dyDescent="0.25">
      <c r="A55" s="29" t="s">
        <v>19</v>
      </c>
      <c r="B55" s="28">
        <f>'[1]NOVEMBER 19'!D52</f>
        <v>0</v>
      </c>
      <c r="C55" s="28"/>
      <c r="D55" s="24"/>
      <c r="E55" s="24"/>
      <c r="F55" s="27"/>
      <c r="G55" s="28"/>
      <c r="H55" s="25"/>
    </row>
    <row r="56" spans="1:10" x14ac:dyDescent="0.25">
      <c r="A56" s="29"/>
      <c r="B56" s="28"/>
      <c r="D56" s="24"/>
      <c r="E56" s="24"/>
      <c r="F56" s="28"/>
      <c r="G56" s="24"/>
      <c r="H56" s="25"/>
      <c r="J56" s="65">
        <f>E49-3250</f>
        <v>29250</v>
      </c>
    </row>
    <row r="57" spans="1:10" x14ac:dyDescent="0.25">
      <c r="A57" s="29"/>
      <c r="B57" s="28"/>
      <c r="C57" s="24"/>
      <c r="D57" s="24"/>
      <c r="E57" s="29" t="s">
        <v>19</v>
      </c>
      <c r="F57" s="28">
        <f>'[1]NOVEMBER 19'!H54</f>
        <v>0</v>
      </c>
      <c r="G57" s="24"/>
      <c r="H57" s="25"/>
    </row>
    <row r="58" spans="1:10" x14ac:dyDescent="0.25">
      <c r="A58" s="29" t="s">
        <v>9</v>
      </c>
      <c r="B58" s="28">
        <f>B52+B54+B57+B56</f>
        <v>59500</v>
      </c>
      <c r="C58" s="24"/>
      <c r="D58" s="24"/>
      <c r="E58" s="29" t="s">
        <v>9</v>
      </c>
      <c r="F58" s="28">
        <f>F52+F54+F57+F55</f>
        <v>59500</v>
      </c>
      <c r="G58" s="24"/>
      <c r="H58" s="25"/>
    </row>
    <row r="59" spans="1:10" x14ac:dyDescent="0.25">
      <c r="A59" s="30" t="s">
        <v>20</v>
      </c>
      <c r="B59" s="27"/>
      <c r="C59" s="31"/>
      <c r="D59" s="24"/>
      <c r="E59" s="30" t="s">
        <v>20</v>
      </c>
      <c r="F59" s="27"/>
      <c r="G59" s="31"/>
      <c r="H59" s="25"/>
      <c r="J59" s="64"/>
    </row>
    <row r="60" spans="1:10" x14ac:dyDescent="0.25">
      <c r="A60" s="32" t="s">
        <v>94</v>
      </c>
      <c r="B60" s="33"/>
      <c r="C60" s="34">
        <v>2500</v>
      </c>
      <c r="D60" s="35"/>
      <c r="E60" s="32" t="s">
        <v>94</v>
      </c>
      <c r="F60" s="33"/>
      <c r="G60" s="34">
        <v>2500</v>
      </c>
      <c r="H60" s="36"/>
    </row>
    <row r="61" spans="1:10" x14ac:dyDescent="0.25">
      <c r="A61" s="37" t="s">
        <v>95</v>
      </c>
      <c r="C61" s="38">
        <v>42230</v>
      </c>
      <c r="D61" s="33"/>
      <c r="E61" s="37" t="s">
        <v>95</v>
      </c>
      <c r="G61" s="38">
        <v>42230</v>
      </c>
      <c r="H61" s="36"/>
    </row>
    <row r="62" spans="1:10" x14ac:dyDescent="0.25">
      <c r="A62" s="37" t="s">
        <v>98</v>
      </c>
      <c r="B62" s="33"/>
      <c r="C62" s="38">
        <v>4320</v>
      </c>
      <c r="D62" s="33"/>
      <c r="E62" s="37" t="s">
        <v>98</v>
      </c>
      <c r="F62" s="33"/>
      <c r="G62" s="38">
        <v>4320</v>
      </c>
      <c r="H62" s="36"/>
    </row>
    <row r="63" spans="1:10" x14ac:dyDescent="0.25">
      <c r="A63" s="37" t="s">
        <v>101</v>
      </c>
      <c r="B63" s="33"/>
      <c r="C63" s="38">
        <v>4061</v>
      </c>
      <c r="D63" s="33"/>
      <c r="E63" s="37" t="s">
        <v>101</v>
      </c>
      <c r="F63" s="33"/>
      <c r="G63" s="38">
        <v>4061</v>
      </c>
      <c r="H63" s="36"/>
    </row>
    <row r="64" spans="1:10" x14ac:dyDescent="0.25">
      <c r="A64" s="37" t="s">
        <v>165</v>
      </c>
      <c r="B64" s="33"/>
      <c r="C64" s="38">
        <v>3000</v>
      </c>
      <c r="D64" s="33"/>
      <c r="E64" s="37" t="s">
        <v>165</v>
      </c>
      <c r="F64" s="33"/>
      <c r="G64" s="38">
        <v>3000</v>
      </c>
      <c r="H64" s="36"/>
    </row>
    <row r="65" spans="1:8" x14ac:dyDescent="0.25">
      <c r="A65" s="39" t="s">
        <v>9</v>
      </c>
      <c r="B65" s="40">
        <f>B52+B54+B55+B56+B57-C53-C55</f>
        <v>53550</v>
      </c>
      <c r="C65" s="41">
        <f>SUM(C60:C64)</f>
        <v>56111</v>
      </c>
      <c r="D65" s="41">
        <f>B65-C65</f>
        <v>-2561</v>
      </c>
      <c r="E65" s="39" t="s">
        <v>9</v>
      </c>
      <c r="F65" s="40">
        <f>F52+F54+F55+F57-G53-G55</f>
        <v>53550</v>
      </c>
      <c r="G65" s="41">
        <f>SUM(G60:G64)</f>
        <v>56111</v>
      </c>
      <c r="H65" s="41">
        <f>F65-G65</f>
        <v>-2561</v>
      </c>
    </row>
    <row r="66" spans="1:8" x14ac:dyDescent="0.25">
      <c r="A66" s="2" t="s">
        <v>21</v>
      </c>
      <c r="B66" s="42"/>
      <c r="D66" s="2" t="s">
        <v>22</v>
      </c>
      <c r="G66" s="2" t="s">
        <v>23</v>
      </c>
      <c r="H66" s="21"/>
    </row>
    <row r="67" spans="1:8" x14ac:dyDescent="0.25">
      <c r="A67" s="2" t="s">
        <v>64</v>
      </c>
      <c r="B67" s="2"/>
      <c r="D67" s="2" t="s">
        <v>24</v>
      </c>
      <c r="G67" s="2" t="s">
        <v>25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40" workbookViewId="0">
      <selection activeCell="C58" sqref="C58"/>
    </sheetView>
  </sheetViews>
  <sheetFormatPr defaultRowHeight="15" x14ac:dyDescent="0.25"/>
  <cols>
    <col min="7" max="7" width="9.5703125" bestFit="1" customWidth="1"/>
    <col min="9" max="9" width="10" bestFit="1" customWidth="1"/>
  </cols>
  <sheetData>
    <row r="1" spans="1:15" ht="15.75" x14ac:dyDescent="0.25">
      <c r="C1" s="1" t="s">
        <v>26</v>
      </c>
      <c r="D1" s="2"/>
      <c r="E1" s="2"/>
      <c r="F1" s="2"/>
      <c r="G1" s="2"/>
    </row>
    <row r="2" spans="1:15" ht="15.75" x14ac:dyDescent="0.25">
      <c r="C2" s="3" t="s">
        <v>0</v>
      </c>
      <c r="D2" s="4"/>
      <c r="E2" s="4"/>
      <c r="F2" s="2"/>
      <c r="G2" s="2"/>
    </row>
    <row r="3" spans="1:15" ht="21" x14ac:dyDescent="0.25">
      <c r="C3" s="4" t="s">
        <v>175</v>
      </c>
      <c r="D3" s="3"/>
      <c r="E3" s="3"/>
      <c r="F3" s="5"/>
      <c r="G3" s="5"/>
    </row>
    <row r="4" spans="1:15" x14ac:dyDescent="0.25">
      <c r="D4" s="6" t="s">
        <v>65</v>
      </c>
      <c r="E4" s="6"/>
    </row>
    <row r="5" spans="1:15" ht="15.75" x14ac:dyDescent="0.25">
      <c r="A5" s="46" t="s">
        <v>1</v>
      </c>
      <c r="B5" s="46" t="s">
        <v>2</v>
      </c>
      <c r="C5" s="46" t="s">
        <v>3</v>
      </c>
      <c r="D5" s="46" t="s">
        <v>4</v>
      </c>
      <c r="E5" s="46" t="s">
        <v>5</v>
      </c>
      <c r="F5" s="47" t="s">
        <v>6</v>
      </c>
      <c r="G5" s="46" t="s">
        <v>7</v>
      </c>
      <c r="H5" s="48" t="s">
        <v>8</v>
      </c>
    </row>
    <row r="6" spans="1:15" ht="25.5" x14ac:dyDescent="0.25">
      <c r="A6" s="49" t="s">
        <v>66</v>
      </c>
      <c r="B6" s="61" t="s">
        <v>179</v>
      </c>
      <c r="C6" s="8">
        <v>3000</v>
      </c>
      <c r="D6" s="56"/>
      <c r="E6" s="56">
        <v>3000</v>
      </c>
      <c r="F6" s="56">
        <f>C6+D6+E6</f>
        <v>6000</v>
      </c>
      <c r="G6" s="11">
        <v>3000</v>
      </c>
      <c r="H6" s="36">
        <f t="shared" ref="H6:H25" si="0">F6-G6</f>
        <v>3000</v>
      </c>
    </row>
    <row r="7" spans="1:15" ht="25.5" x14ac:dyDescent="0.25">
      <c r="A7" s="49" t="s">
        <v>71</v>
      </c>
      <c r="B7" s="43" t="s">
        <v>177</v>
      </c>
      <c r="C7" s="8">
        <v>4000</v>
      </c>
      <c r="D7" s="56">
        <f>NOVEMBER20!H7:H26</f>
        <v>0</v>
      </c>
      <c r="E7" s="56">
        <v>4000</v>
      </c>
      <c r="F7" s="56">
        <f t="shared" ref="F7:F25" si="1">C7+D7+E7</f>
        <v>8000</v>
      </c>
      <c r="G7" s="9">
        <v>4000</v>
      </c>
      <c r="H7" s="36">
        <f t="shared" si="0"/>
        <v>4000</v>
      </c>
    </row>
    <row r="8" spans="1:15" x14ac:dyDescent="0.25">
      <c r="A8" s="49" t="s">
        <v>67</v>
      </c>
      <c r="B8" s="35"/>
      <c r="C8" s="8"/>
      <c r="D8" s="56">
        <f>NOVEMBER20!H8:H27</f>
        <v>0</v>
      </c>
      <c r="E8" s="56"/>
      <c r="F8" s="56">
        <f t="shared" si="1"/>
        <v>0</v>
      </c>
      <c r="G8" s="13"/>
      <c r="H8" s="36">
        <f t="shared" si="0"/>
        <v>0</v>
      </c>
    </row>
    <row r="9" spans="1:15" x14ac:dyDescent="0.25">
      <c r="A9" s="50" t="s">
        <v>72</v>
      </c>
      <c r="B9" s="62" t="s">
        <v>103</v>
      </c>
      <c r="C9" s="8"/>
      <c r="D9" s="56">
        <f>NOVEMBER20!H9:H28</f>
        <v>0</v>
      </c>
      <c r="E9" s="56"/>
      <c r="F9" s="56">
        <f t="shared" si="1"/>
        <v>0</v>
      </c>
      <c r="G9" s="12"/>
      <c r="H9" s="36">
        <f t="shared" si="0"/>
        <v>0</v>
      </c>
    </row>
    <row r="10" spans="1:15" x14ac:dyDescent="0.25">
      <c r="A10" s="51" t="s">
        <v>68</v>
      </c>
      <c r="B10" s="61" t="s">
        <v>40</v>
      </c>
      <c r="C10" s="8"/>
      <c r="D10" s="56">
        <f>NOVEMBER20!H10:H29</f>
        <v>0</v>
      </c>
      <c r="E10" s="56"/>
      <c r="F10" s="56">
        <f t="shared" si="1"/>
        <v>0</v>
      </c>
      <c r="G10" s="11"/>
      <c r="H10" s="36">
        <f t="shared" si="0"/>
        <v>0</v>
      </c>
    </row>
    <row r="11" spans="1:15" x14ac:dyDescent="0.25">
      <c r="A11" s="52" t="s">
        <v>73</v>
      </c>
      <c r="B11" s="63" t="s">
        <v>40</v>
      </c>
      <c r="C11" s="8"/>
      <c r="D11" s="56">
        <f>NOVEMBER20!H11:H30</f>
        <v>0</v>
      </c>
      <c r="E11" s="56"/>
      <c r="F11" s="56">
        <f t="shared" si="1"/>
        <v>0</v>
      </c>
      <c r="G11" s="14"/>
      <c r="H11" s="36">
        <f t="shared" si="0"/>
        <v>0</v>
      </c>
    </row>
    <row r="12" spans="1:15" x14ac:dyDescent="0.25">
      <c r="A12" s="49" t="s">
        <v>69</v>
      </c>
      <c r="B12" s="63" t="s">
        <v>40</v>
      </c>
      <c r="C12" s="8"/>
      <c r="D12" s="56">
        <f>NOVEMBER20!H12:H31</f>
        <v>0</v>
      </c>
      <c r="E12" s="56"/>
      <c r="F12" s="56">
        <f t="shared" si="1"/>
        <v>0</v>
      </c>
      <c r="G12" s="11"/>
      <c r="H12" s="36">
        <f t="shared" si="0"/>
        <v>0</v>
      </c>
      <c r="O12">
        <v>20000</v>
      </c>
    </row>
    <row r="13" spans="1:15" ht="22.5" customHeight="1" x14ac:dyDescent="0.25">
      <c r="A13" s="49" t="s">
        <v>74</v>
      </c>
      <c r="B13" s="44" t="s">
        <v>87</v>
      </c>
      <c r="C13" s="8"/>
      <c r="D13" s="56">
        <f>NOVEMBER20!H13:H32</f>
        <v>400</v>
      </c>
      <c r="E13" s="56">
        <v>4000</v>
      </c>
      <c r="F13" s="56">
        <f t="shared" si="1"/>
        <v>4400</v>
      </c>
      <c r="G13" s="11">
        <f>2000+2400</f>
        <v>4400</v>
      </c>
      <c r="H13" s="36">
        <f t="shared" si="0"/>
        <v>0</v>
      </c>
      <c r="O13">
        <v>26500</v>
      </c>
    </row>
    <row r="14" spans="1:15" x14ac:dyDescent="0.25">
      <c r="A14" s="53" t="s">
        <v>70</v>
      </c>
      <c r="B14" s="63"/>
      <c r="C14" s="8"/>
      <c r="D14" s="56">
        <f>NOVEMBER20!H14:H33</f>
        <v>0</v>
      </c>
      <c r="E14" s="56"/>
      <c r="F14" s="56"/>
      <c r="G14" s="11"/>
      <c r="H14" s="36"/>
      <c r="O14">
        <f>O12+O13</f>
        <v>46500</v>
      </c>
    </row>
    <row r="15" spans="1:15" x14ac:dyDescent="0.25">
      <c r="A15" s="53" t="s">
        <v>75</v>
      </c>
      <c r="B15" s="63" t="s">
        <v>40</v>
      </c>
      <c r="C15" s="8"/>
      <c r="D15" s="56">
        <f>NOVEMBER20!H15:H34</f>
        <v>0</v>
      </c>
      <c r="E15" s="56"/>
      <c r="F15" s="56">
        <f t="shared" si="1"/>
        <v>0</v>
      </c>
      <c r="G15" s="11"/>
      <c r="H15" s="36">
        <f t="shared" si="0"/>
        <v>0</v>
      </c>
      <c r="N15" t="s">
        <v>171</v>
      </c>
      <c r="O15">
        <v>4650</v>
      </c>
    </row>
    <row r="16" spans="1:15" x14ac:dyDescent="0.25">
      <c r="A16" s="53" t="s">
        <v>76</v>
      </c>
      <c r="B16" s="63" t="s">
        <v>40</v>
      </c>
      <c r="C16" s="8"/>
      <c r="D16" s="56">
        <f>NOVEMBER20!H16:H35</f>
        <v>0</v>
      </c>
      <c r="E16" s="56"/>
      <c r="F16" s="56">
        <f t="shared" si="1"/>
        <v>0</v>
      </c>
      <c r="G16" s="11"/>
      <c r="H16" s="36">
        <f t="shared" si="0"/>
        <v>0</v>
      </c>
      <c r="J16" t="s">
        <v>143</v>
      </c>
      <c r="O16">
        <f>O14-O15</f>
        <v>41850</v>
      </c>
    </row>
    <row r="17" spans="1:15" x14ac:dyDescent="0.25">
      <c r="A17" s="53" t="s">
        <v>77</v>
      </c>
      <c r="B17" s="63" t="s">
        <v>40</v>
      </c>
      <c r="C17" s="8"/>
      <c r="D17" s="56">
        <f>NOVEMBER20!H17:H36</f>
        <v>0</v>
      </c>
      <c r="E17" s="56"/>
      <c r="F17" s="56">
        <f t="shared" si="1"/>
        <v>0</v>
      </c>
      <c r="G17" s="11"/>
      <c r="H17" s="36">
        <f t="shared" si="0"/>
        <v>0</v>
      </c>
      <c r="O17">
        <f>257</f>
        <v>257</v>
      </c>
    </row>
    <row r="18" spans="1:15" ht="25.5" x14ac:dyDescent="0.25">
      <c r="A18" s="53" t="s">
        <v>78</v>
      </c>
      <c r="B18" s="44" t="s">
        <v>88</v>
      </c>
      <c r="C18" s="8"/>
      <c r="D18" s="56">
        <f>NOVEMBER20!H18:H37</f>
        <v>400</v>
      </c>
      <c r="E18" s="56">
        <v>5000</v>
      </c>
      <c r="F18" s="56">
        <f t="shared" si="1"/>
        <v>5400</v>
      </c>
      <c r="G18" s="11">
        <f>1000+1000+1000</f>
        <v>3000</v>
      </c>
      <c r="H18" s="36">
        <f t="shared" si="0"/>
        <v>2400</v>
      </c>
      <c r="J18" t="s">
        <v>144</v>
      </c>
      <c r="O18">
        <f>O16+O17</f>
        <v>42107</v>
      </c>
    </row>
    <row r="19" spans="1:15" ht="25.5" x14ac:dyDescent="0.25">
      <c r="A19" s="53" t="s">
        <v>79</v>
      </c>
      <c r="B19" s="44" t="s">
        <v>148</v>
      </c>
      <c r="C19" s="8">
        <v>2000</v>
      </c>
      <c r="D19" s="56">
        <v>4000</v>
      </c>
      <c r="E19" s="56"/>
      <c r="F19" s="56">
        <f t="shared" si="1"/>
        <v>6000</v>
      </c>
      <c r="G19" s="11"/>
      <c r="H19" s="36">
        <f t="shared" si="0"/>
        <v>6000</v>
      </c>
      <c r="I19">
        <v>738009144</v>
      </c>
      <c r="O19">
        <v>30000</v>
      </c>
    </row>
    <row r="20" spans="1:15" x14ac:dyDescent="0.25">
      <c r="A20" s="53" t="s">
        <v>80</v>
      </c>
      <c r="B20" s="63" t="s">
        <v>40</v>
      </c>
      <c r="C20" s="8"/>
      <c r="D20" s="56">
        <f>NOVEMBER20!H20:H39</f>
        <v>0</v>
      </c>
      <c r="E20" s="56"/>
      <c r="F20" s="56">
        <f t="shared" si="1"/>
        <v>0</v>
      </c>
      <c r="G20" s="11"/>
      <c r="H20" s="36">
        <f>F20-G20</f>
        <v>0</v>
      </c>
      <c r="O20">
        <f>O18-O19</f>
        <v>12107</v>
      </c>
    </row>
    <row r="21" spans="1:15" ht="24" customHeight="1" x14ac:dyDescent="0.25">
      <c r="A21" s="53" t="s">
        <v>81</v>
      </c>
      <c r="B21" s="44" t="s">
        <v>173</v>
      </c>
      <c r="C21" s="8">
        <v>2000</v>
      </c>
      <c r="D21" s="56"/>
      <c r="E21" s="56">
        <v>4000</v>
      </c>
      <c r="F21" s="56">
        <f t="shared" si="1"/>
        <v>6000</v>
      </c>
      <c r="G21" s="11">
        <v>4000</v>
      </c>
      <c r="H21" s="36">
        <f>F21-G21</f>
        <v>2000</v>
      </c>
    </row>
    <row r="22" spans="1:15" x14ac:dyDescent="0.25">
      <c r="A22" s="53" t="s">
        <v>82</v>
      </c>
      <c r="B22" s="63" t="s">
        <v>40</v>
      </c>
      <c r="C22" s="8"/>
      <c r="D22" s="56">
        <f>NOVEMBER20!H22:H41</f>
        <v>0</v>
      </c>
      <c r="E22" s="56"/>
      <c r="F22" s="56">
        <f t="shared" si="1"/>
        <v>0</v>
      </c>
      <c r="G22" s="11"/>
      <c r="H22" s="36">
        <f t="shared" si="0"/>
        <v>0</v>
      </c>
    </row>
    <row r="23" spans="1:15" x14ac:dyDescent="0.25">
      <c r="A23" s="53" t="s">
        <v>83</v>
      </c>
      <c r="B23" s="63" t="s">
        <v>40</v>
      </c>
      <c r="C23" s="8"/>
      <c r="D23" s="56">
        <f>NOVEMBER20!H23:H42</f>
        <v>0</v>
      </c>
      <c r="E23" s="56"/>
      <c r="F23" s="56">
        <f t="shared" si="1"/>
        <v>0</v>
      </c>
      <c r="G23" s="11"/>
      <c r="H23" s="36">
        <f t="shared" si="0"/>
        <v>0</v>
      </c>
    </row>
    <row r="24" spans="1:15" x14ac:dyDescent="0.25">
      <c r="A24" s="53" t="s">
        <v>84</v>
      </c>
      <c r="B24" s="44"/>
      <c r="C24" s="8"/>
      <c r="D24" s="56"/>
      <c r="E24" s="56"/>
      <c r="F24" s="56">
        <f t="shared" si="1"/>
        <v>0</v>
      </c>
      <c r="G24" s="11"/>
      <c r="H24" s="36">
        <f t="shared" si="0"/>
        <v>0</v>
      </c>
    </row>
    <row r="25" spans="1:15" x14ac:dyDescent="0.25">
      <c r="A25" s="53" t="s">
        <v>85</v>
      </c>
      <c r="B25" s="63" t="s">
        <v>40</v>
      </c>
      <c r="C25" s="8"/>
      <c r="D25" s="56">
        <f>NOVEMBER20!H25:H44</f>
        <v>0</v>
      </c>
      <c r="E25" s="56"/>
      <c r="F25" s="56">
        <f t="shared" si="1"/>
        <v>0</v>
      </c>
      <c r="G25" s="11"/>
      <c r="H25" s="36">
        <f t="shared" si="0"/>
        <v>0</v>
      </c>
    </row>
    <row r="26" spans="1:15" ht="15.75" x14ac:dyDescent="0.25">
      <c r="A26" s="7"/>
      <c r="B26" s="45" t="s">
        <v>9</v>
      </c>
      <c r="C26" s="15">
        <f t="shared" ref="C26:H26" si="2">SUM(C6:C25)</f>
        <v>11000</v>
      </c>
      <c r="D26" s="56">
        <f t="shared" si="2"/>
        <v>4800</v>
      </c>
      <c r="E26" s="57">
        <f t="shared" si="2"/>
        <v>20000</v>
      </c>
      <c r="F26" s="57">
        <f t="shared" si="2"/>
        <v>35800</v>
      </c>
      <c r="G26" s="17">
        <f t="shared" si="2"/>
        <v>18400</v>
      </c>
      <c r="H26" s="59">
        <f t="shared" si="2"/>
        <v>17400</v>
      </c>
    </row>
    <row r="27" spans="1:15" x14ac:dyDescent="0.25">
      <c r="D27" s="6"/>
      <c r="E27" s="6" t="s">
        <v>28</v>
      </c>
      <c r="F27" s="6"/>
    </row>
    <row r="28" spans="1:15" x14ac:dyDescent="0.25">
      <c r="A28" s="49"/>
      <c r="B28" s="43"/>
      <c r="C28" s="8"/>
      <c r="D28" s="56">
        <f>'AUGUST 20'!I28:I44</f>
        <v>0</v>
      </c>
      <c r="E28" s="9"/>
      <c r="F28" s="56"/>
      <c r="G28" s="56" t="s">
        <v>6</v>
      </c>
      <c r="H28" s="9" t="s">
        <v>7</v>
      </c>
      <c r="I28" s="36" t="s">
        <v>15</v>
      </c>
    </row>
    <row r="29" spans="1:15" ht="25.5" x14ac:dyDescent="0.25">
      <c r="A29" s="49" t="s">
        <v>43</v>
      </c>
      <c r="B29" s="43" t="s">
        <v>113</v>
      </c>
      <c r="C29" s="8">
        <f>'AUGUST 20'!I29:I44</f>
        <v>0</v>
      </c>
      <c r="D29" s="56">
        <f>NOVEMBER20!I29:I44</f>
        <v>500</v>
      </c>
      <c r="E29" s="9">
        <v>2500</v>
      </c>
      <c r="F29" s="56">
        <v>2000</v>
      </c>
      <c r="G29" s="56">
        <f>C28+D29+F29</f>
        <v>2500</v>
      </c>
      <c r="H29" s="9">
        <f>2000+500</f>
        <v>2500</v>
      </c>
      <c r="I29" s="36">
        <f t="shared" ref="I29:I44" si="3">G29-H29</f>
        <v>0</v>
      </c>
    </row>
    <row r="30" spans="1:15" x14ac:dyDescent="0.25">
      <c r="A30" s="49" t="s">
        <v>44</v>
      </c>
      <c r="B30" s="35" t="s">
        <v>138</v>
      </c>
      <c r="C30" s="8"/>
      <c r="D30" s="56">
        <f>NOVEMBER20!I30:I45</f>
        <v>0</v>
      </c>
      <c r="E30" s="9">
        <v>2500</v>
      </c>
      <c r="F30" s="56">
        <v>2000</v>
      </c>
      <c r="G30" s="56">
        <f>C29+D30+F30</f>
        <v>2000</v>
      </c>
      <c r="H30" s="13">
        <f>2000</f>
        <v>2000</v>
      </c>
      <c r="I30" s="36">
        <f t="shared" si="3"/>
        <v>0</v>
      </c>
    </row>
    <row r="31" spans="1:15" ht="25.5" x14ac:dyDescent="0.25">
      <c r="A31" s="49" t="s">
        <v>45</v>
      </c>
      <c r="B31" s="43" t="s">
        <v>30</v>
      </c>
      <c r="C31" s="8"/>
      <c r="D31" s="56">
        <f>NOVEMBER20!I31:I46</f>
        <v>0</v>
      </c>
      <c r="E31" s="9">
        <v>2500</v>
      </c>
      <c r="F31" s="56">
        <v>2000</v>
      </c>
      <c r="G31" s="56">
        <f>C31+D31+F31</f>
        <v>2000</v>
      </c>
      <c r="H31" s="12">
        <v>2000</v>
      </c>
      <c r="I31" s="36">
        <f t="shared" si="3"/>
        <v>0</v>
      </c>
    </row>
    <row r="32" spans="1:15" ht="25.5" x14ac:dyDescent="0.25">
      <c r="A32" s="49" t="s">
        <v>46</v>
      </c>
      <c r="B32" s="43" t="s">
        <v>31</v>
      </c>
      <c r="C32" s="8"/>
      <c r="D32" s="56">
        <f>NOVEMBER20!I32:I47</f>
        <v>0</v>
      </c>
      <c r="E32" s="9">
        <v>2500</v>
      </c>
      <c r="F32" s="56">
        <v>2000</v>
      </c>
      <c r="G32" s="56">
        <f t="shared" ref="G32:G44" si="4">C32+D32+F32</f>
        <v>2000</v>
      </c>
      <c r="H32" s="11">
        <f>2000</f>
        <v>2000</v>
      </c>
      <c r="I32" s="36">
        <f t="shared" si="3"/>
        <v>0</v>
      </c>
    </row>
    <row r="33" spans="1:12" ht="25.5" x14ac:dyDescent="0.25">
      <c r="A33" s="49" t="s">
        <v>47</v>
      </c>
      <c r="B33" s="44" t="s">
        <v>32</v>
      </c>
      <c r="C33" s="8"/>
      <c r="D33" s="56">
        <f>NOVEMBER20!I33:I48</f>
        <v>0</v>
      </c>
      <c r="E33" s="9">
        <v>2500</v>
      </c>
      <c r="F33" s="56">
        <v>2000</v>
      </c>
      <c r="G33" s="56">
        <f>C33+D33+F33</f>
        <v>2000</v>
      </c>
      <c r="H33" s="14">
        <v>2000</v>
      </c>
      <c r="I33" s="36">
        <f>G33-H33</f>
        <v>0</v>
      </c>
    </row>
    <row r="34" spans="1:12" ht="25.5" x14ac:dyDescent="0.25">
      <c r="A34" s="49" t="s">
        <v>48</v>
      </c>
      <c r="B34" s="44" t="s">
        <v>37</v>
      </c>
      <c r="C34" s="8"/>
      <c r="D34" s="56">
        <f>NOVEMBER20!I34:I49</f>
        <v>1500</v>
      </c>
      <c r="E34" s="9">
        <v>2500</v>
      </c>
      <c r="F34" s="56">
        <v>2000</v>
      </c>
      <c r="G34" s="56">
        <f t="shared" si="4"/>
        <v>3500</v>
      </c>
      <c r="H34" s="11">
        <f>2000</f>
        <v>2000</v>
      </c>
      <c r="I34" s="36">
        <f t="shared" si="3"/>
        <v>1500</v>
      </c>
    </row>
    <row r="35" spans="1:12" ht="25.5" x14ac:dyDescent="0.25">
      <c r="A35" s="49" t="s">
        <v>49</v>
      </c>
      <c r="B35" s="44" t="s">
        <v>132</v>
      </c>
      <c r="C35" s="8"/>
      <c r="D35" s="56">
        <f>NOVEMBER20!I35:I50</f>
        <v>0</v>
      </c>
      <c r="E35" s="9">
        <v>2500</v>
      </c>
      <c r="F35" s="56">
        <v>2000</v>
      </c>
      <c r="G35" s="56">
        <f t="shared" si="4"/>
        <v>2000</v>
      </c>
      <c r="H35" s="11"/>
      <c r="I35" s="36">
        <f t="shared" si="3"/>
        <v>2000</v>
      </c>
      <c r="J35" t="s">
        <v>106</v>
      </c>
      <c r="L35" s="65"/>
    </row>
    <row r="36" spans="1:12" ht="25.5" x14ac:dyDescent="0.25">
      <c r="A36" s="49" t="s">
        <v>50</v>
      </c>
      <c r="B36" s="43" t="s">
        <v>33</v>
      </c>
      <c r="C36" s="8"/>
      <c r="D36" s="56">
        <f>NOVEMBER20!I36:I51</f>
        <v>1500</v>
      </c>
      <c r="E36" s="9">
        <v>2500</v>
      </c>
      <c r="F36" s="56">
        <v>2000</v>
      </c>
      <c r="G36" s="56">
        <f t="shared" si="4"/>
        <v>3500</v>
      </c>
      <c r="H36" s="11">
        <f>2000</f>
        <v>2000</v>
      </c>
      <c r="I36" s="36">
        <f t="shared" si="3"/>
        <v>1500</v>
      </c>
      <c r="L36" s="65"/>
    </row>
    <row r="37" spans="1:12" ht="25.5" x14ac:dyDescent="0.25">
      <c r="A37" s="49" t="s">
        <v>51</v>
      </c>
      <c r="B37" s="43" t="s">
        <v>167</v>
      </c>
      <c r="C37" s="8"/>
      <c r="D37" s="56">
        <f>NOVEMBER20!I37:I52</f>
        <v>0</v>
      </c>
      <c r="E37" s="9">
        <v>2500</v>
      </c>
      <c r="F37" s="56">
        <v>2000</v>
      </c>
      <c r="G37" s="56">
        <f>C37+D37+F37</f>
        <v>2000</v>
      </c>
      <c r="H37" s="11">
        <v>2000</v>
      </c>
      <c r="I37" s="36">
        <f t="shared" si="3"/>
        <v>0</v>
      </c>
      <c r="L37" s="65"/>
    </row>
    <row r="38" spans="1:12" ht="25.5" x14ac:dyDescent="0.25">
      <c r="A38" s="49" t="s">
        <v>52</v>
      </c>
      <c r="B38" s="44" t="s">
        <v>127</v>
      </c>
      <c r="C38" s="8"/>
      <c r="D38" s="56">
        <f>NOVEMBER20!I38:I53</f>
        <v>0</v>
      </c>
      <c r="E38" s="9"/>
      <c r="F38" s="56">
        <v>2500</v>
      </c>
      <c r="G38" s="56">
        <v>2500</v>
      </c>
      <c r="H38" s="11">
        <f>2500</f>
        <v>2500</v>
      </c>
      <c r="I38" s="36">
        <f t="shared" si="3"/>
        <v>0</v>
      </c>
      <c r="K38" t="s">
        <v>171</v>
      </c>
      <c r="L38" s="65"/>
    </row>
    <row r="39" spans="1:12" ht="38.25" x14ac:dyDescent="0.25">
      <c r="A39" s="49" t="s">
        <v>57</v>
      </c>
      <c r="B39" s="43" t="s">
        <v>107</v>
      </c>
      <c r="C39" s="8"/>
      <c r="D39" s="56">
        <f>NOVEMBER20!I39:I54</f>
        <v>0</v>
      </c>
      <c r="E39" s="9"/>
      <c r="F39" s="56"/>
      <c r="G39" s="56">
        <f t="shared" si="4"/>
        <v>0</v>
      </c>
      <c r="H39" s="11"/>
      <c r="I39" s="36">
        <f t="shared" si="3"/>
        <v>0</v>
      </c>
      <c r="L39" s="65"/>
    </row>
    <row r="40" spans="1:12" ht="25.5" x14ac:dyDescent="0.25">
      <c r="A40" s="49" t="s">
        <v>58</v>
      </c>
      <c r="B40" s="43" t="s">
        <v>151</v>
      </c>
      <c r="C40" s="8"/>
      <c r="D40" s="56">
        <f>NOVEMBER20!I40:I55</f>
        <v>0</v>
      </c>
      <c r="E40" s="9">
        <v>2500</v>
      </c>
      <c r="F40" s="56">
        <v>2000</v>
      </c>
      <c r="G40" s="56">
        <f>C40+D40+F40</f>
        <v>2000</v>
      </c>
      <c r="H40" s="11">
        <f>1000</f>
        <v>1000</v>
      </c>
      <c r="I40" s="36">
        <f t="shared" si="3"/>
        <v>1000</v>
      </c>
      <c r="K40" t="s">
        <v>169</v>
      </c>
      <c r="L40" s="147"/>
    </row>
    <row r="41" spans="1:12" ht="38.25" x14ac:dyDescent="0.25">
      <c r="A41" s="49" t="s">
        <v>59</v>
      </c>
      <c r="B41" s="43" t="s">
        <v>131</v>
      </c>
      <c r="C41" s="8"/>
      <c r="D41" s="56">
        <f>NOVEMBER20!I41:I56</f>
        <v>0</v>
      </c>
      <c r="E41" s="9">
        <v>2500</v>
      </c>
      <c r="F41" s="56">
        <v>2000</v>
      </c>
      <c r="G41" s="56">
        <f t="shared" si="4"/>
        <v>2000</v>
      </c>
      <c r="H41" s="11">
        <v>2000</v>
      </c>
      <c r="I41" s="36">
        <f t="shared" si="3"/>
        <v>0</v>
      </c>
      <c r="K41" t="s">
        <v>169</v>
      </c>
      <c r="L41" s="147"/>
    </row>
    <row r="42" spans="1:12" ht="25.5" x14ac:dyDescent="0.25">
      <c r="A42" s="49" t="s">
        <v>60</v>
      </c>
      <c r="B42" s="43" t="s">
        <v>38</v>
      </c>
      <c r="C42" s="8"/>
      <c r="D42" s="56">
        <f>NOVEMBER20!I42:I57</f>
        <v>1000</v>
      </c>
      <c r="E42" s="9">
        <v>2500</v>
      </c>
      <c r="F42" s="56">
        <v>2000</v>
      </c>
      <c r="G42" s="56">
        <f t="shared" si="4"/>
        <v>3000</v>
      </c>
      <c r="H42" s="11">
        <f>3000</f>
        <v>3000</v>
      </c>
      <c r="I42" s="36">
        <f t="shared" si="3"/>
        <v>0</v>
      </c>
      <c r="L42" s="65"/>
    </row>
    <row r="43" spans="1:12" x14ac:dyDescent="0.25">
      <c r="A43" s="49" t="s">
        <v>61</v>
      </c>
      <c r="B43" s="43"/>
      <c r="C43" s="8"/>
      <c r="D43" s="56"/>
      <c r="E43" s="9"/>
      <c r="F43" s="56"/>
      <c r="G43" s="56">
        <f t="shared" si="4"/>
        <v>0</v>
      </c>
      <c r="H43" s="11"/>
      <c r="I43" s="36">
        <f t="shared" si="3"/>
        <v>0</v>
      </c>
    </row>
    <row r="44" spans="1:12" x14ac:dyDescent="0.25">
      <c r="A44" s="49" t="s">
        <v>62</v>
      </c>
      <c r="B44" s="61"/>
      <c r="C44" s="8"/>
      <c r="D44" s="56"/>
      <c r="E44" s="9"/>
      <c r="F44" s="56"/>
      <c r="G44" s="56">
        <f t="shared" si="4"/>
        <v>0</v>
      </c>
      <c r="H44" s="11"/>
      <c r="I44" s="36">
        <f t="shared" si="3"/>
        <v>0</v>
      </c>
      <c r="L44" s="65"/>
    </row>
    <row r="45" spans="1:12" ht="15.75" x14ac:dyDescent="0.25">
      <c r="A45" s="7"/>
      <c r="B45" s="45" t="s">
        <v>9</v>
      </c>
      <c r="C45" s="15">
        <f>SUM(C28:C40)</f>
        <v>0</v>
      </c>
      <c r="D45" s="56">
        <f>SUM(D28:D44)</f>
        <v>4500</v>
      </c>
      <c r="E45" s="9">
        <f>SUM(E28:E44)</f>
        <v>30000</v>
      </c>
      <c r="F45" s="57">
        <f>SUM(F28:F44)</f>
        <v>26500</v>
      </c>
      <c r="G45" s="57">
        <f>SUM(G29:G44)</f>
        <v>31000</v>
      </c>
      <c r="H45" s="17">
        <f>SUM(H28:H44)</f>
        <v>25000</v>
      </c>
      <c r="I45" s="58">
        <f>SUM(I28:I44)</f>
        <v>6000</v>
      </c>
    </row>
    <row r="46" spans="1:12" x14ac:dyDescent="0.25">
      <c r="D46" s="56">
        <f>OCTOBER20!I46:I63</f>
        <v>17000</v>
      </c>
      <c r="L46" s="65"/>
    </row>
    <row r="47" spans="1:12" x14ac:dyDescent="0.25">
      <c r="D47" s="56">
        <f>OCTOBER20!I47:I64</f>
        <v>11500</v>
      </c>
    </row>
    <row r="48" spans="1:12" x14ac:dyDescent="0.25">
      <c r="A48" s="60" t="s">
        <v>10</v>
      </c>
      <c r="B48" s="18"/>
      <c r="C48" s="19"/>
      <c r="D48" s="18"/>
      <c r="E48" s="66">
        <f>E45+E26</f>
        <v>50000</v>
      </c>
      <c r="F48" s="18"/>
      <c r="G48" s="18"/>
      <c r="H48" s="2"/>
      <c r="I48" s="21"/>
    </row>
    <row r="49" spans="1:9" x14ac:dyDescent="0.25">
      <c r="A49" s="22" t="s">
        <v>11</v>
      </c>
      <c r="B49" s="22" t="s">
        <v>12</v>
      </c>
      <c r="C49" s="22" t="s">
        <v>13</v>
      </c>
      <c r="D49" s="22" t="s">
        <v>14</v>
      </c>
      <c r="E49" s="22"/>
      <c r="F49" s="22" t="s">
        <v>12</v>
      </c>
      <c r="G49" s="22"/>
      <c r="H49" s="22" t="s">
        <v>13</v>
      </c>
      <c r="I49" s="23" t="s">
        <v>15</v>
      </c>
    </row>
    <row r="50" spans="1:9" x14ac:dyDescent="0.25">
      <c r="A50" s="24" t="s">
        <v>176</v>
      </c>
      <c r="B50" s="25">
        <f>F45+E26</f>
        <v>46500</v>
      </c>
      <c r="C50" s="26"/>
      <c r="D50" s="26"/>
      <c r="E50" s="26" t="s">
        <v>176</v>
      </c>
      <c r="F50" s="25">
        <f>H45+G26</f>
        <v>43400</v>
      </c>
      <c r="G50" s="25"/>
      <c r="H50" s="26"/>
      <c r="I50" s="25"/>
    </row>
    <row r="51" spans="1:9" x14ac:dyDescent="0.25">
      <c r="A51" s="24" t="s">
        <v>17</v>
      </c>
      <c r="B51" s="27">
        <v>0.1</v>
      </c>
      <c r="C51" s="28">
        <f>B51*B50</f>
        <v>4650</v>
      </c>
      <c r="D51" s="24"/>
      <c r="E51" s="24" t="s">
        <v>155</v>
      </c>
      <c r="F51" s="27">
        <v>0.1</v>
      </c>
      <c r="G51" s="27"/>
      <c r="H51" s="28">
        <f>F51*B50</f>
        <v>4650</v>
      </c>
      <c r="I51" s="25"/>
    </row>
    <row r="52" spans="1:9" x14ac:dyDescent="0.25">
      <c r="A52" s="29"/>
      <c r="B52" s="28"/>
      <c r="C52" s="24"/>
      <c r="D52" s="24"/>
      <c r="E52" s="24"/>
      <c r="F52" s="28"/>
      <c r="G52" s="28"/>
      <c r="H52" s="24"/>
      <c r="I52" s="25"/>
    </row>
    <row r="53" spans="1:9" x14ac:dyDescent="0.25">
      <c r="A53" s="24"/>
      <c r="B53" s="27"/>
      <c r="C53" s="28"/>
      <c r="D53" s="24"/>
      <c r="E53" s="24"/>
      <c r="F53" s="27"/>
      <c r="G53" s="27"/>
      <c r="H53" s="28"/>
      <c r="I53" s="25"/>
    </row>
    <row r="54" spans="1:9" x14ac:dyDescent="0.25">
      <c r="A54" s="29" t="s">
        <v>18</v>
      </c>
      <c r="B54" s="28"/>
      <c r="D54" s="24"/>
      <c r="E54" s="24" t="s">
        <v>158</v>
      </c>
      <c r="F54" s="28"/>
      <c r="G54" s="28"/>
      <c r="H54" s="24"/>
      <c r="I54" s="25"/>
    </row>
    <row r="55" spans="1:9" x14ac:dyDescent="0.25">
      <c r="A55" s="29" t="s">
        <v>19</v>
      </c>
      <c r="B55" s="28">
        <f>NOVEMBER20!D65</f>
        <v>-29743</v>
      </c>
      <c r="C55" s="24"/>
      <c r="D55" s="24"/>
      <c r="E55" s="24" t="s">
        <v>19</v>
      </c>
      <c r="F55" s="28">
        <f>NOVEMBER20!I65</f>
        <v>-32593</v>
      </c>
      <c r="G55" s="28"/>
      <c r="H55" s="24"/>
      <c r="I55" s="25"/>
    </row>
    <row r="56" spans="1:9" x14ac:dyDescent="0.25">
      <c r="A56" s="29" t="s">
        <v>9</v>
      </c>
      <c r="B56" s="28">
        <f>B50+B52+B55+B54</f>
        <v>16757</v>
      </c>
      <c r="C56" s="24"/>
      <c r="D56" s="24"/>
      <c r="E56" s="24" t="s">
        <v>9</v>
      </c>
      <c r="F56" s="28">
        <f>F50+F52+F55+F53</f>
        <v>10807</v>
      </c>
      <c r="G56" s="28"/>
      <c r="H56" s="24"/>
      <c r="I56" s="25"/>
    </row>
    <row r="57" spans="1:9" x14ac:dyDescent="0.25">
      <c r="A57" s="30" t="s">
        <v>20</v>
      </c>
      <c r="B57" s="27"/>
      <c r="C57" s="31"/>
      <c r="D57" s="24"/>
      <c r="E57" s="24"/>
      <c r="F57" s="30" t="s">
        <v>20</v>
      </c>
      <c r="G57" s="27"/>
      <c r="H57" s="31"/>
      <c r="I57" s="25"/>
    </row>
    <row r="58" spans="1:9" x14ac:dyDescent="0.25">
      <c r="A58" s="32" t="s">
        <v>144</v>
      </c>
      <c r="B58" s="33"/>
      <c r="C58" s="34">
        <v>5000</v>
      </c>
      <c r="D58" s="35"/>
      <c r="E58" s="35"/>
      <c r="F58" s="32" t="s">
        <v>144</v>
      </c>
      <c r="G58" s="33"/>
      <c r="H58" s="34">
        <v>5000</v>
      </c>
      <c r="I58" s="35"/>
    </row>
    <row r="59" spans="1:9" x14ac:dyDescent="0.25">
      <c r="A59" s="37" t="s">
        <v>184</v>
      </c>
      <c r="C59" s="38">
        <v>7107</v>
      </c>
      <c r="D59" s="33"/>
      <c r="E59" s="33"/>
      <c r="F59" s="37" t="s">
        <v>184</v>
      </c>
      <c r="H59" s="38">
        <v>7107</v>
      </c>
      <c r="I59" s="36"/>
    </row>
    <row r="60" spans="1:9" x14ac:dyDescent="0.25">
      <c r="A60" s="37" t="s">
        <v>185</v>
      </c>
      <c r="B60" s="33"/>
      <c r="C60" s="38">
        <v>5000</v>
      </c>
      <c r="D60" s="33"/>
      <c r="E60" s="33"/>
      <c r="F60" s="37" t="s">
        <v>185</v>
      </c>
      <c r="G60" s="33"/>
      <c r="H60" s="38">
        <v>5000</v>
      </c>
      <c r="I60" s="36"/>
    </row>
    <row r="61" spans="1:9" x14ac:dyDescent="0.25">
      <c r="A61" s="37" t="s">
        <v>187</v>
      </c>
      <c r="C61" s="38">
        <v>2000</v>
      </c>
      <c r="D61" s="33"/>
      <c r="E61" s="33"/>
      <c r="F61" s="37"/>
      <c r="H61" s="38"/>
      <c r="I61" s="36"/>
    </row>
    <row r="62" spans="1:9" x14ac:dyDescent="0.25">
      <c r="A62" s="37" t="s">
        <v>188</v>
      </c>
      <c r="C62" s="38">
        <f>4061+3056</f>
        <v>7117</v>
      </c>
      <c r="D62" s="33"/>
      <c r="E62" s="33"/>
      <c r="F62" s="37" t="s">
        <v>188</v>
      </c>
      <c r="H62" s="38">
        <f>4061+3056</f>
        <v>7117</v>
      </c>
      <c r="I62" s="36"/>
    </row>
    <row r="63" spans="1:9" x14ac:dyDescent="0.25">
      <c r="A63" s="37" t="s">
        <v>189</v>
      </c>
      <c r="C63" s="38">
        <v>3056</v>
      </c>
      <c r="D63" s="33"/>
      <c r="E63" s="33"/>
      <c r="F63" s="37" t="s">
        <v>189</v>
      </c>
      <c r="H63" s="38">
        <v>3056</v>
      </c>
      <c r="I63" s="36"/>
    </row>
    <row r="64" spans="1:9" x14ac:dyDescent="0.25">
      <c r="A64" s="37" t="s">
        <v>190</v>
      </c>
      <c r="C64" s="38">
        <v>3056</v>
      </c>
      <c r="D64" s="33"/>
      <c r="E64" s="33"/>
      <c r="F64" s="37" t="s">
        <v>190</v>
      </c>
      <c r="H64" s="38">
        <v>3056</v>
      </c>
      <c r="I64" s="36"/>
    </row>
    <row r="65" spans="1:9" x14ac:dyDescent="0.25">
      <c r="A65" s="37"/>
      <c r="B65" s="33"/>
      <c r="C65" s="38"/>
      <c r="D65" s="33"/>
      <c r="E65" s="33"/>
      <c r="F65" s="37"/>
      <c r="G65" s="33"/>
      <c r="H65" s="38"/>
      <c r="I65" s="36"/>
    </row>
    <row r="66" spans="1:9" x14ac:dyDescent="0.25">
      <c r="A66" s="39" t="s">
        <v>9</v>
      </c>
      <c r="B66" s="40">
        <f>B50+B52+B53+B54+B55-C51-C53</f>
        <v>12107</v>
      </c>
      <c r="C66" s="41">
        <f>SUM(C58:C65)</f>
        <v>32336</v>
      </c>
      <c r="D66" s="41">
        <f>B66-C66</f>
        <v>-20229</v>
      </c>
      <c r="E66" s="41"/>
      <c r="F66" s="40">
        <f>F50+F52+F55-H51-H53</f>
        <v>6157</v>
      </c>
      <c r="G66" s="40"/>
      <c r="H66" s="41">
        <f>SUM(H58:H65)</f>
        <v>30336</v>
      </c>
      <c r="I66" s="41">
        <f>F66-H66</f>
        <v>-24179</v>
      </c>
    </row>
    <row r="67" spans="1:9" x14ac:dyDescent="0.25">
      <c r="A67" s="2" t="s">
        <v>21</v>
      </c>
      <c r="B67" s="42"/>
      <c r="D67" s="2" t="s">
        <v>22</v>
      </c>
      <c r="E67" s="2"/>
      <c r="H67" s="2" t="s">
        <v>23</v>
      </c>
      <c r="I67" s="21"/>
    </row>
    <row r="68" spans="1:9" x14ac:dyDescent="0.25">
      <c r="A68" s="2" t="s">
        <v>64</v>
      </c>
      <c r="B68" s="2"/>
      <c r="D68" s="2" t="s">
        <v>24</v>
      </c>
      <c r="E68" s="2"/>
      <c r="H68" s="2" t="s">
        <v>26</v>
      </c>
    </row>
    <row r="72" spans="1:9" x14ac:dyDescent="0.25">
      <c r="H72" s="65">
        <f>I66-D66</f>
        <v>-3950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55" workbookViewId="0">
      <selection activeCell="K71" sqref="K71"/>
    </sheetView>
  </sheetViews>
  <sheetFormatPr defaultRowHeight="15" x14ac:dyDescent="0.25"/>
  <cols>
    <col min="1" max="1" width="12.42578125" customWidth="1"/>
    <col min="2" max="2" width="11.7109375" bestFit="1" customWidth="1"/>
    <col min="3" max="3" width="12.42578125" bestFit="1" customWidth="1"/>
    <col min="4" max="4" width="13.140625" customWidth="1"/>
    <col min="5" max="5" width="10.85546875" bestFit="1" customWidth="1"/>
    <col min="6" max="6" width="11.7109375" bestFit="1" customWidth="1"/>
    <col min="7" max="8" width="10.85546875" bestFit="1" customWidth="1"/>
    <col min="9" max="9" width="11.7109375" bestFit="1" customWidth="1"/>
  </cols>
  <sheetData>
    <row r="1" spans="1:14" ht="18.75" x14ac:dyDescent="0.3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  <c r="K1" s="69"/>
    </row>
    <row r="2" spans="1:14" ht="18.75" x14ac:dyDescent="0.3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  <c r="K2" s="69"/>
    </row>
    <row r="3" spans="1:14" ht="18.75" x14ac:dyDescent="0.3">
      <c r="A3" s="148"/>
      <c r="B3" s="148"/>
      <c r="C3" s="4" t="s">
        <v>186</v>
      </c>
      <c r="D3" s="3"/>
      <c r="E3" s="3"/>
      <c r="F3" s="149"/>
      <c r="G3" s="149"/>
      <c r="H3" s="148"/>
      <c r="I3" s="148"/>
      <c r="J3" s="148"/>
      <c r="K3" s="69"/>
    </row>
    <row r="4" spans="1:14" ht="18.75" x14ac:dyDescent="0.3">
      <c r="A4" s="148"/>
      <c r="B4" s="148"/>
      <c r="C4" s="148"/>
      <c r="D4" s="4" t="s">
        <v>65</v>
      </c>
      <c r="E4" s="4"/>
      <c r="F4" s="148"/>
      <c r="G4" s="148"/>
      <c r="H4" s="148"/>
      <c r="I4" s="148"/>
      <c r="J4" s="148"/>
      <c r="K4" s="69"/>
    </row>
    <row r="5" spans="1:14" ht="18.75" x14ac:dyDescent="0.3">
      <c r="A5" s="46" t="s">
        <v>1</v>
      </c>
      <c r="B5" s="46" t="s">
        <v>2</v>
      </c>
      <c r="C5" s="46" t="s">
        <v>3</v>
      </c>
      <c r="D5" s="46" t="s">
        <v>4</v>
      </c>
      <c r="E5" s="46" t="s">
        <v>5</v>
      </c>
      <c r="F5" s="47" t="s">
        <v>6</v>
      </c>
      <c r="G5" s="46" t="s">
        <v>7</v>
      </c>
      <c r="H5" s="48" t="s">
        <v>8</v>
      </c>
      <c r="I5" s="148"/>
      <c r="J5" s="148"/>
      <c r="K5" s="69"/>
    </row>
    <row r="6" spans="1:14" ht="18.75" x14ac:dyDescent="0.3">
      <c r="A6" s="150" t="s">
        <v>66</v>
      </c>
      <c r="B6" s="151"/>
      <c r="C6" s="152"/>
      <c r="D6" s="153"/>
      <c r="E6" s="153"/>
      <c r="F6" s="153">
        <f>C6+D6+E6</f>
        <v>0</v>
      </c>
      <c r="G6" s="154"/>
      <c r="H6" s="155">
        <f t="shared" ref="H6:H25" si="0">F6-G6</f>
        <v>0</v>
      </c>
      <c r="I6" s="148"/>
      <c r="J6" s="148"/>
      <c r="K6" s="69"/>
    </row>
    <row r="7" spans="1:14" ht="31.5" x14ac:dyDescent="0.3">
      <c r="A7" s="150" t="s">
        <v>71</v>
      </c>
      <c r="B7" s="156" t="s">
        <v>179</v>
      </c>
      <c r="C7" s="152">
        <v>3000</v>
      </c>
      <c r="D7" s="153"/>
      <c r="E7" s="153">
        <v>3000</v>
      </c>
      <c r="F7" s="153">
        <f t="shared" ref="F7:F25" si="1">C7+D7+E7</f>
        <v>6000</v>
      </c>
      <c r="G7" s="153">
        <v>3000</v>
      </c>
      <c r="H7" s="155">
        <f t="shared" si="0"/>
        <v>3000</v>
      </c>
      <c r="I7" s="148"/>
      <c r="J7" s="148"/>
      <c r="K7" s="69"/>
    </row>
    <row r="8" spans="1:14" ht="18.75" x14ac:dyDescent="0.3">
      <c r="A8" s="150" t="s">
        <v>67</v>
      </c>
      <c r="B8" s="157"/>
      <c r="C8" s="152"/>
      <c r="D8" s="153">
        <f>'DECEMBER 20'!H7:H26</f>
        <v>0</v>
      </c>
      <c r="E8" s="153"/>
      <c r="F8" s="153">
        <f t="shared" si="1"/>
        <v>0</v>
      </c>
      <c r="G8" s="158"/>
      <c r="H8" s="155">
        <f t="shared" si="0"/>
        <v>0</v>
      </c>
      <c r="I8" s="148"/>
      <c r="J8" s="148"/>
      <c r="K8" s="69"/>
    </row>
    <row r="9" spans="1:14" ht="18.75" x14ac:dyDescent="0.3">
      <c r="A9" s="159" t="s">
        <v>72</v>
      </c>
      <c r="B9" s="160" t="s">
        <v>103</v>
      </c>
      <c r="C9" s="152"/>
      <c r="D9" s="153">
        <f>'DECEMBER 20'!H8:H27</f>
        <v>0</v>
      </c>
      <c r="E9" s="153"/>
      <c r="F9" s="153">
        <f t="shared" si="1"/>
        <v>0</v>
      </c>
      <c r="G9" s="155"/>
      <c r="H9" s="155">
        <f t="shared" si="0"/>
        <v>0</v>
      </c>
      <c r="I9" s="148"/>
      <c r="J9" s="148"/>
      <c r="K9" s="69"/>
    </row>
    <row r="10" spans="1:14" ht="18.75" x14ac:dyDescent="0.3">
      <c r="A10" s="161" t="s">
        <v>68</v>
      </c>
      <c r="B10" s="151" t="s">
        <v>40</v>
      </c>
      <c r="C10" s="152"/>
      <c r="D10" s="153">
        <f>'DECEMBER 20'!H9:H28</f>
        <v>0</v>
      </c>
      <c r="E10" s="153"/>
      <c r="F10" s="153">
        <f t="shared" si="1"/>
        <v>0</v>
      </c>
      <c r="G10" s="154"/>
      <c r="H10" s="155">
        <f t="shared" si="0"/>
        <v>0</v>
      </c>
      <c r="I10" s="148"/>
      <c r="J10" s="148"/>
      <c r="K10" s="69"/>
    </row>
    <row r="11" spans="1:14" ht="18.75" x14ac:dyDescent="0.3">
      <c r="A11" s="162" t="s">
        <v>73</v>
      </c>
      <c r="B11" s="163" t="s">
        <v>40</v>
      </c>
      <c r="C11" s="152"/>
      <c r="D11" s="153">
        <f>'DECEMBER 20'!H10:H29</f>
        <v>0</v>
      </c>
      <c r="E11" s="153"/>
      <c r="F11" s="153">
        <f t="shared" si="1"/>
        <v>0</v>
      </c>
      <c r="G11" s="164"/>
      <c r="H11" s="155">
        <f t="shared" si="0"/>
        <v>0</v>
      </c>
      <c r="I11" s="148"/>
      <c r="J11" s="148"/>
      <c r="K11" s="69"/>
    </row>
    <row r="12" spans="1:14" ht="18.75" x14ac:dyDescent="0.3">
      <c r="A12" s="150" t="s">
        <v>69</v>
      </c>
      <c r="B12" s="163" t="s">
        <v>40</v>
      </c>
      <c r="C12" s="152"/>
      <c r="D12" s="153">
        <f>'DECEMBER 20'!H11:H30</f>
        <v>0</v>
      </c>
      <c r="E12" s="153"/>
      <c r="F12" s="153">
        <f t="shared" si="1"/>
        <v>0</v>
      </c>
      <c r="G12" s="154"/>
      <c r="H12" s="155">
        <f t="shared" si="0"/>
        <v>0</v>
      </c>
      <c r="I12" s="148"/>
      <c r="J12" s="148"/>
      <c r="K12" s="69"/>
    </row>
    <row r="13" spans="1:14" ht="31.5" x14ac:dyDescent="0.3">
      <c r="A13" s="150" t="s">
        <v>74</v>
      </c>
      <c r="B13" s="165" t="s">
        <v>87</v>
      </c>
      <c r="C13" s="152"/>
      <c r="D13" s="153">
        <f>'DECEMBER 20'!H12:H31</f>
        <v>0</v>
      </c>
      <c r="E13" s="153">
        <v>4000</v>
      </c>
      <c r="F13" s="153">
        <f t="shared" si="1"/>
        <v>4000</v>
      </c>
      <c r="G13" s="154">
        <f>3000</f>
        <v>3000</v>
      </c>
      <c r="H13" s="155">
        <f t="shared" si="0"/>
        <v>1000</v>
      </c>
      <c r="I13" s="148"/>
      <c r="J13" s="148"/>
      <c r="K13" s="69"/>
    </row>
    <row r="14" spans="1:14" ht="18.75" x14ac:dyDescent="0.3">
      <c r="A14" s="150" t="s">
        <v>70</v>
      </c>
      <c r="B14" s="163"/>
      <c r="C14" s="152"/>
      <c r="D14" s="153">
        <f>'DECEMBER 20'!H13:H32</f>
        <v>0</v>
      </c>
      <c r="E14" s="153"/>
      <c r="F14" s="153"/>
      <c r="G14" s="154"/>
      <c r="H14" s="155"/>
      <c r="I14" s="148"/>
      <c r="J14" s="148"/>
      <c r="K14" s="69"/>
      <c r="M14" s="65">
        <f>E26</f>
        <v>16000</v>
      </c>
    </row>
    <row r="15" spans="1:14" ht="18.75" x14ac:dyDescent="0.3">
      <c r="A15" s="150" t="s">
        <v>75</v>
      </c>
      <c r="B15" s="163" t="s">
        <v>40</v>
      </c>
      <c r="C15" s="152"/>
      <c r="D15" s="153">
        <f>'DECEMBER 20'!H15:H35</f>
        <v>0</v>
      </c>
      <c r="E15" s="153"/>
      <c r="F15" s="153">
        <f t="shared" si="1"/>
        <v>0</v>
      </c>
      <c r="G15" s="154"/>
      <c r="H15" s="155">
        <f t="shared" si="0"/>
        <v>0</v>
      </c>
      <c r="I15" s="148"/>
      <c r="J15" s="148"/>
      <c r="K15" s="69"/>
      <c r="M15" s="65">
        <f>F45</f>
        <v>24500</v>
      </c>
      <c r="N15" s="65">
        <f>M14+M15</f>
        <v>40500</v>
      </c>
    </row>
    <row r="16" spans="1:14" ht="18.75" x14ac:dyDescent="0.3">
      <c r="A16" s="150" t="s">
        <v>76</v>
      </c>
      <c r="B16" s="163" t="s">
        <v>40</v>
      </c>
      <c r="C16" s="152"/>
      <c r="D16" s="153">
        <f>'DECEMBER 20'!H16:H36</f>
        <v>0</v>
      </c>
      <c r="E16" s="153"/>
      <c r="F16" s="153">
        <f t="shared" si="1"/>
        <v>0</v>
      </c>
      <c r="G16" s="154"/>
      <c r="H16" s="155">
        <f t="shared" si="0"/>
        <v>0</v>
      </c>
      <c r="I16" s="148"/>
      <c r="J16" s="148"/>
      <c r="K16" s="69"/>
      <c r="M16">
        <v>3850</v>
      </c>
    </row>
    <row r="17" spans="1:13" ht="15" customHeight="1" x14ac:dyDescent="0.3">
      <c r="A17" s="150" t="s">
        <v>77</v>
      </c>
      <c r="B17" s="163" t="s">
        <v>40</v>
      </c>
      <c r="C17" s="152"/>
      <c r="D17" s="153">
        <f>'DECEMBER 20'!H17:H37</f>
        <v>0</v>
      </c>
      <c r="E17" s="153"/>
      <c r="F17" s="153">
        <f t="shared" si="1"/>
        <v>0</v>
      </c>
      <c r="G17" s="154"/>
      <c r="H17" s="155">
        <f t="shared" si="0"/>
        <v>0</v>
      </c>
      <c r="I17" s="148"/>
      <c r="J17" s="148"/>
      <c r="K17" s="69"/>
      <c r="M17" s="65">
        <f>N15-M16</f>
        <v>36650</v>
      </c>
    </row>
    <row r="18" spans="1:13" ht="31.5" x14ac:dyDescent="0.3">
      <c r="A18" s="150" t="s">
        <v>78</v>
      </c>
      <c r="B18" s="165" t="s">
        <v>88</v>
      </c>
      <c r="C18" s="152"/>
      <c r="D18" s="153"/>
      <c r="E18" s="153">
        <v>5000</v>
      </c>
      <c r="F18" s="153">
        <f t="shared" si="1"/>
        <v>5000</v>
      </c>
      <c r="G18" s="154">
        <f>1000+1000+1000+1000</f>
        <v>4000</v>
      </c>
      <c r="H18" s="155">
        <f t="shared" si="0"/>
        <v>1000</v>
      </c>
      <c r="I18" s="148"/>
      <c r="J18" s="148"/>
      <c r="K18" s="69"/>
      <c r="M18">
        <v>38331</v>
      </c>
    </row>
    <row r="19" spans="1:13" ht="27" customHeight="1" x14ac:dyDescent="0.3">
      <c r="A19" s="150" t="s">
        <v>79</v>
      </c>
      <c r="B19" s="165" t="s">
        <v>148</v>
      </c>
      <c r="C19" s="152"/>
      <c r="D19" s="153"/>
      <c r="E19" s="153"/>
      <c r="F19" s="153">
        <f t="shared" si="1"/>
        <v>0</v>
      </c>
      <c r="G19" s="154"/>
      <c r="H19" s="155">
        <f t="shared" si="0"/>
        <v>0</v>
      </c>
      <c r="I19" s="148"/>
      <c r="J19" s="148"/>
      <c r="K19" s="69"/>
      <c r="M19" s="147"/>
    </row>
    <row r="20" spans="1:13" ht="18.75" x14ac:dyDescent="0.3">
      <c r="A20" s="150" t="s">
        <v>80</v>
      </c>
      <c r="B20" s="163" t="s">
        <v>40</v>
      </c>
      <c r="C20" s="152"/>
      <c r="D20" s="153">
        <f>'DECEMBER 20'!H20:H40</f>
        <v>0</v>
      </c>
      <c r="E20" s="153"/>
      <c r="F20" s="153">
        <f t="shared" si="1"/>
        <v>0</v>
      </c>
      <c r="G20" s="154"/>
      <c r="H20" s="155">
        <f>F20-G20</f>
        <v>0</v>
      </c>
      <c r="I20" s="175">
        <f>H13+H18+I34+I36+I40</f>
        <v>6500</v>
      </c>
      <c r="J20" s="148"/>
      <c r="K20" s="69"/>
      <c r="M20" t="s">
        <v>143</v>
      </c>
    </row>
    <row r="21" spans="1:13" ht="47.25" x14ac:dyDescent="0.3">
      <c r="A21" s="150" t="s">
        <v>81</v>
      </c>
      <c r="B21" s="165" t="s">
        <v>173</v>
      </c>
      <c r="C21" s="152">
        <v>2000</v>
      </c>
      <c r="D21" s="153"/>
      <c r="E21" s="153">
        <v>4000</v>
      </c>
      <c r="F21" s="153">
        <f t="shared" si="1"/>
        <v>6000</v>
      </c>
      <c r="G21" s="154">
        <f>4000+400</f>
        <v>4400</v>
      </c>
      <c r="H21" s="155">
        <f>F21-G21</f>
        <v>1600</v>
      </c>
      <c r="I21" s="148"/>
      <c r="J21" s="148"/>
      <c r="K21" s="69"/>
    </row>
    <row r="22" spans="1:13" ht="18.75" x14ac:dyDescent="0.3">
      <c r="A22" s="150" t="s">
        <v>82</v>
      </c>
      <c r="B22" s="163" t="s">
        <v>40</v>
      </c>
      <c r="C22" s="152"/>
      <c r="D22" s="153">
        <f>NOVEMBER20!H22:H41</f>
        <v>0</v>
      </c>
      <c r="E22" s="153"/>
      <c r="F22" s="153">
        <f t="shared" si="1"/>
        <v>0</v>
      </c>
      <c r="G22" s="154"/>
      <c r="H22" s="155">
        <f t="shared" si="0"/>
        <v>0</v>
      </c>
      <c r="I22" s="148"/>
      <c r="J22" s="148"/>
      <c r="K22" s="69"/>
    </row>
    <row r="23" spans="1:13" ht="18.75" x14ac:dyDescent="0.3">
      <c r="A23" s="150" t="s">
        <v>83</v>
      </c>
      <c r="B23" s="163" t="s">
        <v>40</v>
      </c>
      <c r="C23" s="152"/>
      <c r="D23" s="153">
        <f>NOVEMBER20!H23:H42</f>
        <v>0</v>
      </c>
      <c r="E23" s="153"/>
      <c r="F23" s="153">
        <f t="shared" si="1"/>
        <v>0</v>
      </c>
      <c r="G23" s="154"/>
      <c r="H23" s="155">
        <f t="shared" si="0"/>
        <v>0</v>
      </c>
      <c r="I23" s="148"/>
      <c r="J23" s="148"/>
      <c r="K23" s="69"/>
    </row>
    <row r="24" spans="1:13" ht="18.75" x14ac:dyDescent="0.3">
      <c r="A24" s="150" t="s">
        <v>84</v>
      </c>
      <c r="B24" s="165" t="s">
        <v>115</v>
      </c>
      <c r="C24" s="152"/>
      <c r="D24" s="153"/>
      <c r="E24" s="153"/>
      <c r="F24" s="153">
        <f t="shared" si="1"/>
        <v>0</v>
      </c>
      <c r="G24" s="154"/>
      <c r="H24" s="155">
        <f t="shared" si="0"/>
        <v>0</v>
      </c>
      <c r="I24" s="148"/>
      <c r="J24" s="148"/>
      <c r="K24" s="69"/>
    </row>
    <row r="25" spans="1:13" ht="18.75" x14ac:dyDescent="0.3">
      <c r="A25" s="150" t="s">
        <v>85</v>
      </c>
      <c r="B25" s="163" t="s">
        <v>40</v>
      </c>
      <c r="C25" s="152"/>
      <c r="D25" s="153">
        <f>NOVEMBER20!H25:H44</f>
        <v>0</v>
      </c>
      <c r="E25" s="153"/>
      <c r="F25" s="153">
        <f t="shared" si="1"/>
        <v>0</v>
      </c>
      <c r="G25" s="154"/>
      <c r="H25" s="155">
        <f t="shared" si="0"/>
        <v>0</v>
      </c>
      <c r="I25" s="148"/>
      <c r="J25" s="148"/>
      <c r="K25" s="69"/>
    </row>
    <row r="26" spans="1:13" ht="18.75" x14ac:dyDescent="0.3">
      <c r="A26" s="166"/>
      <c r="B26" s="45" t="s">
        <v>9</v>
      </c>
      <c r="C26" s="167">
        <f t="shared" ref="C26:H26" si="2">SUM(C6:C25)</f>
        <v>5000</v>
      </c>
      <c r="D26" s="153">
        <f t="shared" si="2"/>
        <v>0</v>
      </c>
      <c r="E26" s="168">
        <f t="shared" si="2"/>
        <v>16000</v>
      </c>
      <c r="F26" s="168">
        <f t="shared" si="2"/>
        <v>21000</v>
      </c>
      <c r="G26" s="169">
        <f t="shared" si="2"/>
        <v>14400</v>
      </c>
      <c r="H26" s="170">
        <f t="shared" si="2"/>
        <v>6600</v>
      </c>
      <c r="I26" s="148"/>
      <c r="J26" s="148"/>
      <c r="K26" s="69"/>
    </row>
    <row r="27" spans="1:13" ht="18.75" x14ac:dyDescent="0.3">
      <c r="A27" s="148"/>
      <c r="B27" s="148"/>
      <c r="C27" s="148"/>
      <c r="D27" s="4"/>
      <c r="E27" s="4" t="s">
        <v>28</v>
      </c>
      <c r="F27" s="4"/>
      <c r="G27" s="148"/>
      <c r="H27" s="148"/>
      <c r="I27" s="148"/>
      <c r="J27" s="148"/>
      <c r="K27" s="69"/>
    </row>
    <row r="28" spans="1:13" ht="18.75" x14ac:dyDescent="0.3">
      <c r="A28" s="150"/>
      <c r="B28" s="156"/>
      <c r="C28" s="152"/>
      <c r="D28" s="153">
        <f>'AUGUST 20'!I28:I44</f>
        <v>0</v>
      </c>
      <c r="E28" s="153"/>
      <c r="F28" s="153"/>
      <c r="G28" s="153" t="s">
        <v>6</v>
      </c>
      <c r="H28" s="153" t="s">
        <v>7</v>
      </c>
      <c r="I28" s="155" t="s">
        <v>15</v>
      </c>
      <c r="J28" s="148"/>
      <c r="K28" s="69"/>
    </row>
    <row r="29" spans="1:13" ht="26.25" customHeight="1" x14ac:dyDescent="0.3">
      <c r="A29" s="150" t="s">
        <v>43</v>
      </c>
      <c r="B29" s="156" t="s">
        <v>113</v>
      </c>
      <c r="C29" s="152">
        <f>'AUGUST 20'!I29:I44</f>
        <v>0</v>
      </c>
      <c r="D29" s="153">
        <f>'DECEMBER 20'!I29:I44</f>
        <v>0</v>
      </c>
      <c r="E29" s="153">
        <v>2500</v>
      </c>
      <c r="F29" s="153">
        <v>2000</v>
      </c>
      <c r="G29" s="153">
        <f>C28+D29+F29</f>
        <v>2000</v>
      </c>
      <c r="H29" s="153">
        <f>2000</f>
        <v>2000</v>
      </c>
      <c r="I29" s="155">
        <f t="shared" ref="I29:I44" si="3">G29-H29</f>
        <v>0</v>
      </c>
      <c r="J29" s="148"/>
      <c r="K29" s="69"/>
    </row>
    <row r="30" spans="1:13" ht="12.75" customHeight="1" x14ac:dyDescent="0.3">
      <c r="A30" s="150" t="s">
        <v>44</v>
      </c>
      <c r="B30" s="157" t="s">
        <v>138</v>
      </c>
      <c r="C30" s="152"/>
      <c r="D30" s="153">
        <f>'DECEMBER 20'!I30:I45</f>
        <v>0</v>
      </c>
      <c r="E30" s="153">
        <v>2500</v>
      </c>
      <c r="F30" s="153">
        <v>2000</v>
      </c>
      <c r="G30" s="153">
        <f>C29+D30+F30</f>
        <v>2000</v>
      </c>
      <c r="H30" s="158">
        <f>2000</f>
        <v>2000</v>
      </c>
      <c r="I30" s="155">
        <f t="shared" si="3"/>
        <v>0</v>
      </c>
      <c r="J30" s="148"/>
      <c r="K30" s="69"/>
    </row>
    <row r="31" spans="1:13" ht="22.5" customHeight="1" x14ac:dyDescent="0.3">
      <c r="A31" s="150" t="s">
        <v>45</v>
      </c>
      <c r="B31" s="156" t="s">
        <v>30</v>
      </c>
      <c r="C31" s="152"/>
      <c r="D31" s="153">
        <f>'DECEMBER 20'!I31:I46</f>
        <v>0</v>
      </c>
      <c r="E31" s="153">
        <v>2500</v>
      </c>
      <c r="F31" s="153">
        <v>2000</v>
      </c>
      <c r="G31" s="153">
        <f>C31+D31+F31</f>
        <v>2000</v>
      </c>
      <c r="H31" s="155">
        <f>500+1500</f>
        <v>2000</v>
      </c>
      <c r="I31" s="155">
        <f t="shared" si="3"/>
        <v>0</v>
      </c>
      <c r="J31" s="148"/>
      <c r="K31" s="69"/>
    </row>
    <row r="32" spans="1:13" ht="31.5" x14ac:dyDescent="0.3">
      <c r="A32" s="150" t="s">
        <v>46</v>
      </c>
      <c r="B32" s="156" t="s">
        <v>31</v>
      </c>
      <c r="C32" s="152"/>
      <c r="D32" s="153">
        <f>'DECEMBER 20'!I32:I47</f>
        <v>0</v>
      </c>
      <c r="E32" s="153">
        <v>2500</v>
      </c>
      <c r="F32" s="153">
        <v>2000</v>
      </c>
      <c r="G32" s="153">
        <f t="shared" ref="G32:G44" si="4">C32+D32+F32</f>
        <v>2000</v>
      </c>
      <c r="H32" s="154">
        <v>2000</v>
      </c>
      <c r="I32" s="155">
        <f t="shared" si="3"/>
        <v>0</v>
      </c>
      <c r="J32" s="148"/>
      <c r="K32" s="69"/>
    </row>
    <row r="33" spans="1:14" ht="31.5" x14ac:dyDescent="0.3">
      <c r="A33" s="150" t="s">
        <v>47</v>
      </c>
      <c r="B33" s="165" t="s">
        <v>32</v>
      </c>
      <c r="C33" s="152"/>
      <c r="D33" s="153">
        <f>'DECEMBER 20'!I33:I48</f>
        <v>0</v>
      </c>
      <c r="E33" s="153">
        <v>2500</v>
      </c>
      <c r="F33" s="153">
        <v>2000</v>
      </c>
      <c r="G33" s="153">
        <f>C33+D33+F33</f>
        <v>2000</v>
      </c>
      <c r="H33" s="164">
        <f>2000</f>
        <v>2000</v>
      </c>
      <c r="I33" s="155">
        <f>G33-H33</f>
        <v>0</v>
      </c>
      <c r="J33" s="148"/>
      <c r="K33" s="69"/>
    </row>
    <row r="34" spans="1:14" ht="31.5" x14ac:dyDescent="0.3">
      <c r="A34" s="150" t="s">
        <v>48</v>
      </c>
      <c r="B34" s="165" t="s">
        <v>37</v>
      </c>
      <c r="C34" s="152"/>
      <c r="D34" s="153">
        <f>'DECEMBER 20'!I34:I49</f>
        <v>1500</v>
      </c>
      <c r="E34" s="153">
        <v>2500</v>
      </c>
      <c r="F34" s="153">
        <v>2000</v>
      </c>
      <c r="G34" s="153">
        <f t="shared" si="4"/>
        <v>3500</v>
      </c>
      <c r="H34" s="154">
        <f>2000</f>
        <v>2000</v>
      </c>
      <c r="I34" s="155">
        <f t="shared" si="3"/>
        <v>1500</v>
      </c>
      <c r="J34" s="148"/>
      <c r="K34" s="69"/>
    </row>
    <row r="35" spans="1:14" ht="18.75" x14ac:dyDescent="0.3">
      <c r="A35" s="150" t="s">
        <v>49</v>
      </c>
      <c r="B35" s="165" t="s">
        <v>115</v>
      </c>
      <c r="C35" s="152"/>
      <c r="D35" s="153"/>
      <c r="E35" s="153">
        <v>2500</v>
      </c>
      <c r="F35" s="153"/>
      <c r="G35" s="153">
        <f t="shared" si="4"/>
        <v>0</v>
      </c>
      <c r="H35" s="154"/>
      <c r="I35" s="155">
        <f t="shared" si="3"/>
        <v>0</v>
      </c>
      <c r="J35" s="148"/>
      <c r="K35" s="69"/>
      <c r="L35" s="65"/>
    </row>
    <row r="36" spans="1:14" ht="31.5" x14ac:dyDescent="0.3">
      <c r="A36" s="150" t="s">
        <v>50</v>
      </c>
      <c r="B36" s="156" t="s">
        <v>33</v>
      </c>
      <c r="C36" s="152"/>
      <c r="D36" s="153">
        <f>'DECEMBER 20'!I36:I51</f>
        <v>1500</v>
      </c>
      <c r="E36" s="153">
        <v>2500</v>
      </c>
      <c r="F36" s="153">
        <v>2000</v>
      </c>
      <c r="G36" s="153">
        <f t="shared" si="4"/>
        <v>3500</v>
      </c>
      <c r="H36" s="154">
        <f>500+2000</f>
        <v>2500</v>
      </c>
      <c r="I36" s="155">
        <f t="shared" si="3"/>
        <v>1000</v>
      </c>
      <c r="J36" s="148"/>
      <c r="K36" s="69"/>
      <c r="L36" s="65"/>
      <c r="M36">
        <v>16000</v>
      </c>
    </row>
    <row r="37" spans="1:14" ht="27" customHeight="1" x14ac:dyDescent="0.3">
      <c r="A37" s="150" t="s">
        <v>51</v>
      </c>
      <c r="B37" s="156" t="s">
        <v>167</v>
      </c>
      <c r="C37" s="152"/>
      <c r="D37" s="153">
        <f>'DECEMBER 20'!I37:I52</f>
        <v>0</v>
      </c>
      <c r="E37" s="153">
        <v>2500</v>
      </c>
      <c r="F37" s="153">
        <v>2000</v>
      </c>
      <c r="G37" s="153">
        <f>C37+D37+F37</f>
        <v>2000</v>
      </c>
      <c r="H37" s="154">
        <f>2000</f>
        <v>2000</v>
      </c>
      <c r="I37" s="155">
        <f t="shared" si="3"/>
        <v>0</v>
      </c>
      <c r="J37" s="148"/>
      <c r="K37" s="69"/>
      <c r="L37" s="65"/>
    </row>
    <row r="38" spans="1:14" ht="28.5" customHeight="1" x14ac:dyDescent="0.3">
      <c r="A38" s="150" t="s">
        <v>52</v>
      </c>
      <c r="B38" s="165" t="s">
        <v>127</v>
      </c>
      <c r="C38" s="152"/>
      <c r="D38" s="153">
        <f>'DECEMBER 20'!I38:I53</f>
        <v>0</v>
      </c>
      <c r="E38" s="153"/>
      <c r="F38" s="153">
        <v>2500</v>
      </c>
      <c r="G38" s="153">
        <v>2500</v>
      </c>
      <c r="H38" s="154">
        <f>2500</f>
        <v>2500</v>
      </c>
      <c r="I38" s="155">
        <f t="shared" si="3"/>
        <v>0</v>
      </c>
      <c r="J38" s="148"/>
      <c r="K38" s="69"/>
      <c r="M38" t="s">
        <v>171</v>
      </c>
      <c r="N38" s="65"/>
    </row>
    <row r="39" spans="1:14" ht="36" customHeight="1" x14ac:dyDescent="0.3">
      <c r="A39" s="150" t="s">
        <v>57</v>
      </c>
      <c r="B39" s="156" t="s">
        <v>107</v>
      </c>
      <c r="C39" s="152"/>
      <c r="D39" s="153">
        <f>'DECEMBER 20'!I39:I54</f>
        <v>0</v>
      </c>
      <c r="E39" s="153"/>
      <c r="F39" s="153"/>
      <c r="G39" s="153">
        <f t="shared" si="4"/>
        <v>0</v>
      </c>
      <c r="H39" s="154"/>
      <c r="I39" s="155">
        <f t="shared" si="3"/>
        <v>0</v>
      </c>
      <c r="J39" s="148"/>
      <c r="K39" s="69"/>
      <c r="N39" s="65"/>
    </row>
    <row r="40" spans="1:14" ht="25.5" customHeight="1" x14ac:dyDescent="0.3">
      <c r="A40" s="150" t="s">
        <v>58</v>
      </c>
      <c r="B40" s="156" t="s">
        <v>151</v>
      </c>
      <c r="C40" s="152"/>
      <c r="D40" s="153">
        <f>'DECEMBER 20'!I40:I55</f>
        <v>1000</v>
      </c>
      <c r="E40" s="153">
        <v>2500</v>
      </c>
      <c r="F40" s="153">
        <v>2000</v>
      </c>
      <c r="G40" s="153">
        <f>C40+D40+F40</f>
        <v>3000</v>
      </c>
      <c r="H40" s="154">
        <v>1000</v>
      </c>
      <c r="I40" s="155">
        <f t="shared" si="3"/>
        <v>2000</v>
      </c>
      <c r="J40" s="148"/>
      <c r="K40" s="69"/>
      <c r="M40" t="s">
        <v>169</v>
      </c>
      <c r="N40" s="147"/>
    </row>
    <row r="41" spans="1:14" ht="37.5" customHeight="1" x14ac:dyDescent="0.3">
      <c r="A41" s="150" t="s">
        <v>59</v>
      </c>
      <c r="B41" s="156" t="s">
        <v>131</v>
      </c>
      <c r="C41" s="152"/>
      <c r="D41" s="153">
        <f>'DECEMBER 20'!I41:I56</f>
        <v>0</v>
      </c>
      <c r="E41" s="153">
        <v>2500</v>
      </c>
      <c r="F41" s="153">
        <v>2000</v>
      </c>
      <c r="G41" s="153">
        <f t="shared" si="4"/>
        <v>2000</v>
      </c>
      <c r="H41" s="154">
        <f>2000</f>
        <v>2000</v>
      </c>
      <c r="I41" s="155">
        <f t="shared" si="3"/>
        <v>0</v>
      </c>
      <c r="J41" s="148"/>
      <c r="K41" s="69"/>
      <c r="M41" t="s">
        <v>169</v>
      </c>
      <c r="N41" s="147"/>
    </row>
    <row r="42" spans="1:14" ht="24.75" customHeight="1" x14ac:dyDescent="0.3">
      <c r="A42" s="150" t="s">
        <v>60</v>
      </c>
      <c r="B42" s="156" t="s">
        <v>38</v>
      </c>
      <c r="C42" s="152"/>
      <c r="D42" s="153">
        <f>'DECEMBER 20'!I42:I57</f>
        <v>0</v>
      </c>
      <c r="E42" s="153">
        <v>2500</v>
      </c>
      <c r="F42" s="153">
        <v>2000</v>
      </c>
      <c r="G42" s="153">
        <f t="shared" si="4"/>
        <v>2000</v>
      </c>
      <c r="H42" s="154">
        <f>2000</f>
        <v>2000</v>
      </c>
      <c r="I42" s="155">
        <f t="shared" si="3"/>
        <v>0</v>
      </c>
      <c r="J42" s="148"/>
      <c r="K42" s="69"/>
      <c r="L42" s="65"/>
    </row>
    <row r="43" spans="1:14" ht="18.75" x14ac:dyDescent="0.3">
      <c r="A43" s="150" t="s">
        <v>61</v>
      </c>
      <c r="B43" s="156" t="s">
        <v>115</v>
      </c>
      <c r="C43" s="152"/>
      <c r="D43" s="153">
        <f>'DECEMBER 20'!I43:I58</f>
        <v>0</v>
      </c>
      <c r="E43" s="153"/>
      <c r="F43" s="153"/>
      <c r="G43" s="153">
        <f t="shared" si="4"/>
        <v>0</v>
      </c>
      <c r="H43" s="154"/>
      <c r="I43" s="155">
        <f t="shared" si="3"/>
        <v>0</v>
      </c>
      <c r="J43" s="148"/>
      <c r="K43" s="69"/>
    </row>
    <row r="44" spans="1:14" ht="18.75" x14ac:dyDescent="0.3">
      <c r="A44" s="150" t="s">
        <v>62</v>
      </c>
      <c r="B44" s="151" t="s">
        <v>115</v>
      </c>
      <c r="C44" s="152"/>
      <c r="D44" s="153">
        <f>'DECEMBER 20'!I44:I59</f>
        <v>0</v>
      </c>
      <c r="E44" s="153"/>
      <c r="F44" s="153"/>
      <c r="G44" s="153">
        <f t="shared" si="4"/>
        <v>0</v>
      </c>
      <c r="H44" s="154"/>
      <c r="I44" s="155">
        <f t="shared" si="3"/>
        <v>0</v>
      </c>
      <c r="J44" s="148"/>
      <c r="K44" s="69"/>
      <c r="L44" s="65"/>
    </row>
    <row r="45" spans="1:14" ht="18.75" x14ac:dyDescent="0.3">
      <c r="A45" s="166"/>
      <c r="B45" s="45" t="s">
        <v>9</v>
      </c>
      <c r="C45" s="167">
        <f>SUM(C28:C40)</f>
        <v>0</v>
      </c>
      <c r="D45" s="153">
        <f>SUM(D28:D44)</f>
        <v>4000</v>
      </c>
      <c r="E45" s="153">
        <f>SUM(E28:E44)</f>
        <v>30000</v>
      </c>
      <c r="F45" s="168">
        <f>SUM(F28:F44)</f>
        <v>24500</v>
      </c>
      <c r="G45" s="168">
        <f>SUM(G29:G44)</f>
        <v>28500</v>
      </c>
      <c r="H45" s="169">
        <f>SUM(H28:H44)</f>
        <v>24000</v>
      </c>
      <c r="I45" s="171">
        <f>SUM(I28:I44)</f>
        <v>4500</v>
      </c>
      <c r="J45" s="148"/>
      <c r="K45" s="69"/>
    </row>
    <row r="46" spans="1:14" ht="18.75" x14ac:dyDescent="0.3">
      <c r="A46" s="4" t="s">
        <v>10</v>
      </c>
      <c r="B46" s="172"/>
      <c r="C46" s="173"/>
      <c r="D46" s="172"/>
      <c r="E46" s="174"/>
      <c r="F46" s="172"/>
      <c r="G46" s="172"/>
      <c r="H46" s="148"/>
      <c r="I46" s="175"/>
      <c r="J46" s="148"/>
      <c r="K46" s="69"/>
      <c r="L46" s="65"/>
    </row>
    <row r="47" spans="1:14" ht="18.75" x14ac:dyDescent="0.3">
      <c r="A47" s="176" t="s">
        <v>11</v>
      </c>
      <c r="B47" s="176" t="s">
        <v>12</v>
      </c>
      <c r="C47" s="176" t="s">
        <v>13</v>
      </c>
      <c r="D47" s="176" t="s">
        <v>14</v>
      </c>
      <c r="E47" s="176"/>
      <c r="F47" s="176" t="s">
        <v>12</v>
      </c>
      <c r="G47" s="176"/>
      <c r="H47" s="176" t="s">
        <v>13</v>
      </c>
      <c r="I47" s="177" t="s">
        <v>15</v>
      </c>
      <c r="J47" s="148"/>
      <c r="K47" s="69"/>
    </row>
    <row r="48" spans="1:14" ht="18.75" x14ac:dyDescent="0.3">
      <c r="A48" s="157" t="s">
        <v>16</v>
      </c>
      <c r="B48" s="155">
        <f>F45+E26</f>
        <v>40500</v>
      </c>
      <c r="C48" s="158"/>
      <c r="D48" s="158"/>
      <c r="E48" s="158" t="s">
        <v>16</v>
      </c>
      <c r="F48" s="155">
        <f>H45+G26</f>
        <v>38400</v>
      </c>
      <c r="G48" s="155"/>
      <c r="H48" s="158"/>
      <c r="I48" s="155"/>
      <c r="J48" s="148"/>
      <c r="K48" s="69"/>
    </row>
    <row r="49" spans="1:11" ht="18.75" x14ac:dyDescent="0.3">
      <c r="A49" s="157" t="s">
        <v>17</v>
      </c>
      <c r="B49" s="178">
        <v>0.1</v>
      </c>
      <c r="C49" s="179">
        <f>B49*B48</f>
        <v>4050</v>
      </c>
      <c r="D49" s="157"/>
      <c r="E49" s="157" t="s">
        <v>155</v>
      </c>
      <c r="F49" s="178">
        <v>0.1</v>
      </c>
      <c r="G49" s="178"/>
      <c r="H49" s="179">
        <f>F49*B48</f>
        <v>4050</v>
      </c>
      <c r="I49" s="155"/>
      <c r="J49" s="148"/>
      <c r="K49" s="69"/>
    </row>
    <row r="50" spans="1:11" ht="23.25" customHeight="1" x14ac:dyDescent="0.3">
      <c r="A50" s="180" t="s">
        <v>226</v>
      </c>
      <c r="B50" s="179">
        <v>400</v>
      </c>
      <c r="C50" s="157"/>
      <c r="D50" s="157"/>
      <c r="E50" s="157" t="s">
        <v>158</v>
      </c>
      <c r="F50" s="179"/>
      <c r="G50" s="179"/>
      <c r="H50" s="157"/>
      <c r="I50" s="155"/>
      <c r="J50" s="148"/>
      <c r="K50" s="69"/>
    </row>
    <row r="51" spans="1:11" ht="1.5" hidden="1" customHeight="1" x14ac:dyDescent="0.3">
      <c r="A51" s="157"/>
      <c r="B51" s="178"/>
      <c r="C51" s="179"/>
      <c r="D51" s="157"/>
      <c r="E51" s="157"/>
      <c r="F51" s="178"/>
      <c r="G51" s="178"/>
      <c r="H51" s="179"/>
      <c r="I51" s="155"/>
      <c r="J51" s="148"/>
      <c r="K51" s="69"/>
    </row>
    <row r="52" spans="1:11" ht="20.25" customHeight="1" x14ac:dyDescent="0.3">
      <c r="A52" s="180" t="s">
        <v>198</v>
      </c>
      <c r="B52" s="179">
        <f>'DECEMBER 20'!D66</f>
        <v>-20229</v>
      </c>
      <c r="C52" s="148"/>
      <c r="D52" s="157"/>
      <c r="E52" s="157" t="s">
        <v>198</v>
      </c>
      <c r="F52" s="179">
        <f>'DECEMBER 20'!I66</f>
        <v>-24179</v>
      </c>
      <c r="G52" s="179"/>
      <c r="H52" s="157"/>
      <c r="I52" s="155"/>
      <c r="J52" s="148"/>
      <c r="K52" s="69"/>
    </row>
    <row r="53" spans="1:11" ht="18.75" hidden="1" x14ac:dyDescent="0.3">
      <c r="A53" s="180" t="s">
        <v>19</v>
      </c>
      <c r="B53" s="179">
        <f>'DECEMBER 20'!D66</f>
        <v>-20229</v>
      </c>
      <c r="C53" s="157"/>
      <c r="D53" s="157"/>
      <c r="E53" s="157" t="s">
        <v>19</v>
      </c>
      <c r="F53" s="179">
        <f>'DECEMBER 20'!I66</f>
        <v>-24179</v>
      </c>
      <c r="G53" s="179"/>
      <c r="H53" s="157"/>
      <c r="I53" s="155"/>
      <c r="J53" s="148"/>
      <c r="K53" s="69"/>
    </row>
    <row r="54" spans="1:11" ht="18.75" x14ac:dyDescent="0.3">
      <c r="A54" s="180" t="s">
        <v>9</v>
      </c>
      <c r="B54" s="179">
        <f>B48+B50+B52</f>
        <v>20671</v>
      </c>
      <c r="C54" s="157"/>
      <c r="D54" s="157"/>
      <c r="E54" s="157" t="s">
        <v>9</v>
      </c>
      <c r="F54" s="179">
        <f>F48+F50+F53+F51</f>
        <v>14221</v>
      </c>
      <c r="G54" s="179"/>
      <c r="H54" s="157"/>
      <c r="I54" s="155"/>
      <c r="J54" s="148"/>
      <c r="K54" s="69"/>
    </row>
    <row r="55" spans="1:11" ht="18.75" x14ac:dyDescent="0.3">
      <c r="A55" s="181" t="s">
        <v>20</v>
      </c>
      <c r="B55" s="178"/>
      <c r="C55" s="182"/>
      <c r="D55" s="157"/>
      <c r="E55" s="157"/>
      <c r="F55" s="181" t="s">
        <v>20</v>
      </c>
      <c r="G55" s="178"/>
      <c r="H55" s="182"/>
      <c r="I55" s="155"/>
      <c r="J55" s="148"/>
      <c r="K55" s="69"/>
    </row>
    <row r="56" spans="1:11" ht="18.75" x14ac:dyDescent="0.3">
      <c r="A56" s="180"/>
      <c r="B56" s="158"/>
      <c r="C56" s="183"/>
      <c r="D56" s="157"/>
      <c r="E56" s="157"/>
      <c r="F56" s="180"/>
      <c r="G56" s="158"/>
      <c r="H56" s="183"/>
      <c r="I56" s="157"/>
      <c r="J56" s="148"/>
      <c r="K56" s="69"/>
    </row>
    <row r="57" spans="1:11" ht="18.75" x14ac:dyDescent="0.3">
      <c r="A57" s="184" t="s">
        <v>191</v>
      </c>
      <c r="B57" s="158"/>
      <c r="C57" s="185">
        <v>20102</v>
      </c>
      <c r="D57" s="158"/>
      <c r="E57" s="158"/>
      <c r="F57" s="184" t="s">
        <v>191</v>
      </c>
      <c r="G57" s="148"/>
      <c r="H57" s="185">
        <v>20102</v>
      </c>
      <c r="I57" s="155"/>
      <c r="J57" s="148"/>
      <c r="K57" s="69"/>
    </row>
    <row r="58" spans="1:11" ht="18.75" x14ac:dyDescent="0.3">
      <c r="A58" s="184" t="s">
        <v>192</v>
      </c>
      <c r="B58" s="158"/>
      <c r="C58" s="185">
        <v>20102</v>
      </c>
      <c r="D58" s="158"/>
      <c r="E58" s="158"/>
      <c r="F58" s="184" t="s">
        <v>192</v>
      </c>
      <c r="G58" s="158"/>
      <c r="H58" s="185">
        <v>20102</v>
      </c>
      <c r="I58" s="155"/>
      <c r="J58" s="148"/>
      <c r="K58" s="69"/>
    </row>
    <row r="59" spans="1:11" ht="18.75" x14ac:dyDescent="0.3">
      <c r="A59" s="184" t="s">
        <v>197</v>
      </c>
      <c r="B59" s="158"/>
      <c r="C59" s="185">
        <v>20000</v>
      </c>
      <c r="D59" s="158"/>
      <c r="E59" s="158"/>
      <c r="F59" s="184" t="s">
        <v>197</v>
      </c>
      <c r="G59" s="158"/>
      <c r="H59" s="185">
        <v>20000</v>
      </c>
      <c r="I59" s="155"/>
      <c r="J59" s="148"/>
      <c r="K59" s="69"/>
    </row>
    <row r="60" spans="1:11" ht="18.75" x14ac:dyDescent="0.3">
      <c r="A60" s="184" t="s">
        <v>193</v>
      </c>
      <c r="B60" s="158"/>
      <c r="C60" s="185">
        <v>1522</v>
      </c>
      <c r="D60" s="158"/>
      <c r="E60" s="158"/>
      <c r="F60" s="184" t="s">
        <v>193</v>
      </c>
      <c r="G60" s="158"/>
      <c r="H60" s="185">
        <v>1522</v>
      </c>
      <c r="I60" s="155"/>
      <c r="J60" s="148"/>
      <c r="K60" s="69"/>
    </row>
    <row r="61" spans="1:11" ht="18.75" x14ac:dyDescent="0.3">
      <c r="A61" s="186" t="s">
        <v>9</v>
      </c>
      <c r="B61" s="187">
        <f>B48+B50+B52-C49</f>
        <v>16621</v>
      </c>
      <c r="C61" s="171">
        <f>SUM(C56:C60)</f>
        <v>61726</v>
      </c>
      <c r="D61" s="171">
        <f>B61-C61</f>
        <v>-45105</v>
      </c>
      <c r="E61" s="171"/>
      <c r="F61" s="187">
        <f>F48+F50+F52-H49</f>
        <v>10171</v>
      </c>
      <c r="G61" s="187"/>
      <c r="H61" s="171">
        <f>SUM(H56:H60)</f>
        <v>61726</v>
      </c>
      <c r="I61" s="171">
        <f>F61-H61</f>
        <v>-51555</v>
      </c>
      <c r="J61" s="148"/>
      <c r="K61" s="69"/>
    </row>
    <row r="62" spans="1:11" ht="18.75" x14ac:dyDescent="0.3">
      <c r="A62" s="148" t="s">
        <v>21</v>
      </c>
      <c r="B62" s="148"/>
      <c r="C62" s="148"/>
      <c r="D62" s="148" t="s">
        <v>22</v>
      </c>
      <c r="E62" s="148"/>
      <c r="F62" s="148"/>
      <c r="G62" s="148"/>
      <c r="H62" s="148" t="s">
        <v>23</v>
      </c>
      <c r="I62" s="175"/>
      <c r="J62" s="148"/>
      <c r="K62" s="69"/>
    </row>
    <row r="63" spans="1:11" ht="18.75" x14ac:dyDescent="0.3">
      <c r="A63" s="148" t="s">
        <v>194</v>
      </c>
      <c r="B63" s="148"/>
      <c r="C63" s="148"/>
      <c r="D63" s="148" t="s">
        <v>24</v>
      </c>
      <c r="E63" s="148"/>
      <c r="F63" s="148"/>
      <c r="G63" s="148"/>
      <c r="H63" s="148" t="s">
        <v>26</v>
      </c>
      <c r="I63" s="148"/>
      <c r="J63" s="148"/>
      <c r="K63" s="69"/>
    </row>
    <row r="64" spans="1:11" ht="18.75" x14ac:dyDescent="0.3">
      <c r="C64" s="65"/>
      <c r="J64" s="148"/>
      <c r="K64" s="69"/>
    </row>
    <row r="65" spans="1:11" ht="18.75" x14ac:dyDescent="0.3">
      <c r="K65" s="69"/>
    </row>
    <row r="66" spans="1:11" ht="18.75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69"/>
    </row>
    <row r="67" spans="1:11" x14ac:dyDescent="0.25">
      <c r="A67" s="2"/>
      <c r="B67" s="2"/>
      <c r="C67" s="2"/>
      <c r="D67" s="2"/>
      <c r="E67" s="2"/>
      <c r="F67" s="2"/>
      <c r="G67" s="21"/>
      <c r="H67" s="2"/>
      <c r="I67" s="2"/>
      <c r="J67" s="2"/>
    </row>
    <row r="68" spans="1:1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65">
        <f>I61+6500</f>
        <v>-45055</v>
      </c>
    </row>
    <row r="70" spans="1:11" x14ac:dyDescent="0.25">
      <c r="K70" s="65">
        <f>D61-K69</f>
        <v>-50</v>
      </c>
    </row>
  </sheetData>
  <pageMargins left="0" right="0" top="0" bottom="0" header="0" footer="0"/>
  <pageSetup paperSize="262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8" workbookViewId="0">
      <selection activeCell="C44" sqref="C44"/>
    </sheetView>
  </sheetViews>
  <sheetFormatPr defaultRowHeight="15" x14ac:dyDescent="0.25"/>
  <cols>
    <col min="2" max="2" width="13.7109375" customWidth="1"/>
    <col min="3" max="3" width="11.42578125" customWidth="1"/>
    <col min="5" max="5" width="13" customWidth="1"/>
    <col min="6" max="6" width="9.42578125" bestFit="1" customWidth="1"/>
  </cols>
  <sheetData>
    <row r="1" spans="1:12" ht="18.75" x14ac:dyDescent="0.3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  <c r="K1" s="69"/>
    </row>
    <row r="2" spans="1:12" ht="18.75" x14ac:dyDescent="0.3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  <c r="K2" s="69"/>
    </row>
    <row r="3" spans="1:12" x14ac:dyDescent="0.25">
      <c r="A3" s="2"/>
      <c r="B3" s="2"/>
      <c r="C3" s="6" t="s">
        <v>195</v>
      </c>
      <c r="D3" s="119"/>
      <c r="E3" s="119"/>
      <c r="F3" s="120"/>
      <c r="G3" s="120"/>
      <c r="H3" s="2"/>
      <c r="I3" s="2"/>
      <c r="J3" s="2"/>
      <c r="K3" s="2"/>
      <c r="L3" s="2"/>
    </row>
    <row r="4" spans="1:12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  <c r="K4" s="2"/>
      <c r="L4" s="2"/>
    </row>
    <row r="5" spans="1:12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2"/>
      <c r="J5" s="2"/>
      <c r="K5" s="2"/>
      <c r="L5" s="2"/>
    </row>
    <row r="6" spans="1:12" x14ac:dyDescent="0.25">
      <c r="A6" s="124" t="s">
        <v>66</v>
      </c>
      <c r="B6" s="188"/>
      <c r="C6" s="126"/>
      <c r="D6" s="127">
        <f>'JANUARY 21'!H6:H26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2"/>
      <c r="J6" s="2"/>
      <c r="K6" s="2"/>
      <c r="L6" s="2"/>
    </row>
    <row r="7" spans="1:12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v>3000</v>
      </c>
      <c r="H7" s="25">
        <f t="shared" si="0"/>
        <v>3000</v>
      </c>
      <c r="I7" s="2"/>
      <c r="J7" s="2"/>
      <c r="K7" s="2"/>
      <c r="L7" s="2"/>
    </row>
    <row r="8" spans="1:12" x14ac:dyDescent="0.25">
      <c r="A8" s="124" t="s">
        <v>67</v>
      </c>
      <c r="B8" s="24"/>
      <c r="C8" s="126"/>
      <c r="D8" s="127">
        <f>'JANUARY 21'!H8:H28</f>
        <v>0</v>
      </c>
      <c r="E8" s="127"/>
      <c r="F8" s="127">
        <f t="shared" si="1"/>
        <v>0</v>
      </c>
      <c r="G8" s="26"/>
      <c r="H8" s="25">
        <f t="shared" si="0"/>
        <v>0</v>
      </c>
      <c r="I8" s="2"/>
      <c r="J8" s="2"/>
      <c r="K8" s="2"/>
      <c r="L8" s="2"/>
    </row>
    <row r="9" spans="1:12" x14ac:dyDescent="0.25">
      <c r="A9" s="129" t="s">
        <v>72</v>
      </c>
      <c r="B9" s="189" t="s">
        <v>103</v>
      </c>
      <c r="C9" s="126"/>
      <c r="D9" s="127">
        <f>'JANUARY 21'!H9:H29</f>
        <v>0</v>
      </c>
      <c r="E9" s="127"/>
      <c r="F9" s="127">
        <f t="shared" si="1"/>
        <v>0</v>
      </c>
      <c r="G9" s="25"/>
      <c r="H9" s="25">
        <f t="shared" si="0"/>
        <v>0</v>
      </c>
      <c r="I9" s="2"/>
      <c r="J9" s="2"/>
      <c r="K9" s="2"/>
      <c r="L9" s="2"/>
    </row>
    <row r="10" spans="1:12" x14ac:dyDescent="0.25">
      <c r="A10" s="130" t="s">
        <v>68</v>
      </c>
      <c r="B10" s="188" t="s">
        <v>40</v>
      </c>
      <c r="C10" s="126"/>
      <c r="D10" s="127">
        <f>'JANUARY 21'!H10:H30</f>
        <v>0</v>
      </c>
      <c r="E10" s="127"/>
      <c r="F10" s="127">
        <f t="shared" si="1"/>
        <v>0</v>
      </c>
      <c r="G10" s="128"/>
      <c r="H10" s="25">
        <f t="shared" si="0"/>
        <v>0</v>
      </c>
      <c r="I10" s="2"/>
      <c r="J10" s="2"/>
      <c r="K10" s="2"/>
      <c r="L10" s="2"/>
    </row>
    <row r="11" spans="1:12" x14ac:dyDescent="0.25">
      <c r="A11" s="131" t="s">
        <v>73</v>
      </c>
      <c r="B11" s="190" t="s">
        <v>40</v>
      </c>
      <c r="C11" s="126"/>
      <c r="D11" s="127">
        <f>'JANUARY 21'!H11:H31</f>
        <v>0</v>
      </c>
      <c r="E11" s="127"/>
      <c r="F11" s="127">
        <f t="shared" si="1"/>
        <v>0</v>
      </c>
      <c r="G11" s="133"/>
      <c r="H11" s="25">
        <f t="shared" si="0"/>
        <v>0</v>
      </c>
      <c r="I11" s="2"/>
      <c r="J11" s="2"/>
      <c r="K11" s="2"/>
      <c r="L11" s="2"/>
    </row>
    <row r="12" spans="1:12" x14ac:dyDescent="0.25">
      <c r="A12" s="124" t="s">
        <v>69</v>
      </c>
      <c r="B12" s="190" t="s">
        <v>40</v>
      </c>
      <c r="C12" s="126"/>
      <c r="D12" s="127">
        <f>'JANUARY 21'!H12:H32</f>
        <v>0</v>
      </c>
      <c r="E12" s="127"/>
      <c r="F12" s="127">
        <f t="shared" si="1"/>
        <v>0</v>
      </c>
      <c r="G12" s="128"/>
      <c r="H12" s="25">
        <f t="shared" si="0"/>
        <v>0</v>
      </c>
      <c r="I12" s="2"/>
      <c r="J12" s="2"/>
      <c r="K12" s="2"/>
      <c r="L12" s="2"/>
    </row>
    <row r="13" spans="1:12" ht="30" x14ac:dyDescent="0.25">
      <c r="A13" s="124" t="s">
        <v>74</v>
      </c>
      <c r="B13" s="132" t="s">
        <v>87</v>
      </c>
      <c r="C13" s="126"/>
      <c r="D13" s="127">
        <f>'JANUARY 21'!H13:H33</f>
        <v>1000</v>
      </c>
      <c r="E13" s="127">
        <v>4000</v>
      </c>
      <c r="F13" s="127">
        <f t="shared" si="1"/>
        <v>5000</v>
      </c>
      <c r="G13" s="128">
        <f>3200</f>
        <v>3200</v>
      </c>
      <c r="H13" s="25">
        <f t="shared" si="0"/>
        <v>1800</v>
      </c>
      <c r="I13" s="2"/>
      <c r="J13" s="2"/>
      <c r="K13" s="2"/>
      <c r="L13" s="2"/>
    </row>
    <row r="14" spans="1:12" x14ac:dyDescent="0.25">
      <c r="A14" s="124" t="s">
        <v>70</v>
      </c>
      <c r="B14" s="190"/>
      <c r="C14" s="126"/>
      <c r="D14" s="127">
        <f>'JANUARY 21'!H14:H34</f>
        <v>0</v>
      </c>
      <c r="E14" s="127"/>
      <c r="F14" s="127"/>
      <c r="G14" s="128"/>
      <c r="H14" s="25"/>
      <c r="I14" s="2"/>
      <c r="J14" s="2"/>
      <c r="K14" s="2"/>
      <c r="L14" s="2"/>
    </row>
    <row r="15" spans="1:12" x14ac:dyDescent="0.25">
      <c r="A15" s="124" t="s">
        <v>75</v>
      </c>
      <c r="B15" s="190" t="s">
        <v>40</v>
      </c>
      <c r="C15" s="126"/>
      <c r="D15" s="127">
        <f>'JANUARY 21'!H15:H35</f>
        <v>0</v>
      </c>
      <c r="E15" s="127"/>
      <c r="F15" s="127">
        <f t="shared" si="1"/>
        <v>0</v>
      </c>
      <c r="G15" s="128"/>
      <c r="H15" s="25">
        <f t="shared" si="0"/>
        <v>0</v>
      </c>
      <c r="I15" s="2"/>
      <c r="J15" s="2"/>
      <c r="K15" s="2"/>
      <c r="L15" s="2"/>
    </row>
    <row r="16" spans="1:12" x14ac:dyDescent="0.25">
      <c r="A16" s="124" t="s">
        <v>76</v>
      </c>
      <c r="B16" s="190" t="s">
        <v>40</v>
      </c>
      <c r="C16" s="126"/>
      <c r="D16" s="127">
        <f>'JANUARY 21'!H16:H36</f>
        <v>0</v>
      </c>
      <c r="E16" s="127"/>
      <c r="F16" s="127">
        <f t="shared" si="1"/>
        <v>0</v>
      </c>
      <c r="G16" s="128"/>
      <c r="H16" s="25">
        <f t="shared" si="0"/>
        <v>0</v>
      </c>
      <c r="I16" s="2"/>
      <c r="J16" s="2"/>
      <c r="K16" s="2"/>
      <c r="L16" s="2"/>
    </row>
    <row r="17" spans="1:12" x14ac:dyDescent="0.25">
      <c r="A17" s="124" t="s">
        <v>77</v>
      </c>
      <c r="B17" s="190" t="s">
        <v>40</v>
      </c>
      <c r="C17" s="126"/>
      <c r="D17" s="127">
        <f>'JANUARY 21'!H17:H37</f>
        <v>0</v>
      </c>
      <c r="E17" s="127"/>
      <c r="F17" s="127">
        <f t="shared" si="1"/>
        <v>0</v>
      </c>
      <c r="G17" s="128"/>
      <c r="H17" s="25">
        <f t="shared" si="0"/>
        <v>0</v>
      </c>
      <c r="I17" s="2"/>
      <c r="J17" s="2"/>
      <c r="K17" s="2"/>
      <c r="L17" s="2"/>
    </row>
    <row r="18" spans="1:12" ht="30" x14ac:dyDescent="0.25">
      <c r="A18" s="124" t="s">
        <v>78</v>
      </c>
      <c r="B18" s="132" t="s">
        <v>88</v>
      </c>
      <c r="C18" s="126"/>
      <c r="D18" s="127">
        <f>'JANUARY 21'!H18:H38</f>
        <v>1000</v>
      </c>
      <c r="E18" s="127">
        <v>5000</v>
      </c>
      <c r="F18" s="127">
        <f t="shared" si="1"/>
        <v>6000</v>
      </c>
      <c r="G18" s="128">
        <f>4000</f>
        <v>4000</v>
      </c>
      <c r="H18" s="25">
        <f t="shared" si="0"/>
        <v>2000</v>
      </c>
      <c r="I18" s="2"/>
      <c r="J18" s="2"/>
      <c r="K18" s="2"/>
      <c r="L18" s="2"/>
    </row>
    <row r="19" spans="1:12" ht="30" x14ac:dyDescent="0.25">
      <c r="A19" s="124" t="s">
        <v>79</v>
      </c>
      <c r="B19" s="132" t="s">
        <v>148</v>
      </c>
      <c r="C19" s="126"/>
      <c r="D19" s="127">
        <f>'JANUARY 21'!H19:H39</f>
        <v>0</v>
      </c>
      <c r="E19" s="127"/>
      <c r="F19" s="127">
        <f t="shared" si="1"/>
        <v>0</v>
      </c>
      <c r="G19" s="128"/>
      <c r="H19" s="25">
        <f t="shared" si="0"/>
        <v>0</v>
      </c>
      <c r="I19" s="2"/>
      <c r="J19" s="2"/>
      <c r="K19" s="2"/>
      <c r="L19" s="2"/>
    </row>
    <row r="20" spans="1:12" x14ac:dyDescent="0.25">
      <c r="A20" s="124" t="s">
        <v>80</v>
      </c>
      <c r="B20" s="190" t="s">
        <v>40</v>
      </c>
      <c r="C20" s="126"/>
      <c r="D20" s="127">
        <f>'JANUARY 21'!H20:H40</f>
        <v>0</v>
      </c>
      <c r="E20" s="127"/>
      <c r="F20" s="127">
        <f t="shared" si="1"/>
        <v>0</v>
      </c>
      <c r="G20" s="128"/>
      <c r="H20" s="25">
        <f>F20-G20</f>
        <v>0</v>
      </c>
      <c r="I20" s="2"/>
      <c r="J20" s="2"/>
      <c r="K20" s="2"/>
      <c r="L20" s="2"/>
    </row>
    <row r="21" spans="1:12" ht="30" x14ac:dyDescent="0.25">
      <c r="A21" s="124" t="s">
        <v>81</v>
      </c>
      <c r="B21" s="132" t="s">
        <v>173</v>
      </c>
      <c r="C21" s="126">
        <v>1600</v>
      </c>
      <c r="D21" s="127"/>
      <c r="E21" s="127">
        <v>4000</v>
      </c>
      <c r="F21" s="127">
        <f t="shared" si="1"/>
        <v>5600</v>
      </c>
      <c r="G21" s="128">
        <f>4000</f>
        <v>4000</v>
      </c>
      <c r="H21" s="25">
        <f>F21-G21</f>
        <v>1600</v>
      </c>
      <c r="I21" s="2"/>
      <c r="J21" s="2"/>
      <c r="K21" s="2"/>
      <c r="L21" s="2"/>
    </row>
    <row r="22" spans="1:12" x14ac:dyDescent="0.25">
      <c r="A22" s="124" t="s">
        <v>82</v>
      </c>
      <c r="B22" s="190" t="s">
        <v>40</v>
      </c>
      <c r="C22" s="126"/>
      <c r="D22" s="127">
        <f>'JANUARY 21'!H22:H42</f>
        <v>0</v>
      </c>
      <c r="E22" s="127"/>
      <c r="F22" s="127">
        <f t="shared" si="1"/>
        <v>0</v>
      </c>
      <c r="G22" s="128"/>
      <c r="H22" s="25">
        <f t="shared" si="0"/>
        <v>0</v>
      </c>
      <c r="I22" s="2"/>
      <c r="J22" s="2"/>
      <c r="K22" s="2"/>
      <c r="L22" s="2"/>
    </row>
    <row r="23" spans="1:12" x14ac:dyDescent="0.25">
      <c r="A23" s="124" t="s">
        <v>83</v>
      </c>
      <c r="B23" s="190" t="s">
        <v>40</v>
      </c>
      <c r="C23" s="126"/>
      <c r="D23" s="127">
        <f>'JANUARY 21'!H23:H43</f>
        <v>0</v>
      </c>
      <c r="E23" s="127"/>
      <c r="F23" s="127">
        <f t="shared" si="1"/>
        <v>0</v>
      </c>
      <c r="G23" s="128"/>
      <c r="H23" s="25">
        <f t="shared" si="0"/>
        <v>0</v>
      </c>
      <c r="I23" s="2"/>
      <c r="J23" s="2"/>
      <c r="K23" s="2"/>
      <c r="L23" s="2"/>
    </row>
    <row r="24" spans="1:12" x14ac:dyDescent="0.25">
      <c r="A24" s="124" t="s">
        <v>84</v>
      </c>
      <c r="B24" s="132" t="s">
        <v>203</v>
      </c>
      <c r="C24" s="126"/>
      <c r="D24" s="127">
        <f>'JANUARY 21'!H24:H44</f>
        <v>0</v>
      </c>
      <c r="E24" s="127">
        <v>5000</v>
      </c>
      <c r="F24" s="127">
        <f t="shared" si="1"/>
        <v>5000</v>
      </c>
      <c r="G24" s="128">
        <v>5000</v>
      </c>
      <c r="H24" s="25">
        <f t="shared" si="0"/>
        <v>0</v>
      </c>
      <c r="I24" s="2"/>
      <c r="J24" s="2"/>
      <c r="K24" s="2"/>
      <c r="L24" s="2"/>
    </row>
    <row r="25" spans="1:12" x14ac:dyDescent="0.25">
      <c r="A25" s="124" t="s">
        <v>85</v>
      </c>
      <c r="B25" s="190" t="s">
        <v>40</v>
      </c>
      <c r="C25" s="126"/>
      <c r="D25" s="127">
        <f>'JANUARY 21'!H25:H45</f>
        <v>0</v>
      </c>
      <c r="E25" s="127"/>
      <c r="F25" s="127">
        <f t="shared" si="1"/>
        <v>0</v>
      </c>
      <c r="G25" s="128"/>
      <c r="H25" s="25">
        <f t="shared" si="0"/>
        <v>0</v>
      </c>
      <c r="I25" s="2"/>
      <c r="J25" s="2"/>
      <c r="K25" s="2"/>
      <c r="L25" s="2"/>
    </row>
    <row r="26" spans="1:12" x14ac:dyDescent="0.25">
      <c r="A26" s="135"/>
      <c r="B26" s="136" t="s">
        <v>9</v>
      </c>
      <c r="C26" s="137">
        <f t="shared" ref="C26:H26" si="2">SUM(C6:C25)</f>
        <v>4600</v>
      </c>
      <c r="D26" s="127">
        <f>SUM(D6:D25)</f>
        <v>2000</v>
      </c>
      <c r="E26" s="138">
        <f t="shared" si="2"/>
        <v>21000</v>
      </c>
      <c r="F26" s="138">
        <f t="shared" si="2"/>
        <v>27600</v>
      </c>
      <c r="G26" s="139">
        <f t="shared" si="2"/>
        <v>19200</v>
      </c>
      <c r="H26" s="140">
        <f t="shared" si="2"/>
        <v>8400</v>
      </c>
      <c r="I26" s="2"/>
      <c r="J26" s="21">
        <f>D19+D18+D13</f>
        <v>2000</v>
      </c>
      <c r="K26" s="2"/>
      <c r="L26" s="2"/>
    </row>
    <row r="27" spans="1:12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  <c r="K27" s="2"/>
      <c r="L27" s="2"/>
    </row>
    <row r="28" spans="1:12" x14ac:dyDescent="0.25">
      <c r="A28" s="124"/>
      <c r="B28" s="125"/>
      <c r="C28" s="126"/>
      <c r="D28" s="127">
        <f>'AUGUST 20'!I28:I44</f>
        <v>0</v>
      </c>
      <c r="E28" s="127"/>
      <c r="F28" s="127"/>
      <c r="G28" s="127" t="s">
        <v>6</v>
      </c>
      <c r="H28" s="127" t="s">
        <v>7</v>
      </c>
      <c r="I28" s="25" t="s">
        <v>15</v>
      </c>
      <c r="J28" s="2"/>
      <c r="K28" s="2"/>
      <c r="L28" s="2"/>
    </row>
    <row r="29" spans="1:12" ht="30" x14ac:dyDescent="0.25">
      <c r="A29" s="124" t="s">
        <v>43</v>
      </c>
      <c r="B29" s="125" t="s">
        <v>113</v>
      </c>
      <c r="C29" s="126">
        <f>'AUGUST 20'!I29:I44</f>
        <v>0</v>
      </c>
      <c r="D29" s="127">
        <f>'JANUARY 21'!I29:I45</f>
        <v>0</v>
      </c>
      <c r="E29" s="127"/>
      <c r="F29" s="127">
        <v>2000</v>
      </c>
      <c r="G29" s="127">
        <f>C28+D29+F29</f>
        <v>2000</v>
      </c>
      <c r="H29" s="127">
        <v>2000</v>
      </c>
      <c r="I29" s="25">
        <f t="shared" ref="I29:I44" si="3">G29-H29</f>
        <v>0</v>
      </c>
      <c r="J29" s="2"/>
      <c r="K29" s="2"/>
      <c r="L29" s="2"/>
    </row>
    <row r="30" spans="1:12" x14ac:dyDescent="0.25">
      <c r="A30" s="124" t="s">
        <v>44</v>
      </c>
      <c r="B30" s="24" t="s">
        <v>138</v>
      </c>
      <c r="C30" s="126"/>
      <c r="D30" s="127">
        <f>'JANUARY 21'!I30:I46</f>
        <v>0</v>
      </c>
      <c r="E30" s="127"/>
      <c r="F30" s="127">
        <v>2000</v>
      </c>
      <c r="G30" s="127">
        <f>C29+D30+F30</f>
        <v>2000</v>
      </c>
      <c r="H30" s="26">
        <f>2000</f>
        <v>2000</v>
      </c>
      <c r="I30" s="25">
        <f t="shared" si="3"/>
        <v>0</v>
      </c>
      <c r="J30" s="2"/>
      <c r="K30" s="2"/>
      <c r="L30" s="2"/>
    </row>
    <row r="31" spans="1:12" ht="30" x14ac:dyDescent="0.25">
      <c r="A31" s="124" t="s">
        <v>45</v>
      </c>
      <c r="B31" s="125" t="s">
        <v>30</v>
      </c>
      <c r="C31" s="126"/>
      <c r="D31" s="127">
        <f>'JANUARY 21'!I31:I47</f>
        <v>0</v>
      </c>
      <c r="E31" s="127"/>
      <c r="F31" s="127">
        <v>2000</v>
      </c>
      <c r="G31" s="127">
        <f t="shared" ref="G31:G37" si="4">C31+D31+F31</f>
        <v>2000</v>
      </c>
      <c r="H31" s="25">
        <f>1200+800</f>
        <v>2000</v>
      </c>
      <c r="I31" s="25">
        <f>G31-H31</f>
        <v>0</v>
      </c>
      <c r="J31" s="2"/>
      <c r="K31" s="2"/>
      <c r="L31" s="2"/>
    </row>
    <row r="32" spans="1:12" ht="30" x14ac:dyDescent="0.25">
      <c r="A32" s="124" t="s">
        <v>46</v>
      </c>
      <c r="B32" s="125" t="s">
        <v>31</v>
      </c>
      <c r="C32" s="126"/>
      <c r="D32" s="127">
        <f>'JANUARY 21'!I32:I48</f>
        <v>0</v>
      </c>
      <c r="E32" s="127"/>
      <c r="F32" s="127">
        <v>2000</v>
      </c>
      <c r="G32" s="127">
        <f t="shared" si="4"/>
        <v>2000</v>
      </c>
      <c r="H32" s="128">
        <f>2000</f>
        <v>2000</v>
      </c>
      <c r="I32" s="25">
        <f t="shared" si="3"/>
        <v>0</v>
      </c>
      <c r="J32" s="2"/>
      <c r="K32" s="2"/>
      <c r="L32" s="2"/>
    </row>
    <row r="33" spans="1:12" ht="30" x14ac:dyDescent="0.25">
      <c r="A33" s="124" t="s">
        <v>47</v>
      </c>
      <c r="B33" s="132" t="s">
        <v>199</v>
      </c>
      <c r="C33" s="126"/>
      <c r="D33" s="127">
        <f>'JANUARY 21'!I33:I49</f>
        <v>0</v>
      </c>
      <c r="E33" s="127"/>
      <c r="F33" s="127">
        <v>2000</v>
      </c>
      <c r="G33" s="127">
        <f t="shared" si="4"/>
        <v>2000</v>
      </c>
      <c r="H33" s="133">
        <v>2000</v>
      </c>
      <c r="I33" s="25">
        <f>G33-H33</f>
        <v>0</v>
      </c>
      <c r="J33" s="21"/>
      <c r="K33" s="2"/>
      <c r="L33" s="2"/>
    </row>
    <row r="34" spans="1:12" ht="30" x14ac:dyDescent="0.25">
      <c r="A34" s="124" t="s">
        <v>48</v>
      </c>
      <c r="B34" s="132" t="s">
        <v>37</v>
      </c>
      <c r="C34" s="126"/>
      <c r="D34" s="127">
        <f>'JANUARY 21'!I34:I50</f>
        <v>1500</v>
      </c>
      <c r="E34" s="127"/>
      <c r="F34" s="127">
        <v>2000</v>
      </c>
      <c r="G34" s="127">
        <f t="shared" si="4"/>
        <v>3500</v>
      </c>
      <c r="H34" s="128">
        <f>1500+500</f>
        <v>2000</v>
      </c>
      <c r="I34" s="25">
        <f t="shared" si="3"/>
        <v>1500</v>
      </c>
      <c r="J34" s="21"/>
      <c r="K34" s="2"/>
      <c r="L34" s="2"/>
    </row>
    <row r="35" spans="1:12" x14ac:dyDescent="0.25">
      <c r="A35" s="124" t="s">
        <v>49</v>
      </c>
      <c r="B35" s="132" t="s">
        <v>200</v>
      </c>
      <c r="C35" s="126"/>
      <c r="D35" s="127">
        <f>'JANUARY 21'!I35:I51</f>
        <v>0</v>
      </c>
      <c r="E35" s="127"/>
      <c r="F35" s="127">
        <v>2000</v>
      </c>
      <c r="G35" s="127">
        <f t="shared" si="4"/>
        <v>2000</v>
      </c>
      <c r="H35" s="128">
        <v>2000</v>
      </c>
      <c r="I35" s="25">
        <f t="shared" si="3"/>
        <v>0</v>
      </c>
      <c r="J35" s="2"/>
      <c r="K35" s="2"/>
      <c r="L35" s="2"/>
    </row>
    <row r="36" spans="1:12" ht="30" x14ac:dyDescent="0.25">
      <c r="A36" s="124" t="s">
        <v>50</v>
      </c>
      <c r="B36" s="125" t="s">
        <v>33</v>
      </c>
      <c r="C36" s="126"/>
      <c r="D36" s="127">
        <f>'JANUARY 21'!I36:I52</f>
        <v>1000</v>
      </c>
      <c r="E36" s="127"/>
      <c r="F36" s="127">
        <v>2000</v>
      </c>
      <c r="G36" s="127">
        <f t="shared" si="4"/>
        <v>3000</v>
      </c>
      <c r="H36" s="128">
        <f>2000</f>
        <v>2000</v>
      </c>
      <c r="I36" s="25">
        <f t="shared" si="3"/>
        <v>1000</v>
      </c>
      <c r="J36" s="2"/>
      <c r="K36" s="2"/>
      <c r="L36" s="2"/>
    </row>
    <row r="37" spans="1:12" ht="30" x14ac:dyDescent="0.25">
      <c r="A37" s="124" t="s">
        <v>51</v>
      </c>
      <c r="B37" s="125" t="s">
        <v>167</v>
      </c>
      <c r="C37" s="126"/>
      <c r="D37" s="127">
        <f>'JANUARY 21'!I37:I53</f>
        <v>0</v>
      </c>
      <c r="E37" s="127"/>
      <c r="F37" s="127">
        <v>2000</v>
      </c>
      <c r="G37" s="127">
        <f t="shared" si="4"/>
        <v>2000</v>
      </c>
      <c r="H37" s="128">
        <f>2000</f>
        <v>2000</v>
      </c>
      <c r="I37" s="25">
        <f t="shared" si="3"/>
        <v>0</v>
      </c>
      <c r="J37" s="2"/>
      <c r="K37" s="2"/>
      <c r="L37" s="2"/>
    </row>
    <row r="38" spans="1:12" ht="30" x14ac:dyDescent="0.25">
      <c r="A38" s="124" t="s">
        <v>52</v>
      </c>
      <c r="B38" s="132" t="s">
        <v>127</v>
      </c>
      <c r="C38" s="126"/>
      <c r="D38" s="127">
        <f>'JANUARY 21'!I38:I54</f>
        <v>0</v>
      </c>
      <c r="E38" s="127"/>
      <c r="F38" s="127">
        <v>2500</v>
      </c>
      <c r="G38" s="127">
        <v>2500</v>
      </c>
      <c r="H38" s="128">
        <f>2500</f>
        <v>2500</v>
      </c>
      <c r="I38" s="25">
        <f t="shared" si="3"/>
        <v>0</v>
      </c>
      <c r="J38" s="2"/>
      <c r="K38" s="2"/>
      <c r="L38" s="2"/>
    </row>
    <row r="39" spans="1:12" ht="45" x14ac:dyDescent="0.25">
      <c r="A39" s="124" t="s">
        <v>57</v>
      </c>
      <c r="B39" s="125" t="s">
        <v>107</v>
      </c>
      <c r="C39" s="126"/>
      <c r="D39" s="127">
        <f>'JANUARY 21'!I39:I55</f>
        <v>0</v>
      </c>
      <c r="E39" s="127"/>
      <c r="F39" s="127"/>
      <c r="G39" s="127">
        <f t="shared" ref="G39:G44" si="5">C39+D39+F39</f>
        <v>0</v>
      </c>
      <c r="H39" s="128"/>
      <c r="I39" s="25">
        <f t="shared" si="3"/>
        <v>0</v>
      </c>
      <c r="J39" s="2"/>
      <c r="K39" s="2"/>
      <c r="L39" s="2"/>
    </row>
    <row r="40" spans="1:12" x14ac:dyDescent="0.25">
      <c r="A40" s="124" t="s">
        <v>58</v>
      </c>
      <c r="B40" s="125" t="s">
        <v>151</v>
      </c>
      <c r="C40" s="126"/>
      <c r="D40" s="127">
        <f>'JANUARY 21'!I40:I56</f>
        <v>2000</v>
      </c>
      <c r="E40" s="127"/>
      <c r="F40" s="127">
        <v>2000</v>
      </c>
      <c r="G40" s="127">
        <f t="shared" si="5"/>
        <v>4000</v>
      </c>
      <c r="H40" s="128"/>
      <c r="I40" s="25">
        <f t="shared" si="3"/>
        <v>4000</v>
      </c>
      <c r="J40" s="2"/>
      <c r="K40" s="2"/>
      <c r="L40" s="2"/>
    </row>
    <row r="41" spans="1:12" ht="45" x14ac:dyDescent="0.25">
      <c r="A41" s="124" t="s">
        <v>59</v>
      </c>
      <c r="B41" s="125" t="s">
        <v>131</v>
      </c>
      <c r="C41" s="126"/>
      <c r="D41" s="127">
        <f>'JANUARY 21'!I41:I57</f>
        <v>0</v>
      </c>
      <c r="E41" s="127"/>
      <c r="F41" s="127">
        <v>2000</v>
      </c>
      <c r="G41" s="127">
        <f t="shared" si="5"/>
        <v>2000</v>
      </c>
      <c r="H41" s="128">
        <f>2000</f>
        <v>2000</v>
      </c>
      <c r="I41" s="25">
        <f t="shared" si="3"/>
        <v>0</v>
      </c>
      <c r="J41" s="2"/>
      <c r="K41" s="2"/>
      <c r="L41" s="2"/>
    </row>
    <row r="42" spans="1:12" ht="30" x14ac:dyDescent="0.25">
      <c r="A42" s="124" t="s">
        <v>60</v>
      </c>
      <c r="B42" s="125" t="s">
        <v>38</v>
      </c>
      <c r="C42" s="126"/>
      <c r="D42" s="127">
        <f>'JANUARY 21'!I42:I58</f>
        <v>0</v>
      </c>
      <c r="E42" s="127"/>
      <c r="F42" s="127">
        <v>2000</v>
      </c>
      <c r="G42" s="127">
        <f t="shared" si="5"/>
        <v>2000</v>
      </c>
      <c r="H42" s="128">
        <v>2000</v>
      </c>
      <c r="I42" s="25">
        <f t="shared" si="3"/>
        <v>0</v>
      </c>
      <c r="J42" s="2"/>
      <c r="K42" s="2"/>
      <c r="L42" s="2"/>
    </row>
    <row r="43" spans="1:12" ht="30" x14ac:dyDescent="0.25">
      <c r="A43" s="124" t="s">
        <v>61</v>
      </c>
      <c r="B43" s="125" t="s">
        <v>201</v>
      </c>
      <c r="C43" s="126"/>
      <c r="D43" s="127">
        <f>'JANUARY 21'!I43:I60</f>
        <v>0</v>
      </c>
      <c r="E43" s="127"/>
      <c r="F43" s="127">
        <v>2000</v>
      </c>
      <c r="G43" s="127">
        <f t="shared" si="5"/>
        <v>2000</v>
      </c>
      <c r="H43" s="128">
        <f>1000+1000</f>
        <v>2000</v>
      </c>
      <c r="I43" s="25">
        <f t="shared" si="3"/>
        <v>0</v>
      </c>
      <c r="J43" s="2"/>
      <c r="K43" s="2"/>
      <c r="L43" s="2"/>
    </row>
    <row r="44" spans="1:12" ht="30" x14ac:dyDescent="0.25">
      <c r="A44" s="124" t="s">
        <v>62</v>
      </c>
      <c r="B44" s="125" t="s">
        <v>202</v>
      </c>
      <c r="C44" s="126"/>
      <c r="D44" s="127">
        <f>'JANUARY 21'!I44:I61</f>
        <v>0</v>
      </c>
      <c r="E44" s="127"/>
      <c r="F44" s="127">
        <v>2000</v>
      </c>
      <c r="G44" s="127">
        <f t="shared" si="5"/>
        <v>2000</v>
      </c>
      <c r="H44" s="128">
        <f>500</f>
        <v>500</v>
      </c>
      <c r="I44" s="25">
        <f t="shared" si="3"/>
        <v>1500</v>
      </c>
      <c r="J44" s="2"/>
      <c r="K44" s="2"/>
      <c r="L44" s="2"/>
    </row>
    <row r="45" spans="1:12" x14ac:dyDescent="0.25">
      <c r="A45" s="135"/>
      <c r="B45" s="136" t="s">
        <v>9</v>
      </c>
      <c r="C45" s="137">
        <f>SUM(C28:C40)</f>
        <v>0</v>
      </c>
      <c r="D45" s="127">
        <f>'JANUARY 21'!I45:I62</f>
        <v>4500</v>
      </c>
      <c r="E45" s="127">
        <f>SUM(E28:E44)</f>
        <v>0</v>
      </c>
      <c r="F45" s="138">
        <f>SUM(F28:F44)</f>
        <v>30500</v>
      </c>
      <c r="G45" s="138">
        <f>SUM(G29:G44)</f>
        <v>35000</v>
      </c>
      <c r="H45" s="139">
        <f>SUM(H28:H44)</f>
        <v>27000</v>
      </c>
      <c r="I45" s="41">
        <f>SUM(I28:I44)</f>
        <v>8000</v>
      </c>
      <c r="J45" s="2"/>
      <c r="K45" s="2"/>
      <c r="L45" s="2"/>
    </row>
    <row r="46" spans="1:12" x14ac:dyDescent="0.25">
      <c r="A46" s="6" t="s">
        <v>10</v>
      </c>
      <c r="B46" s="141"/>
      <c r="C46" s="142"/>
      <c r="D46" s="141"/>
      <c r="E46" s="143"/>
      <c r="F46" s="141"/>
      <c r="G46" s="141"/>
      <c r="H46" s="2"/>
      <c r="I46" s="21"/>
      <c r="J46" s="2"/>
      <c r="K46" s="2"/>
      <c r="L46" s="2"/>
    </row>
    <row r="47" spans="1:12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H47" s="22" t="s">
        <v>13</v>
      </c>
      <c r="I47" s="23" t="s">
        <v>15</v>
      </c>
      <c r="J47" s="2"/>
      <c r="K47" s="2"/>
      <c r="L47" s="2"/>
    </row>
    <row r="48" spans="1:12" x14ac:dyDescent="0.25">
      <c r="A48" s="24" t="s">
        <v>196</v>
      </c>
      <c r="B48" s="25">
        <f>F45+E26</f>
        <v>51500</v>
      </c>
      <c r="C48" s="26"/>
      <c r="D48" s="26"/>
      <c r="E48" s="26" t="s">
        <v>196</v>
      </c>
      <c r="F48" s="25">
        <f>H45+G26</f>
        <v>46200</v>
      </c>
      <c r="G48" s="25"/>
      <c r="H48" s="26"/>
      <c r="I48" s="25"/>
      <c r="J48" s="2"/>
      <c r="K48" s="2"/>
      <c r="L48" s="2"/>
    </row>
    <row r="49" spans="1:14" x14ac:dyDescent="0.25">
      <c r="A49" s="24" t="s">
        <v>17</v>
      </c>
      <c r="B49" s="27">
        <v>0.1</v>
      </c>
      <c r="C49" s="28">
        <f>B49*B48</f>
        <v>5150</v>
      </c>
      <c r="D49" s="24"/>
      <c r="E49" s="24" t="s">
        <v>155</v>
      </c>
      <c r="F49" s="27">
        <v>0.1</v>
      </c>
      <c r="G49" s="27"/>
      <c r="H49" s="28">
        <f>F49*B48</f>
        <v>5150</v>
      </c>
      <c r="I49" s="25"/>
      <c r="J49" s="2"/>
      <c r="K49" s="2"/>
      <c r="L49" s="2"/>
    </row>
    <row r="50" spans="1:14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  <c r="K50" s="2"/>
      <c r="L50" s="2"/>
    </row>
    <row r="51" spans="1:14" x14ac:dyDescent="0.25">
      <c r="A51" s="24"/>
      <c r="B51" s="27"/>
      <c r="C51" s="28"/>
      <c r="D51" s="24"/>
      <c r="E51" s="24"/>
      <c r="F51" s="27"/>
      <c r="G51" s="27"/>
      <c r="H51" s="28"/>
      <c r="I51" s="25"/>
      <c r="J51" s="2"/>
      <c r="K51" s="2"/>
      <c r="L51" s="2"/>
      <c r="N51" s="65">
        <f>B48-C49</f>
        <v>46350</v>
      </c>
    </row>
    <row r="52" spans="1:14" x14ac:dyDescent="0.25">
      <c r="A52" s="29" t="s">
        <v>227</v>
      </c>
      <c r="B52" s="28"/>
      <c r="C52" s="2"/>
      <c r="D52" s="24"/>
      <c r="E52" s="24" t="s">
        <v>158</v>
      </c>
      <c r="F52" s="28"/>
      <c r="G52" s="28"/>
      <c r="H52" s="24"/>
      <c r="I52" s="25"/>
      <c r="J52" s="2"/>
      <c r="K52" s="2"/>
      <c r="L52" s="2"/>
      <c r="N52" s="65">
        <f>N51-20000</f>
        <v>26350</v>
      </c>
    </row>
    <row r="53" spans="1:14" x14ac:dyDescent="0.25">
      <c r="A53" s="29" t="s">
        <v>19</v>
      </c>
      <c r="B53" s="28">
        <f>'JANUARY 21'!D61</f>
        <v>-45105</v>
      </c>
      <c r="C53" s="24"/>
      <c r="D53" s="24"/>
      <c r="E53" s="24" t="s">
        <v>19</v>
      </c>
      <c r="F53" s="28">
        <f>'JANUARY 21'!I61</f>
        <v>-51555</v>
      </c>
      <c r="G53" s="28"/>
      <c r="H53" s="24"/>
      <c r="I53" s="25"/>
      <c r="J53" s="2"/>
      <c r="K53" s="2"/>
      <c r="L53" s="2"/>
      <c r="N53">
        <f>6350</f>
        <v>6350</v>
      </c>
    </row>
    <row r="54" spans="1:14" x14ac:dyDescent="0.25">
      <c r="A54" s="29" t="s">
        <v>9</v>
      </c>
      <c r="B54" s="28">
        <f>B48+B50+B53+B52</f>
        <v>6395</v>
      </c>
      <c r="C54" s="24"/>
      <c r="D54" s="24"/>
      <c r="E54" s="24" t="s">
        <v>9</v>
      </c>
      <c r="F54" s="28">
        <f>F48+F50+F53+F51</f>
        <v>-5355</v>
      </c>
      <c r="G54" s="28"/>
      <c r="H54" s="24"/>
      <c r="I54" s="25"/>
      <c r="J54" s="2"/>
      <c r="K54" s="2"/>
      <c r="L54" s="21"/>
      <c r="N54" s="65">
        <f>N52-N53</f>
        <v>20000</v>
      </c>
    </row>
    <row r="55" spans="1:14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"/>
      <c r="K55" s="2"/>
      <c r="L55" s="2"/>
    </row>
    <row r="56" spans="1:14" x14ac:dyDescent="0.25">
      <c r="A56" s="29" t="s">
        <v>204</v>
      </c>
      <c r="B56" s="26"/>
      <c r="C56" s="144">
        <v>5000</v>
      </c>
      <c r="D56" s="24"/>
      <c r="E56" s="29" t="s">
        <v>204</v>
      </c>
      <c r="F56" s="26"/>
      <c r="G56" s="144"/>
      <c r="H56" s="144">
        <v>5000</v>
      </c>
      <c r="I56" s="24"/>
      <c r="J56" s="2"/>
      <c r="K56" s="21">
        <f>H13+H18+I34+I36+I40+I44</f>
        <v>11800</v>
      </c>
      <c r="L56" s="2"/>
    </row>
    <row r="57" spans="1:14" x14ac:dyDescent="0.25">
      <c r="A57" s="145"/>
      <c r="B57" s="26"/>
      <c r="C57" s="146"/>
      <c r="D57" s="26"/>
      <c r="E57" s="26"/>
      <c r="F57" s="145"/>
      <c r="G57" s="2"/>
      <c r="H57" s="146"/>
      <c r="I57" s="25"/>
      <c r="J57" s="2"/>
      <c r="K57" s="21">
        <f>I60+K56</f>
        <v>-3705</v>
      </c>
      <c r="L57" s="2"/>
    </row>
    <row r="58" spans="1:14" x14ac:dyDescent="0.25">
      <c r="A58" s="145"/>
      <c r="B58" s="26"/>
      <c r="C58" s="146"/>
      <c r="D58" s="26"/>
      <c r="E58" s="26"/>
      <c r="F58" s="145"/>
      <c r="G58" s="26"/>
      <c r="H58" s="146"/>
      <c r="I58" s="25"/>
      <c r="J58" s="2"/>
      <c r="K58" s="2"/>
      <c r="L58" s="2"/>
    </row>
    <row r="59" spans="1:14" x14ac:dyDescent="0.25">
      <c r="A59" s="145"/>
      <c r="B59" s="26"/>
      <c r="C59" s="146"/>
      <c r="D59" s="26"/>
      <c r="E59" s="26"/>
      <c r="F59" s="145"/>
      <c r="G59" s="26"/>
      <c r="H59" s="146"/>
      <c r="I59" s="25"/>
      <c r="J59" s="2"/>
      <c r="K59" s="2"/>
      <c r="L59" s="2"/>
    </row>
    <row r="60" spans="1:14" x14ac:dyDescent="0.25">
      <c r="A60" s="39" t="s">
        <v>9</v>
      </c>
      <c r="B60" s="40">
        <f>B48+B50+B51+B52+B53-C49-C51</f>
        <v>1245</v>
      </c>
      <c r="C60" s="41">
        <f>SUM(C56:C59)</f>
        <v>5000</v>
      </c>
      <c r="D60" s="41">
        <f>B60-C60</f>
        <v>-3755</v>
      </c>
      <c r="E60" s="41"/>
      <c r="F60" s="40">
        <f>F48+F50+F53-H49-H51</f>
        <v>-10505</v>
      </c>
      <c r="G60" s="40"/>
      <c r="H60" s="41">
        <f>SUM(H56:H59)</f>
        <v>5000</v>
      </c>
      <c r="I60" s="41">
        <f>F60-H60</f>
        <v>-15505</v>
      </c>
      <c r="J60" s="2"/>
      <c r="K60" s="2"/>
      <c r="L60" s="2"/>
      <c r="M60">
        <f>100000-25000</f>
        <v>75000</v>
      </c>
    </row>
    <row r="61" spans="1:14" x14ac:dyDescent="0.25">
      <c r="A61" s="2" t="s">
        <v>21</v>
      </c>
      <c r="B61" s="2"/>
      <c r="C61" s="2"/>
      <c r="D61" s="2" t="s">
        <v>22</v>
      </c>
      <c r="E61" s="2"/>
      <c r="F61" s="2"/>
      <c r="G61" s="2"/>
      <c r="H61" s="2" t="s">
        <v>23</v>
      </c>
      <c r="I61" s="21"/>
      <c r="J61" s="2"/>
      <c r="K61" s="2"/>
      <c r="L61" s="2"/>
      <c r="M61">
        <v>10000</v>
      </c>
    </row>
    <row r="62" spans="1:14" x14ac:dyDescent="0.25">
      <c r="A62" s="2" t="s">
        <v>194</v>
      </c>
      <c r="B62" s="2"/>
      <c r="C62" s="2"/>
      <c r="D62" s="2" t="s">
        <v>24</v>
      </c>
      <c r="E62" s="2"/>
      <c r="F62" s="2"/>
      <c r="G62" s="2"/>
      <c r="H62" s="2" t="s">
        <v>26</v>
      </c>
      <c r="I62" s="2"/>
      <c r="J62" s="21"/>
      <c r="K62" s="2"/>
      <c r="L62" s="2"/>
      <c r="M62">
        <f>M60-M61</f>
        <v>65000</v>
      </c>
    </row>
    <row r="63" spans="1:1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25" workbookViewId="0">
      <selection activeCell="K39" sqref="K39"/>
    </sheetView>
  </sheetViews>
  <sheetFormatPr defaultRowHeight="15" x14ac:dyDescent="0.25"/>
  <sheetData>
    <row r="1" spans="1:15" ht="18.75" x14ac:dyDescent="0.3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  <c r="K1" s="69"/>
    </row>
    <row r="2" spans="1:15" ht="18.75" x14ac:dyDescent="0.3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  <c r="K2" s="69"/>
    </row>
    <row r="3" spans="1:15" x14ac:dyDescent="0.25">
      <c r="A3" s="2"/>
      <c r="B3" s="2"/>
      <c r="C3" s="6" t="s">
        <v>205</v>
      </c>
      <c r="D3" s="119"/>
      <c r="E3" s="119"/>
      <c r="F3" s="120"/>
      <c r="G3" s="120"/>
      <c r="H3" s="2"/>
      <c r="I3" s="2"/>
      <c r="J3" s="2"/>
      <c r="K3" s="2"/>
    </row>
    <row r="4" spans="1:15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  <c r="K4" s="2"/>
    </row>
    <row r="5" spans="1:15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123" t="s">
        <v>213</v>
      </c>
      <c r="J5" s="2"/>
      <c r="K5" s="2"/>
    </row>
    <row r="6" spans="1:15" x14ac:dyDescent="0.25">
      <c r="A6" s="124" t="s">
        <v>66</v>
      </c>
      <c r="B6" s="188"/>
      <c r="C6" s="126"/>
      <c r="D6" s="127">
        <f>'FEBRUARY 21'!H6:H25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128"/>
      <c r="J6" s="2"/>
      <c r="K6" s="2"/>
    </row>
    <row r="7" spans="1:15" ht="30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f>3000</f>
        <v>3000</v>
      </c>
      <c r="H7" s="25">
        <f t="shared" si="0"/>
        <v>3000</v>
      </c>
      <c r="I7" s="127"/>
      <c r="J7" s="2"/>
      <c r="K7" s="2"/>
    </row>
    <row r="8" spans="1:15" x14ac:dyDescent="0.25">
      <c r="A8" s="124" t="s">
        <v>67</v>
      </c>
      <c r="B8" s="24"/>
      <c r="C8" s="126"/>
      <c r="D8" s="127">
        <f>'FEBRUARY 21'!H8:H27</f>
        <v>0</v>
      </c>
      <c r="E8" s="127"/>
      <c r="F8" s="127">
        <f t="shared" si="1"/>
        <v>0</v>
      </c>
      <c r="G8" s="26"/>
      <c r="H8" s="25">
        <f t="shared" si="0"/>
        <v>0</v>
      </c>
      <c r="I8" s="26"/>
      <c r="J8" s="2"/>
      <c r="K8" s="2"/>
    </row>
    <row r="9" spans="1:15" x14ac:dyDescent="0.25">
      <c r="A9" s="129" t="s">
        <v>72</v>
      </c>
      <c r="B9" s="189" t="s">
        <v>103</v>
      </c>
      <c r="C9" s="126"/>
      <c r="D9" s="127">
        <f>'FEBRUARY 21'!H9:H28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  <c r="J9" s="2"/>
      <c r="K9" s="2"/>
      <c r="M9" s="65">
        <f>E26</f>
        <v>21000</v>
      </c>
    </row>
    <row r="10" spans="1:15" x14ac:dyDescent="0.25">
      <c r="A10" s="130" t="s">
        <v>68</v>
      </c>
      <c r="B10" s="188" t="s">
        <v>40</v>
      </c>
      <c r="C10" s="126"/>
      <c r="D10" s="127">
        <f>'FEBRUARY 21'!H10:H29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  <c r="J10" s="2"/>
      <c r="K10" s="2"/>
      <c r="M10" s="65">
        <f>F45</f>
        <v>30500</v>
      </c>
    </row>
    <row r="11" spans="1:15" x14ac:dyDescent="0.25">
      <c r="A11" s="131" t="s">
        <v>73</v>
      </c>
      <c r="B11" s="190" t="s">
        <v>40</v>
      </c>
      <c r="C11" s="126"/>
      <c r="D11" s="127">
        <f>'FEBRUARY 21'!H11:H30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  <c r="J11" s="2"/>
      <c r="K11" s="2"/>
      <c r="M11" s="65">
        <f>SUM(M9:M10)</f>
        <v>51500</v>
      </c>
    </row>
    <row r="12" spans="1:15" ht="13.5" customHeight="1" x14ac:dyDescent="0.25">
      <c r="A12" s="124" t="s">
        <v>69</v>
      </c>
      <c r="B12" s="190" t="s">
        <v>40</v>
      </c>
      <c r="C12" s="126"/>
      <c r="D12" s="127">
        <f>'FEBRUARY 21'!H12:H31</f>
        <v>0</v>
      </c>
      <c r="E12" s="127"/>
      <c r="F12" s="127">
        <f t="shared" si="1"/>
        <v>0</v>
      </c>
      <c r="G12" s="128"/>
      <c r="H12" s="25">
        <f t="shared" si="0"/>
        <v>0</v>
      </c>
      <c r="I12" s="128"/>
      <c r="J12" s="2"/>
      <c r="K12" s="2" t="s">
        <v>206</v>
      </c>
      <c r="M12" s="65">
        <f>C49</f>
        <v>5150</v>
      </c>
    </row>
    <row r="13" spans="1:15" ht="33.75" customHeight="1" x14ac:dyDescent="0.25">
      <c r="A13" s="124" t="s">
        <v>74</v>
      </c>
      <c r="B13" s="132" t="s">
        <v>87</v>
      </c>
      <c r="C13" s="126"/>
      <c r="D13" s="127">
        <f>'FEBRUARY 21'!H13:H32</f>
        <v>1800</v>
      </c>
      <c r="E13" s="127">
        <v>4000</v>
      </c>
      <c r="F13" s="127">
        <f t="shared" si="1"/>
        <v>5800</v>
      </c>
      <c r="G13" s="128">
        <f>400+1500+1300+1300+1300</f>
        <v>5800</v>
      </c>
      <c r="H13" s="25">
        <f t="shared" si="0"/>
        <v>0</v>
      </c>
      <c r="I13" s="128">
        <v>2400</v>
      </c>
      <c r="J13" s="2"/>
      <c r="K13" s="2"/>
      <c r="M13" s="65">
        <f>M11-M12</f>
        <v>46350</v>
      </c>
      <c r="O13" s="65">
        <f>M13+845</f>
        <v>47195</v>
      </c>
    </row>
    <row r="14" spans="1:15" x14ac:dyDescent="0.25">
      <c r="A14" s="124" t="s">
        <v>70</v>
      </c>
      <c r="B14" s="190"/>
      <c r="C14" s="126"/>
      <c r="D14" s="127">
        <f>'FEBRUARY 21'!H14:H33</f>
        <v>0</v>
      </c>
      <c r="E14" s="127"/>
      <c r="F14" s="127"/>
      <c r="G14" s="128"/>
      <c r="H14" s="25"/>
      <c r="I14" s="128"/>
      <c r="J14" s="2"/>
      <c r="K14" s="2" t="s">
        <v>207</v>
      </c>
      <c r="M14">
        <v>5000</v>
      </c>
      <c r="O14" s="65">
        <f>O13-M14</f>
        <v>42195</v>
      </c>
    </row>
    <row r="15" spans="1:15" x14ac:dyDescent="0.25">
      <c r="A15" s="124" t="s">
        <v>75</v>
      </c>
      <c r="B15" s="190" t="s">
        <v>40</v>
      </c>
      <c r="C15" s="126"/>
      <c r="D15" s="127">
        <f>'FEBRUARY 21'!H15:H34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  <c r="J15" s="2"/>
      <c r="K15" s="2"/>
    </row>
    <row r="16" spans="1:15" x14ac:dyDescent="0.25">
      <c r="A16" s="124" t="s">
        <v>76</v>
      </c>
      <c r="B16" s="190" t="s">
        <v>40</v>
      </c>
      <c r="C16" s="126"/>
      <c r="D16" s="127">
        <f>'FEBRUARY 21'!H16:H35</f>
        <v>0</v>
      </c>
      <c r="E16" s="127"/>
      <c r="F16" s="127">
        <f t="shared" si="1"/>
        <v>0</v>
      </c>
      <c r="G16" s="128"/>
      <c r="H16" s="25">
        <f>F16-G16</f>
        <v>0</v>
      </c>
      <c r="I16" s="128"/>
      <c r="J16" s="2"/>
      <c r="K16" s="2" t="s">
        <v>208</v>
      </c>
      <c r="M16" s="65">
        <f>M13-M14</f>
        <v>41350</v>
      </c>
    </row>
    <row r="17" spans="1:11" x14ac:dyDescent="0.25">
      <c r="A17" s="124" t="s">
        <v>77</v>
      </c>
      <c r="B17" s="190" t="s">
        <v>40</v>
      </c>
      <c r="C17" s="126"/>
      <c r="D17" s="127">
        <f>'FEBRUARY 21'!H17:H36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J17" s="2"/>
      <c r="K17" s="2"/>
    </row>
    <row r="18" spans="1:11" ht="30" x14ac:dyDescent="0.25">
      <c r="A18" s="124" t="s">
        <v>78</v>
      </c>
      <c r="B18" s="132" t="s">
        <v>88</v>
      </c>
      <c r="C18" s="126"/>
      <c r="D18" s="127">
        <f>'FEBRUARY 21'!H18:H37</f>
        <v>2000</v>
      </c>
      <c r="E18" s="127">
        <v>5000</v>
      </c>
      <c r="F18" s="127">
        <f t="shared" si="1"/>
        <v>7000</v>
      </c>
      <c r="G18" s="128">
        <v>7000</v>
      </c>
      <c r="H18" s="25">
        <f t="shared" si="0"/>
        <v>0</v>
      </c>
      <c r="I18" s="128"/>
      <c r="J18" s="2"/>
      <c r="K18" s="2"/>
    </row>
    <row r="19" spans="1:11" ht="29.25" customHeight="1" x14ac:dyDescent="0.25">
      <c r="A19" s="124" t="s">
        <v>79</v>
      </c>
      <c r="B19" s="132" t="s">
        <v>148</v>
      </c>
      <c r="C19" s="126"/>
      <c r="D19" s="127">
        <f>'FEBRUARY 21'!H19:H38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J19" s="2"/>
      <c r="K19" s="2"/>
    </row>
    <row r="20" spans="1:11" x14ac:dyDescent="0.25">
      <c r="A20" s="124" t="s">
        <v>80</v>
      </c>
      <c r="B20" s="190" t="s">
        <v>40</v>
      </c>
      <c r="C20" s="126"/>
      <c r="D20" s="127">
        <f>'FEBRUARY 21'!H20:H39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J20" s="2"/>
      <c r="K20" s="2"/>
    </row>
    <row r="21" spans="1:11" ht="42.75" customHeight="1" x14ac:dyDescent="0.25">
      <c r="A21" s="124" t="s">
        <v>81</v>
      </c>
      <c r="B21" s="132" t="s">
        <v>173</v>
      </c>
      <c r="C21" s="126">
        <v>1000</v>
      </c>
      <c r="D21" s="127"/>
      <c r="E21" s="127">
        <v>4000</v>
      </c>
      <c r="F21" s="127">
        <f>C21+D21+E21</f>
        <v>5000</v>
      </c>
      <c r="G21" s="128">
        <f>2000</f>
        <v>2000</v>
      </c>
      <c r="H21" s="25">
        <f>F21-G21</f>
        <v>3000</v>
      </c>
      <c r="I21" s="128"/>
      <c r="J21" s="2"/>
      <c r="K21" s="2"/>
    </row>
    <row r="22" spans="1:11" x14ac:dyDescent="0.25">
      <c r="A22" s="124" t="s">
        <v>82</v>
      </c>
      <c r="B22" s="190" t="s">
        <v>40</v>
      </c>
      <c r="C22" s="126"/>
      <c r="D22" s="127">
        <f>'JANUARY 21'!H22:H42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J22" s="2"/>
      <c r="K22" s="2"/>
    </row>
    <row r="23" spans="1:11" x14ac:dyDescent="0.25">
      <c r="A23" s="124" t="s">
        <v>83</v>
      </c>
      <c r="B23" s="190" t="s">
        <v>40</v>
      </c>
      <c r="C23" s="126"/>
      <c r="D23" s="127">
        <f>'JANUARY 21'!H23:H43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J23" s="2"/>
      <c r="K23" s="2"/>
    </row>
    <row r="24" spans="1:11" x14ac:dyDescent="0.25">
      <c r="A24" s="124" t="s">
        <v>84</v>
      </c>
      <c r="B24" s="132" t="s">
        <v>203</v>
      </c>
      <c r="C24" s="126">
        <v>5000</v>
      </c>
      <c r="D24" s="127">
        <f>'JANUARY 21'!H24:H44</f>
        <v>0</v>
      </c>
      <c r="E24" s="127">
        <v>5000</v>
      </c>
      <c r="F24" s="127">
        <f t="shared" si="1"/>
        <v>10000</v>
      </c>
      <c r="G24" s="128">
        <f>2000+3000</f>
        <v>5000</v>
      </c>
      <c r="H24" s="25">
        <f t="shared" si="0"/>
        <v>5000</v>
      </c>
      <c r="I24" s="128">
        <v>200</v>
      </c>
      <c r="J24" s="2"/>
      <c r="K24" s="2"/>
    </row>
    <row r="25" spans="1:11" x14ac:dyDescent="0.25">
      <c r="A25" s="124" t="s">
        <v>85</v>
      </c>
      <c r="B25" s="190" t="s">
        <v>40</v>
      </c>
      <c r="C25" s="126"/>
      <c r="D25" s="127">
        <f>'JANUARY 21'!H25:H45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J25" s="2"/>
      <c r="K25" s="2"/>
    </row>
    <row r="26" spans="1:11" x14ac:dyDescent="0.25">
      <c r="A26" s="135"/>
      <c r="B26" s="136" t="s">
        <v>9</v>
      </c>
      <c r="C26" s="137">
        <f t="shared" ref="C26:H26" si="2">SUM(C6:C25)</f>
        <v>9000</v>
      </c>
      <c r="D26" s="127">
        <f>SUM(D6:D25)</f>
        <v>3800</v>
      </c>
      <c r="E26" s="138">
        <f t="shared" si="2"/>
        <v>21000</v>
      </c>
      <c r="F26" s="138">
        <f t="shared" si="2"/>
        <v>33800</v>
      </c>
      <c r="G26" s="139">
        <f t="shared" si="2"/>
        <v>22800</v>
      </c>
      <c r="H26" s="140">
        <f t="shared" si="2"/>
        <v>11000</v>
      </c>
      <c r="I26" s="139">
        <f>SUM(I6:I25)</f>
        <v>2600</v>
      </c>
      <c r="J26" s="21">
        <f>D19+D18+D13</f>
        <v>3800</v>
      </c>
      <c r="K26" s="2"/>
    </row>
    <row r="27" spans="1:11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  <c r="K27" s="2"/>
    </row>
    <row r="28" spans="1:11" x14ac:dyDescent="0.25">
      <c r="A28" s="124"/>
      <c r="B28" s="125"/>
      <c r="C28" s="126"/>
      <c r="D28" s="127"/>
      <c r="E28" s="127"/>
      <c r="F28" s="127"/>
      <c r="G28" s="127" t="s">
        <v>6</v>
      </c>
      <c r="H28" s="127" t="s">
        <v>7</v>
      </c>
      <c r="I28" s="25" t="s">
        <v>15</v>
      </c>
      <c r="J28" s="2"/>
      <c r="K28" s="2"/>
    </row>
    <row r="29" spans="1:11" ht="45" x14ac:dyDescent="0.25">
      <c r="A29" s="124" t="s">
        <v>43</v>
      </c>
      <c r="B29" s="125" t="s">
        <v>113</v>
      </c>
      <c r="C29" s="126">
        <f>'AUGUST 20'!I29:I44</f>
        <v>0</v>
      </c>
      <c r="D29" s="127">
        <f>'FEBRUARY 21'!I29:I49</f>
        <v>0</v>
      </c>
      <c r="E29" s="127">
        <v>2500</v>
      </c>
      <c r="F29" s="127">
        <v>2000</v>
      </c>
      <c r="G29" s="127">
        <f>C28+D29+F29</f>
        <v>2000</v>
      </c>
      <c r="H29" s="127">
        <f>2000</f>
        <v>2000</v>
      </c>
      <c r="I29" s="25">
        <f t="shared" ref="I29:I44" si="3">G29-H29</f>
        <v>0</v>
      </c>
      <c r="J29" s="2"/>
      <c r="K29" s="2"/>
    </row>
    <row r="30" spans="1:11" x14ac:dyDescent="0.25">
      <c r="A30" s="124" t="s">
        <v>44</v>
      </c>
      <c r="B30" s="24" t="s">
        <v>138</v>
      </c>
      <c r="C30" s="126"/>
      <c r="D30" s="127">
        <f>'FEBRUARY 21'!I30:I50</f>
        <v>0</v>
      </c>
      <c r="E30" s="127">
        <v>2500</v>
      </c>
      <c r="F30" s="127">
        <v>2000</v>
      </c>
      <c r="G30" s="127">
        <f>C29+D30+F30</f>
        <v>2000</v>
      </c>
      <c r="H30" s="26">
        <f>2000</f>
        <v>2000</v>
      </c>
      <c r="I30" s="25">
        <f t="shared" si="3"/>
        <v>0</v>
      </c>
      <c r="J30" s="2"/>
      <c r="K30" s="2"/>
    </row>
    <row r="31" spans="1:11" ht="45" x14ac:dyDescent="0.25">
      <c r="A31" s="124" t="s">
        <v>45</v>
      </c>
      <c r="B31" s="125" t="s">
        <v>30</v>
      </c>
      <c r="C31" s="126"/>
      <c r="D31" s="127">
        <f>'FEBRUARY 21'!I31:I51</f>
        <v>0</v>
      </c>
      <c r="E31" s="127">
        <v>2500</v>
      </c>
      <c r="F31" s="127">
        <v>2000</v>
      </c>
      <c r="G31" s="127">
        <f>C31+D31+F31</f>
        <v>2000</v>
      </c>
      <c r="H31" s="25">
        <v>2000</v>
      </c>
      <c r="I31" s="25">
        <f>G31-H31</f>
        <v>0</v>
      </c>
      <c r="J31" s="2"/>
      <c r="K31" s="2"/>
    </row>
    <row r="32" spans="1:11" ht="30" x14ac:dyDescent="0.25">
      <c r="A32" s="124" t="s">
        <v>46</v>
      </c>
      <c r="B32" s="125" t="s">
        <v>31</v>
      </c>
      <c r="C32" s="126"/>
      <c r="D32" s="127">
        <f>'FEBRUARY 21'!I32:I52</f>
        <v>0</v>
      </c>
      <c r="E32" s="127">
        <v>2500</v>
      </c>
      <c r="F32" s="127">
        <v>2000</v>
      </c>
      <c r="G32" s="127">
        <f t="shared" ref="G32:G44" si="4">C32+D32+F32</f>
        <v>2000</v>
      </c>
      <c r="H32" s="128">
        <f>2000</f>
        <v>2000</v>
      </c>
      <c r="I32" s="25">
        <f t="shared" si="3"/>
        <v>0</v>
      </c>
      <c r="J32" s="21"/>
      <c r="K32" s="2"/>
    </row>
    <row r="33" spans="1:11" ht="45" x14ac:dyDescent="0.25">
      <c r="A33" s="124" t="s">
        <v>47</v>
      </c>
      <c r="B33" s="132" t="s">
        <v>199</v>
      </c>
      <c r="C33" s="126"/>
      <c r="D33" s="127">
        <f>'FEBRUARY 21'!I33:I53</f>
        <v>0</v>
      </c>
      <c r="E33" s="127">
        <v>2500</v>
      </c>
      <c r="F33" s="127">
        <v>2000</v>
      </c>
      <c r="G33" s="127">
        <f>C33+D33+F33</f>
        <v>2000</v>
      </c>
      <c r="H33" s="133">
        <f>2000</f>
        <v>2000</v>
      </c>
      <c r="I33" s="25">
        <f>G33-H33</f>
        <v>0</v>
      </c>
      <c r="J33" s="21"/>
      <c r="K33" s="2"/>
    </row>
    <row r="34" spans="1:11" ht="45" x14ac:dyDescent="0.25">
      <c r="A34" s="124" t="s">
        <v>48</v>
      </c>
      <c r="B34" s="132" t="s">
        <v>37</v>
      </c>
      <c r="C34" s="126"/>
      <c r="D34" s="127">
        <f>'FEBRUARY 21'!I34:I54</f>
        <v>1500</v>
      </c>
      <c r="E34" s="127">
        <v>2500</v>
      </c>
      <c r="F34" s="127">
        <v>2000</v>
      </c>
      <c r="G34" s="127">
        <f t="shared" si="4"/>
        <v>3500</v>
      </c>
      <c r="H34" s="128">
        <f>1850</f>
        <v>1850</v>
      </c>
      <c r="I34" s="25">
        <f t="shared" si="3"/>
        <v>1650</v>
      </c>
      <c r="J34" s="21"/>
      <c r="K34" s="21">
        <f>2000-H34</f>
        <v>150</v>
      </c>
    </row>
    <row r="35" spans="1:11" ht="45.75" customHeight="1" x14ac:dyDescent="0.25">
      <c r="A35" s="124" t="s">
        <v>49</v>
      </c>
      <c r="B35" s="132" t="s">
        <v>211</v>
      </c>
      <c r="C35" s="126"/>
      <c r="D35" s="127">
        <f>'FEBRUARY 21'!I35:I55</f>
        <v>0</v>
      </c>
      <c r="E35" s="127">
        <v>2500</v>
      </c>
      <c r="F35" s="127">
        <v>2000</v>
      </c>
      <c r="G35" s="127">
        <f t="shared" si="4"/>
        <v>2000</v>
      </c>
      <c r="H35" s="128">
        <f>2000</f>
        <v>2000</v>
      </c>
      <c r="I35" s="25">
        <f t="shared" si="3"/>
        <v>0</v>
      </c>
      <c r="J35" s="2"/>
      <c r="K35" s="2"/>
    </row>
    <row r="36" spans="1:11" ht="30" x14ac:dyDescent="0.25">
      <c r="A36" s="124" t="s">
        <v>50</v>
      </c>
      <c r="B36" s="125" t="s">
        <v>33</v>
      </c>
      <c r="C36" s="126"/>
      <c r="D36" s="127">
        <f>'FEBRUARY 21'!I36:I56</f>
        <v>1000</v>
      </c>
      <c r="E36" s="127">
        <v>2500</v>
      </c>
      <c r="F36" s="127">
        <v>2000</v>
      </c>
      <c r="G36" s="127">
        <f t="shared" si="4"/>
        <v>3000</v>
      </c>
      <c r="H36" s="128">
        <f>2000</f>
        <v>2000</v>
      </c>
      <c r="I36" s="25">
        <f t="shared" si="3"/>
        <v>1000</v>
      </c>
      <c r="J36" s="2"/>
      <c r="K36" s="2"/>
    </row>
    <row r="37" spans="1:11" ht="42" customHeight="1" x14ac:dyDescent="0.25">
      <c r="A37" s="124" t="s">
        <v>51</v>
      </c>
      <c r="B37" s="125" t="s">
        <v>167</v>
      </c>
      <c r="C37" s="126"/>
      <c r="D37" s="127">
        <f>'FEBRUARY 21'!I37:I57</f>
        <v>0</v>
      </c>
      <c r="E37" s="127">
        <v>2500</v>
      </c>
      <c r="F37" s="127">
        <v>2000</v>
      </c>
      <c r="G37" s="127">
        <f>C37+D37+F37</f>
        <v>2000</v>
      </c>
      <c r="H37" s="128">
        <f>2000</f>
        <v>2000</v>
      </c>
      <c r="I37" s="25">
        <f t="shared" si="3"/>
        <v>0</v>
      </c>
      <c r="J37" s="2"/>
      <c r="K37" s="2"/>
    </row>
    <row r="38" spans="1:11" ht="30" x14ac:dyDescent="0.25">
      <c r="A38" s="124" t="s">
        <v>52</v>
      </c>
      <c r="B38" s="132" t="s">
        <v>127</v>
      </c>
      <c r="C38" s="126"/>
      <c r="D38" s="127">
        <f>'FEBRUARY 21'!I38:I58</f>
        <v>0</v>
      </c>
      <c r="E38" s="127"/>
      <c r="F38" s="127">
        <v>2500</v>
      </c>
      <c r="G38" s="127">
        <v>2500</v>
      </c>
      <c r="H38" s="128">
        <f>2000</f>
        <v>2000</v>
      </c>
      <c r="I38" s="25">
        <f t="shared" si="3"/>
        <v>500</v>
      </c>
      <c r="J38" s="2"/>
      <c r="K38" s="2"/>
    </row>
    <row r="39" spans="1:11" ht="38.25" customHeight="1" x14ac:dyDescent="0.25">
      <c r="A39" s="124" t="s">
        <v>57</v>
      </c>
      <c r="B39" s="125" t="s">
        <v>107</v>
      </c>
      <c r="C39" s="126"/>
      <c r="D39" s="127">
        <f>'FEBRUARY 21'!I39:I59</f>
        <v>0</v>
      </c>
      <c r="E39" s="127"/>
      <c r="F39" s="127"/>
      <c r="G39" s="127">
        <f t="shared" si="4"/>
        <v>0</v>
      </c>
      <c r="H39" s="128"/>
      <c r="I39" s="25">
        <f t="shared" si="3"/>
        <v>0</v>
      </c>
      <c r="J39" s="2"/>
      <c r="K39" s="2"/>
    </row>
    <row r="40" spans="1:11" x14ac:dyDescent="0.25">
      <c r="A40" s="124" t="s">
        <v>58</v>
      </c>
      <c r="B40" s="125" t="s">
        <v>115</v>
      </c>
      <c r="C40" s="126"/>
      <c r="D40" s="127"/>
      <c r="E40" s="127">
        <v>2500</v>
      </c>
      <c r="F40" s="127">
        <v>2000</v>
      </c>
      <c r="G40" s="127">
        <f>C40+D40+F40</f>
        <v>2000</v>
      </c>
      <c r="H40" s="128">
        <f>2000</f>
        <v>2000</v>
      </c>
      <c r="I40" s="25">
        <f t="shared" si="3"/>
        <v>0</v>
      </c>
      <c r="J40" s="2"/>
      <c r="K40" s="2"/>
    </row>
    <row r="41" spans="1:11" ht="60" x14ac:dyDescent="0.25">
      <c r="A41" s="124" t="s">
        <v>59</v>
      </c>
      <c r="B41" s="125" t="s">
        <v>131</v>
      </c>
      <c r="C41" s="126"/>
      <c r="D41" s="127">
        <f>'FEBRUARY 21'!I41:I61</f>
        <v>0</v>
      </c>
      <c r="E41" s="127">
        <v>2500</v>
      </c>
      <c r="F41" s="127">
        <v>2000</v>
      </c>
      <c r="G41" s="127">
        <f t="shared" si="4"/>
        <v>2000</v>
      </c>
      <c r="H41" s="128">
        <f>2000</f>
        <v>2000</v>
      </c>
      <c r="I41" s="25">
        <f t="shared" si="3"/>
        <v>0</v>
      </c>
      <c r="J41" s="2"/>
      <c r="K41" s="2"/>
    </row>
    <row r="42" spans="1:11" ht="45" x14ac:dyDescent="0.25">
      <c r="A42" s="124" t="s">
        <v>60</v>
      </c>
      <c r="B42" s="125" t="s">
        <v>38</v>
      </c>
      <c r="C42" s="126"/>
      <c r="D42" s="127">
        <f>'FEBRUARY 21'!I42:I62</f>
        <v>0</v>
      </c>
      <c r="E42" s="127">
        <v>2500</v>
      </c>
      <c r="F42" s="127">
        <v>2000</v>
      </c>
      <c r="G42" s="127">
        <f t="shared" si="4"/>
        <v>2000</v>
      </c>
      <c r="H42" s="128">
        <v>2000</v>
      </c>
      <c r="I42" s="25">
        <f t="shared" si="3"/>
        <v>0</v>
      </c>
      <c r="J42" s="2"/>
      <c r="K42" s="2"/>
    </row>
    <row r="43" spans="1:11" ht="60" x14ac:dyDescent="0.25">
      <c r="A43" s="124" t="s">
        <v>61</v>
      </c>
      <c r="B43" s="125" t="s">
        <v>201</v>
      </c>
      <c r="C43" s="126"/>
      <c r="D43" s="127">
        <f>'FEBRUARY 21'!I43:I63</f>
        <v>0</v>
      </c>
      <c r="E43" s="127"/>
      <c r="F43" s="127">
        <v>2000</v>
      </c>
      <c r="G43" s="127">
        <f>C43+D43+F43</f>
        <v>2000</v>
      </c>
      <c r="H43" s="128">
        <f>800+500</f>
        <v>1300</v>
      </c>
      <c r="I43" s="25">
        <f t="shared" si="3"/>
        <v>700</v>
      </c>
      <c r="J43" s="2"/>
      <c r="K43" s="2"/>
    </row>
    <row r="44" spans="1:11" ht="30" x14ac:dyDescent="0.25">
      <c r="A44" s="124" t="s">
        <v>62</v>
      </c>
      <c r="B44" s="125" t="s">
        <v>202</v>
      </c>
      <c r="C44" s="126"/>
      <c r="D44" s="127">
        <f>'FEBRUARY 21'!I44:I64</f>
        <v>1500</v>
      </c>
      <c r="E44" s="127"/>
      <c r="F44" s="127">
        <v>2000</v>
      </c>
      <c r="G44" s="127">
        <f t="shared" si="4"/>
        <v>3500</v>
      </c>
      <c r="H44" s="128">
        <f>1000+500+500+500</f>
        <v>2500</v>
      </c>
      <c r="I44" s="25">
        <f t="shared" si="3"/>
        <v>1000</v>
      </c>
      <c r="J44" s="2"/>
      <c r="K44" s="2"/>
    </row>
    <row r="45" spans="1:11" x14ac:dyDescent="0.25">
      <c r="A45" s="135"/>
      <c r="B45" s="136" t="s">
        <v>9</v>
      </c>
      <c r="C45" s="137">
        <f>SUM(C28:C40)</f>
        <v>0</v>
      </c>
      <c r="D45" s="127">
        <f>SUM(D29:D44)</f>
        <v>4000</v>
      </c>
      <c r="E45" s="127">
        <f>SUM(E28:E44)</f>
        <v>30000</v>
      </c>
      <c r="F45" s="138">
        <f>SUM(F28:F44)</f>
        <v>30500</v>
      </c>
      <c r="G45" s="138">
        <f>SUM(G29:G44)</f>
        <v>34500</v>
      </c>
      <c r="H45" s="139">
        <f>SUM(H28:H44)</f>
        <v>29650</v>
      </c>
      <c r="I45" s="41">
        <f>SUM(I28:I44)</f>
        <v>4850</v>
      </c>
      <c r="J45" s="2"/>
      <c r="K45" s="2"/>
    </row>
    <row r="46" spans="1:11" x14ac:dyDescent="0.25">
      <c r="A46" s="6" t="s">
        <v>10</v>
      </c>
      <c r="B46" s="141"/>
      <c r="C46" s="142"/>
      <c r="D46" s="141"/>
      <c r="E46" s="143"/>
      <c r="F46" s="141"/>
      <c r="G46" s="141"/>
      <c r="H46" s="22" t="s">
        <v>13</v>
      </c>
      <c r="I46" s="21"/>
      <c r="J46" s="2"/>
      <c r="K46" s="2"/>
    </row>
    <row r="47" spans="1:11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I47" s="23" t="s">
        <v>15</v>
      </c>
      <c r="J47" s="2"/>
      <c r="K47" s="2"/>
    </row>
    <row r="48" spans="1:11" x14ac:dyDescent="0.25">
      <c r="A48" s="24" t="s">
        <v>63</v>
      </c>
      <c r="B48" s="25">
        <f>F45+E26</f>
        <v>51500</v>
      </c>
      <c r="C48" s="26"/>
      <c r="D48" s="26"/>
      <c r="E48" s="26" t="s">
        <v>63</v>
      </c>
      <c r="F48" s="25">
        <f>H45+G26</f>
        <v>52450</v>
      </c>
      <c r="G48" s="25"/>
      <c r="H48" s="26"/>
      <c r="I48" s="25"/>
      <c r="J48" s="2"/>
      <c r="K48" s="2"/>
    </row>
    <row r="49" spans="1:14" x14ac:dyDescent="0.25">
      <c r="A49" s="24" t="s">
        <v>17</v>
      </c>
      <c r="B49" s="27">
        <v>0.1</v>
      </c>
      <c r="C49" s="28">
        <f>B49*B48</f>
        <v>5150</v>
      </c>
      <c r="D49" s="24"/>
      <c r="E49" s="24" t="s">
        <v>155</v>
      </c>
      <c r="F49" s="27">
        <v>0.1</v>
      </c>
      <c r="G49" s="27"/>
      <c r="H49" s="28">
        <f>F49*B48</f>
        <v>5150</v>
      </c>
      <c r="I49" s="25"/>
      <c r="J49" s="2"/>
      <c r="K49" s="2"/>
    </row>
    <row r="50" spans="1:14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  <c r="K50" s="2"/>
    </row>
    <row r="51" spans="1:14" x14ac:dyDescent="0.25">
      <c r="A51" s="24" t="s">
        <v>213</v>
      </c>
      <c r="B51" s="28">
        <f>I26</f>
        <v>2600</v>
      </c>
      <c r="C51" s="28"/>
      <c r="D51" s="24"/>
      <c r="E51" s="24" t="s">
        <v>213</v>
      </c>
      <c r="F51" s="28">
        <f>I26</f>
        <v>2600</v>
      </c>
      <c r="G51" s="27"/>
      <c r="H51" s="28"/>
      <c r="I51" s="25"/>
      <c r="J51" s="2"/>
      <c r="K51" s="2"/>
    </row>
    <row r="52" spans="1:14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  <c r="J52" s="2"/>
      <c r="K52" s="2"/>
    </row>
    <row r="53" spans="1:14" x14ac:dyDescent="0.25">
      <c r="A53" s="29" t="s">
        <v>19</v>
      </c>
      <c r="B53" s="28">
        <f>'FEBRUARY 21'!D60</f>
        <v>-3755</v>
      </c>
      <c r="C53" s="24"/>
      <c r="D53" s="24"/>
      <c r="E53" s="24" t="s">
        <v>19</v>
      </c>
      <c r="F53" s="28">
        <f>'FEBRUARY 21'!I60</f>
        <v>-15505</v>
      </c>
      <c r="G53" s="28"/>
      <c r="H53" s="24"/>
      <c r="I53" s="25"/>
      <c r="J53" s="2"/>
      <c r="K53" s="2"/>
    </row>
    <row r="54" spans="1:14" x14ac:dyDescent="0.25">
      <c r="A54" s="29" t="s">
        <v>9</v>
      </c>
      <c r="B54" s="28">
        <f>B48+B50+B53+B52</f>
        <v>47745</v>
      </c>
      <c r="C54" s="24"/>
      <c r="D54" s="24"/>
      <c r="E54" s="24" t="s">
        <v>9</v>
      </c>
      <c r="F54" s="28">
        <f>F48+F50+F53+F51</f>
        <v>39545</v>
      </c>
      <c r="G54" s="28"/>
      <c r="H54" s="24"/>
      <c r="I54" s="25"/>
      <c r="J54" s="2"/>
      <c r="K54" s="2"/>
    </row>
    <row r="55" spans="1:14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"/>
      <c r="K55" s="2"/>
    </row>
    <row r="56" spans="1:14" x14ac:dyDescent="0.25">
      <c r="A56" s="29" t="s">
        <v>144</v>
      </c>
      <c r="B56" s="26"/>
      <c r="C56" s="144">
        <v>10000</v>
      </c>
      <c r="D56" s="24"/>
      <c r="E56" s="29"/>
      <c r="F56" s="26" t="s">
        <v>144</v>
      </c>
      <c r="G56" s="144"/>
      <c r="H56" s="144">
        <v>10000</v>
      </c>
      <c r="I56" s="24"/>
      <c r="J56" s="2"/>
      <c r="K56" s="2"/>
    </row>
    <row r="57" spans="1:14" x14ac:dyDescent="0.25">
      <c r="A57" s="145" t="s">
        <v>209</v>
      </c>
      <c r="B57" s="26"/>
      <c r="C57" s="146">
        <v>10395</v>
      </c>
      <c r="D57" s="26"/>
      <c r="E57" s="26"/>
      <c r="F57" s="145" t="s">
        <v>209</v>
      </c>
      <c r="G57" s="26"/>
      <c r="H57" s="146">
        <v>10395</v>
      </c>
      <c r="I57" s="25"/>
      <c r="J57" s="2"/>
      <c r="K57" s="2"/>
    </row>
    <row r="58" spans="1:14" x14ac:dyDescent="0.25">
      <c r="A58" s="145" t="s">
        <v>210</v>
      </c>
      <c r="B58" s="26"/>
      <c r="C58" s="146">
        <v>20000</v>
      </c>
      <c r="D58" s="26"/>
      <c r="E58" s="26"/>
      <c r="F58" s="145" t="s">
        <v>210</v>
      </c>
      <c r="G58" s="26"/>
      <c r="H58" s="146">
        <v>20000</v>
      </c>
      <c r="I58" s="25"/>
      <c r="J58" s="2"/>
      <c r="K58" s="2"/>
      <c r="N58" s="65">
        <f>B51-200</f>
        <v>2400</v>
      </c>
    </row>
    <row r="59" spans="1:14" x14ac:dyDescent="0.25">
      <c r="A59" s="145" t="s">
        <v>212</v>
      </c>
      <c r="B59" s="26"/>
      <c r="C59" s="146">
        <f>2000+2000</f>
        <v>4000</v>
      </c>
      <c r="D59" s="26"/>
      <c r="E59" s="26"/>
      <c r="F59" s="145"/>
      <c r="G59" s="26"/>
      <c r="H59" s="146"/>
      <c r="I59" s="25"/>
      <c r="J59" s="2"/>
      <c r="K59" s="2"/>
      <c r="N59">
        <f>2600-2000</f>
        <v>600</v>
      </c>
    </row>
    <row r="60" spans="1:14" x14ac:dyDescent="0.25">
      <c r="A60" s="145" t="s">
        <v>215</v>
      </c>
      <c r="B60" s="26"/>
      <c r="C60" s="146">
        <v>3000</v>
      </c>
      <c r="D60" s="26"/>
      <c r="E60" s="26"/>
      <c r="F60" s="145" t="s">
        <v>215</v>
      </c>
      <c r="G60" s="26"/>
      <c r="H60" s="146">
        <f>3000</f>
        <v>3000</v>
      </c>
      <c r="I60" s="25"/>
      <c r="J60" s="2"/>
      <c r="K60" s="2"/>
    </row>
    <row r="61" spans="1:14" x14ac:dyDescent="0.25">
      <c r="A61" s="39" t="s">
        <v>9</v>
      </c>
      <c r="B61" s="40">
        <f>B48+B51+B53-C49</f>
        <v>45195</v>
      </c>
      <c r="C61" s="41">
        <f>SUM(C56:C60)</f>
        <v>47395</v>
      </c>
      <c r="D61" s="41">
        <f>B61-C61</f>
        <v>-2200</v>
      </c>
      <c r="E61" s="41"/>
      <c r="F61" s="40">
        <f>F48+F51+F52+F53-H49</f>
        <v>34395</v>
      </c>
      <c r="G61" s="40"/>
      <c r="H61" s="41">
        <f>SUM(H56:H60)</f>
        <v>43395</v>
      </c>
      <c r="I61" s="41">
        <f>F61-H61</f>
        <v>-9000</v>
      </c>
      <c r="J61" s="2"/>
      <c r="K61" s="2"/>
    </row>
    <row r="62" spans="1:14" x14ac:dyDescent="0.25">
      <c r="A62" s="2" t="s">
        <v>21</v>
      </c>
      <c r="B62" s="2"/>
      <c r="C62" s="2"/>
      <c r="D62" s="2" t="s">
        <v>22</v>
      </c>
      <c r="E62" s="2"/>
      <c r="F62" s="2"/>
      <c r="G62" s="2"/>
      <c r="H62" s="2" t="s">
        <v>23</v>
      </c>
      <c r="I62" s="21"/>
      <c r="J62" s="2"/>
      <c r="K62" s="2"/>
    </row>
    <row r="63" spans="1:14" x14ac:dyDescent="0.25">
      <c r="A63" s="2" t="s">
        <v>194</v>
      </c>
      <c r="B63" s="2"/>
      <c r="C63" s="2"/>
      <c r="D63" s="2" t="s">
        <v>24</v>
      </c>
      <c r="E63" s="2"/>
      <c r="F63" s="2"/>
      <c r="G63" s="2"/>
      <c r="H63" s="2" t="s">
        <v>26</v>
      </c>
      <c r="I63" s="2"/>
      <c r="J63" s="21"/>
      <c r="K63" s="2">
        <f>75000-10000</f>
        <v>65000</v>
      </c>
    </row>
    <row r="64" spans="1:1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9" spans="1:11" x14ac:dyDescent="0.25">
      <c r="E69" s="65"/>
    </row>
    <row r="70" spans="1:11" x14ac:dyDescent="0.25">
      <c r="E70" s="6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49" workbookViewId="0">
      <selection activeCell="G24" sqref="G24"/>
    </sheetView>
  </sheetViews>
  <sheetFormatPr defaultRowHeight="15" x14ac:dyDescent="0.25"/>
  <sheetData>
    <row r="1" spans="1:15" ht="18.75" x14ac:dyDescent="0.3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  <c r="K1" s="69"/>
    </row>
    <row r="2" spans="1:15" ht="18.75" x14ac:dyDescent="0.3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  <c r="K2" s="69"/>
    </row>
    <row r="3" spans="1:15" x14ac:dyDescent="0.25">
      <c r="A3" s="2"/>
      <c r="B3" s="2"/>
      <c r="C3" s="6" t="s">
        <v>214</v>
      </c>
      <c r="D3" s="119"/>
      <c r="E3" s="119"/>
      <c r="F3" s="120"/>
      <c r="G3" s="120"/>
      <c r="H3" s="2"/>
      <c r="I3" s="2"/>
      <c r="J3" s="2"/>
      <c r="K3" s="2"/>
    </row>
    <row r="4" spans="1:15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  <c r="K4" s="2"/>
    </row>
    <row r="5" spans="1:15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123" t="s">
        <v>213</v>
      </c>
      <c r="J5" s="2"/>
      <c r="K5" s="2"/>
    </row>
    <row r="6" spans="1:15" x14ac:dyDescent="0.25">
      <c r="A6" s="124" t="s">
        <v>66</v>
      </c>
      <c r="B6" s="188"/>
      <c r="C6" s="126"/>
      <c r="D6" s="127">
        <f>'MARCH 21'!H6:H24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128"/>
      <c r="J6" s="2"/>
      <c r="K6" s="2"/>
    </row>
    <row r="7" spans="1:15" ht="30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v>3000</v>
      </c>
      <c r="H7" s="25">
        <f t="shared" si="0"/>
        <v>3000</v>
      </c>
      <c r="I7" s="127">
        <v>400</v>
      </c>
      <c r="J7" s="2"/>
      <c r="K7" s="2"/>
    </row>
    <row r="8" spans="1:15" x14ac:dyDescent="0.25">
      <c r="A8" s="124" t="s">
        <v>67</v>
      </c>
      <c r="B8" s="24" t="s">
        <v>218</v>
      </c>
      <c r="C8" s="126"/>
      <c r="D8" s="127">
        <f>'MARCH 21'!H8:H26</f>
        <v>0</v>
      </c>
      <c r="E8" s="127"/>
      <c r="F8" s="127">
        <f t="shared" si="1"/>
        <v>0</v>
      </c>
      <c r="G8" s="26"/>
      <c r="H8" s="25">
        <f t="shared" si="0"/>
        <v>0</v>
      </c>
      <c r="I8" s="26">
        <v>200</v>
      </c>
      <c r="J8" s="2"/>
      <c r="K8" s="2"/>
    </row>
    <row r="9" spans="1:15" x14ac:dyDescent="0.25">
      <c r="A9" s="129" t="s">
        <v>72</v>
      </c>
      <c r="B9" s="189" t="s">
        <v>103</v>
      </c>
      <c r="C9" s="126"/>
      <c r="D9" s="127">
        <f>'MARCH 21'!H9:H27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  <c r="J9" s="2"/>
      <c r="K9" s="2"/>
      <c r="M9" s="65"/>
      <c r="N9" s="65">
        <f>E26</f>
        <v>16000</v>
      </c>
    </row>
    <row r="10" spans="1:15" x14ac:dyDescent="0.25">
      <c r="A10" s="130" t="s">
        <v>68</v>
      </c>
      <c r="B10" s="188" t="s">
        <v>40</v>
      </c>
      <c r="C10" s="126"/>
      <c r="D10" s="127">
        <f>'MARCH 21'!H10:H28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  <c r="J10" s="2"/>
      <c r="K10" s="2"/>
      <c r="M10" s="65"/>
      <c r="N10" s="65">
        <f>F45</f>
        <v>30500</v>
      </c>
    </row>
    <row r="11" spans="1:15" x14ac:dyDescent="0.25">
      <c r="A11" s="131" t="s">
        <v>73</v>
      </c>
      <c r="B11" s="190" t="s">
        <v>40</v>
      </c>
      <c r="C11" s="126"/>
      <c r="D11" s="127">
        <f>'MARCH 21'!H11:H29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  <c r="J11" s="2"/>
      <c r="K11" s="2"/>
      <c r="M11" s="65"/>
      <c r="N11" s="65">
        <f>N9+N10+1000</f>
        <v>47500</v>
      </c>
    </row>
    <row r="12" spans="1:15" x14ac:dyDescent="0.25">
      <c r="A12" s="124" t="s">
        <v>69</v>
      </c>
      <c r="B12" s="190" t="s">
        <v>40</v>
      </c>
      <c r="C12" s="126"/>
      <c r="D12" s="127">
        <f>'MARCH 21'!H12:H30</f>
        <v>0</v>
      </c>
      <c r="E12" s="127"/>
      <c r="F12" s="127">
        <f t="shared" si="1"/>
        <v>0</v>
      </c>
      <c r="G12" s="128"/>
      <c r="H12" s="25">
        <f t="shared" si="0"/>
        <v>0</v>
      </c>
      <c r="I12" s="128"/>
      <c r="J12" s="2"/>
      <c r="M12" s="65" t="s">
        <v>24</v>
      </c>
      <c r="N12">
        <v>3000</v>
      </c>
    </row>
    <row r="13" spans="1:15" ht="45" x14ac:dyDescent="0.25">
      <c r="A13" s="124" t="s">
        <v>74</v>
      </c>
      <c r="B13" s="132" t="s">
        <v>87</v>
      </c>
      <c r="C13" s="126"/>
      <c r="D13" s="127">
        <f>'MARCH 21'!H13:H31</f>
        <v>0</v>
      </c>
      <c r="E13" s="127">
        <v>4000</v>
      </c>
      <c r="F13" s="127">
        <f t="shared" si="1"/>
        <v>4000</v>
      </c>
      <c r="G13" s="128">
        <f>3000</f>
        <v>3000</v>
      </c>
      <c r="H13" s="25">
        <f t="shared" si="0"/>
        <v>1000</v>
      </c>
      <c r="I13" s="128"/>
      <c r="J13" s="2"/>
      <c r="M13" s="65"/>
      <c r="N13" s="65">
        <f>N11-N12</f>
        <v>44500</v>
      </c>
      <c r="O13" s="65"/>
    </row>
    <row r="14" spans="1:15" x14ac:dyDescent="0.25">
      <c r="A14" s="124" t="s">
        <v>70</v>
      </c>
      <c r="B14" s="190"/>
      <c r="C14" s="126"/>
      <c r="D14" s="127">
        <f>'MARCH 21'!H14:H32</f>
        <v>0</v>
      </c>
      <c r="E14" s="127"/>
      <c r="F14" s="127"/>
      <c r="G14" s="128"/>
      <c r="H14" s="25"/>
      <c r="I14" s="128"/>
      <c r="J14" s="2"/>
      <c r="K14" s="2" t="s">
        <v>206</v>
      </c>
      <c r="N14">
        <f>4650+200</f>
        <v>4850</v>
      </c>
      <c r="O14" s="65"/>
    </row>
    <row r="15" spans="1:15" x14ac:dyDescent="0.25">
      <c r="A15" s="124" t="s">
        <v>75</v>
      </c>
      <c r="B15" s="190" t="s">
        <v>40</v>
      </c>
      <c r="C15" s="126"/>
      <c r="D15" s="127">
        <f>'MARCH 21'!H15:H33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  <c r="J15" s="2"/>
      <c r="K15" s="2"/>
      <c r="N15" s="65">
        <f>N13-N14</f>
        <v>39650</v>
      </c>
    </row>
    <row r="16" spans="1:15" x14ac:dyDescent="0.25">
      <c r="A16" s="124" t="s">
        <v>76</v>
      </c>
      <c r="B16" s="190" t="s">
        <v>40</v>
      </c>
      <c r="C16" s="126"/>
      <c r="D16" s="127">
        <f>'MARCH 21'!H16:H34</f>
        <v>0</v>
      </c>
      <c r="E16" s="127"/>
      <c r="F16" s="127">
        <f t="shared" si="1"/>
        <v>0</v>
      </c>
      <c r="G16" s="128"/>
      <c r="H16" s="25">
        <f>F16-G16</f>
        <v>0</v>
      </c>
      <c r="I16" s="128"/>
      <c r="J16" s="2"/>
      <c r="K16" s="2" t="s">
        <v>144</v>
      </c>
      <c r="M16" s="65"/>
      <c r="N16">
        <v>9000</v>
      </c>
    </row>
    <row r="17" spans="1:14" x14ac:dyDescent="0.25">
      <c r="A17" s="124" t="s">
        <v>77</v>
      </c>
      <c r="B17" s="190" t="s">
        <v>40</v>
      </c>
      <c r="C17" s="126"/>
      <c r="D17" s="127">
        <f>'MARCH 21'!H17:H35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J17" s="2"/>
      <c r="K17" s="2"/>
      <c r="N17" s="65">
        <f>N15-N16</f>
        <v>30650</v>
      </c>
    </row>
    <row r="18" spans="1:14" ht="30" x14ac:dyDescent="0.25">
      <c r="A18" s="124" t="s">
        <v>78</v>
      </c>
      <c r="B18" s="132" t="s">
        <v>88</v>
      </c>
      <c r="C18" s="126"/>
      <c r="D18" s="127">
        <f>'MARCH 21'!H18:H36</f>
        <v>0</v>
      </c>
      <c r="E18" s="127">
        <v>5000</v>
      </c>
      <c r="F18" s="127">
        <f t="shared" si="1"/>
        <v>5000</v>
      </c>
      <c r="G18" s="128">
        <v>5000</v>
      </c>
      <c r="H18" s="25">
        <f t="shared" si="0"/>
        <v>0</v>
      </c>
      <c r="I18" s="128"/>
      <c r="J18" s="2"/>
      <c r="K18" s="2"/>
    </row>
    <row r="19" spans="1:14" ht="45" x14ac:dyDescent="0.25">
      <c r="A19" s="124" t="s">
        <v>79</v>
      </c>
      <c r="B19" s="132" t="s">
        <v>148</v>
      </c>
      <c r="C19" s="126"/>
      <c r="D19" s="127">
        <f>'MARCH 21'!H19:H37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J19" s="2"/>
      <c r="K19" s="2"/>
    </row>
    <row r="20" spans="1:14" x14ac:dyDescent="0.25">
      <c r="A20" s="124" t="s">
        <v>80</v>
      </c>
      <c r="B20" s="190" t="s">
        <v>40</v>
      </c>
      <c r="C20" s="126"/>
      <c r="D20" s="127">
        <f>'MARCH 21'!H20:H38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J20" s="2"/>
      <c r="K20" s="2"/>
    </row>
    <row r="21" spans="1:14" ht="45" x14ac:dyDescent="0.25">
      <c r="A21" s="124" t="s">
        <v>81</v>
      </c>
      <c r="B21" s="132" t="s">
        <v>173</v>
      </c>
      <c r="C21" s="126">
        <v>1000</v>
      </c>
      <c r="D21" s="127">
        <v>2000</v>
      </c>
      <c r="E21" s="127">
        <v>4000</v>
      </c>
      <c r="F21" s="127">
        <f>C21+D21+E21</f>
        <v>7000</v>
      </c>
      <c r="G21" s="128">
        <f>1200+2000+3800</f>
        <v>7000</v>
      </c>
      <c r="H21" s="25">
        <f>F21-G21</f>
        <v>0</v>
      </c>
      <c r="I21" s="128">
        <f>1500</f>
        <v>1500</v>
      </c>
      <c r="J21" s="2"/>
      <c r="K21" s="2"/>
    </row>
    <row r="22" spans="1:14" x14ac:dyDescent="0.25">
      <c r="A22" s="124" t="s">
        <v>82</v>
      </c>
      <c r="B22" s="190" t="s">
        <v>40</v>
      </c>
      <c r="C22" s="126"/>
      <c r="D22" s="127">
        <f>'MARCH 21'!H22:H40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J22" s="2"/>
      <c r="K22" s="2"/>
    </row>
    <row r="23" spans="1:14" x14ac:dyDescent="0.25">
      <c r="A23" s="124" t="s">
        <v>83</v>
      </c>
      <c r="B23" s="190" t="s">
        <v>40</v>
      </c>
      <c r="C23" s="126"/>
      <c r="D23" s="127">
        <f>'MARCH 21'!H23:H41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J23" s="2"/>
      <c r="K23" s="2"/>
    </row>
    <row r="24" spans="1:14" ht="30" x14ac:dyDescent="0.25">
      <c r="A24" s="124" t="s">
        <v>84</v>
      </c>
      <c r="B24" s="190" t="s">
        <v>103</v>
      </c>
      <c r="C24" s="126"/>
      <c r="D24" s="127"/>
      <c r="E24" s="127"/>
      <c r="F24" s="127">
        <f t="shared" si="1"/>
        <v>0</v>
      </c>
      <c r="G24" s="128"/>
      <c r="H24" s="25">
        <f t="shared" si="0"/>
        <v>0</v>
      </c>
      <c r="I24" s="128"/>
      <c r="J24" s="2"/>
      <c r="K24" s="2"/>
    </row>
    <row r="25" spans="1:14" x14ac:dyDescent="0.25">
      <c r="A25" s="124" t="s">
        <v>85</v>
      </c>
      <c r="B25" s="190" t="s">
        <v>40</v>
      </c>
      <c r="C25" s="126"/>
      <c r="D25" s="127">
        <f>'MARCH 21'!H25:H43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J25" s="2"/>
      <c r="K25" s="2"/>
    </row>
    <row r="26" spans="1:14" x14ac:dyDescent="0.25">
      <c r="A26" s="135"/>
      <c r="B26" s="136" t="s">
        <v>9</v>
      </c>
      <c r="C26" s="137">
        <f t="shared" ref="C26:H26" si="2">SUM(C6:C25)</f>
        <v>4000</v>
      </c>
      <c r="D26" s="127">
        <f>SUM(D6:D25)</f>
        <v>2000</v>
      </c>
      <c r="E26" s="138">
        <f t="shared" si="2"/>
        <v>16000</v>
      </c>
      <c r="F26" s="138">
        <f t="shared" si="2"/>
        <v>22000</v>
      </c>
      <c r="G26" s="139">
        <f t="shared" si="2"/>
        <v>18000</v>
      </c>
      <c r="H26" s="140">
        <f t="shared" si="2"/>
        <v>4000</v>
      </c>
      <c r="I26" s="139">
        <f>SUM(I6:I25)</f>
        <v>2100</v>
      </c>
      <c r="J26" s="21"/>
      <c r="K26" s="2"/>
    </row>
    <row r="27" spans="1:14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  <c r="K27" s="2"/>
    </row>
    <row r="28" spans="1:14" x14ac:dyDescent="0.25">
      <c r="A28" s="124"/>
      <c r="B28" s="125"/>
      <c r="C28" s="126"/>
      <c r="D28" s="127"/>
      <c r="E28" s="127"/>
      <c r="F28" s="127"/>
      <c r="G28" s="127" t="s">
        <v>6</v>
      </c>
      <c r="H28" s="127" t="s">
        <v>7</v>
      </c>
      <c r="I28" s="25" t="s">
        <v>15</v>
      </c>
      <c r="J28" s="2"/>
      <c r="K28" s="2"/>
    </row>
    <row r="29" spans="1:14" ht="45" x14ac:dyDescent="0.25">
      <c r="A29" s="124" t="s">
        <v>43</v>
      </c>
      <c r="B29" s="125" t="s">
        <v>113</v>
      </c>
      <c r="C29" s="126">
        <f>'AUGUST 20'!I29:I44</f>
        <v>0</v>
      </c>
      <c r="D29" s="127">
        <f>'MARCH 21'!I29:I44</f>
        <v>0</v>
      </c>
      <c r="E29" s="127">
        <v>2500</v>
      </c>
      <c r="F29" s="127">
        <v>2000</v>
      </c>
      <c r="G29" s="127">
        <f>C28+D29+F29</f>
        <v>2000</v>
      </c>
      <c r="H29" s="127">
        <f>1000</f>
        <v>1000</v>
      </c>
      <c r="I29" s="25">
        <f t="shared" ref="I29:I44" si="3">G29-H29</f>
        <v>1000</v>
      </c>
      <c r="J29" s="2"/>
      <c r="K29" s="2"/>
    </row>
    <row r="30" spans="1:14" x14ac:dyDescent="0.25">
      <c r="A30" s="124" t="s">
        <v>44</v>
      </c>
      <c r="B30" s="24" t="s">
        <v>138</v>
      </c>
      <c r="C30" s="126"/>
      <c r="D30" s="127">
        <f>'MARCH 21'!I30:I45</f>
        <v>0</v>
      </c>
      <c r="E30" s="127">
        <v>2500</v>
      </c>
      <c r="F30" s="127">
        <v>2000</v>
      </c>
      <c r="G30" s="127">
        <f>C29+D30+F30</f>
        <v>2000</v>
      </c>
      <c r="H30" s="26">
        <v>2000</v>
      </c>
      <c r="I30" s="25">
        <f t="shared" si="3"/>
        <v>0</v>
      </c>
      <c r="J30" s="2"/>
      <c r="K30" s="2"/>
    </row>
    <row r="31" spans="1:14" x14ac:dyDescent="0.25">
      <c r="A31" s="124" t="s">
        <v>45</v>
      </c>
      <c r="B31" s="125" t="s">
        <v>216</v>
      </c>
      <c r="C31" s="126"/>
      <c r="D31" s="127">
        <f>'MARCH 21'!I31:I46</f>
        <v>0</v>
      </c>
      <c r="E31" s="127">
        <v>2500</v>
      </c>
      <c r="F31" s="127">
        <v>2000</v>
      </c>
      <c r="G31" s="127">
        <f>C31+D31+F31</f>
        <v>2000</v>
      </c>
      <c r="H31" s="25">
        <v>2000</v>
      </c>
      <c r="I31" s="25">
        <f>G31-H31</f>
        <v>0</v>
      </c>
      <c r="J31" s="2"/>
      <c r="K31" s="2"/>
    </row>
    <row r="32" spans="1:14" ht="30" x14ac:dyDescent="0.25">
      <c r="A32" s="124" t="s">
        <v>46</v>
      </c>
      <c r="B32" s="125" t="s">
        <v>31</v>
      </c>
      <c r="C32" s="126"/>
      <c r="D32" s="127">
        <f>'MARCH 21'!I32:I47</f>
        <v>0</v>
      </c>
      <c r="E32" s="127">
        <v>2500</v>
      </c>
      <c r="F32" s="127">
        <v>2000</v>
      </c>
      <c r="G32" s="127">
        <f t="shared" ref="G32:G44" si="4">C32+D32+F32</f>
        <v>2000</v>
      </c>
      <c r="H32" s="128">
        <f>2000</f>
        <v>2000</v>
      </c>
      <c r="I32" s="25">
        <f t="shared" si="3"/>
        <v>0</v>
      </c>
      <c r="J32" s="21"/>
      <c r="K32" s="2"/>
    </row>
    <row r="33" spans="1:11" ht="45" x14ac:dyDescent="0.25">
      <c r="A33" s="124" t="s">
        <v>47</v>
      </c>
      <c r="B33" s="132" t="s">
        <v>199</v>
      </c>
      <c r="C33" s="126"/>
      <c r="D33" s="127">
        <f>'MARCH 21'!I33:I48</f>
        <v>0</v>
      </c>
      <c r="E33" s="127">
        <v>2500</v>
      </c>
      <c r="F33" s="127">
        <v>2000</v>
      </c>
      <c r="G33" s="127">
        <f>C33+D33+F33</f>
        <v>2000</v>
      </c>
      <c r="H33" s="133">
        <v>2000</v>
      </c>
      <c r="I33" s="25">
        <f>G33-H33</f>
        <v>0</v>
      </c>
      <c r="J33" s="21"/>
      <c r="K33" s="2"/>
    </row>
    <row r="34" spans="1:11" ht="45" x14ac:dyDescent="0.25">
      <c r="A34" s="124" t="s">
        <v>48</v>
      </c>
      <c r="B34" s="132" t="s">
        <v>37</v>
      </c>
      <c r="C34" s="126"/>
      <c r="D34" s="127">
        <f>'MARCH 21'!I34:I49</f>
        <v>1650</v>
      </c>
      <c r="E34" s="127">
        <v>2500</v>
      </c>
      <c r="F34" s="127">
        <v>2000</v>
      </c>
      <c r="G34" s="127">
        <f t="shared" si="4"/>
        <v>3650</v>
      </c>
      <c r="H34" s="128">
        <f>1850+500</f>
        <v>2350</v>
      </c>
      <c r="I34" s="25">
        <f t="shared" si="3"/>
        <v>1300</v>
      </c>
      <c r="J34" s="21"/>
      <c r="K34" s="2"/>
    </row>
    <row r="35" spans="1:11" ht="30" x14ac:dyDescent="0.25">
      <c r="A35" s="124" t="s">
        <v>49</v>
      </c>
      <c r="B35" s="132" t="s">
        <v>211</v>
      </c>
      <c r="C35" s="126"/>
      <c r="D35" s="127">
        <f>'MARCH 21'!I35:I50</f>
        <v>0</v>
      </c>
      <c r="E35" s="127">
        <v>2500</v>
      </c>
      <c r="F35" s="127">
        <v>2000</v>
      </c>
      <c r="G35" s="127">
        <f t="shared" si="4"/>
        <v>2000</v>
      </c>
      <c r="H35" s="128"/>
      <c r="I35" s="25">
        <f t="shared" si="3"/>
        <v>2000</v>
      </c>
      <c r="J35" s="2"/>
      <c r="K35" s="2"/>
    </row>
    <row r="36" spans="1:11" ht="30" x14ac:dyDescent="0.25">
      <c r="A36" s="124" t="s">
        <v>50</v>
      </c>
      <c r="B36" s="125" t="s">
        <v>33</v>
      </c>
      <c r="C36" s="126"/>
      <c r="D36" s="127">
        <f>'MARCH 21'!I36:I51</f>
        <v>1000</v>
      </c>
      <c r="E36" s="127">
        <v>2500</v>
      </c>
      <c r="F36" s="127">
        <v>2000</v>
      </c>
      <c r="G36" s="127">
        <f t="shared" si="4"/>
        <v>3000</v>
      </c>
      <c r="H36" s="128">
        <f>2000</f>
        <v>2000</v>
      </c>
      <c r="I36" s="25">
        <f t="shared" si="3"/>
        <v>1000</v>
      </c>
      <c r="J36" s="2"/>
      <c r="K36" s="2"/>
    </row>
    <row r="37" spans="1:11" ht="75" x14ac:dyDescent="0.25">
      <c r="A37" s="124" t="s">
        <v>51</v>
      </c>
      <c r="B37" s="125" t="s">
        <v>167</v>
      </c>
      <c r="C37" s="126"/>
      <c r="D37" s="127">
        <f>'MARCH 21'!I37:I52</f>
        <v>0</v>
      </c>
      <c r="E37" s="127">
        <v>2500</v>
      </c>
      <c r="F37" s="127">
        <v>2000</v>
      </c>
      <c r="G37" s="127">
        <f>C37+D37+F37</f>
        <v>2000</v>
      </c>
      <c r="H37" s="128">
        <f>2000</f>
        <v>2000</v>
      </c>
      <c r="I37" s="25">
        <f t="shared" si="3"/>
        <v>0</v>
      </c>
      <c r="J37" s="2"/>
      <c r="K37" s="2"/>
    </row>
    <row r="38" spans="1:11" ht="30" x14ac:dyDescent="0.25">
      <c r="A38" s="124" t="s">
        <v>52</v>
      </c>
      <c r="B38" s="132" t="s">
        <v>127</v>
      </c>
      <c r="C38" s="126"/>
      <c r="D38" s="127">
        <f>'MARCH 21'!I38:I53</f>
        <v>500</v>
      </c>
      <c r="E38" s="127"/>
      <c r="F38" s="127">
        <v>2500</v>
      </c>
      <c r="G38" s="127">
        <v>2500</v>
      </c>
      <c r="H38" s="128">
        <v>2500</v>
      </c>
      <c r="I38" s="25">
        <f t="shared" si="3"/>
        <v>0</v>
      </c>
      <c r="J38" s="2"/>
      <c r="K38" s="2"/>
    </row>
    <row r="39" spans="1:11" ht="60" x14ac:dyDescent="0.25">
      <c r="A39" s="124" t="s">
        <v>57</v>
      </c>
      <c r="B39" s="125" t="s">
        <v>107</v>
      </c>
      <c r="C39" s="126"/>
      <c r="D39" s="127">
        <f>'MARCH 21'!I39:I54</f>
        <v>0</v>
      </c>
      <c r="E39" s="127"/>
      <c r="F39" s="127"/>
      <c r="G39" s="127">
        <f t="shared" si="4"/>
        <v>0</v>
      </c>
      <c r="H39" s="128"/>
      <c r="I39" s="25">
        <f t="shared" si="3"/>
        <v>0</v>
      </c>
      <c r="J39" s="2"/>
      <c r="K39" s="2"/>
    </row>
    <row r="40" spans="1:11" x14ac:dyDescent="0.25">
      <c r="A40" s="124" t="s">
        <v>58</v>
      </c>
      <c r="B40" s="125" t="s">
        <v>115</v>
      </c>
      <c r="C40" s="126"/>
      <c r="D40" s="127">
        <f>'MARCH 21'!I40:I55</f>
        <v>0</v>
      </c>
      <c r="E40" s="127">
        <v>2500</v>
      </c>
      <c r="F40" s="127">
        <v>2000</v>
      </c>
      <c r="G40" s="127">
        <f>C40+D40+F40</f>
        <v>2000</v>
      </c>
      <c r="H40" s="128"/>
      <c r="I40" s="25">
        <f t="shared" si="3"/>
        <v>2000</v>
      </c>
      <c r="J40" s="2"/>
      <c r="K40" s="2"/>
    </row>
    <row r="41" spans="1:11" ht="60" x14ac:dyDescent="0.25">
      <c r="A41" s="124" t="s">
        <v>59</v>
      </c>
      <c r="B41" s="125" t="s">
        <v>131</v>
      </c>
      <c r="C41" s="126"/>
      <c r="D41" s="127">
        <f>'MARCH 21'!I41:I56</f>
        <v>0</v>
      </c>
      <c r="E41" s="127">
        <v>2500</v>
      </c>
      <c r="F41" s="127">
        <v>2000</v>
      </c>
      <c r="G41" s="127">
        <f t="shared" si="4"/>
        <v>2000</v>
      </c>
      <c r="H41" s="128">
        <f>1800</f>
        <v>1800</v>
      </c>
      <c r="I41" s="25">
        <f t="shared" si="3"/>
        <v>200</v>
      </c>
      <c r="J41" s="2"/>
      <c r="K41" s="2"/>
    </row>
    <row r="42" spans="1:11" ht="45" x14ac:dyDescent="0.25">
      <c r="A42" s="124" t="s">
        <v>60</v>
      </c>
      <c r="B42" s="125" t="s">
        <v>38</v>
      </c>
      <c r="C42" s="126"/>
      <c r="D42" s="127">
        <f>'MARCH 21'!I42:I57</f>
        <v>0</v>
      </c>
      <c r="E42" s="127">
        <v>2500</v>
      </c>
      <c r="F42" s="127">
        <v>2000</v>
      </c>
      <c r="G42" s="127">
        <f t="shared" si="4"/>
        <v>2000</v>
      </c>
      <c r="H42" s="128">
        <f>2000</f>
        <v>2000</v>
      </c>
      <c r="I42" s="25">
        <f t="shared" si="3"/>
        <v>0</v>
      </c>
      <c r="J42" s="2"/>
      <c r="K42" s="2"/>
    </row>
    <row r="43" spans="1:11" ht="60" x14ac:dyDescent="0.25">
      <c r="A43" s="124" t="s">
        <v>61</v>
      </c>
      <c r="B43" s="125" t="s">
        <v>201</v>
      </c>
      <c r="C43" s="126"/>
      <c r="D43" s="127">
        <f>'MARCH 21'!I43:I58</f>
        <v>700</v>
      </c>
      <c r="E43" s="127"/>
      <c r="F43" s="127">
        <v>2000</v>
      </c>
      <c r="G43" s="127">
        <f>C43+D43+F43</f>
        <v>2700</v>
      </c>
      <c r="H43" s="128">
        <f>700+1000</f>
        <v>1700</v>
      </c>
      <c r="I43" s="25">
        <f t="shared" si="3"/>
        <v>1000</v>
      </c>
      <c r="J43" s="2"/>
      <c r="K43" s="2"/>
    </row>
    <row r="44" spans="1:11" ht="30" x14ac:dyDescent="0.25">
      <c r="A44" s="124" t="s">
        <v>62</v>
      </c>
      <c r="B44" s="125" t="s">
        <v>202</v>
      </c>
      <c r="C44" s="126"/>
      <c r="D44" s="127">
        <f>'MARCH 21'!I44:I59</f>
        <v>1000</v>
      </c>
      <c r="E44" s="127"/>
      <c r="F44" s="127">
        <v>2000</v>
      </c>
      <c r="G44" s="127">
        <f t="shared" si="4"/>
        <v>3000</v>
      </c>
      <c r="H44" s="128">
        <f>500+1000+500</f>
        <v>2000</v>
      </c>
      <c r="I44" s="25">
        <f t="shared" si="3"/>
        <v>1000</v>
      </c>
      <c r="J44" s="2"/>
      <c r="K44" s="2"/>
    </row>
    <row r="45" spans="1:11" x14ac:dyDescent="0.25">
      <c r="A45" s="135"/>
      <c r="B45" s="136" t="s">
        <v>9</v>
      </c>
      <c r="C45" s="137">
        <f>SUM(C28:C40)</f>
        <v>0</v>
      </c>
      <c r="D45" s="127">
        <f>SUM(D29:D44)</f>
        <v>4850</v>
      </c>
      <c r="E45" s="127">
        <f>SUM(E28:E44)</f>
        <v>30000</v>
      </c>
      <c r="F45" s="138">
        <f>SUM(F28:F44)</f>
        <v>30500</v>
      </c>
      <c r="G45" s="138">
        <f>SUM(G29:G44)</f>
        <v>34850</v>
      </c>
      <c r="H45" s="139">
        <f>SUM(H28:H44)</f>
        <v>25350</v>
      </c>
      <c r="I45" s="41">
        <f>SUM(I28:I44)</f>
        <v>9500</v>
      </c>
      <c r="J45" s="2"/>
      <c r="K45" s="2"/>
    </row>
    <row r="46" spans="1:11" x14ac:dyDescent="0.25">
      <c r="A46" s="6" t="s">
        <v>10</v>
      </c>
      <c r="B46" s="141"/>
      <c r="C46" s="142"/>
      <c r="D46" s="141"/>
      <c r="E46" s="143"/>
      <c r="F46" s="141"/>
      <c r="G46" s="141"/>
      <c r="H46" s="22" t="s">
        <v>13</v>
      </c>
      <c r="I46" s="21"/>
      <c r="J46" s="2"/>
      <c r="K46" s="2"/>
    </row>
    <row r="47" spans="1:11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I47" s="23" t="s">
        <v>15</v>
      </c>
      <c r="J47" s="2"/>
      <c r="K47" s="2"/>
    </row>
    <row r="48" spans="1:11" x14ac:dyDescent="0.25">
      <c r="A48" s="24" t="s">
        <v>63</v>
      </c>
      <c r="B48" s="25">
        <f>F45+E26</f>
        <v>46500</v>
      </c>
      <c r="C48" s="26"/>
      <c r="D48" s="26"/>
      <c r="E48" s="26" t="s">
        <v>63</v>
      </c>
      <c r="F48" s="25">
        <f>H45+G26</f>
        <v>43350</v>
      </c>
      <c r="G48" s="25"/>
      <c r="H48" s="26"/>
      <c r="I48" s="25"/>
      <c r="J48" s="2"/>
      <c r="K48" s="2"/>
    </row>
    <row r="49" spans="1:11" x14ac:dyDescent="0.25">
      <c r="A49" s="24" t="s">
        <v>17</v>
      </c>
      <c r="B49" s="27">
        <v>0.1</v>
      </c>
      <c r="C49" s="28">
        <f>B49*B48</f>
        <v>4650</v>
      </c>
      <c r="D49" s="24"/>
      <c r="E49" s="24" t="s">
        <v>155</v>
      </c>
      <c r="F49" s="27">
        <v>0.1</v>
      </c>
      <c r="G49" s="27"/>
      <c r="H49" s="28">
        <f>F49*B48</f>
        <v>4650</v>
      </c>
      <c r="I49" s="25"/>
      <c r="J49" s="2"/>
      <c r="K49" s="2"/>
    </row>
    <row r="50" spans="1:11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  <c r="K50" s="2"/>
    </row>
    <row r="51" spans="1:11" x14ac:dyDescent="0.25">
      <c r="A51" s="24" t="s">
        <v>213</v>
      </c>
      <c r="B51" s="28">
        <f>I26</f>
        <v>2100</v>
      </c>
      <c r="C51" s="28"/>
      <c r="D51" s="24"/>
      <c r="E51" s="24" t="s">
        <v>213</v>
      </c>
      <c r="F51" s="28">
        <f>I26</f>
        <v>2100</v>
      </c>
      <c r="G51" s="27"/>
      <c r="H51" s="28"/>
      <c r="I51" s="25"/>
      <c r="J51" s="2"/>
      <c r="K51" s="2"/>
    </row>
    <row r="52" spans="1:11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  <c r="J52" s="2"/>
      <c r="K52" s="2"/>
    </row>
    <row r="53" spans="1:11" x14ac:dyDescent="0.25">
      <c r="A53" s="29" t="s">
        <v>19</v>
      </c>
      <c r="B53" s="28">
        <f>'MARCH 21'!D61</f>
        <v>-2200</v>
      </c>
      <c r="C53" s="24"/>
      <c r="D53" s="24"/>
      <c r="E53" s="24" t="s">
        <v>19</v>
      </c>
      <c r="F53" s="28">
        <f>'MARCH 21'!I61</f>
        <v>-9000</v>
      </c>
      <c r="G53" s="28"/>
      <c r="H53" s="24"/>
      <c r="I53" s="25"/>
      <c r="J53" s="2"/>
      <c r="K53" s="2"/>
    </row>
    <row r="54" spans="1:11" x14ac:dyDescent="0.25">
      <c r="A54" s="29" t="s">
        <v>9</v>
      </c>
      <c r="B54" s="28">
        <f>B48+B50+B53+B52</f>
        <v>44300</v>
      </c>
      <c r="C54" s="24"/>
      <c r="D54" s="24"/>
      <c r="E54" s="24" t="s">
        <v>9</v>
      </c>
      <c r="F54" s="28">
        <f>F48+F50+F53+F51</f>
        <v>36450</v>
      </c>
      <c r="G54" s="28"/>
      <c r="H54" s="24"/>
      <c r="I54" s="25"/>
      <c r="J54" s="2"/>
      <c r="K54" s="2"/>
    </row>
    <row r="55" spans="1:11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1"/>
      <c r="K55" s="2"/>
    </row>
    <row r="56" spans="1:11" x14ac:dyDescent="0.25">
      <c r="A56" s="29" t="s">
        <v>144</v>
      </c>
      <c r="B56" s="26"/>
      <c r="C56" s="144">
        <v>9000</v>
      </c>
      <c r="D56" s="24"/>
      <c r="E56" s="29"/>
      <c r="F56" s="26" t="s">
        <v>144</v>
      </c>
      <c r="G56" s="144"/>
      <c r="H56" s="144">
        <v>9000</v>
      </c>
      <c r="I56" s="24"/>
      <c r="J56" s="2"/>
      <c r="K56" s="2"/>
    </row>
    <row r="57" spans="1:11" x14ac:dyDescent="0.25">
      <c r="A57" s="145" t="s">
        <v>217</v>
      </c>
      <c r="B57" s="26"/>
      <c r="C57" s="146">
        <v>30650</v>
      </c>
      <c r="D57" s="26"/>
      <c r="E57" s="26"/>
      <c r="F57" s="145" t="s">
        <v>217</v>
      </c>
      <c r="G57" s="26"/>
      <c r="H57" s="146">
        <v>30650</v>
      </c>
      <c r="I57" s="25"/>
      <c r="J57" s="2"/>
      <c r="K57" s="2"/>
    </row>
    <row r="58" spans="1:11" x14ac:dyDescent="0.25">
      <c r="A58" s="145" t="s">
        <v>220</v>
      </c>
      <c r="B58" s="26"/>
      <c r="C58" s="146">
        <v>6000</v>
      </c>
      <c r="D58" s="26"/>
      <c r="E58" s="26"/>
      <c r="F58" s="145" t="s">
        <v>220</v>
      </c>
      <c r="G58" s="26"/>
      <c r="H58" s="146">
        <f>6000</f>
        <v>6000</v>
      </c>
      <c r="I58" s="25"/>
      <c r="J58" s="2"/>
      <c r="K58" s="2"/>
    </row>
    <row r="59" spans="1:11" x14ac:dyDescent="0.25">
      <c r="A59" s="145" t="s">
        <v>221</v>
      </c>
      <c r="B59" s="26"/>
      <c r="C59" s="146">
        <v>4000</v>
      </c>
      <c r="D59" s="26"/>
      <c r="E59" s="26"/>
      <c r="F59" s="145" t="s">
        <v>221</v>
      </c>
      <c r="G59" s="26"/>
      <c r="H59" s="146">
        <v>4000</v>
      </c>
      <c r="I59" s="25"/>
      <c r="J59" s="2"/>
      <c r="K59" s="2"/>
    </row>
    <row r="60" spans="1:11" x14ac:dyDescent="0.25">
      <c r="A60" s="39" t="s">
        <v>9</v>
      </c>
      <c r="B60" s="40">
        <f>B48+B50+B51+B52+B53-C49</f>
        <v>41750</v>
      </c>
      <c r="C60" s="41">
        <f>SUM(C56:C59)</f>
        <v>49650</v>
      </c>
      <c r="D60" s="41">
        <f>B60-C60</f>
        <v>-7900</v>
      </c>
      <c r="E60" s="41"/>
      <c r="F60" s="40">
        <f>F48+F50+F51+F53-H49-H51</f>
        <v>31800</v>
      </c>
      <c r="G60" s="40"/>
      <c r="H60" s="41">
        <f>SUM(H56:H59)</f>
        <v>49650</v>
      </c>
      <c r="I60" s="41">
        <f>F60-H60</f>
        <v>-17850</v>
      </c>
      <c r="J60" s="2"/>
      <c r="K60" s="2"/>
    </row>
    <row r="61" spans="1:11" x14ac:dyDescent="0.25">
      <c r="A61" s="2" t="s">
        <v>21</v>
      </c>
      <c r="B61" s="2"/>
      <c r="C61" s="2"/>
      <c r="D61" s="2" t="s">
        <v>22</v>
      </c>
      <c r="E61" s="2"/>
      <c r="F61" s="2"/>
      <c r="G61" s="2"/>
      <c r="H61" s="2" t="s">
        <v>23</v>
      </c>
      <c r="I61" s="21"/>
      <c r="J61" s="2"/>
      <c r="K61" s="2"/>
    </row>
    <row r="62" spans="1:11" x14ac:dyDescent="0.25">
      <c r="A62" s="2" t="s">
        <v>194</v>
      </c>
      <c r="B62" s="2"/>
      <c r="C62" s="2"/>
      <c r="D62" s="2" t="s">
        <v>24</v>
      </c>
      <c r="E62" s="2"/>
      <c r="F62" s="2"/>
      <c r="G62" s="2"/>
      <c r="H62" s="2" t="s">
        <v>26</v>
      </c>
      <c r="I62" s="2"/>
      <c r="J62" s="21"/>
      <c r="K62" s="2"/>
    </row>
    <row r="63" spans="1:1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7" spans="1:11" x14ac:dyDescent="0.25">
      <c r="K67">
        <f>65000-9000-5000-5000</f>
        <v>46000</v>
      </c>
    </row>
    <row r="69" spans="1:11" x14ac:dyDescent="0.25">
      <c r="G69" s="65"/>
    </row>
    <row r="70" spans="1:11" x14ac:dyDescent="0.25">
      <c r="E70">
        <f>3200-2600</f>
        <v>600</v>
      </c>
      <c r="G70" s="65"/>
    </row>
    <row r="71" spans="1:11" x14ac:dyDescent="0.25">
      <c r="G71" s="65"/>
    </row>
    <row r="72" spans="1:11" x14ac:dyDescent="0.25">
      <c r="G72" s="65"/>
    </row>
    <row r="73" spans="1:11" x14ac:dyDescent="0.25">
      <c r="G73" s="65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13" workbookViewId="0">
      <selection activeCell="F34" sqref="F34"/>
    </sheetView>
  </sheetViews>
  <sheetFormatPr defaultRowHeight="15" x14ac:dyDescent="0.25"/>
  <cols>
    <col min="1" max="1" width="14.5703125" customWidth="1"/>
  </cols>
  <sheetData>
    <row r="1" spans="1:15" ht="18.75" x14ac:dyDescent="0.3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  <c r="K1" s="69"/>
    </row>
    <row r="2" spans="1:15" ht="18.75" x14ac:dyDescent="0.3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  <c r="K2" s="69"/>
    </row>
    <row r="3" spans="1:15" x14ac:dyDescent="0.25">
      <c r="A3" s="2"/>
      <c r="B3" s="2"/>
      <c r="C3" s="6" t="s">
        <v>219</v>
      </c>
      <c r="D3" s="119"/>
      <c r="E3" s="119"/>
      <c r="F3" s="120"/>
      <c r="G3" s="120"/>
      <c r="H3" s="2"/>
      <c r="I3" s="2"/>
      <c r="J3" s="2"/>
      <c r="K3" s="2"/>
    </row>
    <row r="4" spans="1:15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  <c r="K4" s="2"/>
    </row>
    <row r="5" spans="1:15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123" t="s">
        <v>213</v>
      </c>
      <c r="J5" s="2"/>
      <c r="K5" s="2"/>
    </row>
    <row r="6" spans="1:15" x14ac:dyDescent="0.25">
      <c r="A6" s="124" t="s">
        <v>66</v>
      </c>
      <c r="B6" s="188"/>
      <c r="C6" s="126"/>
      <c r="D6" s="127">
        <f>'APRIL 21'!H6:H26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128"/>
      <c r="J6" s="2"/>
      <c r="K6" s="2"/>
    </row>
    <row r="7" spans="1:15" ht="30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f>3000</f>
        <v>3000</v>
      </c>
      <c r="H7" s="25">
        <f t="shared" si="0"/>
        <v>3000</v>
      </c>
      <c r="I7" s="127"/>
      <c r="J7" s="2"/>
      <c r="K7" s="2"/>
    </row>
    <row r="8" spans="1:15" x14ac:dyDescent="0.25">
      <c r="A8" s="124" t="s">
        <v>67</v>
      </c>
      <c r="B8" s="24" t="s">
        <v>218</v>
      </c>
      <c r="C8" s="126"/>
      <c r="D8" s="127">
        <f>'APRIL 21'!H8:H28</f>
        <v>0</v>
      </c>
      <c r="E8" s="127"/>
      <c r="F8" s="127">
        <f t="shared" si="1"/>
        <v>0</v>
      </c>
      <c r="G8" s="26"/>
      <c r="H8" s="25">
        <f t="shared" si="0"/>
        <v>0</v>
      </c>
      <c r="I8" s="26"/>
      <c r="J8" s="2"/>
      <c r="K8" s="2"/>
    </row>
    <row r="9" spans="1:15" x14ac:dyDescent="0.25">
      <c r="A9" s="129" t="s">
        <v>72</v>
      </c>
      <c r="B9" s="189" t="s">
        <v>103</v>
      </c>
      <c r="C9" s="126"/>
      <c r="D9" s="127">
        <f>'APRIL 21'!H9:H29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  <c r="J9" s="2"/>
      <c r="K9" s="2"/>
      <c r="M9" s="65"/>
      <c r="N9" s="65"/>
    </row>
    <row r="10" spans="1:15" x14ac:dyDescent="0.25">
      <c r="A10" s="130" t="s">
        <v>68</v>
      </c>
      <c r="B10" s="188" t="s">
        <v>40</v>
      </c>
      <c r="C10" s="126"/>
      <c r="D10" s="127">
        <f>'APRIL 21'!H10:H30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  <c r="J10" s="2"/>
      <c r="K10" s="2"/>
      <c r="M10" s="65"/>
      <c r="N10" s="65">
        <f>E26</f>
        <v>16000</v>
      </c>
    </row>
    <row r="11" spans="1:15" x14ac:dyDescent="0.25">
      <c r="A11" s="131" t="s">
        <v>73</v>
      </c>
      <c r="B11" s="190" t="s">
        <v>40</v>
      </c>
      <c r="C11" s="126"/>
      <c r="D11" s="127">
        <f>'APRIL 21'!H11:H31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  <c r="J11" s="2"/>
      <c r="K11" s="2"/>
      <c r="M11" s="65"/>
      <c r="N11" s="65">
        <f>F45</f>
        <v>30500</v>
      </c>
    </row>
    <row r="12" spans="1:15" ht="30" x14ac:dyDescent="0.25">
      <c r="A12" s="124" t="s">
        <v>69</v>
      </c>
      <c r="B12" s="190" t="s">
        <v>229</v>
      </c>
      <c r="C12" s="126">
        <v>4000</v>
      </c>
      <c r="D12" s="127">
        <f>'APRIL 21'!H12:H32</f>
        <v>0</v>
      </c>
      <c r="E12" s="127"/>
      <c r="F12" s="127">
        <f t="shared" si="1"/>
        <v>4000</v>
      </c>
      <c r="G12" s="128">
        <v>4000</v>
      </c>
      <c r="H12" s="25">
        <f t="shared" si="0"/>
        <v>0</v>
      </c>
      <c r="I12" s="128"/>
      <c r="J12" s="2"/>
      <c r="M12" s="65" t="s">
        <v>213</v>
      </c>
      <c r="N12" s="65">
        <v>2100</v>
      </c>
    </row>
    <row r="13" spans="1:15" ht="45" x14ac:dyDescent="0.25">
      <c r="A13" s="124" t="s">
        <v>74</v>
      </c>
      <c r="B13" s="132" t="s">
        <v>87</v>
      </c>
      <c r="C13" s="126"/>
      <c r="D13" s="127">
        <f>'APRIL 21'!H13:H33</f>
        <v>1000</v>
      </c>
      <c r="E13" s="127">
        <v>4000</v>
      </c>
      <c r="F13" s="127">
        <f t="shared" si="1"/>
        <v>5000</v>
      </c>
      <c r="G13" s="128">
        <f>3400</f>
        <v>3400</v>
      </c>
      <c r="H13" s="25">
        <f t="shared" si="0"/>
        <v>1600</v>
      </c>
      <c r="I13" s="128"/>
      <c r="J13" s="2"/>
      <c r="M13" s="65"/>
      <c r="N13" s="65">
        <f>N10+N11+N12</f>
        <v>48600</v>
      </c>
      <c r="O13" s="65"/>
    </row>
    <row r="14" spans="1:15" x14ac:dyDescent="0.25">
      <c r="A14" s="124" t="s">
        <v>70</v>
      </c>
      <c r="B14" s="190"/>
      <c r="C14" s="126"/>
      <c r="D14" s="127">
        <f>'APRIL 21'!H14:H34</f>
        <v>0</v>
      </c>
      <c r="E14" s="127"/>
      <c r="F14" s="127"/>
      <c r="G14" s="128"/>
      <c r="H14" s="25"/>
      <c r="I14" s="128"/>
      <c r="J14" s="2"/>
      <c r="K14" s="2" t="s">
        <v>206</v>
      </c>
      <c r="N14" s="65">
        <f>C49</f>
        <v>4650</v>
      </c>
      <c r="O14" s="65"/>
    </row>
    <row r="15" spans="1:15" x14ac:dyDescent="0.25">
      <c r="A15" s="124" t="s">
        <v>75</v>
      </c>
      <c r="B15" s="190" t="s">
        <v>40</v>
      </c>
      <c r="C15" s="126"/>
      <c r="D15" s="127">
        <f>'APRIL 21'!H15:H35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  <c r="J15" s="2"/>
      <c r="K15" s="2"/>
      <c r="N15" s="65">
        <f>N13-N14</f>
        <v>43950</v>
      </c>
    </row>
    <row r="16" spans="1:15" x14ac:dyDescent="0.25">
      <c r="A16" s="124" t="s">
        <v>76</v>
      </c>
      <c r="B16" s="190" t="s">
        <v>40</v>
      </c>
      <c r="C16" s="126"/>
      <c r="D16" s="127">
        <f>'APRIL 21'!H16:H36</f>
        <v>0</v>
      </c>
      <c r="E16" s="127"/>
      <c r="F16" s="127">
        <f t="shared" si="1"/>
        <v>0</v>
      </c>
      <c r="G16" s="128"/>
      <c r="H16" s="25">
        <f>F16-G16</f>
        <v>0</v>
      </c>
      <c r="I16" s="128"/>
      <c r="J16" s="2"/>
      <c r="K16" s="2"/>
      <c r="M16" s="65"/>
      <c r="N16">
        <f>10000</f>
        <v>10000</v>
      </c>
    </row>
    <row r="17" spans="1:15" x14ac:dyDescent="0.25">
      <c r="A17" s="124" t="s">
        <v>77</v>
      </c>
      <c r="B17" s="190" t="s">
        <v>40</v>
      </c>
      <c r="C17" s="126"/>
      <c r="D17" s="127">
        <f>'APRIL 21'!H17:H37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J17" s="2"/>
      <c r="K17" s="2"/>
      <c r="N17" s="65">
        <f>N15-N16</f>
        <v>33950</v>
      </c>
    </row>
    <row r="18" spans="1:15" ht="30" x14ac:dyDescent="0.25">
      <c r="A18" s="124" t="s">
        <v>78</v>
      </c>
      <c r="B18" s="132" t="s">
        <v>88</v>
      </c>
      <c r="C18" s="126"/>
      <c r="D18" s="127">
        <f>'APRIL 21'!H18:H38</f>
        <v>0</v>
      </c>
      <c r="E18" s="127">
        <v>5000</v>
      </c>
      <c r="F18" s="127">
        <f t="shared" si="1"/>
        <v>5000</v>
      </c>
      <c r="G18" s="128"/>
      <c r="H18" s="25">
        <f t="shared" si="0"/>
        <v>5000</v>
      </c>
      <c r="I18" s="128"/>
      <c r="J18" s="2"/>
      <c r="K18" s="2"/>
      <c r="L18" t="s">
        <v>144</v>
      </c>
      <c r="N18">
        <v>5000</v>
      </c>
    </row>
    <row r="19" spans="1:15" ht="45" x14ac:dyDescent="0.25">
      <c r="A19" s="124" t="s">
        <v>79</v>
      </c>
      <c r="B19" s="132" t="s">
        <v>148</v>
      </c>
      <c r="C19" s="126"/>
      <c r="D19" s="127">
        <f>'APRIL 21'!H19:H39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J19" s="2"/>
      <c r="K19" s="2"/>
      <c r="N19" s="65">
        <f>N17-N18</f>
        <v>28950</v>
      </c>
    </row>
    <row r="20" spans="1:15" x14ac:dyDescent="0.25">
      <c r="A20" s="124" t="s">
        <v>80</v>
      </c>
      <c r="B20" s="190" t="s">
        <v>40</v>
      </c>
      <c r="C20" s="126"/>
      <c r="D20" s="127">
        <f>'APRIL 21'!H20:H40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J20" s="2"/>
      <c r="K20" s="2"/>
    </row>
    <row r="21" spans="1:15" ht="45" x14ac:dyDescent="0.25">
      <c r="A21" s="124" t="s">
        <v>81</v>
      </c>
      <c r="B21" s="132" t="s">
        <v>173</v>
      </c>
      <c r="C21" s="126">
        <v>1600</v>
      </c>
      <c r="D21" s="127">
        <f>'APRIL 21'!H21:H41</f>
        <v>0</v>
      </c>
      <c r="E21" s="127">
        <v>4000</v>
      </c>
      <c r="F21" s="127">
        <f>C21+D21+E21</f>
        <v>5600</v>
      </c>
      <c r="G21" s="128">
        <f>4000</f>
        <v>4000</v>
      </c>
      <c r="H21" s="25">
        <f>F21-G21</f>
        <v>1600</v>
      </c>
      <c r="I21" s="128">
        <f>500</f>
        <v>500</v>
      </c>
      <c r="J21" s="2"/>
      <c r="K21" s="2"/>
      <c r="O21">
        <f>8000+5000+3000</f>
        <v>16000</v>
      </c>
    </row>
    <row r="22" spans="1:15" x14ac:dyDescent="0.25">
      <c r="A22" s="124" t="s">
        <v>82</v>
      </c>
      <c r="B22" s="190" t="s">
        <v>40</v>
      </c>
      <c r="C22" s="126"/>
      <c r="D22" s="127">
        <f>'APRIL 21'!H22:H42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J22" s="2"/>
      <c r="K22" s="2"/>
    </row>
    <row r="23" spans="1:15" x14ac:dyDescent="0.25">
      <c r="A23" s="124" t="s">
        <v>83</v>
      </c>
      <c r="B23" s="190" t="s">
        <v>40</v>
      </c>
      <c r="C23" s="126"/>
      <c r="D23" s="127">
        <f>'APRIL 21'!H23:H43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J23" s="2"/>
      <c r="K23" s="2"/>
    </row>
    <row r="24" spans="1:15" ht="30" x14ac:dyDescent="0.25">
      <c r="A24" s="124" t="s">
        <v>84</v>
      </c>
      <c r="B24" s="190" t="s">
        <v>103</v>
      </c>
      <c r="C24" s="126"/>
      <c r="D24" s="127">
        <f>'APRIL 21'!H24:H44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  <c r="J24" s="2"/>
      <c r="K24" s="2"/>
    </row>
    <row r="25" spans="1:15" x14ac:dyDescent="0.25">
      <c r="A25" s="124" t="s">
        <v>85</v>
      </c>
      <c r="B25" s="190" t="s">
        <v>40</v>
      </c>
      <c r="C25" s="126"/>
      <c r="D25" s="127">
        <f>'APRIL 21'!H25:H45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J25" s="2"/>
      <c r="K25" s="2"/>
    </row>
    <row r="26" spans="1:15" x14ac:dyDescent="0.25">
      <c r="A26" s="135"/>
      <c r="B26" s="136" t="s">
        <v>9</v>
      </c>
      <c r="C26" s="137">
        <f t="shared" ref="C26:H26" si="2">SUM(C6:C25)</f>
        <v>8600</v>
      </c>
      <c r="D26" s="127">
        <f>'APRIL 21'!H26:H46</f>
        <v>4000</v>
      </c>
      <c r="E26" s="138">
        <f t="shared" si="2"/>
        <v>16000</v>
      </c>
      <c r="F26" s="138">
        <f t="shared" si="2"/>
        <v>25600</v>
      </c>
      <c r="G26" s="139">
        <f t="shared" si="2"/>
        <v>14400</v>
      </c>
      <c r="H26" s="140">
        <f t="shared" si="2"/>
        <v>11200</v>
      </c>
      <c r="I26" s="139">
        <f>SUM(I6:I25)</f>
        <v>500</v>
      </c>
      <c r="J26" s="21"/>
      <c r="K26" s="2"/>
    </row>
    <row r="27" spans="1:15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  <c r="K27" s="2"/>
    </row>
    <row r="28" spans="1:15" x14ac:dyDescent="0.25">
      <c r="A28" s="124"/>
      <c r="B28" s="125"/>
      <c r="C28" s="126"/>
      <c r="D28" s="127"/>
      <c r="E28" s="127"/>
      <c r="F28" s="127"/>
      <c r="G28" s="127" t="s">
        <v>6</v>
      </c>
      <c r="H28" s="127" t="s">
        <v>7</v>
      </c>
      <c r="I28" s="25" t="s">
        <v>15</v>
      </c>
      <c r="J28" s="2"/>
      <c r="K28" s="2"/>
    </row>
    <row r="29" spans="1:15" ht="45" x14ac:dyDescent="0.25">
      <c r="A29" s="124" t="s">
        <v>43</v>
      </c>
      <c r="B29" s="125" t="s">
        <v>113</v>
      </c>
      <c r="C29" s="126">
        <f>'AUGUST 20'!I29:I44</f>
        <v>0</v>
      </c>
      <c r="D29" s="127">
        <f>'APRIL 21'!I29:I45</f>
        <v>1000</v>
      </c>
      <c r="E29" s="127">
        <v>2500</v>
      </c>
      <c r="F29" s="127">
        <v>2000</v>
      </c>
      <c r="G29" s="127">
        <f>C28+D29+F29</f>
        <v>3000</v>
      </c>
      <c r="H29" s="127">
        <f>3000</f>
        <v>3000</v>
      </c>
      <c r="I29" s="25">
        <f t="shared" ref="I29:I44" si="3">G29-H29</f>
        <v>0</v>
      </c>
      <c r="J29" s="2"/>
      <c r="K29" s="21">
        <f>H26+I45</f>
        <v>23500</v>
      </c>
    </row>
    <row r="30" spans="1:15" x14ac:dyDescent="0.25">
      <c r="A30" s="124" t="s">
        <v>44</v>
      </c>
      <c r="B30" s="24" t="s">
        <v>138</v>
      </c>
      <c r="C30" s="126"/>
      <c r="D30" s="127">
        <f>'APRIL 21'!I30:I46</f>
        <v>0</v>
      </c>
      <c r="E30" s="127">
        <v>2500</v>
      </c>
      <c r="F30" s="127">
        <v>2000</v>
      </c>
      <c r="G30" s="127">
        <f>C29+D30+F30</f>
        <v>2000</v>
      </c>
      <c r="H30" s="26">
        <f>2000</f>
        <v>2000</v>
      </c>
      <c r="I30" s="25">
        <f t="shared" si="3"/>
        <v>0</v>
      </c>
      <c r="J30" s="2"/>
      <c r="K30" s="2"/>
    </row>
    <row r="31" spans="1:15" x14ac:dyDescent="0.25">
      <c r="A31" s="124" t="s">
        <v>45</v>
      </c>
      <c r="B31" s="125" t="s">
        <v>223</v>
      </c>
      <c r="C31" s="126"/>
      <c r="D31" s="127">
        <f>'APRIL 21'!I31:I47</f>
        <v>0</v>
      </c>
      <c r="E31" s="127">
        <v>2500</v>
      </c>
      <c r="F31" s="127">
        <v>2000</v>
      </c>
      <c r="G31" s="127">
        <f>C31+D31+F31</f>
        <v>2000</v>
      </c>
      <c r="H31" s="25">
        <v>2000</v>
      </c>
      <c r="I31" s="25">
        <f>G31-H31</f>
        <v>0</v>
      </c>
      <c r="J31" s="2"/>
      <c r="K31" s="2"/>
    </row>
    <row r="32" spans="1:15" ht="30" x14ac:dyDescent="0.25">
      <c r="A32" s="124" t="s">
        <v>46</v>
      </c>
      <c r="B32" s="125" t="s">
        <v>31</v>
      </c>
      <c r="C32" s="126"/>
      <c r="D32" s="127">
        <f>'APRIL 21'!I32:I48</f>
        <v>0</v>
      </c>
      <c r="E32" s="127">
        <v>2500</v>
      </c>
      <c r="F32" s="127">
        <v>2000</v>
      </c>
      <c r="G32" s="127">
        <f t="shared" ref="G32:G44" si="4">C32+D32+F32</f>
        <v>2000</v>
      </c>
      <c r="H32" s="128">
        <f>1000</f>
        <v>1000</v>
      </c>
      <c r="I32" s="25">
        <f t="shared" si="3"/>
        <v>1000</v>
      </c>
      <c r="J32" s="21"/>
      <c r="K32" s="2"/>
    </row>
    <row r="33" spans="1:11" ht="45" x14ac:dyDescent="0.25">
      <c r="A33" s="124" t="s">
        <v>47</v>
      </c>
      <c r="B33" s="132" t="s">
        <v>199</v>
      </c>
      <c r="C33" s="126"/>
      <c r="D33" s="127">
        <f>'APRIL 21'!I33:I49</f>
        <v>0</v>
      </c>
      <c r="E33" s="127">
        <v>2500</v>
      </c>
      <c r="F33" s="127">
        <v>2000</v>
      </c>
      <c r="G33" s="127">
        <f>C33+D33+F33</f>
        <v>2000</v>
      </c>
      <c r="H33" s="133">
        <f>2000</f>
        <v>2000</v>
      </c>
      <c r="I33" s="25">
        <f>G33-H33</f>
        <v>0</v>
      </c>
      <c r="J33" s="21"/>
      <c r="K33" s="2"/>
    </row>
    <row r="34" spans="1:11" ht="45" x14ac:dyDescent="0.25">
      <c r="A34" s="124" t="s">
        <v>48</v>
      </c>
      <c r="B34" s="132" t="s">
        <v>37</v>
      </c>
      <c r="C34" s="126"/>
      <c r="D34" s="127">
        <f>'APRIL 21'!I34:I50</f>
        <v>1300</v>
      </c>
      <c r="E34" s="127">
        <v>2500</v>
      </c>
      <c r="F34" s="127">
        <v>2000</v>
      </c>
      <c r="G34" s="127">
        <f t="shared" si="4"/>
        <v>3300</v>
      </c>
      <c r="H34" s="128">
        <f>1500</f>
        <v>1500</v>
      </c>
      <c r="I34" s="25">
        <f t="shared" si="3"/>
        <v>1800</v>
      </c>
      <c r="J34" s="21"/>
      <c r="K34" s="2"/>
    </row>
    <row r="35" spans="1:11" ht="30" x14ac:dyDescent="0.25">
      <c r="A35" s="124" t="s">
        <v>49</v>
      </c>
      <c r="B35" s="132" t="s">
        <v>211</v>
      </c>
      <c r="C35" s="126"/>
      <c r="D35" s="127">
        <f>'APRIL 21'!I35:I51</f>
        <v>2000</v>
      </c>
      <c r="E35" s="127">
        <v>2500</v>
      </c>
      <c r="F35" s="127">
        <v>2000</v>
      </c>
      <c r="G35" s="127">
        <f t="shared" si="4"/>
        <v>4000</v>
      </c>
      <c r="H35" s="128">
        <v>1500</v>
      </c>
      <c r="I35" s="25">
        <f t="shared" si="3"/>
        <v>2500</v>
      </c>
      <c r="J35" s="2"/>
      <c r="K35" s="2"/>
    </row>
    <row r="36" spans="1:11" ht="30" x14ac:dyDescent="0.25">
      <c r="A36" s="124" t="s">
        <v>50</v>
      </c>
      <c r="B36" s="125" t="s">
        <v>33</v>
      </c>
      <c r="C36" s="126"/>
      <c r="D36" s="127">
        <f>'APRIL 21'!I36:I52</f>
        <v>1000</v>
      </c>
      <c r="E36" s="127">
        <v>2500</v>
      </c>
      <c r="F36" s="127">
        <v>2000</v>
      </c>
      <c r="G36" s="127">
        <f t="shared" si="4"/>
        <v>3000</v>
      </c>
      <c r="H36" s="128">
        <f>2000</f>
        <v>2000</v>
      </c>
      <c r="I36" s="25">
        <f t="shared" si="3"/>
        <v>1000</v>
      </c>
      <c r="J36" s="2"/>
      <c r="K36" s="2"/>
    </row>
    <row r="37" spans="1:11" ht="75" x14ac:dyDescent="0.25">
      <c r="A37" s="124" t="s">
        <v>51</v>
      </c>
      <c r="B37" s="125" t="s">
        <v>167</v>
      </c>
      <c r="C37" s="126"/>
      <c r="D37" s="127">
        <f>'APRIL 21'!I37:I53</f>
        <v>0</v>
      </c>
      <c r="E37" s="127">
        <v>2500</v>
      </c>
      <c r="F37" s="127">
        <v>2000</v>
      </c>
      <c r="G37" s="127">
        <f>C37+D37+F37</f>
        <v>2000</v>
      </c>
      <c r="H37" s="128">
        <f>2000</f>
        <v>2000</v>
      </c>
      <c r="I37" s="25">
        <f t="shared" si="3"/>
        <v>0</v>
      </c>
      <c r="J37" s="2"/>
      <c r="K37" s="2"/>
    </row>
    <row r="38" spans="1:11" ht="30" x14ac:dyDescent="0.25">
      <c r="A38" s="124" t="s">
        <v>52</v>
      </c>
      <c r="B38" s="132" t="s">
        <v>127</v>
      </c>
      <c r="C38" s="126"/>
      <c r="D38" s="127">
        <f>'APRIL 21'!I38:I54</f>
        <v>0</v>
      </c>
      <c r="E38" s="127"/>
      <c r="F38" s="127">
        <v>2500</v>
      </c>
      <c r="G38" s="127">
        <v>2500</v>
      </c>
      <c r="H38" s="128">
        <f>2500</f>
        <v>2500</v>
      </c>
      <c r="I38" s="25">
        <f t="shared" si="3"/>
        <v>0</v>
      </c>
      <c r="J38" s="2"/>
      <c r="K38" s="2"/>
    </row>
    <row r="39" spans="1:11" ht="60" x14ac:dyDescent="0.25">
      <c r="A39" s="124" t="s">
        <v>57</v>
      </c>
      <c r="B39" s="125" t="s">
        <v>107</v>
      </c>
      <c r="C39" s="126"/>
      <c r="D39" s="127">
        <f>'APRIL 21'!I39:I55</f>
        <v>0</v>
      </c>
      <c r="E39" s="127"/>
      <c r="F39" s="127"/>
      <c r="G39" s="127">
        <f t="shared" si="4"/>
        <v>0</v>
      </c>
      <c r="H39" s="128"/>
      <c r="I39" s="25">
        <f t="shared" si="3"/>
        <v>0</v>
      </c>
      <c r="J39" s="2"/>
      <c r="K39" s="2"/>
    </row>
    <row r="40" spans="1:11" x14ac:dyDescent="0.25">
      <c r="A40" s="124" t="s">
        <v>58</v>
      </c>
      <c r="B40" s="125" t="s">
        <v>115</v>
      </c>
      <c r="C40" s="126">
        <v>2000</v>
      </c>
      <c r="D40" s="127"/>
      <c r="E40" s="127"/>
      <c r="F40" s="127">
        <v>2000</v>
      </c>
      <c r="G40" s="127">
        <f>C40+D40+F40</f>
        <v>4000</v>
      </c>
      <c r="H40" s="128">
        <f>2000</f>
        <v>2000</v>
      </c>
      <c r="I40" s="25">
        <f t="shared" si="3"/>
        <v>2000</v>
      </c>
      <c r="J40" s="2"/>
      <c r="K40" s="2"/>
    </row>
    <row r="41" spans="1:11" ht="60" x14ac:dyDescent="0.25">
      <c r="A41" s="124" t="s">
        <v>59</v>
      </c>
      <c r="B41" s="125" t="s">
        <v>131</v>
      </c>
      <c r="C41" s="126"/>
      <c r="D41" s="127">
        <f>'APRIL 21'!I41:I57</f>
        <v>200</v>
      </c>
      <c r="E41" s="127">
        <v>2500</v>
      </c>
      <c r="F41" s="127">
        <v>2000</v>
      </c>
      <c r="G41" s="127">
        <f t="shared" si="4"/>
        <v>2200</v>
      </c>
      <c r="H41" s="128">
        <f>1000</f>
        <v>1000</v>
      </c>
      <c r="I41" s="25">
        <f t="shared" si="3"/>
        <v>1200</v>
      </c>
      <c r="J41" s="2"/>
      <c r="K41" s="2"/>
    </row>
    <row r="42" spans="1:11" ht="45" x14ac:dyDescent="0.25">
      <c r="A42" s="124" t="s">
        <v>60</v>
      </c>
      <c r="B42" s="125" t="s">
        <v>38</v>
      </c>
      <c r="C42" s="126"/>
      <c r="D42" s="127">
        <f>'APRIL 21'!I42:I58</f>
        <v>0</v>
      </c>
      <c r="E42" s="127">
        <v>2500</v>
      </c>
      <c r="F42" s="127">
        <v>2000</v>
      </c>
      <c r="G42" s="127">
        <f t="shared" si="4"/>
        <v>2000</v>
      </c>
      <c r="H42" s="128">
        <f>2000</f>
        <v>2000</v>
      </c>
      <c r="I42" s="25">
        <f t="shared" si="3"/>
        <v>0</v>
      </c>
      <c r="J42" s="2"/>
      <c r="K42" s="2"/>
    </row>
    <row r="43" spans="1:11" ht="60" x14ac:dyDescent="0.25">
      <c r="A43" s="124" t="s">
        <v>61</v>
      </c>
      <c r="B43" s="125" t="s">
        <v>201</v>
      </c>
      <c r="C43" s="126"/>
      <c r="D43" s="127">
        <f>'APRIL 21'!I43:I59</f>
        <v>1000</v>
      </c>
      <c r="E43" s="127"/>
      <c r="F43" s="127">
        <v>2000</v>
      </c>
      <c r="G43" s="127">
        <f>C43+D43+F43</f>
        <v>3000</v>
      </c>
      <c r="H43" s="128">
        <f>1000+1000</f>
        <v>2000</v>
      </c>
      <c r="I43" s="25">
        <f t="shared" si="3"/>
        <v>1000</v>
      </c>
      <c r="J43" s="2"/>
      <c r="K43" s="21"/>
    </row>
    <row r="44" spans="1:11" ht="30" x14ac:dyDescent="0.25">
      <c r="A44" s="124" t="s">
        <v>62</v>
      </c>
      <c r="B44" s="125" t="s">
        <v>202</v>
      </c>
      <c r="C44" s="126"/>
      <c r="D44" s="127">
        <f>'APRIL 21'!I44:I60</f>
        <v>1000</v>
      </c>
      <c r="E44" s="127"/>
      <c r="F44" s="127">
        <v>2000</v>
      </c>
      <c r="G44" s="127">
        <f t="shared" si="4"/>
        <v>3000</v>
      </c>
      <c r="H44" s="128">
        <f>1200</f>
        <v>1200</v>
      </c>
      <c r="I44" s="25">
        <f t="shared" si="3"/>
        <v>1800</v>
      </c>
      <c r="J44" s="2"/>
      <c r="K44" s="2"/>
    </row>
    <row r="45" spans="1:11" x14ac:dyDescent="0.25">
      <c r="A45" s="135"/>
      <c r="B45" s="136" t="s">
        <v>9</v>
      </c>
      <c r="C45" s="137">
        <f>SUM(C28:C40)</f>
        <v>2000</v>
      </c>
      <c r="D45" s="127">
        <f>'APRIL 21'!I45:I61</f>
        <v>9500</v>
      </c>
      <c r="E45" s="127">
        <f>SUM(E28:E44)</f>
        <v>27500</v>
      </c>
      <c r="F45" s="138">
        <f>SUM(F28:F44)</f>
        <v>30500</v>
      </c>
      <c r="G45" s="138">
        <f>SUM(G29:G44)</f>
        <v>40000</v>
      </c>
      <c r="H45" s="139">
        <f>SUM(H28:H44)</f>
        <v>27700</v>
      </c>
      <c r="I45" s="41">
        <f>SUM(I28:I44)</f>
        <v>12300</v>
      </c>
      <c r="J45" s="2"/>
      <c r="K45" s="2"/>
    </row>
    <row r="46" spans="1:11" x14ac:dyDescent="0.25">
      <c r="A46" s="6" t="s">
        <v>10</v>
      </c>
      <c r="B46" s="141"/>
      <c r="C46" s="142"/>
      <c r="D46" s="141"/>
      <c r="E46" s="143"/>
      <c r="F46" s="141"/>
      <c r="G46" s="141"/>
      <c r="H46" s="22" t="s">
        <v>13</v>
      </c>
      <c r="I46" s="21"/>
      <c r="J46" s="2"/>
      <c r="K46" s="2"/>
    </row>
    <row r="47" spans="1:11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I47" s="23" t="s">
        <v>15</v>
      </c>
      <c r="J47" s="2"/>
      <c r="K47" s="2"/>
    </row>
    <row r="48" spans="1:11" x14ac:dyDescent="0.25">
      <c r="A48" s="24" t="s">
        <v>110</v>
      </c>
      <c r="B48" s="25">
        <f>F45+E26</f>
        <v>46500</v>
      </c>
      <c r="C48" s="26"/>
      <c r="D48" s="26"/>
      <c r="E48" s="26" t="s">
        <v>110</v>
      </c>
      <c r="F48" s="25">
        <f>H45+G26</f>
        <v>42100</v>
      </c>
      <c r="G48" s="25"/>
      <c r="H48" s="26"/>
      <c r="I48" s="25"/>
      <c r="J48" s="2"/>
      <c r="K48" s="2"/>
    </row>
    <row r="49" spans="1:11" x14ac:dyDescent="0.25">
      <c r="A49" s="24" t="s">
        <v>17</v>
      </c>
      <c r="B49" s="27">
        <v>0.1</v>
      </c>
      <c r="C49" s="28">
        <f>B49*B48</f>
        <v>4650</v>
      </c>
      <c r="D49" s="24"/>
      <c r="E49" s="24" t="s">
        <v>155</v>
      </c>
      <c r="F49" s="27">
        <v>0.1</v>
      </c>
      <c r="G49" s="27"/>
      <c r="H49" s="28">
        <f>F49*B48</f>
        <v>4650</v>
      </c>
      <c r="I49" s="25"/>
      <c r="J49" s="2"/>
      <c r="K49" s="2"/>
    </row>
    <row r="50" spans="1:11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  <c r="K50" s="2"/>
    </row>
    <row r="51" spans="1:11" x14ac:dyDescent="0.25">
      <c r="A51" s="24" t="s">
        <v>213</v>
      </c>
      <c r="B51" s="28">
        <v>500</v>
      </c>
      <c r="C51" s="28"/>
      <c r="D51" s="24"/>
      <c r="E51" s="24" t="s">
        <v>213</v>
      </c>
      <c r="F51" s="28">
        <f>I26</f>
        <v>500</v>
      </c>
      <c r="G51" s="27"/>
      <c r="H51" s="28"/>
      <c r="I51" s="25"/>
      <c r="J51" s="2"/>
      <c r="K51" s="2"/>
    </row>
    <row r="52" spans="1:11" x14ac:dyDescent="0.25">
      <c r="A52" s="29" t="s">
        <v>231</v>
      </c>
      <c r="B52" s="28">
        <v>4000</v>
      </c>
      <c r="C52" s="2"/>
      <c r="D52" s="24"/>
      <c r="E52" s="24" t="s">
        <v>158</v>
      </c>
      <c r="F52" s="28"/>
      <c r="G52" s="28"/>
      <c r="H52" s="24"/>
      <c r="I52" s="25"/>
      <c r="J52" s="2"/>
      <c r="K52" s="2"/>
    </row>
    <row r="53" spans="1:11" x14ac:dyDescent="0.25">
      <c r="A53" s="29" t="s">
        <v>19</v>
      </c>
      <c r="B53" s="28">
        <f>'APRIL 21'!D60</f>
        <v>-7900</v>
      </c>
      <c r="C53" s="24"/>
      <c r="D53" s="24"/>
      <c r="E53" s="24" t="s">
        <v>19</v>
      </c>
      <c r="F53" s="28">
        <f>'APRIL 21'!I60</f>
        <v>-17850</v>
      </c>
      <c r="G53" s="28"/>
      <c r="H53" s="24"/>
      <c r="I53" s="25"/>
      <c r="J53" s="2"/>
      <c r="K53" s="2"/>
    </row>
    <row r="54" spans="1:11" x14ac:dyDescent="0.25">
      <c r="A54" s="29" t="s">
        <v>9</v>
      </c>
      <c r="B54" s="28">
        <f>B48+B50+B53+B52</f>
        <v>42600</v>
      </c>
      <c r="C54" s="24"/>
      <c r="D54" s="24"/>
      <c r="E54" s="24" t="s">
        <v>9</v>
      </c>
      <c r="F54" s="28">
        <f>F48+F50+F53+F51</f>
        <v>24750</v>
      </c>
      <c r="G54" s="28"/>
      <c r="H54" s="24"/>
      <c r="I54" s="25"/>
      <c r="J54" s="2"/>
      <c r="K54" s="2"/>
    </row>
    <row r="55" spans="1:11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1"/>
      <c r="K55" s="2"/>
    </row>
    <row r="56" spans="1:11" x14ac:dyDescent="0.25">
      <c r="A56" s="29" t="s">
        <v>144</v>
      </c>
      <c r="B56" s="26"/>
      <c r="C56" s="144">
        <v>5000</v>
      </c>
      <c r="D56" s="24"/>
      <c r="E56" s="29"/>
      <c r="F56" s="26" t="s">
        <v>144</v>
      </c>
      <c r="G56" s="144"/>
      <c r="H56" s="144">
        <v>5000</v>
      </c>
      <c r="I56" s="24"/>
      <c r="J56" s="2"/>
      <c r="K56" s="2"/>
    </row>
    <row r="57" spans="1:11" x14ac:dyDescent="0.25">
      <c r="A57" s="145" t="s">
        <v>222</v>
      </c>
      <c r="B57" s="26"/>
      <c r="C57" s="146">
        <v>28950</v>
      </c>
      <c r="D57" s="26"/>
      <c r="E57" s="26"/>
      <c r="F57" s="145" t="s">
        <v>222</v>
      </c>
      <c r="G57" s="26"/>
      <c r="H57" s="146">
        <v>28950</v>
      </c>
      <c r="I57" s="25"/>
      <c r="J57" s="2"/>
      <c r="K57" s="2"/>
    </row>
    <row r="58" spans="1:11" x14ac:dyDescent="0.25">
      <c r="A58" s="145" t="s">
        <v>228</v>
      </c>
      <c r="B58" s="26"/>
      <c r="C58" s="146">
        <v>5055</v>
      </c>
      <c r="D58" s="26"/>
      <c r="E58" s="26"/>
      <c r="F58" s="145" t="s">
        <v>228</v>
      </c>
      <c r="G58" s="26"/>
      <c r="H58" s="146">
        <v>5055</v>
      </c>
      <c r="I58" s="25"/>
      <c r="J58" s="2"/>
      <c r="K58" s="2"/>
    </row>
    <row r="59" spans="1:11" x14ac:dyDescent="0.25">
      <c r="A59" s="145" t="s">
        <v>230</v>
      </c>
      <c r="B59" s="26"/>
      <c r="C59" s="146">
        <v>3800</v>
      </c>
      <c r="D59" s="26"/>
      <c r="E59" s="26"/>
      <c r="F59" s="145" t="s">
        <v>230</v>
      </c>
      <c r="G59" s="26"/>
      <c r="H59" s="146">
        <v>3800</v>
      </c>
      <c r="I59" s="25"/>
      <c r="J59" s="2"/>
      <c r="K59" s="2"/>
    </row>
    <row r="60" spans="1:11" x14ac:dyDescent="0.25">
      <c r="A60" s="145" t="s">
        <v>232</v>
      </c>
      <c r="B60" s="26"/>
      <c r="C60" s="146">
        <v>1012</v>
      </c>
      <c r="D60" s="26"/>
      <c r="E60" s="26"/>
      <c r="F60" s="145" t="s">
        <v>232</v>
      </c>
      <c r="G60" s="26"/>
      <c r="H60" s="146">
        <v>1012</v>
      </c>
      <c r="I60" s="25"/>
      <c r="J60" s="2"/>
      <c r="K60" s="2"/>
    </row>
    <row r="61" spans="1:11" x14ac:dyDescent="0.25">
      <c r="A61" s="145" t="s">
        <v>238</v>
      </c>
      <c r="B61" s="26"/>
      <c r="C61" s="146">
        <v>2000</v>
      </c>
      <c r="D61" s="26"/>
      <c r="E61" s="26"/>
      <c r="F61" s="145"/>
      <c r="G61" s="26"/>
      <c r="H61" s="146"/>
      <c r="I61" s="25"/>
      <c r="J61" s="2"/>
      <c r="K61" s="2"/>
    </row>
    <row r="62" spans="1:11" x14ac:dyDescent="0.25">
      <c r="A62" s="39" t="s">
        <v>9</v>
      </c>
      <c r="B62" s="40">
        <f>B48+B50+B51+B52+B53-C49</f>
        <v>38450</v>
      </c>
      <c r="C62" s="41">
        <f>SUM(C56:C61)</f>
        <v>45817</v>
      </c>
      <c r="D62" s="41">
        <f>B62-C62</f>
        <v>-7367</v>
      </c>
      <c r="E62" s="41"/>
      <c r="F62" s="40">
        <f>F48+F50+F53-H49-H51</f>
        <v>19600</v>
      </c>
      <c r="G62" s="40"/>
      <c r="H62" s="41">
        <f>SUM(H56:H61)</f>
        <v>43817</v>
      </c>
      <c r="I62" s="41">
        <f>F62-H62</f>
        <v>-24217</v>
      </c>
      <c r="J62" s="2"/>
      <c r="K62" s="2"/>
    </row>
    <row r="63" spans="1:11" x14ac:dyDescent="0.25">
      <c r="A63" s="2" t="s">
        <v>21</v>
      </c>
      <c r="B63" s="2"/>
      <c r="C63" s="2"/>
      <c r="D63" s="2" t="s">
        <v>22</v>
      </c>
      <c r="E63" s="2"/>
      <c r="F63" s="2"/>
      <c r="G63" s="2"/>
      <c r="H63" s="2" t="s">
        <v>23</v>
      </c>
      <c r="I63" s="21"/>
      <c r="J63" s="2"/>
      <c r="K63" s="2"/>
    </row>
    <row r="64" spans="1:11" x14ac:dyDescent="0.25">
      <c r="A64" s="2" t="s">
        <v>194</v>
      </c>
      <c r="B64" s="2"/>
      <c r="C64" s="2"/>
      <c r="D64" s="2" t="s">
        <v>24</v>
      </c>
      <c r="E64" s="2"/>
      <c r="F64" s="2"/>
      <c r="G64" s="2"/>
      <c r="H64" s="2" t="s">
        <v>26</v>
      </c>
      <c r="I64" s="2"/>
      <c r="J64" s="21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70" spans="1:11" x14ac:dyDescent="0.25">
      <c r="I70" s="65">
        <f>I62-D62</f>
        <v>-16850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J43" sqref="J43"/>
    </sheetView>
  </sheetViews>
  <sheetFormatPr defaultRowHeight="15" x14ac:dyDescent="0.25"/>
  <cols>
    <col min="2" max="2" width="15.7109375" customWidth="1"/>
    <col min="12" max="12" width="12.5703125" customWidth="1"/>
    <col min="16" max="16" width="15.85546875" customWidth="1"/>
  </cols>
  <sheetData>
    <row r="1" spans="1:13" ht="15.75" x14ac:dyDescent="0.25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</row>
    <row r="2" spans="1:13" ht="15.75" x14ac:dyDescent="0.25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</row>
    <row r="3" spans="1:13" x14ac:dyDescent="0.25">
      <c r="A3" s="2"/>
      <c r="B3" s="2"/>
      <c r="C3" s="6" t="s">
        <v>224</v>
      </c>
      <c r="D3" s="119"/>
      <c r="E3" s="119"/>
      <c r="F3" s="120"/>
      <c r="G3" s="120"/>
      <c r="H3" s="2"/>
      <c r="I3" s="2"/>
      <c r="J3" s="2"/>
    </row>
    <row r="4" spans="1:13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</row>
    <row r="5" spans="1:13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123" t="s">
        <v>213</v>
      </c>
      <c r="J5" s="2"/>
    </row>
    <row r="6" spans="1:13" x14ac:dyDescent="0.25">
      <c r="A6" s="124" t="s">
        <v>66</v>
      </c>
      <c r="B6" s="188"/>
      <c r="C6" s="126"/>
      <c r="D6" s="127"/>
      <c r="E6" s="127"/>
      <c r="F6" s="127">
        <f>C6+D6+E6</f>
        <v>0</v>
      </c>
      <c r="G6" s="128"/>
      <c r="H6" s="25">
        <f t="shared" ref="H6:H25" si="0">F6-G6</f>
        <v>0</v>
      </c>
      <c r="I6" s="128"/>
      <c r="J6" s="2"/>
    </row>
    <row r="7" spans="1:13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v>3000</v>
      </c>
      <c r="H7" s="25">
        <f t="shared" si="0"/>
        <v>3000</v>
      </c>
      <c r="I7" s="127">
        <v>400</v>
      </c>
      <c r="J7" s="2"/>
    </row>
    <row r="8" spans="1:13" x14ac:dyDescent="0.25">
      <c r="A8" s="124" t="s">
        <v>67</v>
      </c>
      <c r="B8" s="24" t="s">
        <v>218</v>
      </c>
      <c r="C8" s="126"/>
      <c r="D8" s="127">
        <f>'MAY21'!H8:H28</f>
        <v>0</v>
      </c>
      <c r="E8" s="127"/>
      <c r="F8" s="127">
        <f t="shared" si="1"/>
        <v>0</v>
      </c>
      <c r="G8" s="26"/>
      <c r="H8" s="25">
        <f t="shared" si="0"/>
        <v>0</v>
      </c>
      <c r="I8" s="26"/>
      <c r="J8" s="2"/>
    </row>
    <row r="9" spans="1:13" x14ac:dyDescent="0.25">
      <c r="A9" s="129" t="s">
        <v>72</v>
      </c>
      <c r="B9" s="189" t="s">
        <v>103</v>
      </c>
      <c r="C9" s="126"/>
      <c r="D9" s="127">
        <f>'MAY21'!H9:H29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  <c r="J9" s="2"/>
    </row>
    <row r="10" spans="1:13" x14ac:dyDescent="0.25">
      <c r="A10" s="130" t="s">
        <v>68</v>
      </c>
      <c r="B10" s="188" t="s">
        <v>40</v>
      </c>
      <c r="C10" s="126"/>
      <c r="D10" s="127">
        <f>'MAY21'!H10:H30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  <c r="J10" s="2"/>
      <c r="M10" s="65">
        <f>E26</f>
        <v>16000</v>
      </c>
    </row>
    <row r="11" spans="1:13" x14ac:dyDescent="0.25">
      <c r="A11" s="131" t="s">
        <v>73</v>
      </c>
      <c r="B11" s="190" t="s">
        <v>40</v>
      </c>
      <c r="C11" s="126"/>
      <c r="D11" s="127">
        <f>'MAY21'!H11:H31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  <c r="J11" s="2"/>
      <c r="M11" s="65">
        <f>F45</f>
        <v>28500</v>
      </c>
    </row>
    <row r="12" spans="1:13" ht="25.5" customHeight="1" x14ac:dyDescent="0.25">
      <c r="A12" s="124" t="s">
        <v>69</v>
      </c>
      <c r="B12" s="132" t="s">
        <v>229</v>
      </c>
      <c r="C12" s="126"/>
      <c r="D12" s="127">
        <f>'MAY21'!H12:H32</f>
        <v>0</v>
      </c>
      <c r="E12" s="127">
        <v>4000</v>
      </c>
      <c r="F12" s="127">
        <f t="shared" si="1"/>
        <v>4000</v>
      </c>
      <c r="G12" s="128">
        <v>4000</v>
      </c>
      <c r="H12" s="25">
        <f t="shared" si="0"/>
        <v>0</v>
      </c>
      <c r="I12" s="128"/>
      <c r="J12" s="2"/>
      <c r="M12" s="65">
        <f>M10+M11</f>
        <v>44500</v>
      </c>
    </row>
    <row r="13" spans="1:13" ht="25.5" customHeight="1" x14ac:dyDescent="0.25">
      <c r="A13" s="124" t="s">
        <v>74</v>
      </c>
      <c r="B13" s="132" t="s">
        <v>87</v>
      </c>
      <c r="C13" s="126"/>
      <c r="D13" s="127">
        <f>'MAY21'!H13:H33</f>
        <v>1600</v>
      </c>
      <c r="E13" s="127">
        <v>4000</v>
      </c>
      <c r="F13" s="127">
        <f t="shared" si="1"/>
        <v>5600</v>
      </c>
      <c r="G13" s="128">
        <f>4000+1400</f>
        <v>5400</v>
      </c>
      <c r="H13" s="25">
        <f t="shared" si="0"/>
        <v>200</v>
      </c>
      <c r="I13" s="128">
        <f>400+900</f>
        <v>1300</v>
      </c>
      <c r="J13" s="2"/>
      <c r="L13" t="s">
        <v>213</v>
      </c>
      <c r="M13">
        <v>500</v>
      </c>
    </row>
    <row r="14" spans="1:13" x14ac:dyDescent="0.25">
      <c r="A14" s="124" t="s">
        <v>70</v>
      </c>
      <c r="B14" s="190"/>
      <c r="C14" s="126"/>
      <c r="D14" s="127">
        <f>'MAY21'!H14:H34</f>
        <v>0</v>
      </c>
      <c r="E14" s="127"/>
      <c r="F14" s="127"/>
      <c r="G14" s="128"/>
      <c r="H14" s="25"/>
      <c r="I14" s="128"/>
      <c r="J14" s="2"/>
      <c r="M14" s="65">
        <f>M12+M13</f>
        <v>45000</v>
      </c>
    </row>
    <row r="15" spans="1:13" x14ac:dyDescent="0.25">
      <c r="A15" s="124" t="s">
        <v>75</v>
      </c>
      <c r="B15" s="190" t="s">
        <v>40</v>
      </c>
      <c r="C15" s="126"/>
      <c r="D15" s="127">
        <f>'MAY21'!H15:H35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  <c r="J15" s="2"/>
    </row>
    <row r="16" spans="1:13" x14ac:dyDescent="0.25">
      <c r="A16" s="124" t="s">
        <v>76</v>
      </c>
      <c r="B16" s="190" t="s">
        <v>40</v>
      </c>
      <c r="C16" s="126"/>
      <c r="D16" s="127">
        <f>'MAY21'!H16:H36</f>
        <v>0</v>
      </c>
      <c r="E16" s="127"/>
      <c r="F16" s="127">
        <f t="shared" si="1"/>
        <v>0</v>
      </c>
      <c r="G16" s="128"/>
      <c r="H16" s="25">
        <f>F16-G16</f>
        <v>0</v>
      </c>
      <c r="I16" s="128"/>
      <c r="J16" s="2"/>
      <c r="L16" t="s">
        <v>155</v>
      </c>
      <c r="M16" s="65">
        <f>C49</f>
        <v>4450</v>
      </c>
    </row>
    <row r="17" spans="1:16" x14ac:dyDescent="0.25">
      <c r="A17" s="124" t="s">
        <v>77</v>
      </c>
      <c r="B17" s="190" t="s">
        <v>40</v>
      </c>
      <c r="C17" s="126"/>
      <c r="D17" s="127">
        <f>'MAY21'!H17:H37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J17" s="2"/>
      <c r="M17" s="65">
        <f>M14-M16</f>
        <v>40550</v>
      </c>
    </row>
    <row r="18" spans="1:16" ht="30" x14ac:dyDescent="0.25">
      <c r="A18" s="124" t="s">
        <v>78</v>
      </c>
      <c r="B18" s="132" t="s">
        <v>88</v>
      </c>
      <c r="C18" s="126"/>
      <c r="D18" s="127">
        <f>'MAY21'!H18:H38</f>
        <v>5000</v>
      </c>
      <c r="E18" s="127">
        <v>5000</v>
      </c>
      <c r="F18" s="127">
        <f t="shared" si="1"/>
        <v>10000</v>
      </c>
      <c r="G18" s="128">
        <f>9000</f>
        <v>9000</v>
      </c>
      <c r="H18" s="25">
        <f t="shared" si="0"/>
        <v>1000</v>
      </c>
      <c r="I18" s="128"/>
      <c r="J18" s="2"/>
      <c r="L18" t="s">
        <v>7</v>
      </c>
      <c r="M18">
        <f>5055</f>
        <v>5055</v>
      </c>
      <c r="P18">
        <f>1200-900</f>
        <v>300</v>
      </c>
    </row>
    <row r="19" spans="1:16" ht="30" x14ac:dyDescent="0.25">
      <c r="A19" s="124" t="s">
        <v>79</v>
      </c>
      <c r="B19" s="132" t="s">
        <v>148</v>
      </c>
      <c r="C19" s="126"/>
      <c r="D19" s="127">
        <f>'MAY21'!H19:H39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J19" s="2"/>
      <c r="L19" t="s">
        <v>7</v>
      </c>
      <c r="M19">
        <v>1012</v>
      </c>
    </row>
    <row r="20" spans="1:16" x14ac:dyDescent="0.25">
      <c r="A20" s="124" t="s">
        <v>80</v>
      </c>
      <c r="B20" s="190" t="s">
        <v>40</v>
      </c>
      <c r="C20" s="126"/>
      <c r="D20" s="127">
        <f>'MAY21'!H20:H40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J20" s="2"/>
      <c r="M20" s="65">
        <f>M17-M18-M19</f>
        <v>34483</v>
      </c>
    </row>
    <row r="21" spans="1:16" ht="30" x14ac:dyDescent="0.25">
      <c r="A21" s="124" t="s">
        <v>81</v>
      </c>
      <c r="B21" s="132" t="s">
        <v>173</v>
      </c>
      <c r="C21" s="126"/>
      <c r="D21" s="127">
        <f>'MAY21'!H21:H41</f>
        <v>1600</v>
      </c>
      <c r="E21" s="127"/>
      <c r="F21" s="127">
        <f>C21+D21+E21</f>
        <v>1600</v>
      </c>
      <c r="G21" s="128">
        <v>1600</v>
      </c>
      <c r="H21" s="25">
        <f>F21-G21</f>
        <v>0</v>
      </c>
      <c r="I21" s="128"/>
      <c r="J21" s="2"/>
      <c r="L21" t="s">
        <v>144</v>
      </c>
      <c r="M21">
        <v>5000</v>
      </c>
    </row>
    <row r="22" spans="1:16" x14ac:dyDescent="0.25">
      <c r="A22" s="124" t="s">
        <v>82</v>
      </c>
      <c r="B22" s="190" t="s">
        <v>40</v>
      </c>
      <c r="C22" s="126"/>
      <c r="D22" s="127">
        <f>'MAY21'!H22:H42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J22" s="2"/>
      <c r="M22" s="65">
        <f>M20-M21</f>
        <v>29483</v>
      </c>
    </row>
    <row r="23" spans="1:16" x14ac:dyDescent="0.25">
      <c r="A23" s="124" t="s">
        <v>83</v>
      </c>
      <c r="B23" s="190" t="s">
        <v>40</v>
      </c>
      <c r="C23" s="126"/>
      <c r="D23" s="127">
        <f>'MAY21'!H23:H43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J23" s="2"/>
      <c r="M23" s="65">
        <f>M22-200</f>
        <v>29283</v>
      </c>
    </row>
    <row r="24" spans="1:16" x14ac:dyDescent="0.25">
      <c r="A24" s="124" t="s">
        <v>84</v>
      </c>
      <c r="B24" s="190" t="s">
        <v>103</v>
      </c>
      <c r="C24" s="126"/>
      <c r="D24" s="127">
        <f>'MAY21'!H24:H44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  <c r="J24" s="2"/>
    </row>
    <row r="25" spans="1:16" x14ac:dyDescent="0.25">
      <c r="A25" s="124" t="s">
        <v>85</v>
      </c>
      <c r="B25" s="190" t="s">
        <v>40</v>
      </c>
      <c r="C25" s="126"/>
      <c r="D25" s="127">
        <f>'MAY21'!H25:H45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J25" s="2"/>
    </row>
    <row r="26" spans="1:16" x14ac:dyDescent="0.25">
      <c r="A26" s="135"/>
      <c r="B26" s="136" t="s">
        <v>9</v>
      </c>
      <c r="C26" s="137">
        <f t="shared" ref="C26:H26" si="2">SUM(C6:C25)</f>
        <v>3000</v>
      </c>
      <c r="D26" s="127">
        <f>'MAY21'!H26:H46</f>
        <v>11200</v>
      </c>
      <c r="E26" s="138">
        <f t="shared" si="2"/>
        <v>16000</v>
      </c>
      <c r="F26" s="138">
        <f t="shared" si="2"/>
        <v>27200</v>
      </c>
      <c r="G26" s="139">
        <f t="shared" si="2"/>
        <v>23000</v>
      </c>
      <c r="H26" s="140">
        <f t="shared" si="2"/>
        <v>4200</v>
      </c>
      <c r="I26" s="139">
        <f>SUM(I6:I25)</f>
        <v>1700</v>
      </c>
      <c r="J26" s="21"/>
    </row>
    <row r="27" spans="1:16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</row>
    <row r="28" spans="1:16" x14ac:dyDescent="0.25">
      <c r="A28" s="124"/>
      <c r="B28" s="125"/>
      <c r="C28" s="126"/>
      <c r="D28" s="127"/>
      <c r="E28" s="127"/>
      <c r="F28" s="127"/>
      <c r="G28" s="127" t="s">
        <v>6</v>
      </c>
      <c r="H28" s="127" t="s">
        <v>7</v>
      </c>
      <c r="I28" s="25" t="s">
        <v>15</v>
      </c>
      <c r="J28" s="2"/>
    </row>
    <row r="29" spans="1:16" ht="30" x14ac:dyDescent="0.25">
      <c r="A29" s="124" t="s">
        <v>43</v>
      </c>
      <c r="B29" s="125" t="s">
        <v>113</v>
      </c>
      <c r="C29" s="126">
        <f>'AUGUST 20'!I29:I44</f>
        <v>0</v>
      </c>
      <c r="D29" s="127">
        <f>'MAY21'!I29:I45</f>
        <v>0</v>
      </c>
      <c r="E29" s="127"/>
      <c r="F29" s="127">
        <v>2000</v>
      </c>
      <c r="G29" s="127">
        <f>C28+D29+F29</f>
        <v>2000</v>
      </c>
      <c r="H29" s="127">
        <v>2000</v>
      </c>
      <c r="I29" s="25">
        <f t="shared" ref="I29:I44" si="3">G29-H29</f>
        <v>0</v>
      </c>
      <c r="J29" s="2"/>
    </row>
    <row r="30" spans="1:16" x14ac:dyDescent="0.25">
      <c r="A30" s="124" t="s">
        <v>44</v>
      </c>
      <c r="B30" s="24" t="s">
        <v>138</v>
      </c>
      <c r="C30" s="126"/>
      <c r="D30" s="127">
        <f>'MAY21'!I30:I46</f>
        <v>0</v>
      </c>
      <c r="E30" s="127"/>
      <c r="F30" s="127">
        <v>2000</v>
      </c>
      <c r="G30" s="127">
        <f>C29+D30+F30</f>
        <v>2000</v>
      </c>
      <c r="H30" s="26">
        <f>2000</f>
        <v>2000</v>
      </c>
      <c r="I30" s="25">
        <f t="shared" si="3"/>
        <v>0</v>
      </c>
      <c r="J30" s="2"/>
    </row>
    <row r="31" spans="1:16" x14ac:dyDescent="0.25">
      <c r="A31" s="124" t="s">
        <v>45</v>
      </c>
      <c r="B31" s="125" t="s">
        <v>223</v>
      </c>
      <c r="C31" s="126"/>
      <c r="D31" s="127">
        <f>'MAY21'!I31:I47</f>
        <v>0</v>
      </c>
      <c r="E31" s="127"/>
      <c r="F31" s="127">
        <v>2000</v>
      </c>
      <c r="G31" s="127">
        <f>C31+D31+F31</f>
        <v>2000</v>
      </c>
      <c r="H31" s="25">
        <f>1680+220</f>
        <v>1900</v>
      </c>
      <c r="I31" s="25">
        <f>G31-H31</f>
        <v>100</v>
      </c>
      <c r="J31" s="2"/>
    </row>
    <row r="32" spans="1:16" x14ac:dyDescent="0.25">
      <c r="A32" s="124" t="s">
        <v>46</v>
      </c>
      <c r="B32" s="125" t="s">
        <v>31</v>
      </c>
      <c r="C32" s="126"/>
      <c r="D32" s="127">
        <f>'MAY21'!I32:I48</f>
        <v>1000</v>
      </c>
      <c r="E32" s="127"/>
      <c r="F32" s="127">
        <v>2000</v>
      </c>
      <c r="G32" s="127">
        <f t="shared" ref="G32:G44" si="4">C32+D32+F32</f>
        <v>3000</v>
      </c>
      <c r="H32" s="128">
        <v>3000</v>
      </c>
      <c r="I32" s="25">
        <f t="shared" si="3"/>
        <v>0</v>
      </c>
      <c r="J32" s="21"/>
    </row>
    <row r="33" spans="1:11" x14ac:dyDescent="0.25">
      <c r="A33" s="124" t="s">
        <v>47</v>
      </c>
      <c r="B33" s="132" t="s">
        <v>234</v>
      </c>
      <c r="C33" s="126"/>
      <c r="D33" s="127">
        <f>'MAY21'!I33:I49</f>
        <v>0</v>
      </c>
      <c r="E33" s="127"/>
      <c r="F33" s="127">
        <v>2000</v>
      </c>
      <c r="G33" s="127">
        <f>C33+D33+F33</f>
        <v>2000</v>
      </c>
      <c r="H33" s="133">
        <v>2000</v>
      </c>
      <c r="I33" s="25">
        <f>G33-H33</f>
        <v>0</v>
      </c>
      <c r="J33" s="21"/>
    </row>
    <row r="34" spans="1:11" ht="41.25" customHeight="1" x14ac:dyDescent="0.25">
      <c r="A34" s="124" t="s">
        <v>48</v>
      </c>
      <c r="B34" s="132" t="s">
        <v>37</v>
      </c>
      <c r="C34" s="126"/>
      <c r="D34" s="127">
        <f>'MAY21'!I34:I50</f>
        <v>1800</v>
      </c>
      <c r="E34" s="127"/>
      <c r="F34" s="127">
        <v>2000</v>
      </c>
      <c r="G34" s="127">
        <f t="shared" si="4"/>
        <v>3800</v>
      </c>
      <c r="H34" s="128">
        <f>2000</f>
        <v>2000</v>
      </c>
      <c r="I34" s="25">
        <f t="shared" si="3"/>
        <v>1800</v>
      </c>
      <c r="J34" s="21"/>
    </row>
    <row r="35" spans="1:11" x14ac:dyDescent="0.25">
      <c r="A35" s="124" t="s">
        <v>49</v>
      </c>
      <c r="B35" s="132" t="s">
        <v>211</v>
      </c>
      <c r="C35" s="126"/>
      <c r="D35" s="127">
        <f>'MAY21'!I35:I51</f>
        <v>2500</v>
      </c>
      <c r="E35" s="127"/>
      <c r="F35" s="127">
        <v>2000</v>
      </c>
      <c r="G35" s="127">
        <f t="shared" si="4"/>
        <v>4500</v>
      </c>
      <c r="H35" s="128">
        <f>1000</f>
        <v>1000</v>
      </c>
      <c r="I35" s="25">
        <f t="shared" si="3"/>
        <v>3500</v>
      </c>
      <c r="J35" s="2"/>
    </row>
    <row r="36" spans="1:11" x14ac:dyDescent="0.25">
      <c r="A36" s="124" t="s">
        <v>50</v>
      </c>
      <c r="B36" s="125" t="s">
        <v>103</v>
      </c>
      <c r="C36" s="126"/>
      <c r="D36" s="127"/>
      <c r="E36" s="127"/>
      <c r="F36" s="127"/>
      <c r="G36" s="127">
        <f t="shared" si="4"/>
        <v>0</v>
      </c>
      <c r="H36" s="128"/>
      <c r="I36" s="25">
        <f t="shared" si="3"/>
        <v>0</v>
      </c>
      <c r="J36" s="2"/>
    </row>
    <row r="37" spans="1:11" ht="30" x14ac:dyDescent="0.25">
      <c r="A37" s="124" t="s">
        <v>51</v>
      </c>
      <c r="B37" s="125" t="s">
        <v>167</v>
      </c>
      <c r="C37" s="126"/>
      <c r="D37" s="127">
        <f>'MAY21'!I37:I53</f>
        <v>0</v>
      </c>
      <c r="E37" s="127"/>
      <c r="F37" s="127">
        <v>2000</v>
      </c>
      <c r="G37" s="127">
        <f>C37+D37+F37</f>
        <v>2000</v>
      </c>
      <c r="H37" s="128">
        <v>2000</v>
      </c>
      <c r="I37" s="25">
        <f t="shared" si="3"/>
        <v>0</v>
      </c>
      <c r="J37" s="2"/>
    </row>
    <row r="38" spans="1:11" ht="30" x14ac:dyDescent="0.25">
      <c r="A38" s="124" t="s">
        <v>52</v>
      </c>
      <c r="B38" s="125" t="s">
        <v>33</v>
      </c>
      <c r="C38" s="126"/>
      <c r="D38" s="127">
        <v>1000</v>
      </c>
      <c r="E38" s="127"/>
      <c r="F38" s="127">
        <v>2500</v>
      </c>
      <c r="G38" s="127">
        <f t="shared" ref="G38:G39" si="5">C38+D38+F38</f>
        <v>3500</v>
      </c>
      <c r="H38" s="128">
        <f>2000+500</f>
        <v>2500</v>
      </c>
      <c r="I38" s="25">
        <f t="shared" si="3"/>
        <v>1000</v>
      </c>
      <c r="J38" s="2"/>
    </row>
    <row r="39" spans="1:11" ht="45" x14ac:dyDescent="0.25">
      <c r="A39" s="124" t="s">
        <v>57</v>
      </c>
      <c r="B39" s="125" t="s">
        <v>107</v>
      </c>
      <c r="C39" s="126"/>
      <c r="D39" s="127">
        <f>'MAY21'!I39:I55</f>
        <v>0</v>
      </c>
      <c r="E39" s="127"/>
      <c r="F39" s="127"/>
      <c r="G39" s="127">
        <f t="shared" si="5"/>
        <v>0</v>
      </c>
      <c r="H39" s="128"/>
      <c r="I39" s="25">
        <f t="shared" si="3"/>
        <v>0</v>
      </c>
      <c r="J39" s="2"/>
    </row>
    <row r="40" spans="1:11" x14ac:dyDescent="0.25">
      <c r="A40" s="124" t="s">
        <v>58</v>
      </c>
      <c r="B40" s="188" t="s">
        <v>233</v>
      </c>
      <c r="C40" s="126"/>
      <c r="D40" s="191"/>
      <c r="E40" s="127"/>
      <c r="F40" s="127">
        <v>2000</v>
      </c>
      <c r="G40" s="191">
        <f>C40+D40+F40</f>
        <v>2000</v>
      </c>
      <c r="H40" s="128">
        <v>2000</v>
      </c>
      <c r="I40" s="192">
        <f t="shared" si="3"/>
        <v>0</v>
      </c>
      <c r="J40" s="2"/>
    </row>
    <row r="41" spans="1:11" ht="45" x14ac:dyDescent="0.25">
      <c r="A41" s="124" t="s">
        <v>59</v>
      </c>
      <c r="B41" s="125" t="s">
        <v>241</v>
      </c>
      <c r="C41" s="126"/>
      <c r="D41" s="127">
        <f>'MAY21'!I41:I57</f>
        <v>1200</v>
      </c>
      <c r="E41" s="127"/>
      <c r="F41" s="127">
        <v>2000</v>
      </c>
      <c r="G41" s="127">
        <f t="shared" si="4"/>
        <v>3200</v>
      </c>
      <c r="H41" s="128">
        <v>700</v>
      </c>
      <c r="I41" s="25">
        <f t="shared" si="3"/>
        <v>2500</v>
      </c>
      <c r="J41" s="2"/>
    </row>
    <row r="42" spans="1:11" ht="30" x14ac:dyDescent="0.25">
      <c r="A42" s="124" t="s">
        <v>60</v>
      </c>
      <c r="B42" s="125" t="s">
        <v>38</v>
      </c>
      <c r="C42" s="126"/>
      <c r="D42" s="127">
        <f>'MAY21'!I42:I58</f>
        <v>0</v>
      </c>
      <c r="E42" s="127"/>
      <c r="F42" s="127">
        <v>2000</v>
      </c>
      <c r="G42" s="127">
        <f t="shared" si="4"/>
        <v>2000</v>
      </c>
      <c r="H42" s="128">
        <f>2000</f>
        <v>2000</v>
      </c>
      <c r="I42" s="25">
        <f t="shared" si="3"/>
        <v>0</v>
      </c>
      <c r="J42" s="2"/>
    </row>
    <row r="43" spans="1:11" ht="30" x14ac:dyDescent="0.25">
      <c r="A43" s="124" t="s">
        <v>61</v>
      </c>
      <c r="B43" s="125" t="s">
        <v>201</v>
      </c>
      <c r="C43" s="126"/>
      <c r="D43" s="127">
        <f>'MAY21'!I43:I61</f>
        <v>1000</v>
      </c>
      <c r="E43" s="127"/>
      <c r="F43" s="127">
        <v>2000</v>
      </c>
      <c r="G43" s="127">
        <f>C43+D43+F43</f>
        <v>3000</v>
      </c>
      <c r="H43" s="128">
        <f>1500</f>
        <v>1500</v>
      </c>
      <c r="I43" s="25">
        <f t="shared" si="3"/>
        <v>1500</v>
      </c>
      <c r="J43" s="2"/>
      <c r="K43">
        <f>1800+3200</f>
        <v>5000</v>
      </c>
    </row>
    <row r="44" spans="1:11" x14ac:dyDescent="0.25">
      <c r="A44" s="124" t="s">
        <v>62</v>
      </c>
      <c r="B44" s="125" t="s">
        <v>202</v>
      </c>
      <c r="C44" s="126"/>
      <c r="D44" s="127">
        <f>'MAY21'!I44:I62</f>
        <v>1800</v>
      </c>
      <c r="E44" s="127"/>
      <c r="F44" s="127">
        <v>2000</v>
      </c>
      <c r="G44" s="127">
        <f t="shared" si="4"/>
        <v>3800</v>
      </c>
      <c r="H44" s="128">
        <f>1700+800</f>
        <v>2500</v>
      </c>
      <c r="I44" s="25">
        <f t="shared" si="3"/>
        <v>1300</v>
      </c>
      <c r="J44" s="2"/>
    </row>
    <row r="45" spans="1:11" x14ac:dyDescent="0.25">
      <c r="A45" s="135"/>
      <c r="B45" s="136" t="s">
        <v>9</v>
      </c>
      <c r="C45" s="137">
        <f>SUM(C28:C40)</f>
        <v>0</v>
      </c>
      <c r="D45" s="127">
        <f>'MAY21'!I45:I63</f>
        <v>12300</v>
      </c>
      <c r="E45" s="127">
        <f>SUM(E28:E44)</f>
        <v>0</v>
      </c>
      <c r="F45" s="138">
        <f>SUM(F28:F44)</f>
        <v>28500</v>
      </c>
      <c r="G45" s="138">
        <f>SUM(G29:G44)</f>
        <v>38800</v>
      </c>
      <c r="H45" s="139">
        <f>SUM(H28:H44)</f>
        <v>27100</v>
      </c>
      <c r="I45" s="41">
        <f>SUM(I28:I44)</f>
        <v>11700</v>
      </c>
      <c r="J45" s="2"/>
    </row>
    <row r="46" spans="1:11" x14ac:dyDescent="0.25">
      <c r="A46" s="6" t="s">
        <v>10</v>
      </c>
      <c r="B46" s="141"/>
      <c r="C46" s="142"/>
      <c r="D46" s="127">
        <f>'MAY21'!I46:I64</f>
        <v>0</v>
      </c>
      <c r="E46" s="143"/>
      <c r="F46" s="141"/>
      <c r="G46" s="141"/>
      <c r="H46" s="22" t="s">
        <v>13</v>
      </c>
      <c r="I46" s="21"/>
      <c r="J46" s="21">
        <f>I45+H18+H13</f>
        <v>12900</v>
      </c>
    </row>
    <row r="47" spans="1:11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I47" s="23" t="s">
        <v>15</v>
      </c>
      <c r="J47" s="21">
        <f>J46+I62</f>
        <v>-1150</v>
      </c>
    </row>
    <row r="48" spans="1:11" x14ac:dyDescent="0.25">
      <c r="A48" s="24" t="s">
        <v>128</v>
      </c>
      <c r="B48" s="25">
        <f>F45+E26</f>
        <v>44500</v>
      </c>
      <c r="C48" s="26"/>
      <c r="D48" s="26"/>
      <c r="E48" s="26" t="s">
        <v>128</v>
      </c>
      <c r="F48" s="25">
        <f>H45+G26</f>
        <v>50100</v>
      </c>
      <c r="G48" s="25"/>
      <c r="H48" s="26"/>
      <c r="I48" s="25"/>
      <c r="J48" s="2"/>
    </row>
    <row r="49" spans="1:12" x14ac:dyDescent="0.25">
      <c r="A49" s="24" t="s">
        <v>17</v>
      </c>
      <c r="B49" s="27">
        <v>0.1</v>
      </c>
      <c r="C49" s="28">
        <f>B49*B48</f>
        <v>4450</v>
      </c>
      <c r="D49" s="24"/>
      <c r="E49" s="24" t="s">
        <v>155</v>
      </c>
      <c r="F49" s="27">
        <v>0.1</v>
      </c>
      <c r="G49" s="27"/>
      <c r="H49" s="28">
        <f>F49*B48</f>
        <v>4450</v>
      </c>
      <c r="I49" s="25"/>
      <c r="J49" s="2"/>
    </row>
    <row r="50" spans="1:12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</row>
    <row r="51" spans="1:12" x14ac:dyDescent="0.25">
      <c r="A51" s="24" t="s">
        <v>213</v>
      </c>
      <c r="B51" s="28">
        <f>I26</f>
        <v>1700</v>
      </c>
      <c r="C51" s="28"/>
      <c r="D51" s="24"/>
      <c r="E51" s="24" t="s">
        <v>213</v>
      </c>
      <c r="F51" s="28">
        <f>I26</f>
        <v>1700</v>
      </c>
      <c r="G51" s="27"/>
      <c r="H51" s="28"/>
      <c r="I51" s="25"/>
      <c r="J51" s="2"/>
    </row>
    <row r="52" spans="1:12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  <c r="J52" s="2"/>
    </row>
    <row r="53" spans="1:12" x14ac:dyDescent="0.25">
      <c r="A53" s="29" t="s">
        <v>19</v>
      </c>
      <c r="B53" s="28">
        <f>'MAY21'!D62</f>
        <v>-7367</v>
      </c>
      <c r="C53" s="24"/>
      <c r="D53" s="24"/>
      <c r="E53" s="24" t="s">
        <v>19</v>
      </c>
      <c r="F53" s="28">
        <f>'MAY21'!I62</f>
        <v>-24217</v>
      </c>
      <c r="G53" s="28"/>
      <c r="H53" s="24"/>
      <c r="I53" s="25"/>
      <c r="J53" s="2"/>
    </row>
    <row r="54" spans="1:12" x14ac:dyDescent="0.25">
      <c r="A54" s="29" t="s">
        <v>9</v>
      </c>
      <c r="B54" s="28">
        <f>B48+B50+B53+B52</f>
        <v>37133</v>
      </c>
      <c r="C54" s="24"/>
      <c r="D54" s="24"/>
      <c r="E54" s="24" t="s">
        <v>9</v>
      </c>
      <c r="F54" s="28">
        <f>F48+F50+F53+F51</f>
        <v>27583</v>
      </c>
      <c r="G54" s="28"/>
      <c r="H54" s="24"/>
      <c r="I54" s="25"/>
      <c r="J54" s="2"/>
    </row>
    <row r="55" spans="1:12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1"/>
    </row>
    <row r="56" spans="1:12" x14ac:dyDescent="0.25">
      <c r="A56" s="29" t="s">
        <v>144</v>
      </c>
      <c r="B56" s="26"/>
      <c r="C56" s="144">
        <v>5000</v>
      </c>
      <c r="D56" s="24"/>
      <c r="E56" s="29"/>
      <c r="F56" s="26" t="s">
        <v>144</v>
      </c>
      <c r="G56" s="144"/>
      <c r="H56" s="144">
        <v>5000</v>
      </c>
      <c r="I56" s="24"/>
      <c r="J56" s="2"/>
    </row>
    <row r="57" spans="1:12" x14ac:dyDescent="0.25">
      <c r="A57" s="145" t="s">
        <v>236</v>
      </c>
      <c r="B57" s="26"/>
      <c r="C57" s="146">
        <v>5000</v>
      </c>
      <c r="D57" s="26"/>
      <c r="E57" s="26"/>
      <c r="F57" s="145" t="s">
        <v>236</v>
      </c>
      <c r="G57" s="26"/>
      <c r="H57" s="146">
        <v>5000</v>
      </c>
      <c r="I57" s="25"/>
      <c r="J57" s="2"/>
    </row>
    <row r="58" spans="1:12" x14ac:dyDescent="0.25">
      <c r="A58" s="145" t="s">
        <v>237</v>
      </c>
      <c r="B58" s="26"/>
      <c r="C58" s="146">
        <v>24683</v>
      </c>
      <c r="D58" s="26"/>
      <c r="E58" s="26"/>
      <c r="F58" s="145" t="s">
        <v>237</v>
      </c>
      <c r="G58" s="26"/>
      <c r="H58" s="146">
        <v>24683</v>
      </c>
      <c r="I58" s="25"/>
      <c r="J58" s="2"/>
      <c r="L58">
        <f>2000+2500</f>
        <v>4500</v>
      </c>
    </row>
    <row r="59" spans="1:12" x14ac:dyDescent="0.25">
      <c r="A59" s="145" t="s">
        <v>235</v>
      </c>
      <c r="B59" s="26"/>
      <c r="C59" s="146">
        <v>2500</v>
      </c>
      <c r="D59" s="26"/>
      <c r="E59" s="26"/>
      <c r="F59" s="145"/>
      <c r="G59" s="26"/>
      <c r="H59" s="146"/>
      <c r="I59" s="25"/>
      <c r="J59" s="2"/>
    </row>
    <row r="60" spans="1:12" x14ac:dyDescent="0.25">
      <c r="A60" s="145" t="s">
        <v>239</v>
      </c>
      <c r="B60" s="26"/>
      <c r="C60" s="146">
        <v>800</v>
      </c>
      <c r="D60" s="26"/>
      <c r="E60" s="26"/>
      <c r="F60" s="145" t="s">
        <v>239</v>
      </c>
      <c r="G60" s="26"/>
      <c r="H60" s="146">
        <v>800</v>
      </c>
      <c r="I60" s="25"/>
      <c r="J60" s="2"/>
    </row>
    <row r="61" spans="1:12" x14ac:dyDescent="0.25">
      <c r="A61" s="145"/>
      <c r="B61" s="26"/>
      <c r="C61" s="146"/>
      <c r="D61" s="26"/>
      <c r="E61" s="26"/>
      <c r="F61" s="145"/>
      <c r="G61" s="26"/>
      <c r="H61" s="146"/>
      <c r="I61" s="25"/>
      <c r="J61" s="2"/>
    </row>
    <row r="62" spans="1:12" x14ac:dyDescent="0.25">
      <c r="A62" s="39" t="s">
        <v>9</v>
      </c>
      <c r="B62" s="40">
        <f>B48+B50+B51+B52+B53-C49</f>
        <v>34383</v>
      </c>
      <c r="C62" s="41">
        <f>SUM(C56:C61)</f>
        <v>37983</v>
      </c>
      <c r="D62" s="41">
        <f>B62-C62</f>
        <v>-3600</v>
      </c>
      <c r="E62" s="41"/>
      <c r="F62" s="40">
        <f>F48+F50+F53-H49-H51</f>
        <v>21433</v>
      </c>
      <c r="G62" s="40"/>
      <c r="H62" s="41">
        <f>SUM(H56:H61)</f>
        <v>35483</v>
      </c>
      <c r="I62" s="41">
        <f>F62-H62</f>
        <v>-14050</v>
      </c>
      <c r="J62" s="21">
        <f>I45+I62</f>
        <v>-2350</v>
      </c>
    </row>
    <row r="63" spans="1:12" x14ac:dyDescent="0.25">
      <c r="A63" s="2" t="s">
        <v>21</v>
      </c>
      <c r="B63" s="2"/>
      <c r="C63" s="2"/>
      <c r="D63" s="2" t="s">
        <v>22</v>
      </c>
      <c r="E63" s="2"/>
      <c r="F63" s="2"/>
      <c r="G63" s="2"/>
      <c r="H63" s="2" t="s">
        <v>23</v>
      </c>
      <c r="I63" s="21"/>
      <c r="J63" s="21"/>
    </row>
    <row r="64" spans="1:12" x14ac:dyDescent="0.25">
      <c r="A64" s="2" t="s">
        <v>194</v>
      </c>
      <c r="B64" s="2"/>
      <c r="C64" s="2"/>
      <c r="D64" s="2" t="s">
        <v>24</v>
      </c>
      <c r="E64" s="2"/>
      <c r="F64" s="2"/>
      <c r="G64" s="2"/>
      <c r="H64" s="2" t="s">
        <v>26</v>
      </c>
      <c r="I64" s="2"/>
      <c r="J64" s="21"/>
    </row>
    <row r="65" spans="1:1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40" workbookViewId="0">
      <selection activeCell="J39" sqref="J39"/>
    </sheetView>
  </sheetViews>
  <sheetFormatPr defaultRowHeight="15" x14ac:dyDescent="0.25"/>
  <cols>
    <col min="2" max="2" width="18.28515625" bestFit="1" customWidth="1"/>
    <col min="12" max="12" width="12" bestFit="1" customWidth="1"/>
  </cols>
  <sheetData>
    <row r="1" spans="1:13" ht="15.75" x14ac:dyDescent="0.25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</row>
    <row r="2" spans="1:13" ht="15.75" x14ac:dyDescent="0.25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</row>
    <row r="3" spans="1:13" x14ac:dyDescent="0.25">
      <c r="A3" s="2"/>
      <c r="B3" s="2"/>
      <c r="C3" s="6" t="s">
        <v>240</v>
      </c>
      <c r="D3" s="119"/>
      <c r="E3" s="119"/>
      <c r="F3" s="120"/>
      <c r="G3" s="120"/>
      <c r="H3" s="2"/>
      <c r="I3" s="2"/>
      <c r="J3" s="2"/>
    </row>
    <row r="4" spans="1:13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</row>
    <row r="5" spans="1:13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123" t="s">
        <v>213</v>
      </c>
      <c r="J5" s="2"/>
    </row>
    <row r="6" spans="1:13" x14ac:dyDescent="0.25">
      <c r="A6" s="124" t="s">
        <v>66</v>
      </c>
      <c r="B6" s="188"/>
      <c r="C6" s="126"/>
      <c r="D6" s="127"/>
      <c r="E6" s="127"/>
      <c r="F6" s="127">
        <f>C6+D6+E6</f>
        <v>0</v>
      </c>
      <c r="G6" s="128"/>
      <c r="H6" s="25">
        <f t="shared" ref="H6:H25" si="0">F6-G6</f>
        <v>0</v>
      </c>
      <c r="I6" s="128"/>
      <c r="J6" s="2"/>
    </row>
    <row r="7" spans="1:13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f>3000</f>
        <v>3000</v>
      </c>
      <c r="H7" s="25">
        <f t="shared" si="0"/>
        <v>3000</v>
      </c>
      <c r="I7" s="127"/>
      <c r="J7" s="2"/>
    </row>
    <row r="8" spans="1:13" x14ac:dyDescent="0.25">
      <c r="A8" s="124" t="s">
        <v>67</v>
      </c>
      <c r="B8" s="24" t="s">
        <v>218</v>
      </c>
      <c r="C8" s="126"/>
      <c r="D8" s="127">
        <f>'JUNE 21'!H6:H25</f>
        <v>0</v>
      </c>
      <c r="E8" s="127"/>
      <c r="F8" s="127">
        <f t="shared" si="1"/>
        <v>0</v>
      </c>
      <c r="G8" s="26"/>
      <c r="H8" s="25">
        <f t="shared" si="0"/>
        <v>0</v>
      </c>
      <c r="I8" s="26">
        <v>200</v>
      </c>
      <c r="J8" s="2"/>
    </row>
    <row r="9" spans="1:13" x14ac:dyDescent="0.25">
      <c r="A9" s="129" t="s">
        <v>72</v>
      </c>
      <c r="B9" s="189" t="s">
        <v>103</v>
      </c>
      <c r="C9" s="126"/>
      <c r="D9" s="127">
        <f>'JUNE 21'!H7:H26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  <c r="J9" s="2"/>
    </row>
    <row r="10" spans="1:13" x14ac:dyDescent="0.25">
      <c r="A10" s="130" t="s">
        <v>68</v>
      </c>
      <c r="B10" s="188" t="s">
        <v>40</v>
      </c>
      <c r="C10" s="126"/>
      <c r="D10" s="127">
        <f>'JUNE 21'!H8:H27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  <c r="J10" s="2"/>
      <c r="M10" s="65">
        <f>E26</f>
        <v>15500</v>
      </c>
    </row>
    <row r="11" spans="1:13" x14ac:dyDescent="0.25">
      <c r="A11" s="131" t="s">
        <v>73</v>
      </c>
      <c r="B11" s="190" t="s">
        <v>40</v>
      </c>
      <c r="C11" s="126"/>
      <c r="D11" s="127">
        <f>'JUNE 21'!H9:H28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  <c r="J11" s="2"/>
      <c r="M11" s="65">
        <f>E45</f>
        <v>30500</v>
      </c>
    </row>
    <row r="12" spans="1:13" x14ac:dyDescent="0.25">
      <c r="A12" s="124" t="s">
        <v>69</v>
      </c>
      <c r="B12" s="132" t="s">
        <v>229</v>
      </c>
      <c r="C12" s="126"/>
      <c r="D12" s="127">
        <f>'JUNE 21'!H10:H29</f>
        <v>0</v>
      </c>
      <c r="E12" s="127">
        <v>3500</v>
      </c>
      <c r="F12" s="127">
        <f t="shared" si="1"/>
        <v>3500</v>
      </c>
      <c r="G12" s="128">
        <f>2500</f>
        <v>2500</v>
      </c>
      <c r="H12" s="25">
        <f t="shared" si="0"/>
        <v>1000</v>
      </c>
      <c r="I12" s="128"/>
      <c r="J12" s="2"/>
      <c r="M12" s="65">
        <f>M10+M11</f>
        <v>46000</v>
      </c>
    </row>
    <row r="13" spans="1:13" ht="30" x14ac:dyDescent="0.25">
      <c r="A13" s="124" t="s">
        <v>74</v>
      </c>
      <c r="B13" s="132" t="s">
        <v>87</v>
      </c>
      <c r="C13" s="126"/>
      <c r="D13" s="127">
        <f>'JUNE 21'!H11:H30</f>
        <v>200</v>
      </c>
      <c r="E13" s="127">
        <v>4000</v>
      </c>
      <c r="F13" s="127">
        <f t="shared" si="1"/>
        <v>4200</v>
      </c>
      <c r="G13" s="128">
        <f>600+3400</f>
        <v>4000</v>
      </c>
      <c r="H13" s="25">
        <f t="shared" si="0"/>
        <v>200</v>
      </c>
      <c r="I13" s="128"/>
      <c r="J13" s="2"/>
      <c r="L13" t="s">
        <v>213</v>
      </c>
    </row>
    <row r="14" spans="1:13" x14ac:dyDescent="0.25">
      <c r="A14" s="124" t="s">
        <v>70</v>
      </c>
      <c r="B14" s="190"/>
      <c r="C14" s="126"/>
      <c r="D14" s="127">
        <f>'JUNE 21'!H12:H31</f>
        <v>0</v>
      </c>
      <c r="E14" s="127"/>
      <c r="F14" s="127"/>
      <c r="G14" s="128"/>
      <c r="H14" s="25"/>
      <c r="I14" s="128"/>
      <c r="J14" s="2"/>
      <c r="M14" s="65">
        <f>M12+M13</f>
        <v>46000</v>
      </c>
    </row>
    <row r="15" spans="1:13" x14ac:dyDescent="0.25">
      <c r="A15" s="124" t="s">
        <v>75</v>
      </c>
      <c r="B15" s="190" t="s">
        <v>40</v>
      </c>
      <c r="C15" s="126"/>
      <c r="D15" s="127">
        <f>'JUNE 21'!H13:H32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  <c r="J15" s="2"/>
    </row>
    <row r="16" spans="1:13" x14ac:dyDescent="0.25">
      <c r="A16" s="124" t="s">
        <v>76</v>
      </c>
      <c r="B16" s="190" t="s">
        <v>40</v>
      </c>
      <c r="C16" s="126"/>
      <c r="D16" s="127">
        <f>'JUNE 21'!H14:H33</f>
        <v>0</v>
      </c>
      <c r="E16" s="127"/>
      <c r="F16" s="127">
        <f t="shared" si="1"/>
        <v>0</v>
      </c>
      <c r="G16" s="128"/>
      <c r="H16" s="25">
        <f>F16-G16</f>
        <v>0</v>
      </c>
      <c r="I16" s="128"/>
      <c r="J16" s="2"/>
      <c r="L16" t="s">
        <v>155</v>
      </c>
      <c r="M16" s="65">
        <f>C49</f>
        <v>4600</v>
      </c>
    </row>
    <row r="17" spans="1:13" x14ac:dyDescent="0.25">
      <c r="A17" s="124" t="s">
        <v>77</v>
      </c>
      <c r="B17" s="190" t="s">
        <v>40</v>
      </c>
      <c r="C17" s="126"/>
      <c r="D17" s="127">
        <f>'JUNE 21'!H15:H34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J17" s="2"/>
      <c r="M17" s="65">
        <f>M14-M16</f>
        <v>41400</v>
      </c>
    </row>
    <row r="18" spans="1:13" x14ac:dyDescent="0.25">
      <c r="A18" s="124" t="s">
        <v>78</v>
      </c>
      <c r="B18" s="132" t="s">
        <v>88</v>
      </c>
      <c r="C18" s="126"/>
      <c r="D18" s="127">
        <f>'JUNE 21'!H16:H35</f>
        <v>1000</v>
      </c>
      <c r="E18" s="127">
        <v>5000</v>
      </c>
      <c r="F18" s="127">
        <f t="shared" si="1"/>
        <v>6000</v>
      </c>
      <c r="G18" s="128">
        <f>6000</f>
        <v>6000</v>
      </c>
      <c r="H18" s="25">
        <f t="shared" si="0"/>
        <v>0</v>
      </c>
      <c r="I18" s="128"/>
      <c r="J18" s="2"/>
      <c r="L18" t="s">
        <v>242</v>
      </c>
      <c r="M18">
        <v>2000</v>
      </c>
    </row>
    <row r="19" spans="1:13" x14ac:dyDescent="0.25">
      <c r="A19" s="124" t="s">
        <v>79</v>
      </c>
      <c r="B19" s="132" t="s">
        <v>148</v>
      </c>
      <c r="C19" s="126"/>
      <c r="D19" s="127">
        <f>'JUNE 21'!H17:H36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J19" s="2"/>
      <c r="M19" s="65">
        <f>M17-M18</f>
        <v>39400</v>
      </c>
    </row>
    <row r="20" spans="1:13" x14ac:dyDescent="0.25">
      <c r="A20" s="124" t="s">
        <v>80</v>
      </c>
      <c r="B20" s="190" t="s">
        <v>40</v>
      </c>
      <c r="C20" s="126"/>
      <c r="D20" s="127">
        <f>'JUNE 21'!H18:H37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J20" s="2"/>
      <c r="L20" t="s">
        <v>243</v>
      </c>
      <c r="M20" s="65">
        <v>2500</v>
      </c>
    </row>
    <row r="21" spans="1:13" x14ac:dyDescent="0.25">
      <c r="A21" s="124" t="s">
        <v>81</v>
      </c>
      <c r="B21" s="132"/>
      <c r="C21" s="126"/>
      <c r="D21" s="127"/>
      <c r="E21" s="127"/>
      <c r="F21" s="127">
        <f>C21+D21+E21</f>
        <v>0</v>
      </c>
      <c r="G21" s="128"/>
      <c r="H21" s="25">
        <f>F21-G21</f>
        <v>0</v>
      </c>
      <c r="I21" s="128"/>
      <c r="J21" s="2"/>
      <c r="M21" s="65">
        <f>M19-M20</f>
        <v>36900</v>
      </c>
    </row>
    <row r="22" spans="1:13" x14ac:dyDescent="0.25">
      <c r="A22" s="124" t="s">
        <v>82</v>
      </c>
      <c r="B22" s="190" t="s">
        <v>40</v>
      </c>
      <c r="C22" s="126"/>
      <c r="D22" s="127">
        <f>'JUNE 21'!H20:H39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J22" s="2"/>
      <c r="M22" s="65"/>
    </row>
    <row r="23" spans="1:13" x14ac:dyDescent="0.25">
      <c r="A23" s="124" t="s">
        <v>83</v>
      </c>
      <c r="B23" s="190" t="s">
        <v>40</v>
      </c>
      <c r="C23" s="126"/>
      <c r="D23" s="127">
        <f>'JUNE 21'!H21:H40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J23" s="2"/>
      <c r="M23" s="65"/>
    </row>
    <row r="24" spans="1:13" x14ac:dyDescent="0.25">
      <c r="A24" s="124" t="s">
        <v>84</v>
      </c>
      <c r="B24" s="190" t="s">
        <v>103</v>
      </c>
      <c r="C24" s="126"/>
      <c r="D24" s="127">
        <f>'JUNE 21'!H22:H41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  <c r="J24" s="2"/>
    </row>
    <row r="25" spans="1:13" x14ac:dyDescent="0.25">
      <c r="A25" s="124" t="s">
        <v>85</v>
      </c>
      <c r="B25" s="190" t="s">
        <v>40</v>
      </c>
      <c r="C25" s="126"/>
      <c r="D25" s="127">
        <f>'JUNE 21'!H23:H42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J25" s="2"/>
    </row>
    <row r="26" spans="1:13" x14ac:dyDescent="0.25">
      <c r="A26" s="135"/>
      <c r="B26" s="136" t="s">
        <v>9</v>
      </c>
      <c r="C26" s="137">
        <f t="shared" ref="C26:H26" si="2">SUM(C6:C25)</f>
        <v>3000</v>
      </c>
      <c r="D26" s="127">
        <f>SUM(D6:D25)</f>
        <v>1200</v>
      </c>
      <c r="E26" s="138">
        <f t="shared" si="2"/>
        <v>15500</v>
      </c>
      <c r="F26" s="138">
        <f t="shared" si="2"/>
        <v>19700</v>
      </c>
      <c r="G26" s="139">
        <f t="shared" si="2"/>
        <v>15500</v>
      </c>
      <c r="H26" s="140">
        <f t="shared" si="2"/>
        <v>4200</v>
      </c>
      <c r="I26" s="139">
        <f>SUM(I6:I25)</f>
        <v>200</v>
      </c>
      <c r="J26" s="21"/>
      <c r="K26" s="68"/>
      <c r="L26" s="68"/>
    </row>
    <row r="27" spans="1:13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  <c r="K27" s="68" t="s">
        <v>144</v>
      </c>
      <c r="L27" s="68">
        <v>66000</v>
      </c>
    </row>
    <row r="28" spans="1:13" x14ac:dyDescent="0.25">
      <c r="A28" s="124"/>
      <c r="B28" s="125"/>
      <c r="C28" s="126"/>
      <c r="D28" s="127" t="s">
        <v>198</v>
      </c>
      <c r="E28" s="127" t="s">
        <v>5</v>
      </c>
      <c r="F28" s="127" t="s">
        <v>6</v>
      </c>
      <c r="G28" s="127" t="s">
        <v>7</v>
      </c>
      <c r="H28" s="25" t="s">
        <v>15</v>
      </c>
      <c r="J28" s="2"/>
      <c r="K28" s="68" t="s">
        <v>7</v>
      </c>
      <c r="L28" s="68">
        <v>36900</v>
      </c>
    </row>
    <row r="29" spans="1:13" ht="31.5" customHeight="1" x14ac:dyDescent="0.25">
      <c r="A29" s="124" t="s">
        <v>43</v>
      </c>
      <c r="B29" s="125" t="s">
        <v>113</v>
      </c>
      <c r="C29" s="126">
        <f>'AUGUST 20'!I29:I44</f>
        <v>0</v>
      </c>
      <c r="D29" s="127">
        <f>'JUNE 21'!I29:I44</f>
        <v>0</v>
      </c>
      <c r="E29" s="127">
        <v>2000</v>
      </c>
      <c r="F29" s="127">
        <f>C28+D29+E29</f>
        <v>2000</v>
      </c>
      <c r="G29" s="127">
        <f>2000</f>
        <v>2000</v>
      </c>
      <c r="H29" s="25">
        <f t="shared" ref="H29:H44" si="3">F29-G29</f>
        <v>0</v>
      </c>
      <c r="J29" s="2"/>
      <c r="K29" s="68" t="s">
        <v>244</v>
      </c>
      <c r="L29" s="68">
        <f>L27-L28</f>
        <v>29100</v>
      </c>
    </row>
    <row r="30" spans="1:13" x14ac:dyDescent="0.25">
      <c r="A30" s="124" t="s">
        <v>44</v>
      </c>
      <c r="B30" s="24" t="s">
        <v>138</v>
      </c>
      <c r="C30" s="126"/>
      <c r="D30" s="127">
        <f>'JUNE 21'!I30:I45</f>
        <v>0</v>
      </c>
      <c r="E30" s="127">
        <v>2000</v>
      </c>
      <c r="F30" s="127">
        <f>C29+D30+E30</f>
        <v>2000</v>
      </c>
      <c r="G30" s="26">
        <f>2000</f>
        <v>2000</v>
      </c>
      <c r="H30" s="25">
        <f t="shared" si="3"/>
        <v>0</v>
      </c>
      <c r="J30" s="2"/>
      <c r="K30" s="68"/>
      <c r="L30" s="68"/>
    </row>
    <row r="31" spans="1:13" x14ac:dyDescent="0.25">
      <c r="A31" s="124" t="s">
        <v>45</v>
      </c>
      <c r="B31" s="125" t="s">
        <v>223</v>
      </c>
      <c r="C31" s="126"/>
      <c r="D31" s="127">
        <f>'JUNE 21'!I31:I46</f>
        <v>100</v>
      </c>
      <c r="E31" s="127">
        <v>2000</v>
      </c>
      <c r="F31" s="127">
        <f t="shared" ref="F31:F38" si="4">C31+D31+E31</f>
        <v>2100</v>
      </c>
      <c r="G31" s="25">
        <f>2000</f>
        <v>2000</v>
      </c>
      <c r="H31" s="25">
        <f>F31-G31</f>
        <v>100</v>
      </c>
      <c r="J31" s="2"/>
    </row>
    <row r="32" spans="1:13" x14ac:dyDescent="0.25">
      <c r="A32" s="124" t="s">
        <v>46</v>
      </c>
      <c r="B32" s="125" t="s">
        <v>31</v>
      </c>
      <c r="C32" s="126"/>
      <c r="D32" s="127">
        <f>'JUNE 21'!I32:I47</f>
        <v>0</v>
      </c>
      <c r="E32" s="127">
        <v>2000</v>
      </c>
      <c r="F32" s="127">
        <f t="shared" si="4"/>
        <v>2000</v>
      </c>
      <c r="G32" s="128">
        <f>1000</f>
        <v>1000</v>
      </c>
      <c r="H32" s="25">
        <f t="shared" si="3"/>
        <v>1000</v>
      </c>
      <c r="J32" s="21"/>
    </row>
    <row r="33" spans="1:11" x14ac:dyDescent="0.25">
      <c r="A33" s="124" t="s">
        <v>47</v>
      </c>
      <c r="B33" s="132" t="s">
        <v>234</v>
      </c>
      <c r="C33" s="126"/>
      <c r="D33" s="127">
        <f>'JUNE 21'!I33:I48</f>
        <v>0</v>
      </c>
      <c r="E33" s="127">
        <v>2000</v>
      </c>
      <c r="F33" s="127">
        <f t="shared" si="4"/>
        <v>2000</v>
      </c>
      <c r="G33" s="133">
        <f>2000</f>
        <v>2000</v>
      </c>
      <c r="H33" s="25">
        <f>F33-G33</f>
        <v>0</v>
      </c>
      <c r="J33" s="21"/>
    </row>
    <row r="34" spans="1:11" ht="38.25" customHeight="1" x14ac:dyDescent="0.25">
      <c r="A34" s="124" t="s">
        <v>48</v>
      </c>
      <c r="B34" s="132" t="s">
        <v>37</v>
      </c>
      <c r="C34" s="126"/>
      <c r="D34" s="127">
        <f>'JUNE 21'!I34:I49</f>
        <v>1800</v>
      </c>
      <c r="E34" s="127">
        <v>2000</v>
      </c>
      <c r="F34" s="127">
        <f t="shared" si="4"/>
        <v>3800</v>
      </c>
      <c r="G34" s="128">
        <f>2000</f>
        <v>2000</v>
      </c>
      <c r="H34" s="25">
        <f t="shared" si="3"/>
        <v>1800</v>
      </c>
      <c r="J34" s="21"/>
    </row>
    <row r="35" spans="1:11" x14ac:dyDescent="0.25">
      <c r="A35" s="124" t="s">
        <v>49</v>
      </c>
      <c r="B35" s="132" t="s">
        <v>211</v>
      </c>
      <c r="C35" s="126"/>
      <c r="D35" s="127">
        <f>'JUNE 21'!I35:I50</f>
        <v>3500</v>
      </c>
      <c r="E35" s="127">
        <v>2000</v>
      </c>
      <c r="F35" s="127">
        <f t="shared" si="4"/>
        <v>5500</v>
      </c>
      <c r="G35" s="128">
        <f>2000</f>
        <v>2000</v>
      </c>
      <c r="H35" s="25">
        <f t="shared" si="3"/>
        <v>3500</v>
      </c>
      <c r="J35" s="2"/>
    </row>
    <row r="36" spans="1:11" x14ac:dyDescent="0.25">
      <c r="A36" s="124" t="s">
        <v>50</v>
      </c>
      <c r="B36" s="125" t="s">
        <v>246</v>
      </c>
      <c r="C36" s="126"/>
      <c r="D36" s="127">
        <f>'JUNE 21'!I36:I51</f>
        <v>0</v>
      </c>
      <c r="E36" s="127">
        <v>2000</v>
      </c>
      <c r="F36" s="127">
        <f t="shared" si="4"/>
        <v>2000</v>
      </c>
      <c r="G36" s="128">
        <v>2000</v>
      </c>
      <c r="H36" s="25">
        <f t="shared" si="3"/>
        <v>0</v>
      </c>
      <c r="J36" s="2"/>
    </row>
    <row r="37" spans="1:11" ht="45" customHeight="1" x14ac:dyDescent="0.25">
      <c r="A37" s="124" t="s">
        <v>51</v>
      </c>
      <c r="B37" s="125" t="s">
        <v>167</v>
      </c>
      <c r="C37" s="126"/>
      <c r="D37" s="127">
        <f>'JUNE 21'!I37:I52</f>
        <v>0</v>
      </c>
      <c r="E37" s="127">
        <v>2000</v>
      </c>
      <c r="F37" s="127">
        <f t="shared" si="4"/>
        <v>2000</v>
      </c>
      <c r="G37" s="128">
        <f>2000</f>
        <v>2000</v>
      </c>
      <c r="H37" s="25">
        <f t="shared" si="3"/>
        <v>0</v>
      </c>
      <c r="J37" s="2"/>
    </row>
    <row r="38" spans="1:11" ht="30.75" customHeight="1" x14ac:dyDescent="0.25">
      <c r="A38" s="124" t="s">
        <v>52</v>
      </c>
      <c r="B38" s="125" t="s">
        <v>33</v>
      </c>
      <c r="C38" s="126"/>
      <c r="D38" s="127">
        <f>'JUNE 21'!I38:I53</f>
        <v>1000</v>
      </c>
      <c r="E38" s="127">
        <v>2500</v>
      </c>
      <c r="F38" s="127">
        <f t="shared" si="4"/>
        <v>3500</v>
      </c>
      <c r="G38" s="128">
        <f>2500</f>
        <v>2500</v>
      </c>
      <c r="H38" s="25">
        <f t="shared" si="3"/>
        <v>1000</v>
      </c>
      <c r="J38" s="2"/>
    </row>
    <row r="39" spans="1:11" ht="40.5" customHeight="1" x14ac:dyDescent="0.25">
      <c r="A39" s="124" t="s">
        <v>57</v>
      </c>
      <c r="B39" s="125" t="s">
        <v>107</v>
      </c>
      <c r="C39" s="126"/>
      <c r="D39" s="127">
        <f>'JUNE 21'!I39:I54</f>
        <v>0</v>
      </c>
      <c r="E39" s="127"/>
      <c r="F39" s="127">
        <f t="shared" ref="F39:F44" si="5">C39+D39+E39</f>
        <v>0</v>
      </c>
      <c r="G39" s="128"/>
      <c r="H39" s="25">
        <f t="shared" si="3"/>
        <v>0</v>
      </c>
      <c r="J39" s="2"/>
    </row>
    <row r="40" spans="1:11" x14ac:dyDescent="0.25">
      <c r="A40" s="124" t="s">
        <v>58</v>
      </c>
      <c r="B40" s="125" t="s">
        <v>233</v>
      </c>
      <c r="C40" s="126"/>
      <c r="D40" s="127">
        <f>'JUNE 21'!I40:I55</f>
        <v>0</v>
      </c>
      <c r="E40" s="127">
        <v>2000</v>
      </c>
      <c r="F40" s="128">
        <f t="shared" si="5"/>
        <v>2000</v>
      </c>
      <c r="G40" s="128">
        <v>2000</v>
      </c>
      <c r="H40" s="192">
        <f t="shared" si="3"/>
        <v>0</v>
      </c>
      <c r="J40" s="2"/>
    </row>
    <row r="41" spans="1:11" x14ac:dyDescent="0.25">
      <c r="A41" s="124" t="s">
        <v>59</v>
      </c>
      <c r="B41" s="125" t="s">
        <v>245</v>
      </c>
      <c r="C41" s="126"/>
      <c r="D41" s="127"/>
      <c r="E41" s="127">
        <v>2000</v>
      </c>
      <c r="F41" s="127">
        <f t="shared" si="5"/>
        <v>2000</v>
      </c>
      <c r="G41" s="128">
        <v>2000</v>
      </c>
      <c r="H41" s="25">
        <f t="shared" si="3"/>
        <v>0</v>
      </c>
      <c r="J41" s="2"/>
      <c r="K41" s="65"/>
    </row>
    <row r="42" spans="1:11" ht="30" x14ac:dyDescent="0.25">
      <c r="A42" s="124" t="s">
        <v>60</v>
      </c>
      <c r="B42" s="125" t="s">
        <v>38</v>
      </c>
      <c r="C42" s="126"/>
      <c r="D42" s="127">
        <f>'JUNE 21'!I42:I57</f>
        <v>0</v>
      </c>
      <c r="E42" s="127">
        <v>2000</v>
      </c>
      <c r="F42" s="127">
        <f t="shared" si="5"/>
        <v>2000</v>
      </c>
      <c r="G42" s="128">
        <f>2000</f>
        <v>2000</v>
      </c>
      <c r="H42" s="25">
        <f t="shared" si="3"/>
        <v>0</v>
      </c>
      <c r="J42" s="2"/>
    </row>
    <row r="43" spans="1:11" ht="30" x14ac:dyDescent="0.25">
      <c r="A43" s="124" t="s">
        <v>61</v>
      </c>
      <c r="B43" s="125" t="s">
        <v>201</v>
      </c>
      <c r="C43" s="126"/>
      <c r="D43" s="127">
        <f>'JUNE 21'!I43:I58</f>
        <v>1500</v>
      </c>
      <c r="E43" s="127">
        <v>2000</v>
      </c>
      <c r="F43" s="127">
        <f t="shared" si="5"/>
        <v>3500</v>
      </c>
      <c r="G43" s="128">
        <f>500+1000</f>
        <v>1500</v>
      </c>
      <c r="H43" s="25">
        <f t="shared" si="3"/>
        <v>2000</v>
      </c>
      <c r="J43" s="2"/>
    </row>
    <row r="44" spans="1:11" x14ac:dyDescent="0.25">
      <c r="A44" s="124" t="s">
        <v>62</v>
      </c>
      <c r="B44" s="125" t="s">
        <v>202</v>
      </c>
      <c r="C44" s="126"/>
      <c r="D44" s="127">
        <f>'JUNE 21'!I44:I59</f>
        <v>1300</v>
      </c>
      <c r="E44" s="127">
        <v>2000</v>
      </c>
      <c r="F44" s="127">
        <f t="shared" si="5"/>
        <v>3300</v>
      </c>
      <c r="G44" s="128">
        <f>1000</f>
        <v>1000</v>
      </c>
      <c r="H44" s="25">
        <f t="shared" si="3"/>
        <v>2300</v>
      </c>
      <c r="J44" s="2"/>
    </row>
    <row r="45" spans="1:11" x14ac:dyDescent="0.25">
      <c r="A45" s="135"/>
      <c r="B45" s="136" t="s">
        <v>9</v>
      </c>
      <c r="C45" s="137">
        <f>SUM(C28:C40)</f>
        <v>0</v>
      </c>
      <c r="D45" s="127">
        <f>SUM(D29:D44)</f>
        <v>9200</v>
      </c>
      <c r="E45" s="138">
        <f>SUM(E29:E44)</f>
        <v>30500</v>
      </c>
      <c r="F45" s="138">
        <f>SUM(F29:F44)</f>
        <v>39700</v>
      </c>
      <c r="G45" s="139">
        <f>SUM(G28:G44)</f>
        <v>28000</v>
      </c>
      <c r="H45" s="41">
        <f>SUM(H28:H44)</f>
        <v>11700</v>
      </c>
      <c r="I45" s="65">
        <f>H45+H12+H13</f>
        <v>12900</v>
      </c>
      <c r="J45" s="2"/>
    </row>
    <row r="46" spans="1:11" x14ac:dyDescent="0.25">
      <c r="A46" s="6" t="s">
        <v>10</v>
      </c>
      <c r="B46" s="141"/>
      <c r="C46" s="142"/>
      <c r="D46" s="127">
        <f>'MAY21'!I46:I64</f>
        <v>0</v>
      </c>
      <c r="E46" s="143"/>
      <c r="F46" s="141"/>
      <c r="G46" s="141"/>
      <c r="H46" s="22" t="s">
        <v>13</v>
      </c>
      <c r="I46" s="21"/>
      <c r="J46" s="2"/>
    </row>
    <row r="47" spans="1:11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I47" s="23" t="s">
        <v>15</v>
      </c>
      <c r="J47" s="2"/>
    </row>
    <row r="48" spans="1:11" x14ac:dyDescent="0.25">
      <c r="A48" s="24" t="s">
        <v>136</v>
      </c>
      <c r="B48" s="25">
        <f>E45+E26</f>
        <v>46000</v>
      </c>
      <c r="C48" s="26"/>
      <c r="D48" s="26"/>
      <c r="E48" s="26" t="s">
        <v>136</v>
      </c>
      <c r="F48" s="25">
        <f>G45+G26</f>
        <v>43500</v>
      </c>
      <c r="G48" s="25"/>
      <c r="H48" s="26"/>
      <c r="I48" s="25"/>
      <c r="J48" s="2"/>
    </row>
    <row r="49" spans="1:12" x14ac:dyDescent="0.25">
      <c r="A49" s="24" t="s">
        <v>17</v>
      </c>
      <c r="B49" s="27">
        <v>0.1</v>
      </c>
      <c r="C49" s="28">
        <f>B49*B48</f>
        <v>4600</v>
      </c>
      <c r="D49" s="24"/>
      <c r="E49" s="24" t="s">
        <v>155</v>
      </c>
      <c r="F49" s="27">
        <v>0.1</v>
      </c>
      <c r="G49" s="27"/>
      <c r="H49" s="28">
        <f>F49*B48</f>
        <v>4600</v>
      </c>
      <c r="I49" s="25"/>
      <c r="J49" s="2"/>
    </row>
    <row r="50" spans="1:12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</row>
    <row r="51" spans="1:12" x14ac:dyDescent="0.25">
      <c r="A51" s="24" t="s">
        <v>213</v>
      </c>
      <c r="B51" s="28">
        <f>I26</f>
        <v>200</v>
      </c>
      <c r="C51" s="28"/>
      <c r="D51" s="24"/>
      <c r="E51" s="24" t="s">
        <v>213</v>
      </c>
      <c r="F51" s="28">
        <f>I26</f>
        <v>200</v>
      </c>
      <c r="G51" s="27"/>
      <c r="H51" s="28"/>
      <c r="I51" s="25"/>
      <c r="J51" s="2"/>
    </row>
    <row r="52" spans="1:12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  <c r="J52" s="2"/>
    </row>
    <row r="53" spans="1:12" x14ac:dyDescent="0.25">
      <c r="A53" s="29" t="s">
        <v>19</v>
      </c>
      <c r="B53" s="28">
        <f>'JUNE 21'!D62</f>
        <v>-3600</v>
      </c>
      <c r="C53" s="24"/>
      <c r="D53" s="24"/>
      <c r="E53" s="24" t="s">
        <v>19</v>
      </c>
      <c r="F53" s="28">
        <f>'JUNE 21'!I62</f>
        <v>-14050</v>
      </c>
      <c r="G53" s="28"/>
      <c r="H53" s="24"/>
      <c r="I53" s="25"/>
      <c r="J53" s="2"/>
    </row>
    <row r="54" spans="1:12" x14ac:dyDescent="0.25">
      <c r="A54" s="29" t="s">
        <v>9</v>
      </c>
      <c r="B54" s="28">
        <f>B48+B50+B53+B52</f>
        <v>42400</v>
      </c>
      <c r="C54" s="24"/>
      <c r="D54" s="24"/>
      <c r="E54" s="24" t="s">
        <v>9</v>
      </c>
      <c r="F54" s="28">
        <f>F48+F50+F53+F51</f>
        <v>29650</v>
      </c>
      <c r="G54" s="28"/>
      <c r="H54" s="24"/>
      <c r="I54" s="25"/>
      <c r="J54" s="2"/>
      <c r="K54" s="65"/>
    </row>
    <row r="55" spans="1:12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1"/>
    </row>
    <row r="56" spans="1:12" x14ac:dyDescent="0.25">
      <c r="A56" s="29" t="s">
        <v>144</v>
      </c>
      <c r="B56" s="26"/>
      <c r="C56" s="144">
        <v>36900</v>
      </c>
      <c r="D56" s="24"/>
      <c r="E56" s="29"/>
      <c r="F56" s="26" t="s">
        <v>144</v>
      </c>
      <c r="G56" s="144"/>
      <c r="H56" s="144">
        <v>36900</v>
      </c>
      <c r="I56" s="24"/>
      <c r="J56" s="2"/>
    </row>
    <row r="57" spans="1:12" x14ac:dyDescent="0.25">
      <c r="A57" s="145" t="s">
        <v>247</v>
      </c>
      <c r="B57" s="26"/>
      <c r="C57" s="146">
        <v>1100</v>
      </c>
      <c r="D57" s="26"/>
      <c r="E57" s="26"/>
      <c r="F57" s="145" t="s">
        <v>247</v>
      </c>
      <c r="G57" s="26"/>
      <c r="H57" s="146">
        <v>1100</v>
      </c>
      <c r="I57" s="25"/>
      <c r="J57" s="2"/>
      <c r="K57" s="65">
        <f>I45+I62</f>
        <v>-250</v>
      </c>
    </row>
    <row r="58" spans="1:12" x14ac:dyDescent="0.25">
      <c r="A58" s="145"/>
      <c r="B58" s="26"/>
      <c r="C58" s="146"/>
      <c r="D58" s="26"/>
      <c r="E58" s="26"/>
      <c r="F58" s="145"/>
      <c r="G58" s="26"/>
      <c r="H58" s="146"/>
      <c r="I58" s="25"/>
      <c r="J58" s="2"/>
    </row>
    <row r="59" spans="1:12" x14ac:dyDescent="0.25">
      <c r="A59" s="145"/>
      <c r="B59" s="26"/>
      <c r="C59" s="146"/>
      <c r="D59" s="26"/>
      <c r="E59" s="26"/>
      <c r="F59" s="145"/>
      <c r="G59" s="26"/>
      <c r="H59" s="146"/>
      <c r="I59" s="25"/>
      <c r="J59" s="2"/>
    </row>
    <row r="60" spans="1:12" x14ac:dyDescent="0.25">
      <c r="A60" s="145"/>
      <c r="B60" s="26"/>
      <c r="C60" s="146"/>
      <c r="D60" s="26"/>
      <c r="E60" s="26"/>
      <c r="F60" s="145"/>
      <c r="G60" s="26"/>
      <c r="H60" s="146"/>
      <c r="I60" s="25"/>
      <c r="J60" s="2"/>
    </row>
    <row r="61" spans="1:12" x14ac:dyDescent="0.25">
      <c r="A61" s="145"/>
      <c r="B61" s="26"/>
      <c r="C61" s="146"/>
      <c r="D61" s="26"/>
      <c r="E61" s="26"/>
      <c r="F61" s="145"/>
      <c r="G61" s="26"/>
      <c r="H61" s="146"/>
      <c r="I61" s="25"/>
      <c r="J61" s="2"/>
      <c r="K61" s="65"/>
      <c r="L61">
        <v>0</v>
      </c>
    </row>
    <row r="62" spans="1:12" x14ac:dyDescent="0.25">
      <c r="A62" s="39" t="s">
        <v>9</v>
      </c>
      <c r="B62" s="40">
        <f>B48+B50+B51+B52+B53-C49</f>
        <v>38000</v>
      </c>
      <c r="C62" s="41">
        <f>SUM(C56:C61)</f>
        <v>38000</v>
      </c>
      <c r="D62" s="41">
        <f>B62-C62</f>
        <v>0</v>
      </c>
      <c r="E62" s="41"/>
      <c r="F62" s="40">
        <f>F48+F50+F53-H49-H51</f>
        <v>24850</v>
      </c>
      <c r="G62" s="40"/>
      <c r="H62" s="41">
        <f>SUM(H56:H61)</f>
        <v>38000</v>
      </c>
      <c r="I62" s="41">
        <f>F62-H62</f>
        <v>-13150</v>
      </c>
      <c r="J62" s="2"/>
    </row>
    <row r="63" spans="1:12" x14ac:dyDescent="0.25">
      <c r="A63" s="2" t="s">
        <v>21</v>
      </c>
      <c r="B63" s="2"/>
      <c r="C63" s="2"/>
      <c r="D63" s="2" t="s">
        <v>22</v>
      </c>
      <c r="E63" s="2"/>
      <c r="F63" s="2"/>
      <c r="G63" s="2"/>
      <c r="H63" s="2" t="s">
        <v>23</v>
      </c>
      <c r="I63" s="21"/>
      <c r="J63" s="2"/>
    </row>
    <row r="64" spans="1:12" x14ac:dyDescent="0.25">
      <c r="A64" s="2" t="s">
        <v>194</v>
      </c>
      <c r="B64" s="2"/>
      <c r="C64" s="2"/>
      <c r="D64" s="2" t="s">
        <v>24</v>
      </c>
      <c r="E64" s="2"/>
      <c r="F64" s="2"/>
      <c r="G64" s="2"/>
      <c r="H64" s="2" t="s">
        <v>26</v>
      </c>
      <c r="I64" s="2"/>
      <c r="J64" s="21"/>
    </row>
    <row r="65" spans="1:1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25" workbookViewId="0">
      <selection activeCell="L40" sqref="L40"/>
    </sheetView>
  </sheetViews>
  <sheetFormatPr defaultRowHeight="15" x14ac:dyDescent="0.25"/>
  <cols>
    <col min="2" max="2" width="11.5703125" customWidth="1"/>
    <col min="12" max="12" width="12.42578125" customWidth="1"/>
  </cols>
  <sheetData>
    <row r="1" spans="1:13" ht="15.75" x14ac:dyDescent="0.25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</row>
    <row r="2" spans="1:13" ht="15.75" x14ac:dyDescent="0.25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</row>
    <row r="3" spans="1:13" x14ac:dyDescent="0.25">
      <c r="A3" s="2"/>
      <c r="B3" s="2"/>
      <c r="C3" s="6" t="s">
        <v>248</v>
      </c>
      <c r="D3" s="119"/>
      <c r="E3" s="119"/>
      <c r="F3" s="120"/>
      <c r="G3" s="120"/>
      <c r="H3" s="2"/>
      <c r="I3" s="2"/>
      <c r="J3" s="2"/>
    </row>
    <row r="4" spans="1:13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</row>
    <row r="5" spans="1:13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123" t="s">
        <v>213</v>
      </c>
      <c r="J5" s="2"/>
    </row>
    <row r="6" spans="1:13" x14ac:dyDescent="0.25">
      <c r="A6" s="124" t="s">
        <v>66</v>
      </c>
      <c r="B6" s="188"/>
      <c r="C6" s="126"/>
      <c r="D6" s="127"/>
      <c r="E6" s="127"/>
      <c r="F6" s="127">
        <f>C6+D6+E6</f>
        <v>0</v>
      </c>
      <c r="G6" s="128"/>
      <c r="H6" s="25">
        <f t="shared" ref="H6:H25" si="0">F6-G6</f>
        <v>0</v>
      </c>
      <c r="I6" s="128"/>
      <c r="J6" s="2"/>
    </row>
    <row r="7" spans="1:13" ht="30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f>3000</f>
        <v>3000</v>
      </c>
      <c r="H7" s="25">
        <f>F7-G7</f>
        <v>3000</v>
      </c>
      <c r="I7" s="127">
        <v>400</v>
      </c>
      <c r="J7" s="2"/>
    </row>
    <row r="8" spans="1:13" x14ac:dyDescent="0.25">
      <c r="A8" s="124" t="s">
        <v>67</v>
      </c>
      <c r="B8" s="24" t="s">
        <v>218</v>
      </c>
      <c r="C8" s="126"/>
      <c r="D8" s="127">
        <f>'JULY 21'!H7:H26</f>
        <v>0</v>
      </c>
      <c r="E8" s="127"/>
      <c r="F8" s="127">
        <f t="shared" si="1"/>
        <v>0</v>
      </c>
      <c r="G8" s="26"/>
      <c r="H8" s="25">
        <f t="shared" si="0"/>
        <v>0</v>
      </c>
      <c r="I8" s="26">
        <v>200</v>
      </c>
      <c r="J8" s="2"/>
    </row>
    <row r="9" spans="1:13" x14ac:dyDescent="0.25">
      <c r="A9" s="129" t="s">
        <v>72</v>
      </c>
      <c r="B9" s="189" t="s">
        <v>103</v>
      </c>
      <c r="C9" s="126"/>
      <c r="D9" s="127">
        <f>'JULY 21'!H8:H27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  <c r="J9" s="2"/>
    </row>
    <row r="10" spans="1:13" x14ac:dyDescent="0.25">
      <c r="A10" s="130" t="s">
        <v>68</v>
      </c>
      <c r="B10" s="188" t="s">
        <v>40</v>
      </c>
      <c r="C10" s="126"/>
      <c r="D10" s="127">
        <f>'JULY 21'!H9:H28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  <c r="J10" s="2"/>
      <c r="M10" s="65">
        <f>E26</f>
        <v>15500</v>
      </c>
    </row>
    <row r="11" spans="1:13" x14ac:dyDescent="0.25">
      <c r="A11" s="131" t="s">
        <v>73</v>
      </c>
      <c r="B11" s="190" t="s">
        <v>40</v>
      </c>
      <c r="C11" s="126"/>
      <c r="D11" s="127">
        <f>'JULY 21'!H10:H29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  <c r="J11" s="2"/>
      <c r="M11" s="65">
        <f>E45</f>
        <v>30500</v>
      </c>
    </row>
    <row r="12" spans="1:13" ht="30" x14ac:dyDescent="0.25">
      <c r="A12" s="124" t="s">
        <v>69</v>
      </c>
      <c r="B12" s="132" t="s">
        <v>229</v>
      </c>
      <c r="C12" s="126"/>
      <c r="D12" s="127">
        <f>'JULY 21'!H11:H30</f>
        <v>1000</v>
      </c>
      <c r="E12" s="127">
        <v>3500</v>
      </c>
      <c r="F12" s="127">
        <f t="shared" si="1"/>
        <v>4500</v>
      </c>
      <c r="G12" s="128">
        <f>4000</f>
        <v>4000</v>
      </c>
      <c r="H12" s="25">
        <f t="shared" si="0"/>
        <v>500</v>
      </c>
      <c r="I12" s="128"/>
      <c r="J12" s="2"/>
      <c r="M12" s="65">
        <f>M10+M11</f>
        <v>46000</v>
      </c>
    </row>
    <row r="13" spans="1:13" ht="30" x14ac:dyDescent="0.25">
      <c r="A13" s="124" t="s">
        <v>74</v>
      </c>
      <c r="B13" s="132" t="s">
        <v>87</v>
      </c>
      <c r="C13" s="126"/>
      <c r="D13" s="127">
        <f>'JULY 21'!H12:H31</f>
        <v>200</v>
      </c>
      <c r="E13" s="127">
        <v>4000</v>
      </c>
      <c r="F13" s="127">
        <f t="shared" si="1"/>
        <v>4200</v>
      </c>
      <c r="G13" s="128">
        <f>3500+700</f>
        <v>4200</v>
      </c>
      <c r="H13" s="25">
        <f t="shared" si="0"/>
        <v>0</v>
      </c>
      <c r="I13" s="128">
        <v>300</v>
      </c>
      <c r="J13" s="2"/>
      <c r="L13" t="s">
        <v>213</v>
      </c>
    </row>
    <row r="14" spans="1:13" x14ac:dyDescent="0.25">
      <c r="A14" s="124" t="s">
        <v>70</v>
      </c>
      <c r="B14" s="190"/>
      <c r="C14" s="126"/>
      <c r="D14" s="127">
        <f>'JULY 21'!H13:H32</f>
        <v>0</v>
      </c>
      <c r="E14" s="127"/>
      <c r="F14" s="127"/>
      <c r="G14" s="128"/>
      <c r="H14" s="25"/>
      <c r="I14" s="128"/>
      <c r="J14" s="2"/>
      <c r="M14" s="65">
        <f>M12+M13</f>
        <v>46000</v>
      </c>
    </row>
    <row r="15" spans="1:13" x14ac:dyDescent="0.25">
      <c r="A15" s="124" t="s">
        <v>75</v>
      </c>
      <c r="B15" s="190" t="s">
        <v>40</v>
      </c>
      <c r="C15" s="126"/>
      <c r="D15" s="127">
        <f>'JULY 21'!H14:H33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  <c r="J15" s="2"/>
    </row>
    <row r="16" spans="1:13" x14ac:dyDescent="0.25">
      <c r="A16" s="124" t="s">
        <v>76</v>
      </c>
      <c r="B16" s="190" t="s">
        <v>40</v>
      </c>
      <c r="C16" s="126"/>
      <c r="D16" s="127">
        <f>'JULY 21'!H15:H34</f>
        <v>0</v>
      </c>
      <c r="E16" s="127"/>
      <c r="F16" s="127">
        <f t="shared" si="1"/>
        <v>0</v>
      </c>
      <c r="G16" s="128"/>
      <c r="H16" s="25">
        <f>F16-G16</f>
        <v>0</v>
      </c>
      <c r="I16" s="128"/>
      <c r="J16" s="2"/>
      <c r="L16" t="s">
        <v>155</v>
      </c>
      <c r="M16" s="65">
        <f>C49</f>
        <v>4600</v>
      </c>
    </row>
    <row r="17" spans="1:13" x14ac:dyDescent="0.25">
      <c r="A17" s="124" t="s">
        <v>77</v>
      </c>
      <c r="B17" s="190" t="s">
        <v>40</v>
      </c>
      <c r="C17" s="126"/>
      <c r="D17" s="127">
        <f>'JULY 21'!H16:H35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J17" s="2"/>
      <c r="M17" s="65">
        <f>M14-M16</f>
        <v>41400</v>
      </c>
    </row>
    <row r="18" spans="1:13" ht="30" x14ac:dyDescent="0.25">
      <c r="A18" s="124" t="s">
        <v>78</v>
      </c>
      <c r="B18" s="132" t="s">
        <v>88</v>
      </c>
      <c r="C18" s="126"/>
      <c r="D18" s="127">
        <f>'JULY 21'!H17:H36</f>
        <v>0</v>
      </c>
      <c r="E18" s="127">
        <v>5000</v>
      </c>
      <c r="F18" s="127">
        <f t="shared" si="1"/>
        <v>5000</v>
      </c>
      <c r="G18" s="128">
        <f>2500+2500</f>
        <v>5000</v>
      </c>
      <c r="H18" s="25">
        <f t="shared" si="0"/>
        <v>0</v>
      </c>
      <c r="I18" s="128"/>
      <c r="J18" s="2"/>
      <c r="L18" t="s">
        <v>144</v>
      </c>
      <c r="M18">
        <v>29100</v>
      </c>
    </row>
    <row r="19" spans="1:13" ht="30" x14ac:dyDescent="0.25">
      <c r="A19" s="124" t="s">
        <v>79</v>
      </c>
      <c r="B19" s="132" t="s">
        <v>148</v>
      </c>
      <c r="C19" s="126"/>
      <c r="D19" s="127">
        <f>'JULY 21'!H18:H37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J19" s="2"/>
      <c r="L19" t="s">
        <v>15</v>
      </c>
      <c r="M19" s="65">
        <f>M17-M18</f>
        <v>12300</v>
      </c>
    </row>
    <row r="20" spans="1:13" x14ac:dyDescent="0.25">
      <c r="A20" s="124" t="s">
        <v>80</v>
      </c>
      <c r="B20" s="190" t="s">
        <v>40</v>
      </c>
      <c r="C20" s="126"/>
      <c r="D20" s="127">
        <f>'JULY 21'!H19:H38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J20" s="2"/>
      <c r="M20" s="65"/>
    </row>
    <row r="21" spans="1:13" x14ac:dyDescent="0.25">
      <c r="A21" s="124" t="s">
        <v>81</v>
      </c>
      <c r="B21" s="132"/>
      <c r="C21" s="126"/>
      <c r="D21" s="127">
        <f>'JULY 21'!H20:H39</f>
        <v>0</v>
      </c>
      <c r="E21" s="127"/>
      <c r="F21" s="127">
        <f>C21+D21+E21</f>
        <v>0</v>
      </c>
      <c r="G21" s="128"/>
      <c r="H21" s="25">
        <f>F21-G21</f>
        <v>0</v>
      </c>
      <c r="I21" s="128"/>
      <c r="J21" s="2"/>
      <c r="M21" s="65"/>
    </row>
    <row r="22" spans="1:13" x14ac:dyDescent="0.25">
      <c r="A22" s="124" t="s">
        <v>82</v>
      </c>
      <c r="B22" s="190" t="s">
        <v>40</v>
      </c>
      <c r="C22" s="126"/>
      <c r="D22" s="127">
        <f>'JULY 21'!H21:H40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J22" s="2"/>
      <c r="M22" s="65"/>
    </row>
    <row r="23" spans="1:13" x14ac:dyDescent="0.25">
      <c r="A23" s="124" t="s">
        <v>83</v>
      </c>
      <c r="B23" s="190" t="s">
        <v>40</v>
      </c>
      <c r="C23" s="126"/>
      <c r="D23" s="127">
        <f>'JULY 21'!H22:H41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J23" s="2"/>
      <c r="M23" s="65"/>
    </row>
    <row r="24" spans="1:13" x14ac:dyDescent="0.25">
      <c r="A24" s="124" t="s">
        <v>84</v>
      </c>
      <c r="B24" s="190" t="s">
        <v>103</v>
      </c>
      <c r="C24" s="126"/>
      <c r="D24" s="127">
        <f>'JULY 21'!H23:H42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  <c r="J24" s="2"/>
    </row>
    <row r="25" spans="1:13" x14ac:dyDescent="0.25">
      <c r="A25" s="124" t="s">
        <v>85</v>
      </c>
      <c r="B25" s="190" t="s">
        <v>40</v>
      </c>
      <c r="C25" s="126"/>
      <c r="D25" s="127">
        <f>'JULY 21'!H24:H43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J25" s="2"/>
    </row>
    <row r="26" spans="1:13" x14ac:dyDescent="0.25">
      <c r="A26" s="135"/>
      <c r="B26" s="136" t="s">
        <v>9</v>
      </c>
      <c r="C26" s="137">
        <f t="shared" ref="C26:H26" si="2">SUM(C6:C25)</f>
        <v>3000</v>
      </c>
      <c r="D26" s="127">
        <f>SUM(D6:D25)</f>
        <v>1200</v>
      </c>
      <c r="E26" s="138">
        <f t="shared" si="2"/>
        <v>15500</v>
      </c>
      <c r="F26" s="138">
        <f t="shared" si="2"/>
        <v>19700</v>
      </c>
      <c r="G26" s="139">
        <f t="shared" si="2"/>
        <v>16200</v>
      </c>
      <c r="H26" s="140">
        <f t="shared" si="2"/>
        <v>3500</v>
      </c>
      <c r="I26" s="139">
        <f>SUM(I6:I25)</f>
        <v>900</v>
      </c>
      <c r="J26" s="21"/>
      <c r="K26" s="68"/>
      <c r="L26" s="68"/>
    </row>
    <row r="27" spans="1:13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  <c r="K27" s="68" t="s">
        <v>144</v>
      </c>
      <c r="L27" s="68">
        <v>66000</v>
      </c>
      <c r="M27" t="s">
        <v>249</v>
      </c>
    </row>
    <row r="28" spans="1:13" x14ac:dyDescent="0.25">
      <c r="A28" s="124"/>
      <c r="B28" s="125"/>
      <c r="C28" s="126"/>
      <c r="D28" s="127" t="s">
        <v>198</v>
      </c>
      <c r="E28" s="127" t="s">
        <v>5</v>
      </c>
      <c r="F28" s="127" t="s">
        <v>6</v>
      </c>
      <c r="G28" s="127" t="s">
        <v>7</v>
      </c>
      <c r="H28" s="192" t="s">
        <v>15</v>
      </c>
      <c r="J28" s="2"/>
      <c r="K28" s="68" t="s">
        <v>7</v>
      </c>
      <c r="L28" s="68">
        <v>36900</v>
      </c>
    </row>
    <row r="29" spans="1:13" ht="30" x14ac:dyDescent="0.25">
      <c r="A29" s="124" t="s">
        <v>43</v>
      </c>
      <c r="B29" s="125" t="s">
        <v>113</v>
      </c>
      <c r="C29" s="126">
        <f>'AUGUST 20'!I29:I44</f>
        <v>0</v>
      </c>
      <c r="D29" s="127"/>
      <c r="E29" s="127">
        <v>2000</v>
      </c>
      <c r="F29" s="127">
        <f>C28+D29+E29</f>
        <v>2000</v>
      </c>
      <c r="G29" s="127">
        <v>2000</v>
      </c>
      <c r="H29" s="192">
        <f t="shared" ref="H29:H44" si="3">F29-G29</f>
        <v>0</v>
      </c>
      <c r="J29" s="2"/>
      <c r="K29" s="68" t="s">
        <v>244</v>
      </c>
      <c r="L29" s="68">
        <f>L27-L28</f>
        <v>29100</v>
      </c>
    </row>
    <row r="30" spans="1:13" x14ac:dyDescent="0.25">
      <c r="A30" s="124" t="s">
        <v>44</v>
      </c>
      <c r="B30" s="24" t="s">
        <v>138</v>
      </c>
      <c r="C30" s="126"/>
      <c r="D30" s="127">
        <f>'JULY 21'!H30:H45</f>
        <v>0</v>
      </c>
      <c r="E30" s="127">
        <v>2000</v>
      </c>
      <c r="F30" s="127">
        <f>C29+D30+E30</f>
        <v>2000</v>
      </c>
      <c r="G30" s="26">
        <v>2000</v>
      </c>
      <c r="H30" s="192">
        <f t="shared" si="3"/>
        <v>0</v>
      </c>
      <c r="J30" s="2"/>
      <c r="K30" s="68" t="s">
        <v>7</v>
      </c>
      <c r="L30" s="68">
        <v>29100</v>
      </c>
    </row>
    <row r="31" spans="1:13" ht="30" x14ac:dyDescent="0.25">
      <c r="A31" s="124" t="s">
        <v>45</v>
      </c>
      <c r="B31" s="125" t="s">
        <v>251</v>
      </c>
      <c r="C31" s="126"/>
      <c r="D31" s="127">
        <f>'JULY 21'!H31:H46</f>
        <v>100</v>
      </c>
      <c r="E31" s="127">
        <v>2000</v>
      </c>
      <c r="F31" s="127">
        <f t="shared" ref="F31:F44" si="4">C31+D31+E31</f>
        <v>2100</v>
      </c>
      <c r="G31" s="25">
        <f>2000+100</f>
        <v>2100</v>
      </c>
      <c r="H31" s="192">
        <f>F31-G31</f>
        <v>0</v>
      </c>
      <c r="J31" s="2"/>
      <c r="L31">
        <f>L29-L30</f>
        <v>0</v>
      </c>
    </row>
    <row r="32" spans="1:13" ht="30" x14ac:dyDescent="0.25">
      <c r="A32" s="124" t="s">
        <v>46</v>
      </c>
      <c r="B32" s="125" t="s">
        <v>31</v>
      </c>
      <c r="C32" s="126"/>
      <c r="D32" s="127">
        <f>'JULY 21'!H32:H47</f>
        <v>1000</v>
      </c>
      <c r="E32" s="127">
        <v>2000</v>
      </c>
      <c r="F32" s="127">
        <f t="shared" si="4"/>
        <v>3000</v>
      </c>
      <c r="G32" s="128">
        <v>3000</v>
      </c>
      <c r="H32" s="192">
        <f>F32-G32</f>
        <v>0</v>
      </c>
      <c r="J32" s="21"/>
    </row>
    <row r="33" spans="1:11" ht="30" x14ac:dyDescent="0.25">
      <c r="A33" s="124" t="s">
        <v>47</v>
      </c>
      <c r="B33" s="132" t="s">
        <v>234</v>
      </c>
      <c r="C33" s="126"/>
      <c r="D33" s="127">
        <f>'JULY 21'!H33:H48</f>
        <v>0</v>
      </c>
      <c r="E33" s="127">
        <v>2000</v>
      </c>
      <c r="F33" s="127">
        <f t="shared" si="4"/>
        <v>2000</v>
      </c>
      <c r="G33" s="133">
        <f>1500+500</f>
        <v>2000</v>
      </c>
      <c r="H33" s="192">
        <f>F33-G33</f>
        <v>0</v>
      </c>
      <c r="J33" s="21"/>
    </row>
    <row r="34" spans="1:11" ht="30" x14ac:dyDescent="0.25">
      <c r="A34" s="124" t="s">
        <v>48</v>
      </c>
      <c r="B34" s="132" t="s">
        <v>37</v>
      </c>
      <c r="C34" s="126"/>
      <c r="D34" s="127">
        <f>'JULY 21'!H34:H49</f>
        <v>1800</v>
      </c>
      <c r="E34" s="127">
        <v>2000</v>
      </c>
      <c r="F34" s="127">
        <f t="shared" si="4"/>
        <v>3800</v>
      </c>
      <c r="G34" s="128">
        <v>1500</v>
      </c>
      <c r="H34" s="192">
        <f>F34-G34</f>
        <v>2300</v>
      </c>
      <c r="J34" s="21"/>
    </row>
    <row r="35" spans="1:11" ht="30" x14ac:dyDescent="0.25">
      <c r="A35" s="124" t="s">
        <v>49</v>
      </c>
      <c r="B35" s="132" t="s">
        <v>211</v>
      </c>
      <c r="C35" s="126"/>
      <c r="D35" s="127">
        <f>'JULY 21'!H35:H50</f>
        <v>3500</v>
      </c>
      <c r="E35" s="127">
        <v>2000</v>
      </c>
      <c r="F35" s="127">
        <f t="shared" si="4"/>
        <v>5500</v>
      </c>
      <c r="G35" s="128">
        <f>2000+300</f>
        <v>2300</v>
      </c>
      <c r="H35" s="192">
        <f t="shared" si="3"/>
        <v>3200</v>
      </c>
      <c r="I35" s="68" t="s">
        <v>253</v>
      </c>
      <c r="J35" s="21"/>
    </row>
    <row r="36" spans="1:11" x14ac:dyDescent="0.25">
      <c r="A36" s="124" t="s">
        <v>50</v>
      </c>
      <c r="B36" s="125" t="s">
        <v>246</v>
      </c>
      <c r="C36" s="126"/>
      <c r="D36" s="127">
        <f>'JULY 21'!H36:H51</f>
        <v>0</v>
      </c>
      <c r="E36" s="127">
        <v>2000</v>
      </c>
      <c r="F36" s="127">
        <f t="shared" si="4"/>
        <v>2000</v>
      </c>
      <c r="G36" s="128">
        <f>1000+1000</f>
        <v>2000</v>
      </c>
      <c r="H36" s="192">
        <f t="shared" si="3"/>
        <v>0</v>
      </c>
      <c r="J36" s="21"/>
    </row>
    <row r="37" spans="1:11" ht="30" x14ac:dyDescent="0.25">
      <c r="A37" s="124" t="s">
        <v>51</v>
      </c>
      <c r="B37" s="125" t="s">
        <v>167</v>
      </c>
      <c r="C37" s="126"/>
      <c r="D37" s="127">
        <f>'JULY 21'!H37:H52</f>
        <v>0</v>
      </c>
      <c r="E37" s="127">
        <v>2000</v>
      </c>
      <c r="F37" s="127">
        <f t="shared" si="4"/>
        <v>2000</v>
      </c>
      <c r="G37" s="128">
        <f>2000</f>
        <v>2000</v>
      </c>
      <c r="H37" s="192">
        <f t="shared" si="3"/>
        <v>0</v>
      </c>
      <c r="J37" s="2"/>
    </row>
    <row r="38" spans="1:11" ht="30" x14ac:dyDescent="0.25">
      <c r="A38" s="124" t="s">
        <v>52</v>
      </c>
      <c r="B38" s="125" t="s">
        <v>33</v>
      </c>
      <c r="C38" s="126"/>
      <c r="D38" s="127">
        <f>'JULY 21'!H38:H53</f>
        <v>1000</v>
      </c>
      <c r="E38" s="127">
        <v>2500</v>
      </c>
      <c r="F38" s="127">
        <f t="shared" si="4"/>
        <v>3500</v>
      </c>
      <c r="G38" s="128">
        <f>2500</f>
        <v>2500</v>
      </c>
      <c r="H38" s="192">
        <f t="shared" si="3"/>
        <v>1000</v>
      </c>
      <c r="J38" s="2"/>
    </row>
    <row r="39" spans="1:11" ht="45" x14ac:dyDescent="0.25">
      <c r="A39" s="124" t="s">
        <v>57</v>
      </c>
      <c r="B39" s="125" t="s">
        <v>107</v>
      </c>
      <c r="C39" s="126"/>
      <c r="D39" s="127">
        <f>'JULY 21'!H39:H54</f>
        <v>0</v>
      </c>
      <c r="E39" s="127"/>
      <c r="F39" s="127">
        <f t="shared" si="4"/>
        <v>0</v>
      </c>
      <c r="G39" s="128"/>
      <c r="H39" s="192">
        <f t="shared" si="3"/>
        <v>0</v>
      </c>
      <c r="J39" s="2"/>
    </row>
    <row r="40" spans="1:11" ht="30" x14ac:dyDescent="0.25">
      <c r="A40" s="124" t="s">
        <v>58</v>
      </c>
      <c r="B40" s="125" t="s">
        <v>233</v>
      </c>
      <c r="C40" s="126"/>
      <c r="D40" s="127">
        <f>'JULY 21'!H40:H55</f>
        <v>0</v>
      </c>
      <c r="E40" s="127">
        <v>2000</v>
      </c>
      <c r="F40" s="128">
        <f t="shared" si="4"/>
        <v>2000</v>
      </c>
      <c r="G40" s="128">
        <v>2000</v>
      </c>
      <c r="H40" s="192">
        <f t="shared" si="3"/>
        <v>0</v>
      </c>
      <c r="J40" s="2"/>
    </row>
    <row r="41" spans="1:11" ht="30" x14ac:dyDescent="0.25">
      <c r="A41" s="124" t="s">
        <v>59</v>
      </c>
      <c r="B41" s="125" t="s">
        <v>245</v>
      </c>
      <c r="C41" s="126"/>
      <c r="D41" s="127">
        <f>'JULY 21'!H41:H56</f>
        <v>0</v>
      </c>
      <c r="E41" s="127">
        <v>2000</v>
      </c>
      <c r="F41" s="127">
        <f t="shared" si="4"/>
        <v>2000</v>
      </c>
      <c r="G41" s="128">
        <v>2000</v>
      </c>
      <c r="H41" s="192">
        <f t="shared" si="3"/>
        <v>0</v>
      </c>
      <c r="J41" s="2"/>
      <c r="K41" s="65"/>
    </row>
    <row r="42" spans="1:11" ht="30" x14ac:dyDescent="0.25">
      <c r="A42" s="124" t="s">
        <v>60</v>
      </c>
      <c r="B42" s="125" t="s">
        <v>38</v>
      </c>
      <c r="C42" s="126"/>
      <c r="D42" s="127">
        <f>'JULY 21'!H42:H57</f>
        <v>0</v>
      </c>
      <c r="E42" s="127">
        <v>2000</v>
      </c>
      <c r="F42" s="127">
        <f t="shared" si="4"/>
        <v>2000</v>
      </c>
      <c r="G42" s="128"/>
      <c r="H42" s="192">
        <f t="shared" si="3"/>
        <v>2000</v>
      </c>
      <c r="J42" s="2"/>
      <c r="K42" s="65">
        <f>H44+H43+H38+H35+H34</f>
        <v>10350</v>
      </c>
    </row>
    <row r="43" spans="1:11" ht="30" x14ac:dyDescent="0.25">
      <c r="A43" s="124" t="s">
        <v>61</v>
      </c>
      <c r="B43" s="125" t="s">
        <v>201</v>
      </c>
      <c r="C43" s="126"/>
      <c r="D43" s="127">
        <f>'JULY 21'!H43:H58</f>
        <v>2000</v>
      </c>
      <c r="E43" s="127">
        <v>2000</v>
      </c>
      <c r="F43" s="127">
        <f t="shared" si="4"/>
        <v>4000</v>
      </c>
      <c r="G43" s="128">
        <f>1000+1450</f>
        <v>2450</v>
      </c>
      <c r="H43" s="192">
        <f t="shared" si="3"/>
        <v>1550</v>
      </c>
      <c r="I43" s="68" t="s">
        <v>253</v>
      </c>
      <c r="J43" s="2"/>
    </row>
    <row r="44" spans="1:11" ht="30" x14ac:dyDescent="0.25">
      <c r="A44" s="124" t="s">
        <v>62</v>
      </c>
      <c r="B44" s="125" t="s">
        <v>202</v>
      </c>
      <c r="C44" s="126"/>
      <c r="D44" s="127">
        <f>'JULY 21'!H44:H59</f>
        <v>2300</v>
      </c>
      <c r="E44" s="127">
        <v>2000</v>
      </c>
      <c r="F44" s="127">
        <f t="shared" si="4"/>
        <v>4300</v>
      </c>
      <c r="G44" s="128">
        <f>1000+1000</f>
        <v>2000</v>
      </c>
      <c r="H44" s="192">
        <f t="shared" si="3"/>
        <v>2300</v>
      </c>
      <c r="J44" s="2"/>
    </row>
    <row r="45" spans="1:11" x14ac:dyDescent="0.25">
      <c r="A45" s="135"/>
      <c r="B45" s="136" t="s">
        <v>9</v>
      </c>
      <c r="C45" s="137">
        <f>SUM(C28:C40)</f>
        <v>0</v>
      </c>
      <c r="D45" s="127">
        <f>SUM(D29:D44)</f>
        <v>11700</v>
      </c>
      <c r="E45" s="138">
        <f>SUM(E29:E44)</f>
        <v>30500</v>
      </c>
      <c r="F45" s="138">
        <f>SUM(F29:F44)</f>
        <v>42200</v>
      </c>
      <c r="G45" s="139">
        <f>SUM(G28:G44)</f>
        <v>29850</v>
      </c>
      <c r="H45" s="193">
        <f>SUM(H28:H44)</f>
        <v>12350</v>
      </c>
      <c r="J45" s="2"/>
    </row>
    <row r="46" spans="1:11" x14ac:dyDescent="0.25">
      <c r="A46" s="6" t="s">
        <v>10</v>
      </c>
      <c r="B46" s="141"/>
      <c r="C46" s="142"/>
      <c r="D46" s="127">
        <f>'MAY21'!I46:I64</f>
        <v>0</v>
      </c>
      <c r="E46" s="143"/>
      <c r="F46" s="141"/>
      <c r="G46" s="141"/>
      <c r="H46" s="22" t="s">
        <v>13</v>
      </c>
      <c r="I46" s="21"/>
      <c r="J46" s="2"/>
    </row>
    <row r="47" spans="1:11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I47" s="23" t="s">
        <v>15</v>
      </c>
      <c r="J47" s="2"/>
    </row>
    <row r="48" spans="1:11" x14ac:dyDescent="0.25">
      <c r="A48" s="24" t="s">
        <v>140</v>
      </c>
      <c r="B48" s="25">
        <f>E45+E26</f>
        <v>46000</v>
      </c>
      <c r="C48" s="26"/>
      <c r="D48" s="26"/>
      <c r="E48" s="26" t="s">
        <v>140</v>
      </c>
      <c r="F48" s="25">
        <f>G45+G26</f>
        <v>46050</v>
      </c>
      <c r="G48" s="25"/>
      <c r="H48" s="26"/>
      <c r="I48" s="25"/>
      <c r="J48" s="2"/>
    </row>
    <row r="49" spans="1:11" x14ac:dyDescent="0.25">
      <c r="A49" s="24" t="s">
        <v>17</v>
      </c>
      <c r="B49" s="27">
        <v>0.1</v>
      </c>
      <c r="C49" s="28">
        <f>B49*B48</f>
        <v>4600</v>
      </c>
      <c r="D49" s="24"/>
      <c r="E49" s="24" t="s">
        <v>155</v>
      </c>
      <c r="F49" s="27">
        <v>0.1</v>
      </c>
      <c r="G49" s="27"/>
      <c r="H49" s="28">
        <f>F49*B48</f>
        <v>4600</v>
      </c>
      <c r="I49" s="25"/>
      <c r="J49" s="2"/>
    </row>
    <row r="50" spans="1:11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</row>
    <row r="51" spans="1:11" x14ac:dyDescent="0.25">
      <c r="A51" s="24" t="s">
        <v>213</v>
      </c>
      <c r="B51" s="28">
        <f>I26</f>
        <v>900</v>
      </c>
      <c r="C51" s="28"/>
      <c r="D51" s="24"/>
      <c r="E51" s="24" t="s">
        <v>213</v>
      </c>
      <c r="F51" s="28">
        <f>I26</f>
        <v>900</v>
      </c>
      <c r="G51" s="27"/>
      <c r="H51" s="28"/>
      <c r="I51" s="25"/>
      <c r="J51" s="2"/>
    </row>
    <row r="52" spans="1:11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  <c r="J52" s="2"/>
    </row>
    <row r="53" spans="1:11" x14ac:dyDescent="0.25">
      <c r="A53" s="29" t="s">
        <v>19</v>
      </c>
      <c r="B53" s="28">
        <f>'JULY 21'!D62</f>
        <v>0</v>
      </c>
      <c r="C53" s="24"/>
      <c r="D53" s="24"/>
      <c r="E53" s="24" t="s">
        <v>19</v>
      </c>
      <c r="F53" s="28">
        <f>'JULY 21'!I62</f>
        <v>-13150</v>
      </c>
      <c r="G53" s="28"/>
      <c r="H53" s="24"/>
      <c r="I53" s="25"/>
      <c r="J53" s="2"/>
    </row>
    <row r="54" spans="1:11" x14ac:dyDescent="0.25">
      <c r="A54" s="29" t="s">
        <v>9</v>
      </c>
      <c r="B54" s="28">
        <f>B48+B50+B53+B52</f>
        <v>46000</v>
      </c>
      <c r="C54" s="24"/>
      <c r="D54" s="24"/>
      <c r="E54" s="24" t="s">
        <v>9</v>
      </c>
      <c r="F54" s="28">
        <f>F48+F50+F53+F51</f>
        <v>33800</v>
      </c>
      <c r="G54" s="28"/>
      <c r="H54" s="24"/>
      <c r="I54" s="25"/>
      <c r="J54" s="2"/>
      <c r="K54" s="65"/>
    </row>
    <row r="55" spans="1:11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1"/>
    </row>
    <row r="56" spans="1:11" x14ac:dyDescent="0.25">
      <c r="A56" s="29" t="s">
        <v>144</v>
      </c>
      <c r="B56" s="26"/>
      <c r="C56" s="144">
        <v>29100</v>
      </c>
      <c r="D56" s="24"/>
      <c r="E56" s="29"/>
      <c r="F56" s="26" t="s">
        <v>144</v>
      </c>
      <c r="G56" s="144"/>
      <c r="H56" s="144">
        <v>29100</v>
      </c>
      <c r="I56" s="24"/>
      <c r="J56" s="2"/>
    </row>
    <row r="57" spans="1:11" x14ac:dyDescent="0.25">
      <c r="A57" s="145" t="s">
        <v>250</v>
      </c>
      <c r="B57" s="26"/>
      <c r="C57" s="146">
        <v>12300</v>
      </c>
      <c r="D57" s="26"/>
      <c r="E57" s="26"/>
      <c r="F57" s="145" t="s">
        <v>250</v>
      </c>
      <c r="G57" s="26"/>
      <c r="H57" s="146">
        <v>12300</v>
      </c>
      <c r="I57" s="25"/>
      <c r="J57" s="2"/>
    </row>
    <row r="58" spans="1:11" x14ac:dyDescent="0.25">
      <c r="A58" s="145" t="s">
        <v>252</v>
      </c>
      <c r="B58" s="26"/>
      <c r="C58" s="146">
        <v>600</v>
      </c>
      <c r="D58" s="26"/>
      <c r="E58" s="26"/>
      <c r="F58" s="145" t="s">
        <v>252</v>
      </c>
      <c r="G58" s="26"/>
      <c r="H58" s="146">
        <v>600</v>
      </c>
      <c r="I58" s="25"/>
      <c r="J58" s="2"/>
    </row>
    <row r="59" spans="1:11" x14ac:dyDescent="0.25">
      <c r="A59" s="145" t="s">
        <v>255</v>
      </c>
      <c r="B59" s="26"/>
      <c r="C59" s="146">
        <v>1000</v>
      </c>
      <c r="D59" s="26"/>
      <c r="E59" s="26"/>
      <c r="F59" s="145" t="s">
        <v>255</v>
      </c>
      <c r="G59" s="26"/>
      <c r="H59" s="146">
        <v>1000</v>
      </c>
      <c r="I59" s="25"/>
      <c r="J59" s="2"/>
    </row>
    <row r="60" spans="1:11" x14ac:dyDescent="0.25">
      <c r="A60" s="145"/>
      <c r="B60" s="26"/>
      <c r="C60" s="146"/>
      <c r="D60" s="26"/>
      <c r="E60" s="26"/>
      <c r="F60" s="145"/>
      <c r="G60" s="26"/>
      <c r="H60" s="146"/>
      <c r="I60" s="25"/>
      <c r="J60" s="2"/>
    </row>
    <row r="61" spans="1:11" x14ac:dyDescent="0.25">
      <c r="A61" s="145"/>
      <c r="B61" s="26"/>
      <c r="C61" s="146"/>
      <c r="D61" s="26"/>
      <c r="E61" s="26"/>
      <c r="F61" s="145"/>
      <c r="G61" s="26"/>
      <c r="H61" s="146"/>
      <c r="I61" s="25"/>
      <c r="J61" s="2"/>
    </row>
    <row r="62" spans="1:11" x14ac:dyDescent="0.25">
      <c r="A62" s="39" t="s">
        <v>9</v>
      </c>
      <c r="B62" s="40">
        <f>B48+B50+B51+B52+B53-C49</f>
        <v>42300</v>
      </c>
      <c r="C62" s="41">
        <f>SUM(C56:C61)</f>
        <v>43000</v>
      </c>
      <c r="D62" s="41">
        <f>B62-C62</f>
        <v>-700</v>
      </c>
      <c r="E62" s="41"/>
      <c r="F62" s="40">
        <f>F48+F50+F53-H49-H51</f>
        <v>28300</v>
      </c>
      <c r="G62" s="40"/>
      <c r="H62" s="41">
        <f>SUM(H56:H61)</f>
        <v>43000</v>
      </c>
      <c r="I62" s="41">
        <f>F62-H62</f>
        <v>-14700</v>
      </c>
      <c r="J62" s="2"/>
    </row>
    <row r="63" spans="1:11" x14ac:dyDescent="0.25">
      <c r="A63" s="2" t="s">
        <v>21</v>
      </c>
      <c r="B63" s="2"/>
      <c r="C63" s="2"/>
      <c r="D63" s="2" t="s">
        <v>22</v>
      </c>
      <c r="E63" s="2"/>
      <c r="F63" s="2"/>
      <c r="G63" s="2"/>
      <c r="H63" s="2" t="s">
        <v>23</v>
      </c>
      <c r="I63" s="21"/>
      <c r="J63" s="2"/>
    </row>
    <row r="64" spans="1:11" x14ac:dyDescent="0.25">
      <c r="A64" s="2" t="s">
        <v>194</v>
      </c>
      <c r="B64" s="2"/>
      <c r="C64" s="2"/>
      <c r="D64" s="2" t="s">
        <v>24</v>
      </c>
      <c r="E64" s="2"/>
      <c r="F64" s="2"/>
      <c r="G64" s="2"/>
      <c r="H64" s="2" t="s">
        <v>26</v>
      </c>
      <c r="I64" s="2"/>
      <c r="J64" s="21"/>
    </row>
    <row r="65" spans="1:1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10" workbookViewId="0">
      <selection activeCell="H72" sqref="H72"/>
    </sheetView>
  </sheetViews>
  <sheetFormatPr defaultRowHeight="15" x14ac:dyDescent="0.25"/>
  <cols>
    <col min="1" max="1" width="16.7109375" customWidth="1"/>
    <col min="2" max="2" width="21" customWidth="1"/>
    <col min="3" max="3" width="20.5703125" customWidth="1"/>
    <col min="12" max="12" width="14.7109375" customWidth="1"/>
  </cols>
  <sheetData>
    <row r="1" spans="1:13" ht="15.75" x14ac:dyDescent="0.25">
      <c r="A1" s="148"/>
      <c r="B1" s="148"/>
      <c r="C1" s="194" t="s">
        <v>26</v>
      </c>
      <c r="D1" s="148"/>
      <c r="E1" s="148"/>
      <c r="F1" s="148"/>
      <c r="G1" s="148"/>
      <c r="H1" s="148"/>
      <c r="I1" s="148"/>
      <c r="J1" s="148"/>
    </row>
    <row r="2" spans="1:13" ht="15.75" x14ac:dyDescent="0.25">
      <c r="A2" s="148"/>
      <c r="B2" s="148"/>
      <c r="C2" s="195" t="s">
        <v>0</v>
      </c>
      <c r="D2" s="4"/>
      <c r="E2" s="4"/>
      <c r="F2" s="148"/>
      <c r="G2" s="148"/>
      <c r="H2" s="148"/>
      <c r="I2" s="148"/>
      <c r="J2" s="148"/>
    </row>
    <row r="3" spans="1:13" x14ac:dyDescent="0.25">
      <c r="A3" s="2"/>
      <c r="B3" s="2"/>
      <c r="C3" s="6" t="s">
        <v>254</v>
      </c>
      <c r="D3" s="119"/>
      <c r="E3" s="119"/>
      <c r="F3" s="120"/>
      <c r="G3" s="120"/>
      <c r="H3" s="2"/>
      <c r="I3" s="2"/>
      <c r="J3" s="2"/>
    </row>
    <row r="4" spans="1:13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</row>
    <row r="5" spans="1:13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123" t="s">
        <v>213</v>
      </c>
      <c r="J5" s="2"/>
    </row>
    <row r="6" spans="1:13" x14ac:dyDescent="0.25">
      <c r="A6" s="124" t="s">
        <v>66</v>
      </c>
      <c r="B6" s="188"/>
      <c r="C6" s="126"/>
      <c r="D6" s="127">
        <f>'AUGUST 21'!H6:H25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128"/>
      <c r="J6" s="2"/>
    </row>
    <row r="7" spans="1:13" x14ac:dyDescent="0.25">
      <c r="A7" s="124" t="s">
        <v>71</v>
      </c>
      <c r="B7" s="125" t="s">
        <v>179</v>
      </c>
      <c r="C7" s="126"/>
      <c r="D7" s="127"/>
      <c r="E7" s="127">
        <v>3000</v>
      </c>
      <c r="F7" s="127">
        <f t="shared" ref="F7:F25" si="1">C7+D7+E7</f>
        <v>3000</v>
      </c>
      <c r="G7" s="127">
        <f>3000</f>
        <v>3000</v>
      </c>
      <c r="H7" s="25"/>
      <c r="I7" s="127"/>
      <c r="J7" s="2"/>
    </row>
    <row r="8" spans="1:13" x14ac:dyDescent="0.25">
      <c r="A8" s="124" t="s">
        <v>67</v>
      </c>
      <c r="B8" s="24" t="s">
        <v>218</v>
      </c>
      <c r="C8" s="126"/>
      <c r="D8" s="127">
        <f>'AUGUST 21'!H8:H27</f>
        <v>0</v>
      </c>
      <c r="E8" s="127"/>
      <c r="F8" s="127">
        <f t="shared" si="1"/>
        <v>0</v>
      </c>
      <c r="G8" s="26"/>
      <c r="H8" s="25">
        <f t="shared" si="0"/>
        <v>0</v>
      </c>
      <c r="I8" s="26"/>
      <c r="J8" s="2"/>
    </row>
    <row r="9" spans="1:13" x14ac:dyDescent="0.25">
      <c r="A9" s="129" t="s">
        <v>72</v>
      </c>
      <c r="B9" s="189" t="s">
        <v>103</v>
      </c>
      <c r="C9" s="126"/>
      <c r="D9" s="127">
        <f>'AUGUST 21'!H9:H28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  <c r="J9" s="2"/>
    </row>
    <row r="10" spans="1:13" x14ac:dyDescent="0.25">
      <c r="A10" s="130" t="s">
        <v>68</v>
      </c>
      <c r="B10" s="188" t="s">
        <v>40</v>
      </c>
      <c r="C10" s="126"/>
      <c r="D10" s="127">
        <f>'AUGUST 21'!H10:H29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  <c r="J10" s="2"/>
      <c r="M10" s="65">
        <f>E26</f>
        <v>15500</v>
      </c>
    </row>
    <row r="11" spans="1:13" x14ac:dyDescent="0.25">
      <c r="A11" s="131" t="s">
        <v>73</v>
      </c>
      <c r="B11" s="190" t="s">
        <v>40</v>
      </c>
      <c r="C11" s="126"/>
      <c r="D11" s="127">
        <f>'AUGUST 21'!H11:H30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  <c r="J11" s="2"/>
      <c r="M11" s="65">
        <f>E45</f>
        <v>30500</v>
      </c>
    </row>
    <row r="12" spans="1:13" x14ac:dyDescent="0.25">
      <c r="A12" s="124" t="s">
        <v>69</v>
      </c>
      <c r="B12" s="132" t="s">
        <v>229</v>
      </c>
      <c r="C12" s="126"/>
      <c r="D12" s="127">
        <f>'AUGUST 21'!H12:H31</f>
        <v>500</v>
      </c>
      <c r="E12" s="127">
        <v>3500</v>
      </c>
      <c r="F12" s="127">
        <f t="shared" si="1"/>
        <v>4000</v>
      </c>
      <c r="G12" s="128">
        <f>1800</f>
        <v>1800</v>
      </c>
      <c r="H12" s="25">
        <f t="shared" si="0"/>
        <v>2200</v>
      </c>
      <c r="I12" s="128"/>
      <c r="J12" s="2"/>
      <c r="M12" s="65">
        <f>M10+M11</f>
        <v>46000</v>
      </c>
    </row>
    <row r="13" spans="1:13" x14ac:dyDescent="0.25">
      <c r="A13" s="124" t="s">
        <v>74</v>
      </c>
      <c r="B13" s="132" t="s">
        <v>87</v>
      </c>
      <c r="C13" s="126"/>
      <c r="D13" s="127">
        <f>'AUGUST 21'!H13:H32</f>
        <v>0</v>
      </c>
      <c r="E13" s="127">
        <v>4000</v>
      </c>
      <c r="F13" s="127">
        <f t="shared" si="1"/>
        <v>4000</v>
      </c>
      <c r="G13" s="128">
        <f>3500+500</f>
        <v>4000</v>
      </c>
      <c r="H13" s="25">
        <f t="shared" si="0"/>
        <v>0</v>
      </c>
      <c r="I13" s="128"/>
      <c r="J13" s="2"/>
      <c r="L13" t="s">
        <v>155</v>
      </c>
      <c r="M13">
        <v>4600</v>
      </c>
    </row>
    <row r="14" spans="1:13" x14ac:dyDescent="0.25">
      <c r="A14" s="124" t="s">
        <v>70</v>
      </c>
      <c r="B14" s="190"/>
      <c r="C14" s="126"/>
      <c r="D14" s="127">
        <f>'AUGUST 21'!H14:H33</f>
        <v>0</v>
      </c>
      <c r="E14" s="127"/>
      <c r="F14" s="127"/>
      <c r="G14" s="128"/>
      <c r="H14" s="25"/>
      <c r="I14" s="128"/>
      <c r="J14" s="2"/>
      <c r="M14" s="65"/>
    </row>
    <row r="15" spans="1:13" x14ac:dyDescent="0.25">
      <c r="A15" s="124" t="s">
        <v>75</v>
      </c>
      <c r="B15" s="190" t="s">
        <v>40</v>
      </c>
      <c r="C15" s="126"/>
      <c r="D15" s="127">
        <f>'AUGUST 21'!H15:H34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  <c r="J15" s="2"/>
      <c r="M15" s="65">
        <f>M12-M13</f>
        <v>41400</v>
      </c>
    </row>
    <row r="16" spans="1:13" x14ac:dyDescent="0.25">
      <c r="A16" s="124" t="s">
        <v>76</v>
      </c>
      <c r="B16" s="190" t="s">
        <v>40</v>
      </c>
      <c r="C16" s="126"/>
      <c r="D16" s="127">
        <f>'AUGUST 21'!H16:H35</f>
        <v>0</v>
      </c>
      <c r="E16" s="127"/>
      <c r="F16" s="127">
        <f t="shared" si="1"/>
        <v>0</v>
      </c>
      <c r="G16" s="128"/>
      <c r="H16" s="25">
        <f>F16-G16</f>
        <v>0</v>
      </c>
      <c r="I16" s="128"/>
      <c r="J16" s="2"/>
      <c r="L16" t="s">
        <v>258</v>
      </c>
      <c r="M16" s="65">
        <v>1000</v>
      </c>
    </row>
    <row r="17" spans="1:13" x14ac:dyDescent="0.25">
      <c r="A17" s="124" t="s">
        <v>77</v>
      </c>
      <c r="B17" s="190" t="s">
        <v>40</v>
      </c>
      <c r="C17" s="126"/>
      <c r="D17" s="127">
        <f>'AUGUST 21'!H17:H36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J17" s="2"/>
      <c r="M17" s="65"/>
    </row>
    <row r="18" spans="1:13" x14ac:dyDescent="0.25">
      <c r="A18" s="124" t="s">
        <v>78</v>
      </c>
      <c r="B18" s="132" t="s">
        <v>88</v>
      </c>
      <c r="C18" s="126"/>
      <c r="D18" s="127">
        <f>'AUGUST 21'!H18:H37</f>
        <v>0</v>
      </c>
      <c r="E18" s="127">
        <v>5000</v>
      </c>
      <c r="F18" s="127">
        <f t="shared" si="1"/>
        <v>5000</v>
      </c>
      <c r="G18" s="128"/>
      <c r="H18" s="25">
        <f t="shared" si="0"/>
        <v>5000</v>
      </c>
      <c r="I18" s="128"/>
      <c r="J18" s="2"/>
      <c r="M18" s="65">
        <f>M15-M16</f>
        <v>40400</v>
      </c>
    </row>
    <row r="19" spans="1:13" x14ac:dyDescent="0.25">
      <c r="A19" s="124" t="s">
        <v>79</v>
      </c>
      <c r="B19" s="132" t="s">
        <v>148</v>
      </c>
      <c r="C19" s="126"/>
      <c r="D19" s="127">
        <f>'AUGUST 21'!H19:H38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J19" s="2"/>
      <c r="L19" t="s">
        <v>257</v>
      </c>
      <c r="M19" s="65">
        <v>3000</v>
      </c>
    </row>
    <row r="20" spans="1:13" x14ac:dyDescent="0.25">
      <c r="A20" s="124" t="s">
        <v>80</v>
      </c>
      <c r="B20" s="190" t="s">
        <v>40</v>
      </c>
      <c r="C20" s="126"/>
      <c r="D20" s="127">
        <f>'AUGUST 21'!H20:H39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J20" s="2"/>
      <c r="M20" s="65">
        <f>M18-M19</f>
        <v>37400</v>
      </c>
    </row>
    <row r="21" spans="1:13" x14ac:dyDescent="0.25">
      <c r="A21" s="124" t="s">
        <v>81</v>
      </c>
      <c r="B21" s="132"/>
      <c r="C21" s="126"/>
      <c r="D21" s="127">
        <f>'AUGUST 21'!H21:H40</f>
        <v>0</v>
      </c>
      <c r="E21" s="127"/>
      <c r="F21" s="127">
        <f>C21+D21+E21</f>
        <v>0</v>
      </c>
      <c r="G21" s="128"/>
      <c r="H21" s="25">
        <f>F21-G21</f>
        <v>0</v>
      </c>
      <c r="I21" s="128"/>
      <c r="J21" s="2"/>
    </row>
    <row r="22" spans="1:13" x14ac:dyDescent="0.25">
      <c r="A22" s="124" t="s">
        <v>82</v>
      </c>
      <c r="B22" s="190" t="s">
        <v>40</v>
      </c>
      <c r="C22" s="126"/>
      <c r="D22" s="127">
        <f>'AUGUST 21'!H22:H41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J22" s="2"/>
      <c r="L22" s="68" t="s">
        <v>259</v>
      </c>
      <c r="M22" s="67">
        <f>12850</f>
        <v>12850</v>
      </c>
    </row>
    <row r="23" spans="1:13" x14ac:dyDescent="0.25">
      <c r="A23" s="124" t="s">
        <v>83</v>
      </c>
      <c r="B23" s="190" t="s">
        <v>40</v>
      </c>
      <c r="C23" s="126"/>
      <c r="D23" s="127">
        <f>'AUGUST 21'!H23:H42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J23" s="2"/>
      <c r="M23" s="65"/>
    </row>
    <row r="24" spans="1:13" x14ac:dyDescent="0.25">
      <c r="A24" s="124" t="s">
        <v>84</v>
      </c>
      <c r="B24" s="190" t="s">
        <v>103</v>
      </c>
      <c r="C24" s="126"/>
      <c r="D24" s="127">
        <f>'AUGUST 21'!H24:H43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  <c r="J24" s="2"/>
      <c r="M24" s="65">
        <f>M20-M22</f>
        <v>24550</v>
      </c>
    </row>
    <row r="25" spans="1:13" x14ac:dyDescent="0.25">
      <c r="A25" s="124" t="s">
        <v>85</v>
      </c>
      <c r="B25" s="190" t="s">
        <v>40</v>
      </c>
      <c r="C25" s="126"/>
      <c r="D25" s="127">
        <f>'AUGUST 21'!H25:H44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J25" s="2"/>
    </row>
    <row r="26" spans="1:13" x14ac:dyDescent="0.25">
      <c r="A26" s="135"/>
      <c r="B26" s="136" t="s">
        <v>9</v>
      </c>
      <c r="C26" s="137">
        <f t="shared" ref="C26:H26" si="2">SUM(C6:C25)</f>
        <v>0</v>
      </c>
      <c r="D26" s="127">
        <f>SUM(D6:D25)</f>
        <v>500</v>
      </c>
      <c r="E26" s="138">
        <f t="shared" si="2"/>
        <v>15500</v>
      </c>
      <c r="F26" s="138">
        <f t="shared" si="2"/>
        <v>16000</v>
      </c>
      <c r="G26" s="139">
        <f t="shared" si="2"/>
        <v>8800</v>
      </c>
      <c r="H26" s="140">
        <f t="shared" si="2"/>
        <v>7200</v>
      </c>
      <c r="I26" s="139">
        <f>SUM(I6:I25)</f>
        <v>0</v>
      </c>
      <c r="J26" s="21"/>
      <c r="K26" s="68"/>
      <c r="L26" s="68"/>
    </row>
    <row r="27" spans="1:13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</row>
    <row r="28" spans="1:13" x14ac:dyDescent="0.25">
      <c r="A28" s="124"/>
      <c r="B28" s="125"/>
      <c r="C28" s="126"/>
      <c r="D28" s="127" t="s">
        <v>198</v>
      </c>
      <c r="E28" s="127" t="s">
        <v>5</v>
      </c>
      <c r="F28" s="127" t="s">
        <v>6</v>
      </c>
      <c r="G28" s="127" t="s">
        <v>7</v>
      </c>
      <c r="H28" s="25" t="s">
        <v>15</v>
      </c>
      <c r="J28" s="2"/>
    </row>
    <row r="29" spans="1:13" x14ac:dyDescent="0.25">
      <c r="A29" s="124" t="s">
        <v>43</v>
      </c>
      <c r="B29" s="125" t="s">
        <v>113</v>
      </c>
      <c r="C29" s="126">
        <f>'AUGUST 20'!I29:I44</f>
        <v>0</v>
      </c>
      <c r="D29" s="127">
        <f>'AUGUST 21'!H29:H44</f>
        <v>0</v>
      </c>
      <c r="E29" s="127">
        <v>2000</v>
      </c>
      <c r="F29" s="127">
        <f>C28+D29+E29</f>
        <v>2000</v>
      </c>
      <c r="G29" s="127">
        <v>2000</v>
      </c>
      <c r="H29" s="25">
        <f t="shared" ref="H29:H44" si="3">F29-G29</f>
        <v>0</v>
      </c>
      <c r="J29" s="2"/>
      <c r="K29" s="68"/>
      <c r="L29" s="68"/>
    </row>
    <row r="30" spans="1:13" x14ac:dyDescent="0.25">
      <c r="A30" s="124" t="s">
        <v>44</v>
      </c>
      <c r="B30" s="24" t="s">
        <v>138</v>
      </c>
      <c r="C30" s="126"/>
      <c r="D30" s="127">
        <f>'AUGUST 21'!H30:H45</f>
        <v>0</v>
      </c>
      <c r="E30" s="127">
        <v>2000</v>
      </c>
      <c r="F30" s="127">
        <f>C29+D30+E30</f>
        <v>2000</v>
      </c>
      <c r="G30" s="26">
        <v>2000</v>
      </c>
      <c r="H30" s="25">
        <f t="shared" si="3"/>
        <v>0</v>
      </c>
      <c r="J30" s="2"/>
      <c r="K30" s="68"/>
      <c r="L30" s="68"/>
    </row>
    <row r="31" spans="1:13" x14ac:dyDescent="0.25">
      <c r="A31" s="124" t="s">
        <v>45</v>
      </c>
      <c r="B31" s="125" t="s">
        <v>251</v>
      </c>
      <c r="C31" s="126"/>
      <c r="D31" s="127">
        <f>'AUGUST 21'!H31:H46</f>
        <v>0</v>
      </c>
      <c r="E31" s="127">
        <v>2000</v>
      </c>
      <c r="F31" s="127">
        <f t="shared" ref="F31:F44" si="4">C31+D31+E31</f>
        <v>2000</v>
      </c>
      <c r="G31" s="25">
        <f>1000</f>
        <v>1000</v>
      </c>
      <c r="H31" s="25">
        <f>F31-G31</f>
        <v>1000</v>
      </c>
      <c r="J31" s="2"/>
      <c r="K31" s="68"/>
      <c r="L31" s="68"/>
    </row>
    <row r="32" spans="1:13" x14ac:dyDescent="0.25">
      <c r="A32" s="124" t="s">
        <v>46</v>
      </c>
      <c r="B32" s="125" t="s">
        <v>31</v>
      </c>
      <c r="C32" s="126"/>
      <c r="D32" s="127">
        <f>'AUGUST 21'!H32:H47</f>
        <v>0</v>
      </c>
      <c r="E32" s="127">
        <v>2000</v>
      </c>
      <c r="F32" s="127">
        <f t="shared" si="4"/>
        <v>2000</v>
      </c>
      <c r="G32" s="128"/>
      <c r="H32" s="25">
        <f>F32-G32</f>
        <v>2000</v>
      </c>
      <c r="J32" s="21"/>
    </row>
    <row r="33" spans="1:11" x14ac:dyDescent="0.25">
      <c r="A33" s="124" t="s">
        <v>47</v>
      </c>
      <c r="B33" s="132" t="s">
        <v>234</v>
      </c>
      <c r="C33" s="126"/>
      <c r="D33" s="127">
        <f>'AUGUST 21'!H33:H48</f>
        <v>0</v>
      </c>
      <c r="E33" s="127">
        <v>2000</v>
      </c>
      <c r="F33" s="127">
        <f t="shared" si="4"/>
        <v>2000</v>
      </c>
      <c r="G33" s="133">
        <f>1000</f>
        <v>1000</v>
      </c>
      <c r="H33" s="25">
        <f>F33-G33</f>
        <v>1000</v>
      </c>
      <c r="J33" s="21"/>
    </row>
    <row r="34" spans="1:11" x14ac:dyDescent="0.25">
      <c r="A34" s="124" t="s">
        <v>48</v>
      </c>
      <c r="B34" s="132" t="s">
        <v>37</v>
      </c>
      <c r="C34" s="126"/>
      <c r="D34" s="127">
        <f>'AUGUST 21'!H34:H49</f>
        <v>2300</v>
      </c>
      <c r="E34" s="127">
        <v>2000</v>
      </c>
      <c r="F34" s="127">
        <f t="shared" si="4"/>
        <v>4300</v>
      </c>
      <c r="G34" s="128">
        <f>2000</f>
        <v>2000</v>
      </c>
      <c r="H34" s="25">
        <f>F34-G34</f>
        <v>2300</v>
      </c>
      <c r="J34" s="21"/>
    </row>
    <row r="35" spans="1:11" x14ac:dyDescent="0.25">
      <c r="A35" s="124" t="s">
        <v>49</v>
      </c>
      <c r="B35" s="132" t="s">
        <v>211</v>
      </c>
      <c r="C35" s="126"/>
      <c r="D35" s="127">
        <f>'AUGUST 21'!H35:H50</f>
        <v>3200</v>
      </c>
      <c r="E35" s="127">
        <v>2000</v>
      </c>
      <c r="F35" s="127">
        <f t="shared" si="4"/>
        <v>5200</v>
      </c>
      <c r="G35" s="128">
        <f>2000</f>
        <v>2000</v>
      </c>
      <c r="H35" s="25">
        <f t="shared" si="3"/>
        <v>3200</v>
      </c>
      <c r="I35" s="68" t="s">
        <v>253</v>
      </c>
      <c r="J35" s="21"/>
    </row>
    <row r="36" spans="1:11" x14ac:dyDescent="0.25">
      <c r="A36" s="124" t="s">
        <v>50</v>
      </c>
      <c r="B36" s="125" t="s">
        <v>246</v>
      </c>
      <c r="C36" s="126"/>
      <c r="D36" s="127">
        <f>'AUGUST 21'!H36:H51</f>
        <v>0</v>
      </c>
      <c r="E36" s="127">
        <v>2000</v>
      </c>
      <c r="F36" s="127">
        <f t="shared" si="4"/>
        <v>2000</v>
      </c>
      <c r="G36" s="128">
        <f>1000+1000</f>
        <v>2000</v>
      </c>
      <c r="H36" s="25">
        <f t="shared" si="3"/>
        <v>0</v>
      </c>
      <c r="J36" s="21"/>
    </row>
    <row r="37" spans="1:11" ht="21" customHeight="1" x14ac:dyDescent="0.25">
      <c r="A37" s="124" t="s">
        <v>51</v>
      </c>
      <c r="B37" s="125" t="s">
        <v>167</v>
      </c>
      <c r="C37" s="126"/>
      <c r="D37" s="127">
        <f>'AUGUST 21'!H37:H52</f>
        <v>0</v>
      </c>
      <c r="E37" s="127">
        <v>2000</v>
      </c>
      <c r="F37" s="127">
        <f t="shared" si="4"/>
        <v>2000</v>
      </c>
      <c r="G37" s="128">
        <v>2000</v>
      </c>
      <c r="H37" s="25">
        <f t="shared" si="3"/>
        <v>0</v>
      </c>
      <c r="J37" s="2"/>
    </row>
    <row r="38" spans="1:11" x14ac:dyDescent="0.25">
      <c r="A38" s="124" t="s">
        <v>52</v>
      </c>
      <c r="B38" s="125" t="s">
        <v>33</v>
      </c>
      <c r="C38" s="126"/>
      <c r="D38" s="127">
        <f>'AUGUST 21'!H38:H53</f>
        <v>1000</v>
      </c>
      <c r="E38" s="127">
        <v>2500</v>
      </c>
      <c r="F38" s="127">
        <f t="shared" si="4"/>
        <v>3500</v>
      </c>
      <c r="G38" s="128">
        <v>2500</v>
      </c>
      <c r="H38" s="25">
        <f t="shared" si="3"/>
        <v>1000</v>
      </c>
      <c r="J38" s="2"/>
    </row>
    <row r="39" spans="1:11" ht="30" x14ac:dyDescent="0.25">
      <c r="A39" s="124" t="s">
        <v>57</v>
      </c>
      <c r="B39" s="125" t="s">
        <v>107</v>
      </c>
      <c r="C39" s="126"/>
      <c r="D39" s="127">
        <f>'AUGUST 21'!H39:H54</f>
        <v>0</v>
      </c>
      <c r="E39" s="127"/>
      <c r="F39" s="127">
        <f t="shared" si="4"/>
        <v>0</v>
      </c>
      <c r="G39" s="128"/>
      <c r="H39" s="25">
        <f t="shared" si="3"/>
        <v>0</v>
      </c>
      <c r="J39" s="2"/>
    </row>
    <row r="40" spans="1:11" x14ac:dyDescent="0.25">
      <c r="A40" s="124" t="s">
        <v>58</v>
      </c>
      <c r="B40" s="125" t="s">
        <v>233</v>
      </c>
      <c r="C40" s="126"/>
      <c r="D40" s="127">
        <f>'AUGUST 21'!H40:H55</f>
        <v>0</v>
      </c>
      <c r="E40" s="127">
        <v>2000</v>
      </c>
      <c r="F40" s="128">
        <f t="shared" si="4"/>
        <v>2000</v>
      </c>
      <c r="G40" s="128">
        <v>2000</v>
      </c>
      <c r="H40" s="192">
        <f t="shared" si="3"/>
        <v>0</v>
      </c>
      <c r="J40" s="2"/>
    </row>
    <row r="41" spans="1:11" x14ac:dyDescent="0.25">
      <c r="A41" s="124" t="s">
        <v>59</v>
      </c>
      <c r="B41" s="125" t="s">
        <v>245</v>
      </c>
      <c r="C41" s="126"/>
      <c r="D41" s="127">
        <f>'AUGUST 21'!H41:H56</f>
        <v>0</v>
      </c>
      <c r="E41" s="127">
        <v>2000</v>
      </c>
      <c r="F41" s="127">
        <f t="shared" si="4"/>
        <v>2000</v>
      </c>
      <c r="G41" s="128">
        <f>2000</f>
        <v>2000</v>
      </c>
      <c r="H41" s="25">
        <f t="shared" si="3"/>
        <v>0</v>
      </c>
      <c r="J41" s="2"/>
      <c r="K41" s="65"/>
    </row>
    <row r="42" spans="1:11" x14ac:dyDescent="0.25">
      <c r="A42" s="124" t="s">
        <v>60</v>
      </c>
      <c r="B42" s="125" t="s">
        <v>38</v>
      </c>
      <c r="C42" s="126"/>
      <c r="D42" s="127">
        <f>'AUGUST 21'!H42:H57</f>
        <v>2000</v>
      </c>
      <c r="E42" s="127">
        <v>2000</v>
      </c>
      <c r="F42" s="127">
        <f t="shared" si="4"/>
        <v>4000</v>
      </c>
      <c r="G42" s="128">
        <f>2000</f>
        <v>2000</v>
      </c>
      <c r="H42" s="25">
        <f t="shared" si="3"/>
        <v>2000</v>
      </c>
      <c r="J42" s="2"/>
    </row>
    <row r="43" spans="1:11" x14ac:dyDescent="0.25">
      <c r="A43" s="124" t="s">
        <v>61</v>
      </c>
      <c r="B43" s="125" t="s">
        <v>201</v>
      </c>
      <c r="C43" s="126"/>
      <c r="D43" s="127">
        <f>'AUGUST 21'!H43:H58</f>
        <v>1550</v>
      </c>
      <c r="E43" s="127">
        <v>2000</v>
      </c>
      <c r="F43" s="127">
        <f t="shared" si="4"/>
        <v>3550</v>
      </c>
      <c r="G43" s="128">
        <v>2000</v>
      </c>
      <c r="H43" s="25">
        <f t="shared" si="3"/>
        <v>1550</v>
      </c>
      <c r="I43" s="68" t="s">
        <v>253</v>
      </c>
      <c r="J43" s="2"/>
    </row>
    <row r="44" spans="1:11" x14ac:dyDescent="0.25">
      <c r="A44" s="124" t="s">
        <v>62</v>
      </c>
      <c r="B44" s="125" t="s">
        <v>202</v>
      </c>
      <c r="C44" s="126"/>
      <c r="D44" s="127">
        <f>'AUGUST 21'!H44:H59</f>
        <v>2300</v>
      </c>
      <c r="E44" s="127">
        <v>2000</v>
      </c>
      <c r="F44" s="127">
        <f t="shared" si="4"/>
        <v>4300</v>
      </c>
      <c r="G44" s="128"/>
      <c r="H44" s="25">
        <f t="shared" si="3"/>
        <v>4300</v>
      </c>
      <c r="J44" s="2"/>
    </row>
    <row r="45" spans="1:11" x14ac:dyDescent="0.25">
      <c r="A45" s="135"/>
      <c r="B45" s="136" t="s">
        <v>9</v>
      </c>
      <c r="C45" s="137">
        <f>SUM(C28:C40)</f>
        <v>0</v>
      </c>
      <c r="D45" s="127">
        <f>SUM(D29:D44)</f>
        <v>12350</v>
      </c>
      <c r="E45" s="138">
        <f>SUM(E29:E44)</f>
        <v>30500</v>
      </c>
      <c r="F45" s="138">
        <f>SUM(F29:F44)</f>
        <v>42850</v>
      </c>
      <c r="G45" s="139">
        <f>SUM(G28:G44)</f>
        <v>24500</v>
      </c>
      <c r="H45" s="41">
        <f>SUM(H28:H44)</f>
        <v>18350</v>
      </c>
      <c r="J45" s="2"/>
    </row>
    <row r="46" spans="1:11" x14ac:dyDescent="0.25">
      <c r="A46" s="6" t="s">
        <v>10</v>
      </c>
      <c r="B46" s="141"/>
      <c r="C46" s="142"/>
      <c r="D46" s="127">
        <f>'MAY21'!I46:I64</f>
        <v>0</v>
      </c>
      <c r="E46" s="143"/>
      <c r="F46" s="141"/>
      <c r="G46" s="141"/>
      <c r="H46" s="22" t="s">
        <v>13</v>
      </c>
      <c r="I46" s="21"/>
      <c r="J46" s="2"/>
    </row>
    <row r="47" spans="1:11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I47" s="23" t="s">
        <v>15</v>
      </c>
      <c r="J47" s="2"/>
    </row>
    <row r="48" spans="1:11" x14ac:dyDescent="0.25">
      <c r="A48" s="24" t="s">
        <v>147</v>
      </c>
      <c r="B48" s="25">
        <f>E45+E26</f>
        <v>46000</v>
      </c>
      <c r="C48" s="26"/>
      <c r="D48" s="26"/>
      <c r="E48" s="26" t="s">
        <v>147</v>
      </c>
      <c r="F48" s="25">
        <f>G45+G26</f>
        <v>33300</v>
      </c>
      <c r="G48" s="25"/>
      <c r="H48" s="26"/>
      <c r="I48" s="25"/>
      <c r="J48" s="2"/>
    </row>
    <row r="49" spans="1:11" x14ac:dyDescent="0.25">
      <c r="A49" s="24" t="s">
        <v>17</v>
      </c>
      <c r="B49" s="27">
        <v>0.1</v>
      </c>
      <c r="C49" s="28">
        <f>B49*B48</f>
        <v>4600</v>
      </c>
      <c r="D49" s="24"/>
      <c r="E49" s="24" t="s">
        <v>155</v>
      </c>
      <c r="F49" s="27">
        <v>0.1</v>
      </c>
      <c r="G49" s="27"/>
      <c r="H49" s="28">
        <f>F49*B48</f>
        <v>4600</v>
      </c>
      <c r="I49" s="25"/>
      <c r="J49" s="2"/>
    </row>
    <row r="50" spans="1:11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</row>
    <row r="51" spans="1:11" x14ac:dyDescent="0.25">
      <c r="A51" s="24" t="s">
        <v>213</v>
      </c>
      <c r="B51" s="28">
        <f>I26</f>
        <v>0</v>
      </c>
      <c r="C51" s="28"/>
      <c r="D51" s="24"/>
      <c r="E51" s="24" t="s">
        <v>213</v>
      </c>
      <c r="F51" s="28">
        <f>I26</f>
        <v>0</v>
      </c>
      <c r="G51" s="27"/>
      <c r="H51" s="28"/>
      <c r="I51" s="25"/>
      <c r="J51" s="2"/>
    </row>
    <row r="52" spans="1:11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  <c r="J52" s="2"/>
    </row>
    <row r="53" spans="1:11" x14ac:dyDescent="0.25">
      <c r="A53" s="29" t="s">
        <v>19</v>
      </c>
      <c r="B53" s="28">
        <f>-1000</f>
        <v>-1000</v>
      </c>
      <c r="C53" s="24"/>
      <c r="D53" s="24"/>
      <c r="E53" s="24" t="s">
        <v>19</v>
      </c>
      <c r="F53" s="28">
        <f>'AUGUST 21'!I62</f>
        <v>-14700</v>
      </c>
      <c r="G53" s="28"/>
      <c r="H53" s="24"/>
      <c r="I53" s="25"/>
      <c r="J53" s="2"/>
    </row>
    <row r="54" spans="1:11" x14ac:dyDescent="0.25">
      <c r="A54" s="29" t="s">
        <v>9</v>
      </c>
      <c r="B54" s="28">
        <f>B48+B50+B53+B52</f>
        <v>45000</v>
      </c>
      <c r="C54" s="24"/>
      <c r="D54" s="24"/>
      <c r="E54" s="24" t="s">
        <v>9</v>
      </c>
      <c r="F54" s="28">
        <f>F48+F50+F53+F51</f>
        <v>18600</v>
      </c>
      <c r="G54" s="28"/>
      <c r="H54" s="24"/>
      <c r="I54" s="25"/>
      <c r="J54" s="2"/>
      <c r="K54" s="65"/>
    </row>
    <row r="55" spans="1:11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1"/>
    </row>
    <row r="56" spans="1:11" x14ac:dyDescent="0.25">
      <c r="A56" s="29" t="s">
        <v>144</v>
      </c>
      <c r="B56" s="26"/>
      <c r="C56" s="144"/>
      <c r="D56" s="24"/>
      <c r="E56" s="29"/>
      <c r="F56" s="26" t="s">
        <v>144</v>
      </c>
      <c r="G56" s="144"/>
      <c r="H56" s="144"/>
      <c r="I56" s="24"/>
      <c r="J56" s="2"/>
    </row>
    <row r="57" spans="1:11" x14ac:dyDescent="0.25">
      <c r="A57" s="145" t="s">
        <v>256</v>
      </c>
      <c r="B57" s="26"/>
      <c r="C57" s="146">
        <f>12350+500</f>
        <v>12850</v>
      </c>
      <c r="D57" s="26"/>
      <c r="E57" s="26"/>
      <c r="F57" s="145"/>
      <c r="G57" s="26"/>
      <c r="H57" s="146"/>
      <c r="I57" s="25"/>
      <c r="J57" s="2"/>
    </row>
    <row r="58" spans="1:11" x14ac:dyDescent="0.25">
      <c r="A58" s="145" t="s">
        <v>257</v>
      </c>
      <c r="B58" s="26"/>
      <c r="C58" s="146">
        <v>3000</v>
      </c>
      <c r="D58" s="26"/>
      <c r="E58" s="145" t="s">
        <v>257</v>
      </c>
      <c r="F58" s="26"/>
      <c r="G58" s="146"/>
      <c r="H58" s="146">
        <v>3000</v>
      </c>
      <c r="I58" s="25"/>
      <c r="J58" s="2"/>
    </row>
    <row r="59" spans="1:11" x14ac:dyDescent="0.25">
      <c r="A59" s="145" t="s">
        <v>260</v>
      </c>
      <c r="B59" s="26"/>
      <c r="C59" s="146">
        <f>10550+14000</f>
        <v>24550</v>
      </c>
      <c r="D59" s="26"/>
      <c r="E59" s="145" t="s">
        <v>260</v>
      </c>
      <c r="F59" s="26"/>
      <c r="G59" s="146"/>
      <c r="H59" s="146">
        <f>10550+14000</f>
        <v>24550</v>
      </c>
      <c r="I59" s="25"/>
      <c r="J59" s="2"/>
    </row>
    <row r="60" spans="1:11" x14ac:dyDescent="0.25">
      <c r="A60" s="145"/>
      <c r="B60" s="26"/>
      <c r="C60" s="146"/>
      <c r="D60" s="26"/>
      <c r="E60" s="145"/>
      <c r="F60" s="26"/>
      <c r="G60" s="146"/>
      <c r="H60" s="146"/>
      <c r="I60" s="25"/>
      <c r="J60" s="2"/>
    </row>
    <row r="61" spans="1:11" x14ac:dyDescent="0.25">
      <c r="A61" s="145"/>
      <c r="B61" s="26"/>
      <c r="C61" s="146"/>
      <c r="D61" s="26"/>
      <c r="E61" s="26"/>
      <c r="F61" s="145"/>
      <c r="G61" s="26"/>
      <c r="H61" s="146"/>
      <c r="I61" s="25"/>
      <c r="J61" s="2"/>
    </row>
    <row r="62" spans="1:11" x14ac:dyDescent="0.25">
      <c r="A62" s="39" t="s">
        <v>9</v>
      </c>
      <c r="B62" s="40">
        <f>B48+B50+B51+B52+B53-C49</f>
        <v>40400</v>
      </c>
      <c r="C62" s="41">
        <f>SUM(C56:C61)</f>
        <v>40400</v>
      </c>
      <c r="D62" s="41">
        <f>B62-C62</f>
        <v>0</v>
      </c>
      <c r="E62" s="41"/>
      <c r="F62" s="40">
        <f>F48+F50+F53-H49-H51</f>
        <v>14000</v>
      </c>
      <c r="G62" s="40"/>
      <c r="H62" s="41">
        <f>SUM(H56:H61)</f>
        <v>27550</v>
      </c>
      <c r="I62" s="41">
        <f>F62-H62</f>
        <v>-13550</v>
      </c>
      <c r="J62" s="2"/>
    </row>
    <row r="63" spans="1:11" x14ac:dyDescent="0.25">
      <c r="A63" s="2" t="s">
        <v>21</v>
      </c>
      <c r="B63" s="2"/>
      <c r="C63" s="2"/>
      <c r="D63" s="2" t="s">
        <v>22</v>
      </c>
      <c r="E63" s="2"/>
      <c r="F63" s="2"/>
      <c r="G63" s="2"/>
      <c r="H63" s="2" t="s">
        <v>23</v>
      </c>
      <c r="I63" s="21"/>
      <c r="J63" s="2"/>
    </row>
    <row r="64" spans="1:11" x14ac:dyDescent="0.25">
      <c r="A64" s="2" t="s">
        <v>194</v>
      </c>
      <c r="B64" s="2"/>
      <c r="C64" s="2"/>
      <c r="D64" s="2" t="s">
        <v>24</v>
      </c>
      <c r="E64" s="2"/>
      <c r="F64" s="2"/>
      <c r="G64" s="2"/>
      <c r="H64" s="2" t="s">
        <v>26</v>
      </c>
      <c r="I64" s="2"/>
      <c r="J64" s="21"/>
    </row>
    <row r="65" spans="1:1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34" workbookViewId="0">
      <selection activeCell="B34" sqref="B34"/>
    </sheetView>
  </sheetViews>
  <sheetFormatPr defaultRowHeight="15" x14ac:dyDescent="0.25"/>
  <cols>
    <col min="2" max="2" width="17.85546875" customWidth="1"/>
    <col min="3" max="3" width="10.85546875" bestFit="1" customWidth="1"/>
    <col min="4" max="4" width="9.42578125" bestFit="1" customWidth="1"/>
    <col min="5" max="5" width="10.28515625" bestFit="1" customWidth="1"/>
    <col min="6" max="7" width="10.85546875" bestFit="1" customWidth="1"/>
    <col min="8" max="8" width="11.7109375" bestFit="1" customWidth="1"/>
  </cols>
  <sheetData>
    <row r="1" spans="1:10" ht="18.75" x14ac:dyDescent="0.3">
      <c r="A1" s="69"/>
      <c r="B1" s="69"/>
      <c r="C1" s="70" t="s">
        <v>26</v>
      </c>
      <c r="D1" s="69"/>
      <c r="E1" s="69"/>
      <c r="F1" s="69"/>
      <c r="G1" s="69"/>
      <c r="H1" s="69"/>
      <c r="I1" s="69"/>
      <c r="J1" s="69"/>
    </row>
    <row r="2" spans="1:10" ht="18.75" x14ac:dyDescent="0.3">
      <c r="A2" s="69"/>
      <c r="B2" s="69"/>
      <c r="C2" s="71" t="s">
        <v>0</v>
      </c>
      <c r="D2" s="72"/>
      <c r="E2" s="69"/>
      <c r="F2" s="69"/>
      <c r="G2" s="69"/>
      <c r="H2" s="69"/>
      <c r="I2" s="69"/>
      <c r="J2" s="69"/>
    </row>
    <row r="3" spans="1:10" ht="18.75" x14ac:dyDescent="0.3">
      <c r="A3" s="69"/>
      <c r="B3" s="69"/>
      <c r="C3" s="72" t="s">
        <v>100</v>
      </c>
      <c r="D3" s="71"/>
      <c r="E3" s="73"/>
      <c r="F3" s="73"/>
      <c r="G3" s="69"/>
      <c r="H3" s="69"/>
      <c r="I3" s="69"/>
      <c r="J3" s="69"/>
    </row>
    <row r="4" spans="1:10" ht="18.75" x14ac:dyDescent="0.3">
      <c r="A4" s="69"/>
      <c r="B4" s="69"/>
      <c r="C4" s="69"/>
      <c r="D4" s="72" t="s">
        <v>65</v>
      </c>
      <c r="E4" s="69"/>
      <c r="F4" s="69"/>
      <c r="G4" s="69"/>
      <c r="H4" s="69"/>
      <c r="I4" s="69"/>
      <c r="J4" s="69"/>
    </row>
    <row r="5" spans="1:10" ht="18.75" x14ac:dyDescent="0.3">
      <c r="A5" s="74" t="s">
        <v>1</v>
      </c>
      <c r="B5" s="74" t="s">
        <v>2</v>
      </c>
      <c r="C5" s="74" t="s">
        <v>3</v>
      </c>
      <c r="D5" s="74" t="s">
        <v>4</v>
      </c>
      <c r="E5" s="74" t="s">
        <v>5</v>
      </c>
      <c r="F5" s="75" t="s">
        <v>6</v>
      </c>
      <c r="G5" s="74" t="s">
        <v>7</v>
      </c>
      <c r="H5" s="76" t="s">
        <v>8</v>
      </c>
      <c r="I5" s="69"/>
      <c r="J5" s="69"/>
    </row>
    <row r="6" spans="1:10" ht="18.75" x14ac:dyDescent="0.3">
      <c r="A6" s="77" t="s">
        <v>66</v>
      </c>
      <c r="B6" s="83" t="s">
        <v>40</v>
      </c>
      <c r="C6" s="78"/>
      <c r="D6" s="79">
        <f>'MARCH 20'!H6:H25</f>
        <v>0</v>
      </c>
      <c r="E6" s="80"/>
      <c r="F6" s="79">
        <f>C6+D6+E6</f>
        <v>0</v>
      </c>
      <c r="G6" s="81"/>
      <c r="H6" s="82">
        <f t="shared" ref="H6:H25" si="0">F6-G6</f>
        <v>0</v>
      </c>
      <c r="I6" s="69"/>
      <c r="J6" s="69"/>
    </row>
    <row r="7" spans="1:10" ht="37.5" x14ac:dyDescent="0.3">
      <c r="A7" s="77" t="s">
        <v>71</v>
      </c>
      <c r="B7" s="83" t="s">
        <v>86</v>
      </c>
      <c r="C7" s="78"/>
      <c r="D7" s="79">
        <f>'MARCH 20'!H7:H26</f>
        <v>0</v>
      </c>
      <c r="E7" s="79">
        <v>4000</v>
      </c>
      <c r="F7" s="79">
        <f t="shared" ref="F7:F25" si="1">C7+D7+E7</f>
        <v>4000</v>
      </c>
      <c r="G7" s="79">
        <v>4000</v>
      </c>
      <c r="H7" s="82">
        <f t="shared" si="0"/>
        <v>0</v>
      </c>
      <c r="I7" s="69"/>
      <c r="J7" s="69"/>
    </row>
    <row r="8" spans="1:10" ht="18.75" x14ac:dyDescent="0.3">
      <c r="A8" s="77" t="s">
        <v>67</v>
      </c>
      <c r="B8" s="84"/>
      <c r="C8" s="85"/>
      <c r="D8" s="79">
        <f>'MARCH 20'!H8:H27</f>
        <v>0</v>
      </c>
      <c r="E8" s="79"/>
      <c r="F8" s="79">
        <f t="shared" si="1"/>
        <v>0</v>
      </c>
      <c r="G8" s="85"/>
      <c r="H8" s="82">
        <f t="shared" si="0"/>
        <v>0</v>
      </c>
      <c r="I8" s="69"/>
      <c r="J8" s="69"/>
    </row>
    <row r="9" spans="1:10" ht="18.75" x14ac:dyDescent="0.3">
      <c r="A9" s="86" t="s">
        <v>72</v>
      </c>
      <c r="B9" s="84" t="s">
        <v>97</v>
      </c>
      <c r="C9" s="85"/>
      <c r="D9" s="79"/>
      <c r="E9" s="79">
        <v>5000</v>
      </c>
      <c r="F9" s="79">
        <f t="shared" si="1"/>
        <v>5000</v>
      </c>
      <c r="G9" s="82">
        <v>5000</v>
      </c>
      <c r="H9" s="82">
        <f t="shared" si="0"/>
        <v>0</v>
      </c>
      <c r="I9" s="69" t="s">
        <v>106</v>
      </c>
      <c r="J9" s="69"/>
    </row>
    <row r="10" spans="1:10" ht="18.75" x14ac:dyDescent="0.3">
      <c r="A10" s="87" t="s">
        <v>68</v>
      </c>
      <c r="B10" s="83" t="s">
        <v>40</v>
      </c>
      <c r="C10" s="78"/>
      <c r="D10" s="79">
        <f>'MARCH 20'!H10:H29</f>
        <v>0</v>
      </c>
      <c r="E10" s="79"/>
      <c r="F10" s="79">
        <f t="shared" si="1"/>
        <v>0</v>
      </c>
      <c r="G10" s="81"/>
      <c r="H10" s="82">
        <f t="shared" si="0"/>
        <v>0</v>
      </c>
      <c r="I10" s="69"/>
      <c r="J10" s="69"/>
    </row>
    <row r="11" spans="1:10" ht="18.75" x14ac:dyDescent="0.3">
      <c r="A11" s="88" t="s">
        <v>73</v>
      </c>
      <c r="B11" s="90" t="s">
        <v>40</v>
      </c>
      <c r="C11" s="85"/>
      <c r="D11" s="79">
        <f>'MARCH 20'!H11:H30</f>
        <v>0</v>
      </c>
      <c r="E11" s="79"/>
      <c r="F11" s="79">
        <f t="shared" si="1"/>
        <v>0</v>
      </c>
      <c r="G11" s="89"/>
      <c r="H11" s="82">
        <f t="shared" si="0"/>
        <v>0</v>
      </c>
      <c r="I11" s="69"/>
      <c r="J11" s="69"/>
    </row>
    <row r="12" spans="1:10" ht="18.75" x14ac:dyDescent="0.3">
      <c r="A12" s="77" t="s">
        <v>69</v>
      </c>
      <c r="B12" s="90" t="s">
        <v>40</v>
      </c>
      <c r="C12" s="78"/>
      <c r="D12" s="79">
        <f>'MARCH 20'!H12:H31</f>
        <v>0</v>
      </c>
      <c r="E12" s="79"/>
      <c r="F12" s="79">
        <f t="shared" si="1"/>
        <v>0</v>
      </c>
      <c r="G12" s="81"/>
      <c r="H12" s="82">
        <f t="shared" si="0"/>
        <v>0</v>
      </c>
      <c r="I12" s="69"/>
      <c r="J12" s="69"/>
    </row>
    <row r="13" spans="1:10" ht="37.5" x14ac:dyDescent="0.3">
      <c r="A13" s="77" t="s">
        <v>74</v>
      </c>
      <c r="B13" s="90" t="s">
        <v>87</v>
      </c>
      <c r="C13" s="78"/>
      <c r="D13" s="79">
        <f>'MARCH 20'!H13:H32</f>
        <v>0</v>
      </c>
      <c r="E13" s="79">
        <v>4000</v>
      </c>
      <c r="F13" s="79">
        <f t="shared" si="1"/>
        <v>4000</v>
      </c>
      <c r="G13" s="81">
        <v>4000</v>
      </c>
      <c r="H13" s="82">
        <f t="shared" si="0"/>
        <v>0</v>
      </c>
      <c r="I13" s="69"/>
      <c r="J13" s="69"/>
    </row>
    <row r="14" spans="1:10" ht="18.75" x14ac:dyDescent="0.3">
      <c r="A14" s="91" t="s">
        <v>70</v>
      </c>
      <c r="B14" s="90" t="s">
        <v>40</v>
      </c>
      <c r="C14" s="78"/>
      <c r="D14" s="79">
        <f>'MARCH 20'!H14:H33</f>
        <v>0</v>
      </c>
      <c r="E14" s="79"/>
      <c r="F14" s="79">
        <f t="shared" si="1"/>
        <v>0</v>
      </c>
      <c r="G14" s="81"/>
      <c r="H14" s="82">
        <f t="shared" si="0"/>
        <v>0</v>
      </c>
      <c r="I14" s="69"/>
      <c r="J14" s="69"/>
    </row>
    <row r="15" spans="1:10" ht="18.75" x14ac:dyDescent="0.3">
      <c r="A15" s="91" t="s">
        <v>75</v>
      </c>
      <c r="B15" s="90" t="s">
        <v>40</v>
      </c>
      <c r="C15" s="78"/>
      <c r="D15" s="79">
        <f>'MARCH 20'!H15:H34</f>
        <v>0</v>
      </c>
      <c r="E15" s="79"/>
      <c r="F15" s="79">
        <f t="shared" si="1"/>
        <v>0</v>
      </c>
      <c r="G15" s="81"/>
      <c r="H15" s="82">
        <f t="shared" si="0"/>
        <v>0</v>
      </c>
      <c r="I15" s="69"/>
      <c r="J15" s="69"/>
    </row>
    <row r="16" spans="1:10" ht="18.75" x14ac:dyDescent="0.3">
      <c r="A16" s="91" t="s">
        <v>76</v>
      </c>
      <c r="B16" s="90" t="s">
        <v>40</v>
      </c>
      <c r="C16" s="78"/>
      <c r="D16" s="79">
        <f>'MARCH 20'!H16:H35</f>
        <v>0</v>
      </c>
      <c r="E16" s="79"/>
      <c r="F16" s="79">
        <f t="shared" si="1"/>
        <v>0</v>
      </c>
      <c r="G16" s="81"/>
      <c r="H16" s="82">
        <f t="shared" si="0"/>
        <v>0</v>
      </c>
      <c r="I16" s="69"/>
      <c r="J16" s="69"/>
    </row>
    <row r="17" spans="1:10" ht="18.75" x14ac:dyDescent="0.3">
      <c r="A17" s="91" t="s">
        <v>77</v>
      </c>
      <c r="B17" s="90" t="s">
        <v>40</v>
      </c>
      <c r="C17" s="78"/>
      <c r="D17" s="79">
        <f>'MARCH 20'!H17:H36</f>
        <v>0</v>
      </c>
      <c r="E17" s="79"/>
      <c r="F17" s="79">
        <f t="shared" si="1"/>
        <v>0</v>
      </c>
      <c r="G17" s="81"/>
      <c r="H17" s="82">
        <f t="shared" si="0"/>
        <v>0</v>
      </c>
      <c r="I17" s="69"/>
      <c r="J17" s="69"/>
    </row>
    <row r="18" spans="1:10" ht="37.5" x14ac:dyDescent="0.3">
      <c r="A18" s="91" t="s">
        <v>78</v>
      </c>
      <c r="B18" s="90" t="s">
        <v>88</v>
      </c>
      <c r="C18" s="78"/>
      <c r="D18" s="79">
        <f>'MARCH 20'!H18:H37</f>
        <v>0</v>
      </c>
      <c r="E18" s="79">
        <v>5000</v>
      </c>
      <c r="F18" s="79">
        <f t="shared" si="1"/>
        <v>5000</v>
      </c>
      <c r="G18" s="81">
        <f>3000</f>
        <v>3000</v>
      </c>
      <c r="H18" s="82">
        <f t="shared" si="0"/>
        <v>2000</v>
      </c>
      <c r="I18" s="69"/>
      <c r="J18" s="69"/>
    </row>
    <row r="19" spans="1:10" ht="18.75" x14ac:dyDescent="0.3">
      <c r="A19" s="91" t="s">
        <v>79</v>
      </c>
      <c r="B19" s="90" t="s">
        <v>40</v>
      </c>
      <c r="C19" s="78"/>
      <c r="D19" s="79">
        <f>'MARCH 20'!H19:H38</f>
        <v>0</v>
      </c>
      <c r="E19" s="79"/>
      <c r="F19" s="79">
        <f t="shared" si="1"/>
        <v>0</v>
      </c>
      <c r="G19" s="81"/>
      <c r="H19" s="82">
        <f t="shared" si="0"/>
        <v>0</v>
      </c>
      <c r="I19" s="69"/>
      <c r="J19" s="69"/>
    </row>
    <row r="20" spans="1:10" ht="18.75" x14ac:dyDescent="0.3">
      <c r="A20" s="91" t="s">
        <v>80</v>
      </c>
      <c r="B20" s="90" t="s">
        <v>40</v>
      </c>
      <c r="C20" s="78"/>
      <c r="D20" s="79">
        <f>'MARCH 20'!H20:H39</f>
        <v>0</v>
      </c>
      <c r="E20" s="79"/>
      <c r="F20" s="79">
        <f t="shared" si="1"/>
        <v>0</v>
      </c>
      <c r="G20" s="81"/>
      <c r="H20" s="82">
        <f t="shared" si="0"/>
        <v>0</v>
      </c>
      <c r="I20" s="69"/>
      <c r="J20" s="69"/>
    </row>
    <row r="21" spans="1:10" ht="37.5" x14ac:dyDescent="0.3">
      <c r="A21" s="91" t="s">
        <v>81</v>
      </c>
      <c r="B21" s="90" t="s">
        <v>89</v>
      </c>
      <c r="C21" s="78"/>
      <c r="D21" s="79">
        <f>'MARCH 20'!H21:H40</f>
        <v>0</v>
      </c>
      <c r="E21" s="79">
        <v>4000</v>
      </c>
      <c r="F21" s="79">
        <f t="shared" si="1"/>
        <v>4000</v>
      </c>
      <c r="G21" s="81">
        <f>500+1500+1000+1000</f>
        <v>4000</v>
      </c>
      <c r="H21" s="82">
        <f t="shared" si="0"/>
        <v>0</v>
      </c>
      <c r="I21" s="69"/>
      <c r="J21" s="69"/>
    </row>
    <row r="22" spans="1:10" ht="18.75" x14ac:dyDescent="0.3">
      <c r="A22" s="91" t="s">
        <v>82</v>
      </c>
      <c r="B22" s="90" t="s">
        <v>40</v>
      </c>
      <c r="C22" s="78"/>
      <c r="D22" s="79">
        <f>'MARCH 20'!H22:H41</f>
        <v>0</v>
      </c>
      <c r="E22" s="79"/>
      <c r="F22" s="79">
        <f t="shared" si="1"/>
        <v>0</v>
      </c>
      <c r="G22" s="81"/>
      <c r="H22" s="82">
        <f t="shared" si="0"/>
        <v>0</v>
      </c>
      <c r="I22" s="69"/>
      <c r="J22" s="69"/>
    </row>
    <row r="23" spans="1:10" ht="18.75" x14ac:dyDescent="0.3">
      <c r="A23" s="91" t="s">
        <v>83</v>
      </c>
      <c r="B23" s="90" t="s">
        <v>40</v>
      </c>
      <c r="C23" s="78"/>
      <c r="D23" s="79">
        <f>'MARCH 20'!H23:H42</f>
        <v>0</v>
      </c>
      <c r="E23" s="79"/>
      <c r="F23" s="79">
        <f t="shared" si="1"/>
        <v>0</v>
      </c>
      <c r="G23" s="81"/>
      <c r="H23" s="82">
        <f t="shared" si="0"/>
        <v>0</v>
      </c>
      <c r="I23" s="69"/>
      <c r="J23" s="69"/>
    </row>
    <row r="24" spans="1:10" ht="37.5" x14ac:dyDescent="0.3">
      <c r="A24" s="91" t="s">
        <v>84</v>
      </c>
      <c r="B24" s="90" t="s">
        <v>90</v>
      </c>
      <c r="C24" s="78"/>
      <c r="D24" s="79">
        <f>'MARCH 20'!H24:H43</f>
        <v>0</v>
      </c>
      <c r="E24" s="79">
        <v>5000</v>
      </c>
      <c r="F24" s="79">
        <f t="shared" si="1"/>
        <v>5000</v>
      </c>
      <c r="G24" s="81">
        <v>3000</v>
      </c>
      <c r="H24" s="82">
        <f t="shared" si="0"/>
        <v>2000</v>
      </c>
      <c r="I24" s="69"/>
      <c r="J24" s="69"/>
    </row>
    <row r="25" spans="1:10" ht="18.75" x14ac:dyDescent="0.3">
      <c r="A25" s="91" t="s">
        <v>85</v>
      </c>
      <c r="B25" s="90" t="s">
        <v>40</v>
      </c>
      <c r="C25" s="78"/>
      <c r="D25" s="79">
        <f>'MARCH 20'!H25:H44</f>
        <v>0</v>
      </c>
      <c r="E25" s="78"/>
      <c r="F25" s="79">
        <f t="shared" si="1"/>
        <v>0</v>
      </c>
      <c r="G25" s="81"/>
      <c r="H25" s="82">
        <f t="shared" si="0"/>
        <v>0</v>
      </c>
      <c r="I25" s="69"/>
      <c r="J25" s="69"/>
    </row>
    <row r="26" spans="1:10" ht="18.75" x14ac:dyDescent="0.3">
      <c r="A26" s="92"/>
      <c r="B26" s="93" t="s">
        <v>9</v>
      </c>
      <c r="C26" s="94">
        <f>SUM(C6:C25)</f>
        <v>0</v>
      </c>
      <c r="D26" s="95">
        <f>SUM(D6:D25)</f>
        <v>0</v>
      </c>
      <c r="E26" s="96">
        <f>SUM(E6:E25)</f>
        <v>27000</v>
      </c>
      <c r="F26" s="95">
        <f>C26+D26+E26</f>
        <v>27000</v>
      </c>
      <c r="G26" s="97">
        <f>SUM(G6:G25)</f>
        <v>23000</v>
      </c>
      <c r="H26" s="98">
        <f>SUM(H6:H25)</f>
        <v>4000</v>
      </c>
      <c r="I26" s="69"/>
      <c r="J26" s="69"/>
    </row>
    <row r="27" spans="1:10" ht="18.75" x14ac:dyDescent="0.3">
      <c r="A27" s="69"/>
      <c r="B27" s="69"/>
      <c r="C27" s="72"/>
      <c r="D27" s="72" t="s">
        <v>28</v>
      </c>
      <c r="E27" s="72"/>
      <c r="F27" s="69"/>
      <c r="G27" s="69"/>
      <c r="H27" s="69"/>
      <c r="I27" s="69"/>
      <c r="J27" s="69"/>
    </row>
    <row r="28" spans="1:10" ht="37.5" x14ac:dyDescent="0.3">
      <c r="A28" s="77" t="s">
        <v>42</v>
      </c>
      <c r="B28" s="83" t="s">
        <v>91</v>
      </c>
      <c r="C28" s="78"/>
      <c r="D28" s="79">
        <f>'MARCH 20'!H28:H49</f>
        <v>0</v>
      </c>
      <c r="E28" s="80">
        <v>2500</v>
      </c>
      <c r="F28" s="79">
        <f t="shared" ref="F28:F48" si="2">C28+D28+E28</f>
        <v>2500</v>
      </c>
      <c r="G28" s="79">
        <v>2500</v>
      </c>
      <c r="H28" s="82">
        <f t="shared" ref="H28:H48" si="3">F28-G28</f>
        <v>0</v>
      </c>
      <c r="I28" s="69"/>
      <c r="J28" s="99"/>
    </row>
    <row r="29" spans="1:10" ht="18.75" x14ac:dyDescent="0.3">
      <c r="A29" s="77" t="s">
        <v>43</v>
      </c>
      <c r="B29" s="83" t="s">
        <v>103</v>
      </c>
      <c r="C29" s="78"/>
      <c r="D29" s="79">
        <f>'MARCH 20'!H29:H50</f>
        <v>0</v>
      </c>
      <c r="E29" s="80"/>
      <c r="F29" s="79">
        <f>C29+D29+E29</f>
        <v>0</v>
      </c>
      <c r="G29" s="79"/>
      <c r="H29" s="82">
        <f t="shared" si="3"/>
        <v>0</v>
      </c>
      <c r="I29" s="69"/>
      <c r="J29" s="69"/>
    </row>
    <row r="30" spans="1:10" ht="18.75" x14ac:dyDescent="0.3">
      <c r="A30" s="77" t="s">
        <v>44</v>
      </c>
      <c r="B30" s="84" t="s">
        <v>40</v>
      </c>
      <c r="C30" s="85"/>
      <c r="D30" s="79">
        <f>'MARCH 20'!H30:H51</f>
        <v>0</v>
      </c>
      <c r="E30" s="80"/>
      <c r="F30" s="79">
        <f t="shared" si="2"/>
        <v>0</v>
      </c>
      <c r="G30" s="85"/>
      <c r="H30" s="82">
        <f t="shared" si="3"/>
        <v>0</v>
      </c>
      <c r="I30" s="69"/>
      <c r="J30" s="69"/>
    </row>
    <row r="31" spans="1:10" ht="37.5" x14ac:dyDescent="0.3">
      <c r="A31" s="77" t="s">
        <v>45</v>
      </c>
      <c r="B31" s="83" t="s">
        <v>30</v>
      </c>
      <c r="C31" s="85"/>
      <c r="D31" s="79">
        <f>'MARCH 20'!H31:H52</f>
        <v>0</v>
      </c>
      <c r="E31" s="80">
        <v>2500</v>
      </c>
      <c r="F31" s="79">
        <f t="shared" si="2"/>
        <v>2500</v>
      </c>
      <c r="G31" s="82">
        <v>2500</v>
      </c>
      <c r="H31" s="82">
        <f t="shared" si="3"/>
        <v>0</v>
      </c>
      <c r="I31" s="69"/>
      <c r="J31" s="69"/>
    </row>
    <row r="32" spans="1:10" ht="37.5" x14ac:dyDescent="0.3">
      <c r="A32" s="77" t="s">
        <v>46</v>
      </c>
      <c r="B32" s="83" t="s">
        <v>31</v>
      </c>
      <c r="C32" s="78"/>
      <c r="D32" s="79">
        <f>'MARCH 20'!H32:H53</f>
        <v>0</v>
      </c>
      <c r="E32" s="80">
        <v>2500</v>
      </c>
      <c r="F32" s="79">
        <f t="shared" si="2"/>
        <v>2500</v>
      </c>
      <c r="G32" s="81">
        <v>2500</v>
      </c>
      <c r="H32" s="82">
        <f t="shared" si="3"/>
        <v>0</v>
      </c>
      <c r="I32" s="69"/>
      <c r="J32" s="69"/>
    </row>
    <row r="33" spans="1:10" ht="37.5" x14ac:dyDescent="0.3">
      <c r="A33" s="77" t="s">
        <v>47</v>
      </c>
      <c r="B33" s="90" t="s">
        <v>32</v>
      </c>
      <c r="C33" s="85"/>
      <c r="D33" s="79">
        <f>'MARCH 20'!H33:H54</f>
        <v>0</v>
      </c>
      <c r="E33" s="80">
        <v>2500</v>
      </c>
      <c r="F33" s="79">
        <f t="shared" si="2"/>
        <v>2500</v>
      </c>
      <c r="G33" s="89">
        <v>2500</v>
      </c>
      <c r="H33" s="82">
        <f t="shared" si="3"/>
        <v>0</v>
      </c>
      <c r="I33" s="69"/>
      <c r="J33" s="69"/>
    </row>
    <row r="34" spans="1:10" ht="18.75" x14ac:dyDescent="0.3">
      <c r="A34" s="77" t="s">
        <v>48</v>
      </c>
      <c r="B34" s="90" t="s">
        <v>40</v>
      </c>
      <c r="C34" s="78"/>
      <c r="D34" s="79">
        <f>'MARCH 20'!H34:H55</f>
        <v>0</v>
      </c>
      <c r="E34" s="80"/>
      <c r="F34" s="79">
        <f t="shared" si="2"/>
        <v>0</v>
      </c>
      <c r="G34" s="81"/>
      <c r="H34" s="82">
        <f t="shared" si="3"/>
        <v>0</v>
      </c>
      <c r="I34" s="69"/>
      <c r="J34" s="99"/>
    </row>
    <row r="35" spans="1:10" ht="37.5" x14ac:dyDescent="0.3">
      <c r="A35" s="77" t="s">
        <v>49</v>
      </c>
      <c r="B35" s="90" t="s">
        <v>96</v>
      </c>
      <c r="C35" s="78"/>
      <c r="D35" s="79">
        <f>'MARCH 20'!H35:H56</f>
        <v>0</v>
      </c>
      <c r="E35" s="80"/>
      <c r="F35" s="79">
        <f t="shared" si="2"/>
        <v>0</v>
      </c>
      <c r="G35" s="81"/>
      <c r="H35" s="82">
        <f t="shared" si="3"/>
        <v>0</v>
      </c>
      <c r="I35" s="69"/>
      <c r="J35" s="69"/>
    </row>
    <row r="36" spans="1:10" ht="37.5" x14ac:dyDescent="0.3">
      <c r="A36" s="77" t="s">
        <v>50</v>
      </c>
      <c r="B36" s="83" t="s">
        <v>33</v>
      </c>
      <c r="C36" s="78"/>
      <c r="D36" s="79">
        <f>'MARCH 20'!H36:H57</f>
        <v>0</v>
      </c>
      <c r="E36" s="80">
        <v>2500</v>
      </c>
      <c r="F36" s="79">
        <f>C36+D36+E36</f>
        <v>2500</v>
      </c>
      <c r="G36" s="81">
        <v>2000</v>
      </c>
      <c r="H36" s="82">
        <f t="shared" si="3"/>
        <v>500</v>
      </c>
      <c r="I36" s="69"/>
      <c r="J36" s="69"/>
    </row>
    <row r="37" spans="1:10" ht="18.75" x14ac:dyDescent="0.3">
      <c r="A37" s="77" t="s">
        <v>51</v>
      </c>
      <c r="B37" s="83" t="s">
        <v>40</v>
      </c>
      <c r="C37" s="78"/>
      <c r="D37" s="79">
        <f>'MARCH 20'!H37:H58</f>
        <v>0</v>
      </c>
      <c r="E37" s="80"/>
      <c r="F37" s="79">
        <f t="shared" si="2"/>
        <v>0</v>
      </c>
      <c r="G37" s="81"/>
      <c r="H37" s="82">
        <f t="shared" si="3"/>
        <v>0</v>
      </c>
      <c r="I37" s="69"/>
      <c r="J37" s="69"/>
    </row>
    <row r="38" spans="1:10" ht="18.75" x14ac:dyDescent="0.3">
      <c r="A38" s="77" t="s">
        <v>52</v>
      </c>
      <c r="B38" s="90" t="s">
        <v>40</v>
      </c>
      <c r="C38" s="78"/>
      <c r="D38" s="79">
        <f>'MARCH 20'!H38:H59</f>
        <v>0</v>
      </c>
      <c r="E38" s="80"/>
      <c r="F38" s="79">
        <f>C38+D38+E38</f>
        <v>0</v>
      </c>
      <c r="G38" s="81"/>
      <c r="H38" s="82">
        <f>F38-G38</f>
        <v>0</v>
      </c>
      <c r="I38" s="69"/>
      <c r="J38" s="69"/>
    </row>
    <row r="39" spans="1:10" ht="18.75" x14ac:dyDescent="0.3">
      <c r="A39" s="77" t="s">
        <v>53</v>
      </c>
      <c r="B39" s="83" t="s">
        <v>40</v>
      </c>
      <c r="C39" s="78"/>
      <c r="D39" s="79">
        <f>'MARCH 20'!H39:H60</f>
        <v>0</v>
      </c>
      <c r="E39" s="80"/>
      <c r="F39" s="79">
        <f t="shared" si="2"/>
        <v>0</v>
      </c>
      <c r="G39" s="81"/>
      <c r="H39" s="82">
        <f t="shared" si="3"/>
        <v>0</v>
      </c>
      <c r="I39" s="69"/>
      <c r="J39" s="69"/>
    </row>
    <row r="40" spans="1:10" ht="56.25" x14ac:dyDescent="0.3">
      <c r="A40" s="77" t="s">
        <v>54</v>
      </c>
      <c r="B40" s="83" t="s">
        <v>107</v>
      </c>
      <c r="C40" s="78"/>
      <c r="D40" s="79">
        <f>'MARCH 20'!H40:H61</f>
        <v>0</v>
      </c>
      <c r="E40" s="80"/>
      <c r="F40" s="79">
        <f t="shared" si="2"/>
        <v>0</v>
      </c>
      <c r="G40" s="81"/>
      <c r="H40" s="82">
        <f>F40-G40</f>
        <v>0</v>
      </c>
      <c r="I40" s="69"/>
      <c r="J40" s="69"/>
    </row>
    <row r="41" spans="1:10" ht="18.75" x14ac:dyDescent="0.3">
      <c r="A41" s="77" t="s">
        <v>55</v>
      </c>
      <c r="B41" s="83" t="s">
        <v>103</v>
      </c>
      <c r="C41" s="78"/>
      <c r="D41" s="79">
        <f>'MARCH 20'!H41:H64</f>
        <v>0</v>
      </c>
      <c r="E41" s="80"/>
      <c r="F41" s="79">
        <f t="shared" si="2"/>
        <v>0</v>
      </c>
      <c r="G41" s="81"/>
      <c r="H41" s="82">
        <f t="shared" si="3"/>
        <v>0</v>
      </c>
      <c r="I41" s="69" t="s">
        <v>106</v>
      </c>
      <c r="J41" s="69"/>
    </row>
    <row r="42" spans="1:10" ht="18.75" x14ac:dyDescent="0.3">
      <c r="A42" s="77" t="s">
        <v>56</v>
      </c>
      <c r="B42" s="83" t="s">
        <v>40</v>
      </c>
      <c r="C42" s="78"/>
      <c r="D42" s="79">
        <f>'MARCH 20'!H42:H65</f>
        <v>0</v>
      </c>
      <c r="E42" s="80"/>
      <c r="F42" s="79">
        <f>C42+D42+E42</f>
        <v>0</v>
      </c>
      <c r="G42" s="81"/>
      <c r="H42" s="82">
        <f>F42-G42</f>
        <v>0</v>
      </c>
      <c r="I42" s="69"/>
      <c r="J42" s="69"/>
    </row>
    <row r="43" spans="1:10" ht="18.75" x14ac:dyDescent="0.3">
      <c r="A43" s="77" t="s">
        <v>57</v>
      </c>
      <c r="B43" s="83"/>
      <c r="C43" s="78"/>
      <c r="D43" s="79">
        <f>'MARCH 20'!H43:H66</f>
        <v>0</v>
      </c>
      <c r="E43" s="80"/>
      <c r="F43" s="79">
        <f>C43+D43+E43</f>
        <v>0</v>
      </c>
      <c r="G43" s="81"/>
      <c r="H43" s="82">
        <f>F43-G43</f>
        <v>0</v>
      </c>
      <c r="I43" s="69" t="s">
        <v>106</v>
      </c>
      <c r="J43" s="69"/>
    </row>
    <row r="44" spans="1:10" ht="37.5" x14ac:dyDescent="0.3">
      <c r="A44" s="77" t="s">
        <v>58</v>
      </c>
      <c r="B44" s="83" t="s">
        <v>37</v>
      </c>
      <c r="C44" s="78"/>
      <c r="D44" s="79">
        <f>'MARCH 20'!H44:H67</f>
        <v>0</v>
      </c>
      <c r="E44" s="80">
        <v>2500</v>
      </c>
      <c r="F44" s="79">
        <f t="shared" si="2"/>
        <v>2500</v>
      </c>
      <c r="G44" s="81">
        <v>2400</v>
      </c>
      <c r="H44" s="82">
        <f t="shared" si="3"/>
        <v>100</v>
      </c>
      <c r="I44" s="69"/>
      <c r="J44" s="69"/>
    </row>
    <row r="45" spans="1:10" ht="18.75" x14ac:dyDescent="0.3">
      <c r="A45" s="77" t="s">
        <v>59</v>
      </c>
      <c r="B45" s="83" t="s">
        <v>92</v>
      </c>
      <c r="C45" s="78"/>
      <c r="D45" s="79">
        <f>'MARCH 20'!H45:H68</f>
        <v>0</v>
      </c>
      <c r="E45" s="80"/>
      <c r="F45" s="79">
        <f t="shared" si="2"/>
        <v>0</v>
      </c>
      <c r="G45" s="81"/>
      <c r="H45" s="82">
        <f t="shared" si="3"/>
        <v>0</v>
      </c>
      <c r="I45" s="69"/>
      <c r="J45" s="69"/>
    </row>
    <row r="46" spans="1:10" ht="37.5" x14ac:dyDescent="0.3">
      <c r="A46" s="77" t="s">
        <v>60</v>
      </c>
      <c r="B46" s="83" t="s">
        <v>38</v>
      </c>
      <c r="C46" s="78"/>
      <c r="D46" s="79">
        <f>'MARCH 20'!H46:H69</f>
        <v>0</v>
      </c>
      <c r="E46" s="80">
        <v>2500</v>
      </c>
      <c r="F46" s="79">
        <f t="shared" si="2"/>
        <v>2500</v>
      </c>
      <c r="G46" s="81"/>
      <c r="H46" s="82">
        <f t="shared" si="3"/>
        <v>2500</v>
      </c>
      <c r="I46" s="69"/>
      <c r="J46" s="69"/>
    </row>
    <row r="47" spans="1:10" ht="37.5" x14ac:dyDescent="0.3">
      <c r="A47" s="77" t="s">
        <v>61</v>
      </c>
      <c r="B47" s="83" t="s">
        <v>41</v>
      </c>
      <c r="C47" s="78"/>
      <c r="D47" s="79">
        <f>'MARCH 20'!H47:H70</f>
        <v>0</v>
      </c>
      <c r="E47" s="80">
        <v>2500</v>
      </c>
      <c r="F47" s="79">
        <f t="shared" si="2"/>
        <v>2500</v>
      </c>
      <c r="G47" s="81">
        <v>2500</v>
      </c>
      <c r="H47" s="82">
        <f t="shared" si="3"/>
        <v>0</v>
      </c>
      <c r="I47" s="69"/>
      <c r="J47" s="69"/>
    </row>
    <row r="48" spans="1:10" ht="18.75" x14ac:dyDescent="0.3">
      <c r="A48" s="77" t="s">
        <v>62</v>
      </c>
      <c r="B48" s="83" t="s">
        <v>39</v>
      </c>
      <c r="C48" s="78"/>
      <c r="D48" s="79">
        <f>'MARCH 20'!H48:H71</f>
        <v>0</v>
      </c>
      <c r="E48" s="80">
        <v>2500</v>
      </c>
      <c r="F48" s="79">
        <f t="shared" si="2"/>
        <v>2500</v>
      </c>
      <c r="G48" s="81"/>
      <c r="H48" s="82">
        <f t="shared" si="3"/>
        <v>2500</v>
      </c>
      <c r="I48" s="69"/>
      <c r="J48" s="69"/>
    </row>
    <row r="49" spans="1:12" ht="18.75" x14ac:dyDescent="0.3">
      <c r="A49" s="92"/>
      <c r="B49" s="93" t="s">
        <v>9</v>
      </c>
      <c r="C49" s="94">
        <f>SUM(C28:C44)</f>
        <v>0</v>
      </c>
      <c r="D49" s="79">
        <f>SUM(D28:D44)</f>
        <v>0</v>
      </c>
      <c r="E49" s="96">
        <f>SUM(E28:E48)</f>
        <v>22500</v>
      </c>
      <c r="F49" s="95">
        <f>SUM(F28:F48)</f>
        <v>22500</v>
      </c>
      <c r="G49" s="97">
        <f>SUM(G28:G48)</f>
        <v>16900</v>
      </c>
      <c r="H49" s="100">
        <f>F49-G49</f>
        <v>5600</v>
      </c>
      <c r="I49" s="69"/>
      <c r="J49" s="69"/>
    </row>
    <row r="50" spans="1:12" ht="18.75" x14ac:dyDescent="0.3">
      <c r="A50" s="72" t="s">
        <v>10</v>
      </c>
      <c r="B50" s="101"/>
      <c r="C50" s="102"/>
      <c r="D50" s="101"/>
      <c r="E50" s="103"/>
      <c r="F50" s="101"/>
      <c r="G50" s="69"/>
      <c r="H50" s="104"/>
      <c r="I50" s="69"/>
      <c r="J50" s="69"/>
    </row>
    <row r="51" spans="1:12" ht="18.75" x14ac:dyDescent="0.3">
      <c r="A51" s="105" t="s">
        <v>11</v>
      </c>
      <c r="B51" s="105" t="s">
        <v>12</v>
      </c>
      <c r="C51" s="105" t="s">
        <v>13</v>
      </c>
      <c r="D51" s="105" t="s">
        <v>14</v>
      </c>
      <c r="E51" s="105" t="s">
        <v>11</v>
      </c>
      <c r="F51" s="105" t="s">
        <v>12</v>
      </c>
      <c r="G51" s="105" t="s">
        <v>13</v>
      </c>
      <c r="H51" s="106" t="s">
        <v>15</v>
      </c>
      <c r="I51" s="69"/>
      <c r="J51" s="69"/>
    </row>
    <row r="52" spans="1:12" ht="18.75" x14ac:dyDescent="0.3">
      <c r="A52" s="84" t="s">
        <v>99</v>
      </c>
      <c r="B52" s="82">
        <f>E49+E26</f>
        <v>49500</v>
      </c>
      <c r="C52" s="85"/>
      <c r="D52" s="85"/>
      <c r="E52" s="84" t="s">
        <v>99</v>
      </c>
      <c r="F52" s="82">
        <f>G49+G26</f>
        <v>39900</v>
      </c>
      <c r="G52" s="85"/>
      <c r="H52" s="82"/>
      <c r="I52" s="69"/>
      <c r="J52" s="69"/>
    </row>
    <row r="53" spans="1:12" ht="18.75" x14ac:dyDescent="0.3">
      <c r="A53" s="84" t="s">
        <v>17</v>
      </c>
      <c r="B53" s="107">
        <v>0.1</v>
      </c>
      <c r="C53" s="108">
        <f>B52*B53</f>
        <v>4950</v>
      </c>
      <c r="D53" s="84"/>
      <c r="E53" s="84" t="s">
        <v>17</v>
      </c>
      <c r="F53" s="107">
        <v>0.1</v>
      </c>
      <c r="G53" s="108">
        <f>F53*B52</f>
        <v>4950</v>
      </c>
      <c r="H53" s="82"/>
      <c r="I53" s="69"/>
      <c r="J53" s="69"/>
    </row>
    <row r="54" spans="1:12" ht="18.75" x14ac:dyDescent="0.3">
      <c r="A54" s="109"/>
      <c r="B54" s="108"/>
      <c r="C54" s="84"/>
      <c r="D54" s="84"/>
      <c r="E54" s="109"/>
      <c r="F54" s="108"/>
      <c r="G54" s="84"/>
      <c r="H54" s="82"/>
      <c r="I54" s="69"/>
      <c r="J54" s="104"/>
    </row>
    <row r="55" spans="1:12" ht="18.75" x14ac:dyDescent="0.3">
      <c r="A55" s="84"/>
      <c r="B55" s="107"/>
      <c r="C55" s="108"/>
      <c r="D55" s="84"/>
      <c r="E55" s="84"/>
      <c r="F55" s="107"/>
      <c r="G55" s="108"/>
      <c r="H55" s="82"/>
      <c r="I55" s="69"/>
      <c r="J55" s="104"/>
    </row>
    <row r="56" spans="1:12" ht="18.75" x14ac:dyDescent="0.3">
      <c r="A56" s="109" t="s">
        <v>18</v>
      </c>
      <c r="B56" s="108">
        <f>C49</f>
        <v>0</v>
      </c>
      <c r="C56" s="69"/>
      <c r="D56" s="84"/>
      <c r="E56" s="84"/>
      <c r="F56" s="108"/>
      <c r="G56" s="84"/>
      <c r="H56" s="82"/>
      <c r="I56" s="69"/>
      <c r="J56" s="104"/>
      <c r="L56" s="65"/>
    </row>
    <row r="57" spans="1:12" ht="18.75" x14ac:dyDescent="0.3">
      <c r="A57" s="109" t="s">
        <v>19</v>
      </c>
      <c r="B57" s="108">
        <f>'MARCH 20'!D65</f>
        <v>-2561</v>
      </c>
      <c r="C57" s="84"/>
      <c r="D57" s="84"/>
      <c r="E57" s="109" t="s">
        <v>19</v>
      </c>
      <c r="F57" s="108">
        <f>'MARCH 20'!H65</f>
        <v>-2561</v>
      </c>
      <c r="G57" s="84"/>
      <c r="H57" s="82"/>
      <c r="I57" s="69"/>
      <c r="J57" s="104"/>
      <c r="L57" s="65"/>
    </row>
    <row r="58" spans="1:12" ht="18.75" x14ac:dyDescent="0.3">
      <c r="A58" s="109" t="s">
        <v>9</v>
      </c>
      <c r="B58" s="108">
        <f>B52+B54+B57+B56</f>
        <v>46939</v>
      </c>
      <c r="C58" s="84"/>
      <c r="D58" s="84"/>
      <c r="E58" s="109" t="s">
        <v>9</v>
      </c>
      <c r="F58" s="108">
        <f>F52+F54+F57+F55</f>
        <v>37339</v>
      </c>
      <c r="G58" s="84"/>
      <c r="H58" s="82"/>
      <c r="I58" s="69"/>
      <c r="J58" s="69"/>
    </row>
    <row r="59" spans="1:12" ht="18.75" x14ac:dyDescent="0.3">
      <c r="A59" s="110" t="s">
        <v>20</v>
      </c>
      <c r="B59" s="107"/>
      <c r="C59" s="111"/>
      <c r="D59" s="84"/>
      <c r="E59" s="110" t="s">
        <v>20</v>
      </c>
      <c r="F59" s="107"/>
      <c r="G59" s="111"/>
      <c r="H59" s="82"/>
      <c r="I59" s="69"/>
      <c r="J59" s="99"/>
    </row>
    <row r="60" spans="1:12" ht="18.75" x14ac:dyDescent="0.3">
      <c r="A60" s="109" t="s">
        <v>105</v>
      </c>
      <c r="B60" s="85"/>
      <c r="C60" s="112">
        <v>32889</v>
      </c>
      <c r="D60" s="84"/>
      <c r="E60" s="109" t="s">
        <v>105</v>
      </c>
      <c r="F60" s="85"/>
      <c r="G60" s="112">
        <v>32889</v>
      </c>
      <c r="H60" s="82"/>
      <c r="I60" s="69"/>
      <c r="J60" s="69"/>
    </row>
    <row r="61" spans="1:12" ht="18.75" x14ac:dyDescent="0.3">
      <c r="A61" s="113" t="s">
        <v>108</v>
      </c>
      <c r="B61" s="69"/>
      <c r="C61" s="114">
        <v>5000</v>
      </c>
      <c r="D61" s="85"/>
      <c r="E61" s="113" t="s">
        <v>108</v>
      </c>
      <c r="F61" s="69"/>
      <c r="G61" s="114">
        <v>5000</v>
      </c>
      <c r="H61" s="82"/>
      <c r="I61" s="69"/>
      <c r="J61" s="69"/>
    </row>
    <row r="62" spans="1:12" ht="18.75" x14ac:dyDescent="0.3">
      <c r="A62" s="113" t="s">
        <v>111</v>
      </c>
      <c r="B62" s="85"/>
      <c r="C62" s="114">
        <v>4061</v>
      </c>
      <c r="D62" s="85"/>
      <c r="E62" s="113" t="s">
        <v>111</v>
      </c>
      <c r="F62" s="85"/>
      <c r="G62" s="114">
        <v>4061</v>
      </c>
      <c r="H62" s="82"/>
      <c r="I62" s="69"/>
      <c r="J62" s="69"/>
    </row>
    <row r="63" spans="1:12" ht="18.75" x14ac:dyDescent="0.3">
      <c r="A63" s="113" t="s">
        <v>149</v>
      </c>
      <c r="B63" s="85"/>
      <c r="C63" s="114">
        <v>1000</v>
      </c>
      <c r="D63" s="85"/>
      <c r="E63" s="113" t="s">
        <v>149</v>
      </c>
      <c r="F63" s="85"/>
      <c r="G63" s="114">
        <v>1000</v>
      </c>
      <c r="H63" s="82"/>
      <c r="I63" s="69"/>
      <c r="J63" s="69"/>
    </row>
    <row r="64" spans="1:12" ht="18.75" x14ac:dyDescent="0.3">
      <c r="A64" s="115" t="s">
        <v>9</v>
      </c>
      <c r="B64" s="116">
        <f>B52+B54+B55+B56+B57-C53-C55</f>
        <v>41989</v>
      </c>
      <c r="C64" s="100">
        <f>SUM(C60:C63)</f>
        <v>42950</v>
      </c>
      <c r="D64" s="100">
        <f>B64-C64</f>
        <v>-961</v>
      </c>
      <c r="E64" s="115" t="s">
        <v>9</v>
      </c>
      <c r="F64" s="116">
        <f>F52+F54+F57-G53-G55</f>
        <v>32389</v>
      </c>
      <c r="G64" s="100">
        <f>SUM(G60:G63)</f>
        <v>42950</v>
      </c>
      <c r="H64" s="100">
        <f>F64-G64</f>
        <v>-10561</v>
      </c>
      <c r="I64" s="69"/>
      <c r="J64" s="69"/>
    </row>
    <row r="65" spans="1:10" ht="18.75" x14ac:dyDescent="0.3">
      <c r="A65" s="69" t="s">
        <v>21</v>
      </c>
      <c r="B65" s="69"/>
      <c r="C65" s="69"/>
      <c r="D65" s="69" t="s">
        <v>22</v>
      </c>
      <c r="E65" s="69"/>
      <c r="F65" s="69"/>
      <c r="G65" s="69" t="s">
        <v>23</v>
      </c>
      <c r="H65" s="104"/>
      <c r="I65" s="69"/>
      <c r="J65" s="69"/>
    </row>
    <row r="66" spans="1:10" ht="18.75" x14ac:dyDescent="0.3">
      <c r="A66" s="69" t="s">
        <v>64</v>
      </c>
      <c r="B66" s="69"/>
      <c r="C66" s="69"/>
      <c r="D66" s="69" t="s">
        <v>24</v>
      </c>
      <c r="E66" s="69"/>
      <c r="F66" s="69"/>
      <c r="G66" s="69" t="s">
        <v>25</v>
      </c>
      <c r="H66" s="69"/>
      <c r="I66" s="69"/>
      <c r="J66" s="69"/>
    </row>
    <row r="67" spans="1:10" ht="18.75" x14ac:dyDescent="0.3">
      <c r="A67" s="69"/>
      <c r="B67" s="69"/>
      <c r="C67" s="69"/>
      <c r="D67" s="69"/>
      <c r="E67" s="69"/>
      <c r="F67" s="69"/>
      <c r="G67" s="69"/>
      <c r="H67" s="69"/>
      <c r="I67" s="69"/>
      <c r="J67" s="69"/>
    </row>
  </sheetData>
  <pageMargins left="0.7" right="0.7" top="0.75" bottom="0.75" header="0.3" footer="0.3"/>
  <pageSetup paperSize="262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19" workbookViewId="0">
      <selection activeCell="G44" sqref="G44"/>
    </sheetView>
  </sheetViews>
  <sheetFormatPr defaultRowHeight="15" x14ac:dyDescent="0.25"/>
  <cols>
    <col min="1" max="1" width="17.5703125" customWidth="1"/>
    <col min="2" max="2" width="28.85546875" customWidth="1"/>
    <col min="3" max="3" width="9.7109375" customWidth="1"/>
    <col min="5" max="5" width="11.7109375" customWidth="1"/>
    <col min="6" max="6" width="12.140625" customWidth="1"/>
    <col min="8" max="8" width="11.140625" customWidth="1"/>
  </cols>
  <sheetData>
    <row r="1" spans="1:9" ht="23.25" customHeight="1" x14ac:dyDescent="0.25">
      <c r="A1" s="205" t="s">
        <v>26</v>
      </c>
      <c r="B1" s="205"/>
      <c r="C1" s="205"/>
      <c r="D1" s="205"/>
      <c r="E1" s="205"/>
      <c r="F1" s="205"/>
      <c r="G1" s="205"/>
      <c r="H1" s="205"/>
      <c r="I1" s="205"/>
    </row>
    <row r="2" spans="1:9" ht="26.25" customHeight="1" x14ac:dyDescent="0.25">
      <c r="A2" s="206" t="s">
        <v>261</v>
      </c>
      <c r="B2" s="206"/>
      <c r="C2" s="206"/>
      <c r="D2" s="206"/>
      <c r="E2" s="206"/>
      <c r="F2" s="206"/>
      <c r="G2" s="206"/>
      <c r="H2" s="206"/>
      <c r="I2" s="148"/>
    </row>
    <row r="3" spans="1:9" x14ac:dyDescent="0.25">
      <c r="A3" s="207" t="s">
        <v>65</v>
      </c>
      <c r="B3" s="207"/>
      <c r="C3" s="207"/>
      <c r="D3" s="207"/>
      <c r="E3" s="207"/>
      <c r="F3" s="207"/>
      <c r="G3" s="207"/>
      <c r="H3" s="207"/>
      <c r="I3" s="207"/>
    </row>
    <row r="4" spans="1:9" x14ac:dyDescent="0.25">
      <c r="A4" s="208"/>
      <c r="B4" s="208"/>
      <c r="C4" s="208"/>
      <c r="D4" s="208"/>
      <c r="E4" s="208"/>
      <c r="F4" s="208"/>
      <c r="G4" s="208"/>
      <c r="H4" s="208"/>
      <c r="I4" s="208"/>
    </row>
    <row r="5" spans="1:9" s="199" customFormat="1" ht="30.75" customHeight="1" x14ac:dyDescent="0.25">
      <c r="A5" s="196" t="s">
        <v>1</v>
      </c>
      <c r="B5" s="196" t="s">
        <v>2</v>
      </c>
      <c r="C5" s="196" t="s">
        <v>3</v>
      </c>
      <c r="D5" s="196" t="s">
        <v>4</v>
      </c>
      <c r="E5" s="196" t="s">
        <v>5</v>
      </c>
      <c r="F5" s="197" t="s">
        <v>6</v>
      </c>
      <c r="G5" s="196" t="s">
        <v>7</v>
      </c>
      <c r="H5" s="198" t="s">
        <v>8</v>
      </c>
      <c r="I5" s="198" t="s">
        <v>213</v>
      </c>
    </row>
    <row r="6" spans="1:9" x14ac:dyDescent="0.25">
      <c r="A6" s="124" t="s">
        <v>66</v>
      </c>
      <c r="B6" s="188" t="s">
        <v>103</v>
      </c>
      <c r="C6" s="126"/>
      <c r="D6" s="127">
        <f>'SEPT 21'!D6:D26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128"/>
    </row>
    <row r="7" spans="1:9" x14ac:dyDescent="0.25">
      <c r="A7" s="124" t="s">
        <v>71</v>
      </c>
      <c r="B7" s="125" t="s">
        <v>179</v>
      </c>
      <c r="C7" s="126">
        <v>3000</v>
      </c>
      <c r="D7" s="127">
        <f>'SEPT 21'!D7:D27</f>
        <v>0</v>
      </c>
      <c r="E7" s="127">
        <v>3000</v>
      </c>
      <c r="F7" s="127">
        <f t="shared" ref="F7:F25" si="1">C7+D7+E7</f>
        <v>6000</v>
      </c>
      <c r="G7" s="127">
        <v>3000</v>
      </c>
      <c r="H7" s="25">
        <f t="shared" si="0"/>
        <v>3000</v>
      </c>
      <c r="I7" s="127"/>
    </row>
    <row r="8" spans="1:9" x14ac:dyDescent="0.25">
      <c r="A8" s="124" t="s">
        <v>67</v>
      </c>
      <c r="B8" s="24" t="s">
        <v>218</v>
      </c>
      <c r="C8" s="126"/>
      <c r="D8" s="127">
        <f>'SEPT 21'!D8:D28</f>
        <v>0</v>
      </c>
      <c r="E8" s="127"/>
      <c r="F8" s="127">
        <f t="shared" si="1"/>
        <v>0</v>
      </c>
      <c r="G8" s="26"/>
      <c r="H8" s="25">
        <f t="shared" si="0"/>
        <v>0</v>
      </c>
      <c r="I8" s="26"/>
    </row>
    <row r="9" spans="1:9" x14ac:dyDescent="0.25">
      <c r="A9" s="129" t="s">
        <v>72</v>
      </c>
      <c r="B9" s="189" t="s">
        <v>103</v>
      </c>
      <c r="C9" s="126"/>
      <c r="D9" s="127">
        <f>'SEPT 21'!D9:D29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</row>
    <row r="10" spans="1:9" x14ac:dyDescent="0.25">
      <c r="A10" s="130" t="s">
        <v>68</v>
      </c>
      <c r="B10" s="188" t="s">
        <v>40</v>
      </c>
      <c r="C10" s="126"/>
      <c r="D10" s="127">
        <f>'SEPT 21'!D10:D30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</row>
    <row r="11" spans="1:9" x14ac:dyDescent="0.25">
      <c r="A11" s="131" t="s">
        <v>73</v>
      </c>
      <c r="B11" s="190" t="s">
        <v>40</v>
      </c>
      <c r="C11" s="126"/>
      <c r="D11" s="127">
        <f>'SEPT 21'!D11:D31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</row>
    <row r="12" spans="1:9" x14ac:dyDescent="0.25">
      <c r="A12" s="124" t="s">
        <v>69</v>
      </c>
      <c r="B12" s="132" t="s">
        <v>229</v>
      </c>
      <c r="C12" s="126"/>
      <c r="D12" s="127">
        <f>'SEPT 21'!D12:D32</f>
        <v>500</v>
      </c>
      <c r="E12" s="127">
        <v>3500</v>
      </c>
      <c r="F12" s="127">
        <f t="shared" si="1"/>
        <v>4000</v>
      </c>
      <c r="G12" s="128">
        <v>3600</v>
      </c>
      <c r="H12" s="25">
        <f t="shared" si="0"/>
        <v>400</v>
      </c>
      <c r="I12" s="128"/>
    </row>
    <row r="13" spans="1:9" x14ac:dyDescent="0.25">
      <c r="A13" s="124" t="s">
        <v>74</v>
      </c>
      <c r="B13" s="132" t="s">
        <v>87</v>
      </c>
      <c r="C13" s="126"/>
      <c r="D13" s="127">
        <f>'SEPT 21'!D13:D33</f>
        <v>0</v>
      </c>
      <c r="E13" s="127">
        <v>4000</v>
      </c>
      <c r="F13" s="127">
        <f t="shared" si="1"/>
        <v>4000</v>
      </c>
      <c r="G13" s="128">
        <v>4000</v>
      </c>
      <c r="H13" s="25">
        <f t="shared" si="0"/>
        <v>0</v>
      </c>
      <c r="I13" s="128"/>
    </row>
    <row r="14" spans="1:9" x14ac:dyDescent="0.25">
      <c r="A14" s="124" t="s">
        <v>70</v>
      </c>
      <c r="B14" s="190"/>
      <c r="C14" s="126"/>
      <c r="D14" s="127">
        <f>'SEPT 21'!D14:D34</f>
        <v>0</v>
      </c>
      <c r="E14" s="127"/>
      <c r="F14" s="127"/>
      <c r="G14" s="128"/>
      <c r="H14" s="25"/>
      <c r="I14" s="128"/>
    </row>
    <row r="15" spans="1:9" x14ac:dyDescent="0.25">
      <c r="A15" s="124" t="s">
        <v>75</v>
      </c>
      <c r="B15" s="190" t="s">
        <v>103</v>
      </c>
      <c r="C15" s="126"/>
      <c r="D15" s="127">
        <f>'SEPT 21'!D15:D35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</row>
    <row r="16" spans="1:9" x14ac:dyDescent="0.25">
      <c r="A16" s="124" t="s">
        <v>76</v>
      </c>
      <c r="B16" s="190" t="s">
        <v>103</v>
      </c>
      <c r="C16" s="126"/>
      <c r="D16" s="127">
        <f>'SEPT 21'!D16:D36</f>
        <v>0</v>
      </c>
      <c r="E16" s="127"/>
      <c r="F16" s="127">
        <f t="shared" si="1"/>
        <v>0</v>
      </c>
      <c r="G16" s="128"/>
      <c r="H16" s="25">
        <f>F16-G16</f>
        <v>0</v>
      </c>
      <c r="I16" s="128"/>
    </row>
    <row r="17" spans="1:12" x14ac:dyDescent="0.25">
      <c r="A17" s="124" t="s">
        <v>77</v>
      </c>
      <c r="B17" s="190" t="s">
        <v>103</v>
      </c>
      <c r="C17" s="126"/>
      <c r="D17" s="127">
        <f>'SEPT 21'!D17:D37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L17" s="65">
        <f>E26</f>
        <v>15500</v>
      </c>
    </row>
    <row r="18" spans="1:12" x14ac:dyDescent="0.25">
      <c r="A18" s="124" t="s">
        <v>78</v>
      </c>
      <c r="B18" s="132" t="s">
        <v>88</v>
      </c>
      <c r="C18" s="126"/>
      <c r="D18" s="127">
        <f>'SEPT 21'!D18:D38</f>
        <v>0</v>
      </c>
      <c r="E18" s="127">
        <v>5000</v>
      </c>
      <c r="F18" s="127">
        <f t="shared" si="1"/>
        <v>5000</v>
      </c>
      <c r="G18" s="128">
        <v>5000</v>
      </c>
      <c r="H18" s="25">
        <f t="shared" si="0"/>
        <v>0</v>
      </c>
      <c r="I18" s="128"/>
      <c r="L18" s="65">
        <f>E45</f>
        <v>28500</v>
      </c>
    </row>
    <row r="19" spans="1:12" x14ac:dyDescent="0.25">
      <c r="A19" s="124" t="s">
        <v>79</v>
      </c>
      <c r="B19" s="132" t="s">
        <v>148</v>
      </c>
      <c r="C19" s="126"/>
      <c r="D19" s="127">
        <f>'SEPT 21'!D19:D39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L19" s="65">
        <f>L17+L18</f>
        <v>44000</v>
      </c>
    </row>
    <row r="20" spans="1:12" x14ac:dyDescent="0.25">
      <c r="A20" s="124" t="s">
        <v>80</v>
      </c>
      <c r="B20" s="190" t="s">
        <v>103</v>
      </c>
      <c r="C20" s="126"/>
      <c r="D20" s="127">
        <f>'SEPT 21'!D20:D40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K20" t="s">
        <v>171</v>
      </c>
      <c r="L20" s="65">
        <f>C49</f>
        <v>4400</v>
      </c>
    </row>
    <row r="21" spans="1:12" x14ac:dyDescent="0.25">
      <c r="A21" s="124" t="s">
        <v>81</v>
      </c>
      <c r="B21" s="132"/>
      <c r="C21" s="126"/>
      <c r="D21" s="127">
        <f>'SEPT 21'!D21:D41</f>
        <v>0</v>
      </c>
      <c r="E21" s="127"/>
      <c r="F21" s="127">
        <f>C21+D21+E21</f>
        <v>0</v>
      </c>
      <c r="G21" s="128"/>
      <c r="H21" s="25">
        <f>F21-G21</f>
        <v>0</v>
      </c>
      <c r="I21" s="128"/>
      <c r="L21" s="65">
        <f>L19-L20</f>
        <v>39600</v>
      </c>
    </row>
    <row r="22" spans="1:12" x14ac:dyDescent="0.25">
      <c r="A22" s="124" t="s">
        <v>82</v>
      </c>
      <c r="B22" s="190" t="s">
        <v>103</v>
      </c>
      <c r="C22" s="126"/>
      <c r="D22" s="127">
        <f>'SEPT 21'!D22:D42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K22" t="s">
        <v>180</v>
      </c>
      <c r="L22">
        <v>2000</v>
      </c>
    </row>
    <row r="23" spans="1:12" x14ac:dyDescent="0.25">
      <c r="A23" s="124" t="s">
        <v>83</v>
      </c>
      <c r="B23" s="190" t="s">
        <v>103</v>
      </c>
      <c r="C23" s="126"/>
      <c r="D23" s="127">
        <f>'SEPT 21'!D23:D43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L23" s="65">
        <f>L21-L22</f>
        <v>37600</v>
      </c>
    </row>
    <row r="24" spans="1:12" x14ac:dyDescent="0.25">
      <c r="A24" s="124" t="s">
        <v>84</v>
      </c>
      <c r="B24" s="190" t="s">
        <v>103</v>
      </c>
      <c r="C24" s="126"/>
      <c r="D24" s="127">
        <f>'SEPT 21'!D24:D44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  <c r="K24" t="s">
        <v>213</v>
      </c>
      <c r="L24">
        <v>700</v>
      </c>
    </row>
    <row r="25" spans="1:12" x14ac:dyDescent="0.25">
      <c r="A25" s="124" t="s">
        <v>85</v>
      </c>
      <c r="B25" s="190" t="s">
        <v>103</v>
      </c>
      <c r="C25" s="126"/>
      <c r="D25" s="127">
        <f>'SEPT 21'!D25:D45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L25" s="65">
        <f>L23+L24</f>
        <v>38300</v>
      </c>
    </row>
    <row r="26" spans="1:12" x14ac:dyDescent="0.25">
      <c r="A26" s="135"/>
      <c r="B26" s="136" t="s">
        <v>9</v>
      </c>
      <c r="C26" s="137">
        <f t="shared" ref="C26:H26" si="2">SUM(C6:C25)</f>
        <v>3000</v>
      </c>
      <c r="D26" s="127">
        <f>'SEPT 21'!D26:D46</f>
        <v>500</v>
      </c>
      <c r="E26" s="138">
        <f t="shared" si="2"/>
        <v>15500</v>
      </c>
      <c r="F26" s="138">
        <f t="shared" si="2"/>
        <v>19000</v>
      </c>
      <c r="G26" s="139">
        <f t="shared" si="2"/>
        <v>15600</v>
      </c>
      <c r="H26" s="140">
        <f t="shared" si="2"/>
        <v>3400</v>
      </c>
      <c r="I26" s="139">
        <f>SUM(I6:I25)</f>
        <v>0</v>
      </c>
    </row>
    <row r="27" spans="1:12" ht="24.75" customHeight="1" x14ac:dyDescent="0.25">
      <c r="A27" s="209" t="s">
        <v>28</v>
      </c>
      <c r="B27" s="209"/>
      <c r="C27" s="209"/>
      <c r="D27" s="209"/>
      <c r="E27" s="209"/>
      <c r="F27" s="209"/>
      <c r="G27" s="209"/>
      <c r="H27" s="209"/>
      <c r="I27" s="209"/>
    </row>
    <row r="28" spans="1:12" ht="23.25" customHeight="1" x14ac:dyDescent="0.25">
      <c r="A28" s="124"/>
      <c r="B28" s="121"/>
      <c r="C28" s="121"/>
      <c r="D28" s="127" t="s">
        <v>198</v>
      </c>
      <c r="E28" s="127" t="s">
        <v>5</v>
      </c>
      <c r="F28" s="127" t="s">
        <v>6</v>
      </c>
      <c r="G28" s="127" t="s">
        <v>7</v>
      </c>
      <c r="H28" s="25" t="s">
        <v>15</v>
      </c>
    </row>
    <row r="29" spans="1:12" x14ac:dyDescent="0.25">
      <c r="A29" s="124" t="s">
        <v>43</v>
      </c>
      <c r="B29" s="125" t="s">
        <v>113</v>
      </c>
      <c r="C29" s="126">
        <f>'AUGUST 20'!I29:I44</f>
        <v>0</v>
      </c>
      <c r="D29" s="127">
        <f>'SEPT 21'!H29:H45</f>
        <v>0</v>
      </c>
      <c r="E29" s="127">
        <v>2000</v>
      </c>
      <c r="F29" s="127">
        <f>C28+D29+E29</f>
        <v>2000</v>
      </c>
      <c r="G29" s="127">
        <v>1500</v>
      </c>
      <c r="H29" s="25">
        <f t="shared" ref="H29:H44" si="3">F29-G29</f>
        <v>500</v>
      </c>
    </row>
    <row r="30" spans="1:12" x14ac:dyDescent="0.25">
      <c r="A30" s="124" t="s">
        <v>44</v>
      </c>
      <c r="B30" s="24" t="s">
        <v>138</v>
      </c>
      <c r="C30" s="126"/>
      <c r="D30" s="127">
        <f>'SEPT 21'!H30:H46</f>
        <v>0</v>
      </c>
      <c r="E30" s="127">
        <v>2000</v>
      </c>
      <c r="F30" s="127">
        <f>C29+D30+E30</f>
        <v>2000</v>
      </c>
      <c r="G30" s="26">
        <v>2000</v>
      </c>
      <c r="H30" s="25">
        <f t="shared" si="3"/>
        <v>0</v>
      </c>
    </row>
    <row r="31" spans="1:12" x14ac:dyDescent="0.25">
      <c r="A31" s="124" t="s">
        <v>45</v>
      </c>
      <c r="B31" s="125" t="s">
        <v>251</v>
      </c>
      <c r="C31" s="126"/>
      <c r="D31" s="127">
        <f>'SEPT 21'!H31:H47</f>
        <v>1000</v>
      </c>
      <c r="E31" s="127">
        <v>2000</v>
      </c>
      <c r="F31" s="127">
        <f t="shared" ref="F31:F44" si="4">C31+D31+E31</f>
        <v>3000</v>
      </c>
      <c r="G31" s="25">
        <v>1300</v>
      </c>
      <c r="H31" s="25">
        <f>F31-G31</f>
        <v>1700</v>
      </c>
    </row>
    <row r="32" spans="1:12" x14ac:dyDescent="0.25">
      <c r="A32" s="124" t="s">
        <v>46</v>
      </c>
      <c r="B32" s="125" t="s">
        <v>31</v>
      </c>
      <c r="C32" s="126"/>
      <c r="D32" s="127">
        <f>'SEPT 21'!H32:H48</f>
        <v>2000</v>
      </c>
      <c r="E32" s="127">
        <v>2000</v>
      </c>
      <c r="F32" s="127">
        <f t="shared" si="4"/>
        <v>4000</v>
      </c>
      <c r="G32" s="128"/>
      <c r="H32" s="25">
        <f>F32-G32</f>
        <v>4000</v>
      </c>
    </row>
    <row r="33" spans="1:9" x14ac:dyDescent="0.25">
      <c r="A33" s="124" t="s">
        <v>47</v>
      </c>
      <c r="B33" s="132" t="s">
        <v>234</v>
      </c>
      <c r="C33" s="126"/>
      <c r="D33" s="127">
        <f>'SEPT 21'!H33:H49</f>
        <v>1000</v>
      </c>
      <c r="E33" s="127">
        <v>2000</v>
      </c>
      <c r="F33" s="127">
        <f t="shared" si="4"/>
        <v>3000</v>
      </c>
      <c r="G33" s="133">
        <f>2000</f>
        <v>2000</v>
      </c>
      <c r="H33" s="25">
        <f>F33-G33</f>
        <v>1000</v>
      </c>
    </row>
    <row r="34" spans="1:9" x14ac:dyDescent="0.25">
      <c r="A34" s="124" t="s">
        <v>48</v>
      </c>
      <c r="B34" s="132" t="s">
        <v>37</v>
      </c>
      <c r="C34" s="126"/>
      <c r="D34" s="127">
        <f>'SEPT 21'!H34:H50</f>
        <v>2300</v>
      </c>
      <c r="E34" s="127">
        <v>2000</v>
      </c>
      <c r="F34" s="127">
        <f t="shared" si="4"/>
        <v>4300</v>
      </c>
      <c r="G34" s="128"/>
      <c r="H34" s="25">
        <f>F34-G34</f>
        <v>4300</v>
      </c>
    </row>
    <row r="35" spans="1:9" x14ac:dyDescent="0.25">
      <c r="A35" s="124" t="s">
        <v>49</v>
      </c>
      <c r="B35" s="132" t="s">
        <v>211</v>
      </c>
      <c r="C35" s="126"/>
      <c r="D35" s="127">
        <f>'SEPT 21'!H35:H51</f>
        <v>3200</v>
      </c>
      <c r="E35" s="127">
        <v>2000</v>
      </c>
      <c r="F35" s="127">
        <f t="shared" si="4"/>
        <v>5200</v>
      </c>
      <c r="G35" s="128">
        <v>2000</v>
      </c>
      <c r="H35" s="25">
        <f t="shared" si="3"/>
        <v>3200</v>
      </c>
      <c r="I35" s="68" t="s">
        <v>253</v>
      </c>
    </row>
    <row r="36" spans="1:9" x14ac:dyDescent="0.25">
      <c r="A36" s="124" t="s">
        <v>50</v>
      </c>
      <c r="B36" s="125" t="s">
        <v>246</v>
      </c>
      <c r="C36" s="126"/>
      <c r="D36" s="127">
        <f>'SEPT 21'!H36:H52</f>
        <v>0</v>
      </c>
      <c r="E36" s="127"/>
      <c r="F36" s="127">
        <f t="shared" si="4"/>
        <v>0</v>
      </c>
      <c r="G36" s="128"/>
      <c r="H36" s="25">
        <f t="shared" si="3"/>
        <v>0</v>
      </c>
    </row>
    <row r="37" spans="1:9" x14ac:dyDescent="0.25">
      <c r="A37" s="124" t="s">
        <v>51</v>
      </c>
      <c r="B37" s="125" t="s">
        <v>167</v>
      </c>
      <c r="C37" s="126"/>
      <c r="D37" s="127">
        <f>'SEPT 21'!H37:H53</f>
        <v>0</v>
      </c>
      <c r="E37" s="127">
        <v>2000</v>
      </c>
      <c r="F37" s="127">
        <f t="shared" si="4"/>
        <v>2000</v>
      </c>
      <c r="G37" s="128">
        <v>2000</v>
      </c>
      <c r="H37" s="25">
        <f t="shared" si="3"/>
        <v>0</v>
      </c>
    </row>
    <row r="38" spans="1:9" x14ac:dyDescent="0.25">
      <c r="A38" s="124" t="s">
        <v>52</v>
      </c>
      <c r="B38" s="125" t="s">
        <v>33</v>
      </c>
      <c r="C38" s="126"/>
      <c r="D38" s="127">
        <f>'SEPT 21'!H38:H54</f>
        <v>1000</v>
      </c>
      <c r="E38" s="127">
        <v>2500</v>
      </c>
      <c r="F38" s="127">
        <f t="shared" si="4"/>
        <v>3500</v>
      </c>
      <c r="G38" s="128">
        <v>2500</v>
      </c>
      <c r="H38" s="25">
        <f t="shared" si="3"/>
        <v>1000</v>
      </c>
    </row>
    <row r="39" spans="1:9" ht="30" x14ac:dyDescent="0.25">
      <c r="A39" s="124" t="s">
        <v>57</v>
      </c>
      <c r="B39" s="125" t="s">
        <v>107</v>
      </c>
      <c r="C39" s="126"/>
      <c r="D39" s="127">
        <f>'SEPT 21'!H39:H55</f>
        <v>0</v>
      </c>
      <c r="E39" s="127">
        <v>2000</v>
      </c>
      <c r="F39" s="127">
        <f t="shared" si="4"/>
        <v>2000</v>
      </c>
      <c r="G39" s="128">
        <v>2000</v>
      </c>
      <c r="H39" s="25">
        <f t="shared" si="3"/>
        <v>0</v>
      </c>
    </row>
    <row r="40" spans="1:9" x14ac:dyDescent="0.25">
      <c r="A40" s="124" t="s">
        <v>58</v>
      </c>
      <c r="B40" s="125" t="s">
        <v>233</v>
      </c>
      <c r="C40" s="126"/>
      <c r="D40" s="127">
        <f>'SEPT 21'!H40:H56</f>
        <v>0</v>
      </c>
      <c r="E40" s="127">
        <v>2000</v>
      </c>
      <c r="F40" s="128">
        <f t="shared" si="4"/>
        <v>2000</v>
      </c>
      <c r="G40" s="128">
        <v>2000</v>
      </c>
      <c r="H40" s="192">
        <f t="shared" si="3"/>
        <v>0</v>
      </c>
    </row>
    <row r="41" spans="1:9" x14ac:dyDescent="0.25">
      <c r="A41" s="124" t="s">
        <v>59</v>
      </c>
      <c r="B41" s="125" t="s">
        <v>245</v>
      </c>
      <c r="C41" s="126"/>
      <c r="D41" s="127">
        <f>'SEPT 21'!H41:H57</f>
        <v>0</v>
      </c>
      <c r="E41" s="127">
        <v>2000</v>
      </c>
      <c r="F41" s="127">
        <f t="shared" si="4"/>
        <v>2000</v>
      </c>
      <c r="G41" s="128">
        <v>2000</v>
      </c>
      <c r="H41" s="25">
        <f t="shared" si="3"/>
        <v>0</v>
      </c>
    </row>
    <row r="42" spans="1:9" x14ac:dyDescent="0.25">
      <c r="A42" s="124" t="s">
        <v>60</v>
      </c>
      <c r="B42" s="125" t="s">
        <v>38</v>
      </c>
      <c r="C42" s="126"/>
      <c r="D42" s="127">
        <f>'SEPT 21'!H42:H58</f>
        <v>2000</v>
      </c>
      <c r="E42" s="127">
        <v>2000</v>
      </c>
      <c r="F42" s="127">
        <f t="shared" si="4"/>
        <v>4000</v>
      </c>
      <c r="G42" s="128"/>
      <c r="H42" s="25">
        <f t="shared" si="3"/>
        <v>4000</v>
      </c>
    </row>
    <row r="43" spans="1:9" x14ac:dyDescent="0.25">
      <c r="A43" s="124" t="s">
        <v>61</v>
      </c>
      <c r="B43" s="125" t="s">
        <v>201</v>
      </c>
      <c r="C43" s="126"/>
      <c r="D43" s="127">
        <f>'SEPT 21'!H43:H59</f>
        <v>1550</v>
      </c>
      <c r="E43" s="127">
        <v>2000</v>
      </c>
      <c r="F43" s="127">
        <f t="shared" si="4"/>
        <v>3550</v>
      </c>
      <c r="G43" s="128">
        <f>1000+1000</f>
        <v>2000</v>
      </c>
      <c r="H43" s="25">
        <f t="shared" si="3"/>
        <v>1550</v>
      </c>
      <c r="I43" s="68" t="s">
        <v>253</v>
      </c>
    </row>
    <row r="44" spans="1:9" x14ac:dyDescent="0.25">
      <c r="A44" s="124" t="s">
        <v>62</v>
      </c>
      <c r="B44" s="125" t="s">
        <v>202</v>
      </c>
      <c r="C44" s="126"/>
      <c r="D44" s="127">
        <f>'SEPT 21'!H44:H60</f>
        <v>4300</v>
      </c>
      <c r="E44" s="127"/>
      <c r="F44" s="127">
        <f t="shared" si="4"/>
        <v>4300</v>
      </c>
      <c r="G44" s="128">
        <f>700+700</f>
        <v>1400</v>
      </c>
      <c r="H44" s="25">
        <f t="shared" si="3"/>
        <v>2900</v>
      </c>
    </row>
    <row r="45" spans="1:9" x14ac:dyDescent="0.25">
      <c r="A45" s="135"/>
      <c r="B45" s="136" t="s">
        <v>9</v>
      </c>
      <c r="C45" s="137">
        <f>SUM(C28:C40)</f>
        <v>0</v>
      </c>
      <c r="D45" s="127">
        <f>SUM(D29:D44)</f>
        <v>18350</v>
      </c>
      <c r="E45" s="138">
        <f>SUM(E29:E44)</f>
        <v>28500</v>
      </c>
      <c r="F45" s="138">
        <f>SUM(F29:F44)</f>
        <v>46850</v>
      </c>
      <c r="G45" s="139">
        <f>SUM(G28:G44)</f>
        <v>22700</v>
      </c>
      <c r="H45" s="41">
        <f>SUM(H28:H44)</f>
        <v>24150</v>
      </c>
    </row>
    <row r="46" spans="1:9" ht="29.25" customHeight="1" x14ac:dyDescent="0.25">
      <c r="A46" s="210" t="s">
        <v>10</v>
      </c>
      <c r="B46" s="210"/>
      <c r="C46" s="142"/>
      <c r="D46" s="127" t="str">
        <f>'SEPT 21'!H46:H62</f>
        <v>DR</v>
      </c>
      <c r="E46" s="143"/>
      <c r="F46" s="141"/>
      <c r="G46" s="141"/>
      <c r="H46" s="22" t="s">
        <v>13</v>
      </c>
      <c r="I46" s="21"/>
    </row>
    <row r="47" spans="1:9" s="199" customFormat="1" ht="20.25" customHeight="1" x14ac:dyDescent="0.25">
      <c r="A47" s="130" t="s">
        <v>11</v>
      </c>
      <c r="B47" s="130" t="s">
        <v>12</v>
      </c>
      <c r="C47" s="130" t="s">
        <v>13</v>
      </c>
      <c r="D47" s="127">
        <f>'SEPT 21'!H47:H63</f>
        <v>0</v>
      </c>
      <c r="E47" s="130"/>
      <c r="F47" s="130" t="s">
        <v>12</v>
      </c>
      <c r="G47" s="130"/>
      <c r="I47" s="200" t="s">
        <v>15</v>
      </c>
    </row>
    <row r="48" spans="1:9" x14ac:dyDescent="0.25">
      <c r="A48" s="24" t="s">
        <v>154</v>
      </c>
      <c r="B48" s="25">
        <f>E45+E26</f>
        <v>44000</v>
      </c>
      <c r="C48" s="26"/>
      <c r="D48" s="26"/>
      <c r="E48" s="26" t="s">
        <v>154</v>
      </c>
      <c r="F48" s="25">
        <f>G45+G26</f>
        <v>38300</v>
      </c>
      <c r="G48" s="25"/>
      <c r="H48" s="26"/>
      <c r="I48" s="25"/>
    </row>
    <row r="49" spans="1:9" x14ac:dyDescent="0.25">
      <c r="A49" s="24" t="s">
        <v>17</v>
      </c>
      <c r="B49" s="27">
        <v>0.1</v>
      </c>
      <c r="C49" s="28">
        <f>B49*B48</f>
        <v>4400</v>
      </c>
      <c r="D49" s="24"/>
      <c r="E49" s="24" t="s">
        <v>155</v>
      </c>
      <c r="F49" s="27">
        <v>0.1</v>
      </c>
      <c r="G49" s="27"/>
      <c r="H49" s="28">
        <f>F49*B48</f>
        <v>4400</v>
      </c>
      <c r="I49" s="25"/>
    </row>
    <row r="50" spans="1:9" x14ac:dyDescent="0.25">
      <c r="A50" s="29"/>
      <c r="B50" s="28"/>
      <c r="C50" s="24"/>
      <c r="D50" s="24"/>
      <c r="E50" s="24"/>
      <c r="F50" s="28"/>
      <c r="G50" s="28"/>
      <c r="H50" s="24"/>
      <c r="I50" s="25"/>
    </row>
    <row r="51" spans="1:9" x14ac:dyDescent="0.25">
      <c r="A51" s="24" t="s">
        <v>213</v>
      </c>
      <c r="B51" s="28">
        <f>700+3000</f>
        <v>3700</v>
      </c>
      <c r="C51" s="28"/>
      <c r="D51" s="24"/>
      <c r="E51" s="24" t="s">
        <v>213</v>
      </c>
      <c r="F51" s="28">
        <f>I26</f>
        <v>0</v>
      </c>
      <c r="G51" s="27"/>
      <c r="H51" s="28"/>
      <c r="I51" s="25"/>
    </row>
    <row r="52" spans="1:9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</row>
    <row r="53" spans="1:9" x14ac:dyDescent="0.25">
      <c r="A53" s="29" t="s">
        <v>19</v>
      </c>
      <c r="B53" s="28">
        <f>'SEPT 21'!D62</f>
        <v>0</v>
      </c>
      <c r="C53" s="24"/>
      <c r="D53" s="24"/>
      <c r="E53" s="24" t="s">
        <v>19</v>
      </c>
      <c r="F53" s="28">
        <f>'SEPT 21'!I62</f>
        <v>-13550</v>
      </c>
      <c r="G53" s="28"/>
      <c r="H53" s="24"/>
      <c r="I53" s="25"/>
    </row>
    <row r="54" spans="1:9" x14ac:dyDescent="0.25">
      <c r="A54" s="29" t="s">
        <v>9</v>
      </c>
      <c r="B54" s="28">
        <f>B48+B50+B53+B52</f>
        <v>44000</v>
      </c>
      <c r="C54" s="24"/>
      <c r="D54" s="24"/>
      <c r="E54" s="24" t="s">
        <v>9</v>
      </c>
      <c r="F54" s="28">
        <f>F48+F50+F53+F51</f>
        <v>24750</v>
      </c>
      <c r="G54" s="28"/>
      <c r="H54" s="24"/>
      <c r="I54" s="25"/>
    </row>
    <row r="55" spans="1:9" ht="22.5" customHeight="1" x14ac:dyDescent="0.25">
      <c r="A55" s="196" t="s">
        <v>20</v>
      </c>
      <c r="B55" s="27"/>
      <c r="C55" s="31"/>
      <c r="D55" s="24"/>
      <c r="E55" s="24"/>
      <c r="F55" s="196" t="s">
        <v>20</v>
      </c>
      <c r="G55" s="27"/>
      <c r="H55" s="31"/>
      <c r="I55" s="25"/>
    </row>
    <row r="56" spans="1:9" x14ac:dyDescent="0.25">
      <c r="A56" s="29"/>
      <c r="B56" s="26"/>
      <c r="C56" s="144"/>
      <c r="D56" s="24"/>
      <c r="E56" s="29"/>
      <c r="F56" s="26"/>
      <c r="G56" s="144"/>
      <c r="H56" s="144"/>
      <c r="I56" s="24"/>
    </row>
    <row r="57" spans="1:9" x14ac:dyDescent="0.25">
      <c r="A57" s="145" t="s">
        <v>180</v>
      </c>
      <c r="B57" s="26"/>
      <c r="C57" s="146">
        <v>2000</v>
      </c>
      <c r="D57" s="26"/>
      <c r="E57" s="26"/>
      <c r="F57" s="145"/>
      <c r="G57" s="26"/>
      <c r="H57" s="146"/>
      <c r="I57" s="25"/>
    </row>
    <row r="58" spans="1:9" x14ac:dyDescent="0.25">
      <c r="A58" s="145" t="s">
        <v>264</v>
      </c>
      <c r="C58" s="146">
        <v>38300</v>
      </c>
      <c r="D58" s="26"/>
      <c r="E58" s="145" t="s">
        <v>264</v>
      </c>
      <c r="G58" s="146"/>
      <c r="H58" s="146">
        <v>38300</v>
      </c>
      <c r="I58" s="25"/>
    </row>
    <row r="59" spans="1:9" x14ac:dyDescent="0.25">
      <c r="A59" s="145" t="s">
        <v>265</v>
      </c>
      <c r="B59" s="26"/>
      <c r="C59" s="146">
        <v>3000</v>
      </c>
      <c r="D59" s="26"/>
      <c r="E59" s="145" t="s">
        <v>265</v>
      </c>
      <c r="F59" s="26"/>
      <c r="G59" s="146"/>
      <c r="H59" s="146">
        <v>3000</v>
      </c>
      <c r="I59" s="25"/>
    </row>
    <row r="60" spans="1:9" x14ac:dyDescent="0.25">
      <c r="A60" s="145"/>
      <c r="B60" s="26"/>
      <c r="C60" s="146">
        <v>600</v>
      </c>
      <c r="D60" s="26"/>
      <c r="E60" s="145"/>
      <c r="F60" s="26"/>
      <c r="G60" s="146"/>
      <c r="H60" s="146"/>
      <c r="I60" s="25"/>
    </row>
    <row r="61" spans="1:9" x14ac:dyDescent="0.25">
      <c r="A61" s="145"/>
      <c r="B61" s="26"/>
      <c r="C61" s="146"/>
      <c r="D61" s="26"/>
      <c r="E61" s="26"/>
      <c r="F61" s="145"/>
      <c r="G61" s="26"/>
      <c r="H61" s="146"/>
      <c r="I61" s="25"/>
    </row>
    <row r="62" spans="1:9" x14ac:dyDescent="0.25">
      <c r="A62" s="39" t="s">
        <v>9</v>
      </c>
      <c r="B62" s="40">
        <f>B48+B50+B51+B52+B53-C49</f>
        <v>43300</v>
      </c>
      <c r="C62" s="41">
        <f>SUM(C56:C61)</f>
        <v>43900</v>
      </c>
      <c r="D62" s="41">
        <f>B62-C62</f>
        <v>-600</v>
      </c>
      <c r="E62" s="41"/>
      <c r="F62" s="40">
        <f>F48+F50+F53-H49-H51</f>
        <v>20350</v>
      </c>
      <c r="G62" s="40"/>
      <c r="H62" s="41">
        <f>SUM(H56:H61)</f>
        <v>41300</v>
      </c>
      <c r="I62" s="41">
        <f>F62-H62</f>
        <v>-20950</v>
      </c>
    </row>
    <row r="63" spans="1:9" ht="31.5" customHeight="1" x14ac:dyDescent="0.25">
      <c r="A63" s="211" t="s">
        <v>21</v>
      </c>
      <c r="B63" s="211"/>
      <c r="C63" s="211" t="s">
        <v>22</v>
      </c>
      <c r="D63" s="211"/>
      <c r="E63" s="211"/>
      <c r="F63" s="2"/>
      <c r="G63" s="211" t="s">
        <v>23</v>
      </c>
      <c r="H63" s="211"/>
      <c r="I63" s="211"/>
    </row>
    <row r="64" spans="1:9" ht="24" customHeight="1" x14ac:dyDescent="0.25">
      <c r="A64" s="204" t="s">
        <v>194</v>
      </c>
      <c r="B64" s="204"/>
      <c r="C64" s="204" t="s">
        <v>24</v>
      </c>
      <c r="D64" s="204"/>
      <c r="E64" s="204"/>
      <c r="F64" s="2"/>
      <c r="G64" s="2"/>
      <c r="H64" s="204" t="s">
        <v>26</v>
      </c>
      <c r="I64" s="204"/>
    </row>
  </sheetData>
  <mergeCells count="11">
    <mergeCell ref="A64:B64"/>
    <mergeCell ref="H64:I64"/>
    <mergeCell ref="C64:E64"/>
    <mergeCell ref="A1:I1"/>
    <mergeCell ref="A2:H2"/>
    <mergeCell ref="A3:I4"/>
    <mergeCell ref="A27:I27"/>
    <mergeCell ref="A46:B46"/>
    <mergeCell ref="A63:B63"/>
    <mergeCell ref="C63:E63"/>
    <mergeCell ref="G63:I63"/>
  </mergeCells>
  <conditionalFormatting sqref="B6:B25 B29:B44">
    <cfRule type="containsText" dxfId="5" priority="2" operator="containsText" text="VACCANT">
      <formula>NOT(ISERROR(SEARCH("VACCANT",B6)))</formula>
    </cfRule>
  </conditionalFormatting>
  <conditionalFormatting sqref="B6:B25 B29:B44">
    <cfRule type="notContainsText" dxfId="4" priority="1" operator="notContains" text="VACCANT">
      <formula>ISERROR(SEARCH("VACCANT",B6))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25" workbookViewId="0">
      <selection activeCell="A40" sqref="A40:XFD40"/>
    </sheetView>
  </sheetViews>
  <sheetFormatPr defaultRowHeight="15" x14ac:dyDescent="0.25"/>
  <cols>
    <col min="1" max="1" width="17.5703125" customWidth="1"/>
    <col min="2" max="2" width="28.85546875" customWidth="1"/>
    <col min="3" max="3" width="9.7109375" customWidth="1"/>
    <col min="5" max="5" width="11.7109375" customWidth="1"/>
    <col min="6" max="6" width="12.140625" customWidth="1"/>
    <col min="8" max="8" width="11.140625" customWidth="1"/>
  </cols>
  <sheetData>
    <row r="1" spans="1:9" ht="21" x14ac:dyDescent="0.25">
      <c r="A1" s="205" t="s">
        <v>26</v>
      </c>
      <c r="B1" s="205"/>
      <c r="C1" s="205"/>
      <c r="D1" s="205"/>
      <c r="E1" s="205"/>
      <c r="F1" s="205"/>
      <c r="G1" s="205"/>
      <c r="H1" s="205"/>
      <c r="I1" s="205"/>
    </row>
    <row r="2" spans="1:9" ht="18.75" x14ac:dyDescent="0.25">
      <c r="A2" s="206" t="s">
        <v>262</v>
      </c>
      <c r="B2" s="206"/>
      <c r="C2" s="206"/>
      <c r="D2" s="206"/>
      <c r="E2" s="206"/>
      <c r="F2" s="206"/>
      <c r="G2" s="206"/>
      <c r="H2" s="206"/>
      <c r="I2" s="148"/>
    </row>
    <row r="3" spans="1:9" x14ac:dyDescent="0.25">
      <c r="A3" s="207" t="s">
        <v>65</v>
      </c>
      <c r="B3" s="207"/>
      <c r="C3" s="207"/>
      <c r="D3" s="207"/>
      <c r="E3" s="207"/>
      <c r="F3" s="207"/>
      <c r="G3" s="207"/>
      <c r="H3" s="207"/>
      <c r="I3" s="207"/>
    </row>
    <row r="4" spans="1:9" x14ac:dyDescent="0.25">
      <c r="A4" s="208"/>
      <c r="B4" s="208"/>
      <c r="C4" s="208"/>
      <c r="D4" s="208"/>
      <c r="E4" s="208"/>
      <c r="F4" s="208"/>
      <c r="G4" s="208"/>
      <c r="H4" s="208"/>
      <c r="I4" s="208"/>
    </row>
    <row r="5" spans="1:9" s="199" customFormat="1" x14ac:dyDescent="0.25">
      <c r="A5" s="196" t="s">
        <v>1</v>
      </c>
      <c r="B5" s="196" t="s">
        <v>2</v>
      </c>
      <c r="C5" s="196" t="s">
        <v>3</v>
      </c>
      <c r="D5" s="196" t="s">
        <v>4</v>
      </c>
      <c r="E5" s="196" t="s">
        <v>5</v>
      </c>
      <c r="F5" s="197" t="s">
        <v>6</v>
      </c>
      <c r="G5" s="196" t="s">
        <v>7</v>
      </c>
      <c r="H5" s="198" t="s">
        <v>8</v>
      </c>
      <c r="I5" s="198" t="s">
        <v>213</v>
      </c>
    </row>
    <row r="6" spans="1:9" x14ac:dyDescent="0.25">
      <c r="A6" s="124" t="s">
        <v>66</v>
      </c>
      <c r="B6" s="188" t="s">
        <v>103</v>
      </c>
      <c r="C6" s="126"/>
      <c r="D6" s="127">
        <f>'OCTOBER 21'!H6:H25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128"/>
    </row>
    <row r="7" spans="1:9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v>3000</v>
      </c>
      <c r="H7" s="25">
        <f t="shared" si="0"/>
        <v>3000</v>
      </c>
      <c r="I7" s="127"/>
    </row>
    <row r="8" spans="1:9" x14ac:dyDescent="0.25">
      <c r="A8" s="124" t="s">
        <v>67</v>
      </c>
      <c r="B8" s="24" t="s">
        <v>218</v>
      </c>
      <c r="C8" s="126"/>
      <c r="D8" s="127">
        <f>'OCTOBER 21'!H8:H27</f>
        <v>0</v>
      </c>
      <c r="E8" s="127"/>
      <c r="F8" s="127">
        <f t="shared" si="1"/>
        <v>0</v>
      </c>
      <c r="G8" s="26"/>
      <c r="H8" s="25">
        <f t="shared" si="0"/>
        <v>0</v>
      </c>
      <c r="I8" s="26">
        <v>300</v>
      </c>
    </row>
    <row r="9" spans="1:9" x14ac:dyDescent="0.25">
      <c r="A9" s="129" t="s">
        <v>72</v>
      </c>
      <c r="B9" s="189" t="s">
        <v>103</v>
      </c>
      <c r="C9" s="126"/>
      <c r="D9" s="127">
        <f>'OCTOBER 21'!H9:H28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</row>
    <row r="10" spans="1:9" x14ac:dyDescent="0.25">
      <c r="A10" s="130" t="s">
        <v>68</v>
      </c>
      <c r="B10" s="188" t="s">
        <v>40</v>
      </c>
      <c r="C10" s="126"/>
      <c r="D10" s="127">
        <f>'OCTOBER 21'!H10:H29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</row>
    <row r="11" spans="1:9" x14ac:dyDescent="0.25">
      <c r="A11" s="131" t="s">
        <v>73</v>
      </c>
      <c r="B11" s="190" t="s">
        <v>40</v>
      </c>
      <c r="C11" s="126"/>
      <c r="D11" s="127">
        <f>'OCTOBER 21'!H11:H30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</row>
    <row r="12" spans="1:9" x14ac:dyDescent="0.25">
      <c r="A12" s="124" t="s">
        <v>69</v>
      </c>
      <c r="B12" s="132" t="s">
        <v>229</v>
      </c>
      <c r="C12" s="126"/>
      <c r="D12" s="127">
        <f>'OCTOBER 21'!H12:H31</f>
        <v>400</v>
      </c>
      <c r="E12" s="127">
        <v>3500</v>
      </c>
      <c r="F12" s="127">
        <f t="shared" si="1"/>
        <v>3900</v>
      </c>
      <c r="G12" s="128"/>
      <c r="H12" s="25">
        <f t="shared" si="0"/>
        <v>3900</v>
      </c>
      <c r="I12" s="128"/>
    </row>
    <row r="13" spans="1:9" x14ac:dyDescent="0.25">
      <c r="A13" s="124" t="s">
        <v>74</v>
      </c>
      <c r="B13" s="132" t="s">
        <v>87</v>
      </c>
      <c r="C13" s="126"/>
      <c r="D13" s="127">
        <f>'OCTOBER 21'!H13:H32</f>
        <v>0</v>
      </c>
      <c r="E13" s="127">
        <v>4000</v>
      </c>
      <c r="F13" s="127">
        <f t="shared" si="1"/>
        <v>4000</v>
      </c>
      <c r="G13" s="128">
        <v>4000</v>
      </c>
      <c r="H13" s="25">
        <f t="shared" si="0"/>
        <v>0</v>
      </c>
      <c r="I13" s="128"/>
    </row>
    <row r="14" spans="1:9" x14ac:dyDescent="0.25">
      <c r="A14" s="124" t="s">
        <v>70</v>
      </c>
      <c r="B14" s="190"/>
      <c r="C14" s="126"/>
      <c r="D14" s="127">
        <f>'OCTOBER 21'!H14:H33</f>
        <v>0</v>
      </c>
      <c r="E14" s="127"/>
      <c r="F14" s="127"/>
      <c r="G14" s="128"/>
      <c r="H14" s="25"/>
      <c r="I14" s="128"/>
    </row>
    <row r="15" spans="1:9" x14ac:dyDescent="0.25">
      <c r="A15" s="124" t="s">
        <v>75</v>
      </c>
      <c r="B15" s="190" t="s">
        <v>103</v>
      </c>
      <c r="C15" s="126"/>
      <c r="D15" s="127">
        <f>'OCTOBER 21'!H15:H34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</row>
    <row r="16" spans="1:9" x14ac:dyDescent="0.25">
      <c r="A16" s="124" t="s">
        <v>76</v>
      </c>
      <c r="B16" s="190" t="s">
        <v>103</v>
      </c>
      <c r="C16" s="126"/>
      <c r="D16" s="127">
        <f>'OCTOBER 21'!H16:H35</f>
        <v>0</v>
      </c>
      <c r="E16" s="127"/>
      <c r="F16" s="127">
        <f t="shared" si="1"/>
        <v>0</v>
      </c>
      <c r="G16" s="128"/>
      <c r="H16" s="25">
        <f>F16-G16</f>
        <v>0</v>
      </c>
      <c r="I16" s="128"/>
    </row>
    <row r="17" spans="1:12" x14ac:dyDescent="0.25">
      <c r="A17" s="124" t="s">
        <v>77</v>
      </c>
      <c r="B17" s="190" t="s">
        <v>103</v>
      </c>
      <c r="C17" s="126"/>
      <c r="D17" s="127">
        <f>'OCTOBER 21'!H17:H36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L17" s="65">
        <f>E26</f>
        <v>15500</v>
      </c>
    </row>
    <row r="18" spans="1:12" x14ac:dyDescent="0.25">
      <c r="A18" s="124" t="s">
        <v>78</v>
      </c>
      <c r="B18" s="132" t="s">
        <v>88</v>
      </c>
      <c r="C18" s="126"/>
      <c r="D18" s="127">
        <f>'OCTOBER 21'!H18:H37</f>
        <v>0</v>
      </c>
      <c r="E18" s="127">
        <v>5000</v>
      </c>
      <c r="F18" s="127">
        <f t="shared" si="1"/>
        <v>5000</v>
      </c>
      <c r="G18" s="128">
        <v>3000</v>
      </c>
      <c r="H18" s="25">
        <f t="shared" si="0"/>
        <v>2000</v>
      </c>
      <c r="I18" s="128"/>
      <c r="L18" s="65">
        <f>E45</f>
        <v>30500</v>
      </c>
    </row>
    <row r="19" spans="1:12" x14ac:dyDescent="0.25">
      <c r="A19" s="124" t="s">
        <v>79</v>
      </c>
      <c r="B19" s="132" t="s">
        <v>148</v>
      </c>
      <c r="C19" s="126"/>
      <c r="D19" s="127">
        <f>'OCTOBER 21'!H19:H38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L19" s="65">
        <f>L17+L18</f>
        <v>46000</v>
      </c>
    </row>
    <row r="20" spans="1:12" x14ac:dyDescent="0.25">
      <c r="A20" s="124" t="s">
        <v>80</v>
      </c>
      <c r="B20" s="190" t="s">
        <v>103</v>
      </c>
      <c r="C20" s="126"/>
      <c r="D20" s="127">
        <f>'OCTOBER 21'!H20:H39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K20" t="s">
        <v>171</v>
      </c>
      <c r="L20" s="65">
        <f>C49</f>
        <v>4600</v>
      </c>
    </row>
    <row r="21" spans="1:12" x14ac:dyDescent="0.25">
      <c r="A21" s="124" t="s">
        <v>81</v>
      </c>
      <c r="B21" s="132"/>
      <c r="C21" s="126"/>
      <c r="D21" s="127">
        <f>'OCTOBER 21'!H21:H40</f>
        <v>0</v>
      </c>
      <c r="E21" s="127"/>
      <c r="F21" s="127">
        <f>C21+D21+E21</f>
        <v>0</v>
      </c>
      <c r="G21" s="128"/>
      <c r="H21" s="25">
        <f>F21-G21</f>
        <v>0</v>
      </c>
      <c r="I21" s="128"/>
      <c r="L21" s="65">
        <f>L19-L20</f>
        <v>41400</v>
      </c>
    </row>
    <row r="22" spans="1:12" x14ac:dyDescent="0.25">
      <c r="A22" s="124" t="s">
        <v>82</v>
      </c>
      <c r="B22" s="190" t="s">
        <v>103</v>
      </c>
      <c r="C22" s="126"/>
      <c r="D22" s="127">
        <f>'OCTOBER 21'!H22:H41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K22" t="s">
        <v>180</v>
      </c>
      <c r="L22">
        <v>600</v>
      </c>
    </row>
    <row r="23" spans="1:12" x14ac:dyDescent="0.25">
      <c r="A23" s="124" t="s">
        <v>83</v>
      </c>
      <c r="B23" s="190" t="s">
        <v>103</v>
      </c>
      <c r="C23" s="126"/>
      <c r="D23" s="127">
        <f>'OCTOBER 21'!H23:H42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L23" s="65">
        <f>L21-L22</f>
        <v>40800</v>
      </c>
    </row>
    <row r="24" spans="1:12" x14ac:dyDescent="0.25">
      <c r="A24" s="124" t="s">
        <v>84</v>
      </c>
      <c r="B24" s="190" t="s">
        <v>103</v>
      </c>
      <c r="C24" s="126"/>
      <c r="D24" s="127">
        <f>'OCTOBER 21'!H24:H43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</row>
    <row r="25" spans="1:12" x14ac:dyDescent="0.25">
      <c r="A25" s="124" t="s">
        <v>85</v>
      </c>
      <c r="B25" s="190" t="s">
        <v>103</v>
      </c>
      <c r="C25" s="126"/>
      <c r="D25" s="127">
        <f>'OCTOBER 21'!H25:H44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L25" s="65"/>
    </row>
    <row r="26" spans="1:12" x14ac:dyDescent="0.25">
      <c r="A26" s="135"/>
      <c r="B26" s="136" t="s">
        <v>9</v>
      </c>
      <c r="C26" s="137">
        <f t="shared" ref="C26:H26" si="2">SUM(C6:C25)</f>
        <v>3000</v>
      </c>
      <c r="D26" s="127">
        <f>SUM(D6:D25)</f>
        <v>400</v>
      </c>
      <c r="E26" s="138">
        <f t="shared" si="2"/>
        <v>15500</v>
      </c>
      <c r="F26" s="138">
        <f t="shared" si="2"/>
        <v>18900</v>
      </c>
      <c r="G26" s="139">
        <f t="shared" si="2"/>
        <v>10000</v>
      </c>
      <c r="H26" s="140">
        <f t="shared" si="2"/>
        <v>8900</v>
      </c>
      <c r="I26" s="139">
        <f>SUM(I6:I25)</f>
        <v>300</v>
      </c>
    </row>
    <row r="27" spans="1:12" ht="24.75" customHeight="1" x14ac:dyDescent="0.25">
      <c r="A27" s="209" t="s">
        <v>28</v>
      </c>
      <c r="B27" s="209"/>
      <c r="C27" s="209"/>
      <c r="D27" s="209"/>
      <c r="E27" s="209"/>
      <c r="F27" s="209"/>
      <c r="G27" s="209"/>
      <c r="H27" s="209"/>
      <c r="I27" s="209"/>
    </row>
    <row r="28" spans="1:12" s="119" customFormat="1" ht="23.25" customHeight="1" x14ac:dyDescent="0.25">
      <c r="A28" s="202"/>
      <c r="B28" s="203"/>
      <c r="C28" s="203"/>
      <c r="D28" s="138" t="s">
        <v>198</v>
      </c>
      <c r="E28" s="138" t="s">
        <v>5</v>
      </c>
      <c r="F28" s="138" t="s">
        <v>6</v>
      </c>
      <c r="G28" s="138" t="s">
        <v>7</v>
      </c>
      <c r="H28" s="201" t="s">
        <v>15</v>
      </c>
    </row>
    <row r="29" spans="1:12" x14ac:dyDescent="0.25">
      <c r="A29" s="124" t="s">
        <v>43</v>
      </c>
      <c r="B29" s="125" t="s">
        <v>113</v>
      </c>
      <c r="C29" s="126">
        <f>'AUGUST 20'!I29:I44</f>
        <v>0</v>
      </c>
      <c r="D29" s="127">
        <f>'OCTOBER 21'!H29:H44</f>
        <v>500</v>
      </c>
      <c r="E29" s="127">
        <v>2000</v>
      </c>
      <c r="F29" s="127">
        <f>C28+D29+E29</f>
        <v>2500</v>
      </c>
      <c r="G29" s="127">
        <f>1000+500+500</f>
        <v>2000</v>
      </c>
      <c r="H29" s="25">
        <f t="shared" ref="H29:H44" si="3">F29-G29</f>
        <v>500</v>
      </c>
    </row>
    <row r="30" spans="1:12" x14ac:dyDescent="0.25">
      <c r="A30" s="124" t="s">
        <v>44</v>
      </c>
      <c r="B30" s="24" t="s">
        <v>138</v>
      </c>
      <c r="C30" s="126"/>
      <c r="D30" s="127">
        <f>'OCTOBER 21'!H30:H45</f>
        <v>0</v>
      </c>
      <c r="E30" s="127">
        <v>2000</v>
      </c>
      <c r="F30" s="127">
        <f>C29+D30+E30</f>
        <v>2000</v>
      </c>
      <c r="G30" s="26">
        <v>2000</v>
      </c>
      <c r="H30" s="25">
        <f t="shared" si="3"/>
        <v>0</v>
      </c>
    </row>
    <row r="31" spans="1:12" x14ac:dyDescent="0.25">
      <c r="A31" s="124" t="s">
        <v>45</v>
      </c>
      <c r="B31" s="125" t="s">
        <v>251</v>
      </c>
      <c r="C31" s="126"/>
      <c r="D31" s="127">
        <f>'OCTOBER 21'!H31:H46</f>
        <v>1700</v>
      </c>
      <c r="E31" s="127">
        <v>2000</v>
      </c>
      <c r="F31" s="127">
        <f t="shared" ref="F31:F44" si="4">C31+D31+E31</f>
        <v>3700</v>
      </c>
      <c r="G31" s="25">
        <v>2000</v>
      </c>
      <c r="H31" s="25">
        <f>F31-G31</f>
        <v>1700</v>
      </c>
    </row>
    <row r="32" spans="1:12" x14ac:dyDescent="0.25">
      <c r="A32" s="124" t="s">
        <v>46</v>
      </c>
      <c r="B32" s="125" t="s">
        <v>31</v>
      </c>
      <c r="C32" s="126"/>
      <c r="D32" s="127">
        <f>'OCTOBER 21'!H32:H47</f>
        <v>4000</v>
      </c>
      <c r="E32" s="127">
        <v>2000</v>
      </c>
      <c r="F32" s="127">
        <f t="shared" si="4"/>
        <v>6000</v>
      </c>
      <c r="G32" s="128">
        <v>5000</v>
      </c>
      <c r="H32" s="25">
        <f>F32-G32</f>
        <v>1000</v>
      </c>
      <c r="I32" t="s">
        <v>271</v>
      </c>
    </row>
    <row r="33" spans="1:9" x14ac:dyDescent="0.25">
      <c r="A33" s="124" t="s">
        <v>47</v>
      </c>
      <c r="B33" s="132" t="s">
        <v>234</v>
      </c>
      <c r="C33" s="126"/>
      <c r="D33" s="127">
        <f>'OCTOBER 21'!H33:H48</f>
        <v>1000</v>
      </c>
      <c r="E33" s="127">
        <v>2000</v>
      </c>
      <c r="F33" s="127">
        <f t="shared" si="4"/>
        <v>3000</v>
      </c>
      <c r="G33" s="133">
        <v>2200</v>
      </c>
      <c r="H33" s="25">
        <f>F33-G33</f>
        <v>800</v>
      </c>
    </row>
    <row r="34" spans="1:9" x14ac:dyDescent="0.25">
      <c r="A34" s="124" t="s">
        <v>48</v>
      </c>
      <c r="B34" s="132" t="s">
        <v>37</v>
      </c>
      <c r="C34" s="126"/>
      <c r="D34" s="127">
        <f>'OCTOBER 21'!H34:H49</f>
        <v>4300</v>
      </c>
      <c r="E34" s="127">
        <v>2000</v>
      </c>
      <c r="F34" s="127">
        <f t="shared" si="4"/>
        <v>6300</v>
      </c>
      <c r="G34" s="128"/>
      <c r="H34" s="25">
        <f>F34-G34</f>
        <v>6300</v>
      </c>
    </row>
    <row r="35" spans="1:9" x14ac:dyDescent="0.25">
      <c r="A35" s="124" t="s">
        <v>49</v>
      </c>
      <c r="B35" s="132" t="s">
        <v>211</v>
      </c>
      <c r="C35" s="126"/>
      <c r="D35" s="127">
        <f>'OCTOBER 21'!H35:H50</f>
        <v>3200</v>
      </c>
      <c r="E35" s="127">
        <v>2000</v>
      </c>
      <c r="F35" s="127">
        <f t="shared" si="4"/>
        <v>5200</v>
      </c>
      <c r="G35" s="128"/>
      <c r="H35" s="25">
        <f t="shared" si="3"/>
        <v>5200</v>
      </c>
      <c r="I35" s="68" t="s">
        <v>253</v>
      </c>
    </row>
    <row r="36" spans="1:9" x14ac:dyDescent="0.25">
      <c r="A36" s="124" t="s">
        <v>50</v>
      </c>
      <c r="B36" s="125" t="s">
        <v>103</v>
      </c>
      <c r="C36" s="126"/>
      <c r="D36" s="127">
        <f>'OCTOBER 21'!H36:H51</f>
        <v>0</v>
      </c>
      <c r="E36" s="127"/>
      <c r="F36" s="127">
        <f t="shared" si="4"/>
        <v>0</v>
      </c>
      <c r="G36" s="128"/>
      <c r="H36" s="25">
        <f t="shared" si="3"/>
        <v>0</v>
      </c>
    </row>
    <row r="37" spans="1:9" x14ac:dyDescent="0.25">
      <c r="A37" s="124" t="s">
        <v>51</v>
      </c>
      <c r="B37" s="125" t="s">
        <v>167</v>
      </c>
      <c r="C37" s="126"/>
      <c r="D37" s="127">
        <f>'OCTOBER 21'!H37:H52</f>
        <v>0</v>
      </c>
      <c r="E37" s="127">
        <v>2000</v>
      </c>
      <c r="F37" s="127">
        <f t="shared" si="4"/>
        <v>2000</v>
      </c>
      <c r="G37" s="128">
        <f>1500+400</f>
        <v>1900</v>
      </c>
      <c r="H37" s="25">
        <f t="shared" si="3"/>
        <v>100</v>
      </c>
    </row>
    <row r="38" spans="1:9" x14ac:dyDescent="0.25">
      <c r="A38" s="124" t="s">
        <v>52</v>
      </c>
      <c r="B38" s="125" t="s">
        <v>33</v>
      </c>
      <c r="C38" s="126"/>
      <c r="D38" s="127">
        <f>'OCTOBER 21'!H38:H53</f>
        <v>1000</v>
      </c>
      <c r="E38" s="127">
        <v>2500</v>
      </c>
      <c r="F38" s="127">
        <f t="shared" si="4"/>
        <v>3500</v>
      </c>
      <c r="G38" s="128">
        <v>2000</v>
      </c>
      <c r="H38" s="25">
        <f t="shared" si="3"/>
        <v>1500</v>
      </c>
    </row>
    <row r="39" spans="1:9" ht="30" x14ac:dyDescent="0.25">
      <c r="A39" s="124" t="s">
        <v>57</v>
      </c>
      <c r="B39" s="125" t="s">
        <v>107</v>
      </c>
      <c r="C39" s="126"/>
      <c r="D39" s="127">
        <f>'OCTOBER 21'!H39:H54</f>
        <v>0</v>
      </c>
      <c r="E39" s="127">
        <v>2000</v>
      </c>
      <c r="F39" s="127">
        <f t="shared" si="4"/>
        <v>2000</v>
      </c>
      <c r="G39" s="128">
        <v>2000</v>
      </c>
      <c r="H39" s="25">
        <f t="shared" si="3"/>
        <v>0</v>
      </c>
    </row>
    <row r="40" spans="1:9" x14ac:dyDescent="0.25">
      <c r="A40" s="124" t="s">
        <v>58</v>
      </c>
      <c r="B40" s="125" t="s">
        <v>233</v>
      </c>
      <c r="C40" s="126"/>
      <c r="D40" s="127">
        <f>'OCTOBER 21'!H40:H55</f>
        <v>0</v>
      </c>
      <c r="E40" s="127">
        <v>2000</v>
      </c>
      <c r="F40" s="128">
        <f t="shared" si="4"/>
        <v>2000</v>
      </c>
      <c r="G40" s="128">
        <v>2000</v>
      </c>
      <c r="H40" s="192">
        <f t="shared" si="3"/>
        <v>0</v>
      </c>
    </row>
    <row r="41" spans="1:9" x14ac:dyDescent="0.25">
      <c r="A41" s="124" t="s">
        <v>59</v>
      </c>
      <c r="B41" s="125" t="s">
        <v>245</v>
      </c>
      <c r="C41" s="126"/>
      <c r="D41" s="127">
        <f>'OCTOBER 21'!H41:H56</f>
        <v>0</v>
      </c>
      <c r="E41" s="127">
        <v>2000</v>
      </c>
      <c r="F41" s="127">
        <f t="shared" si="4"/>
        <v>2000</v>
      </c>
      <c r="G41" s="128"/>
      <c r="H41" s="25">
        <f t="shared" si="3"/>
        <v>2000</v>
      </c>
    </row>
    <row r="42" spans="1:9" x14ac:dyDescent="0.25">
      <c r="A42" s="124" t="s">
        <v>60</v>
      </c>
      <c r="B42" s="125" t="s">
        <v>38</v>
      </c>
      <c r="C42" s="126"/>
      <c r="D42" s="127">
        <f>'OCTOBER 21'!H42:H57</f>
        <v>4000</v>
      </c>
      <c r="E42" s="127">
        <v>2000</v>
      </c>
      <c r="F42" s="127">
        <f t="shared" si="4"/>
        <v>6000</v>
      </c>
      <c r="G42" s="128">
        <f>1500+2000</f>
        <v>3500</v>
      </c>
      <c r="H42" s="25">
        <f t="shared" si="3"/>
        <v>2500</v>
      </c>
    </row>
    <row r="43" spans="1:9" x14ac:dyDescent="0.25">
      <c r="A43" s="124" t="s">
        <v>61</v>
      </c>
      <c r="B43" s="125" t="s">
        <v>201</v>
      </c>
      <c r="C43" s="126"/>
      <c r="D43" s="127">
        <f>'OCTOBER 21'!H43:H58</f>
        <v>1550</v>
      </c>
      <c r="E43" s="127">
        <v>2000</v>
      </c>
      <c r="F43" s="127">
        <f t="shared" si="4"/>
        <v>3550</v>
      </c>
      <c r="G43" s="128"/>
      <c r="H43" s="25">
        <f t="shared" si="3"/>
        <v>3550</v>
      </c>
      <c r="I43" s="68" t="s">
        <v>253</v>
      </c>
    </row>
    <row r="44" spans="1:9" x14ac:dyDescent="0.25">
      <c r="A44" s="124" t="s">
        <v>62</v>
      </c>
      <c r="B44" s="125" t="s">
        <v>267</v>
      </c>
      <c r="C44" s="126"/>
      <c r="D44" s="127"/>
      <c r="E44" s="127">
        <v>2000</v>
      </c>
      <c r="F44" s="127">
        <f t="shared" si="4"/>
        <v>2000</v>
      </c>
      <c r="G44" s="128">
        <v>2000</v>
      </c>
      <c r="H44" s="25">
        <f t="shared" si="3"/>
        <v>0</v>
      </c>
    </row>
    <row r="45" spans="1:9" x14ac:dyDescent="0.25">
      <c r="A45" s="135"/>
      <c r="B45" s="136" t="s">
        <v>9</v>
      </c>
      <c r="C45" s="137">
        <f>SUM(C28:C40)</f>
        <v>0</v>
      </c>
      <c r="D45" s="127">
        <f>SUM(D29:D44)</f>
        <v>21250</v>
      </c>
      <c r="E45" s="138">
        <f>SUM(E29:E44)</f>
        <v>30500</v>
      </c>
      <c r="F45" s="138">
        <f>SUM(F29:F44)</f>
        <v>51750</v>
      </c>
      <c r="G45" s="139">
        <f>SUM(G28:G44)</f>
        <v>26600</v>
      </c>
      <c r="H45" s="41">
        <f>SUM(H28:H44)</f>
        <v>25150</v>
      </c>
    </row>
    <row r="46" spans="1:9" ht="15.75" x14ac:dyDescent="0.25">
      <c r="A46" s="210" t="s">
        <v>10</v>
      </c>
      <c r="B46" s="210"/>
      <c r="C46" s="142"/>
      <c r="D46" s="127">
        <f>'MAY21'!I46:I64</f>
        <v>0</v>
      </c>
      <c r="E46" s="143"/>
      <c r="F46" s="141"/>
      <c r="G46" s="141"/>
      <c r="H46" s="22" t="s">
        <v>13</v>
      </c>
      <c r="I46" s="21"/>
    </row>
    <row r="47" spans="1:9" s="199" customFormat="1" x14ac:dyDescent="0.25">
      <c r="A47" s="130" t="s">
        <v>11</v>
      </c>
      <c r="B47" s="130" t="s">
        <v>12</v>
      </c>
      <c r="C47" s="130" t="s">
        <v>13</v>
      </c>
      <c r="D47" s="130" t="s">
        <v>14</v>
      </c>
      <c r="E47" s="130"/>
      <c r="F47" s="130" t="s">
        <v>12</v>
      </c>
      <c r="G47" s="130"/>
      <c r="I47" s="200" t="s">
        <v>15</v>
      </c>
    </row>
    <row r="48" spans="1:9" x14ac:dyDescent="0.25">
      <c r="A48" s="24" t="s">
        <v>263</v>
      </c>
      <c r="B48" s="25">
        <f>E45+E26</f>
        <v>46000</v>
      </c>
      <c r="C48" s="26"/>
      <c r="D48" s="26"/>
      <c r="E48" s="26" t="s">
        <v>263</v>
      </c>
      <c r="F48" s="25">
        <f>G45+G26</f>
        <v>36600</v>
      </c>
      <c r="G48" s="25"/>
      <c r="H48" s="26"/>
      <c r="I48" s="25"/>
    </row>
    <row r="49" spans="1:9" x14ac:dyDescent="0.25">
      <c r="A49" s="24" t="s">
        <v>17</v>
      </c>
      <c r="B49" s="27">
        <v>0.1</v>
      </c>
      <c r="C49" s="28">
        <f>B49*B48</f>
        <v>4600</v>
      </c>
      <c r="D49" s="24"/>
      <c r="E49" s="24" t="s">
        <v>155</v>
      </c>
      <c r="F49" s="27">
        <v>0.1</v>
      </c>
      <c r="G49" s="27"/>
      <c r="H49" s="28">
        <f>F49*B48</f>
        <v>4600</v>
      </c>
      <c r="I49" s="25"/>
    </row>
    <row r="50" spans="1:9" x14ac:dyDescent="0.25">
      <c r="A50" s="29"/>
      <c r="B50" s="28"/>
      <c r="C50" s="24"/>
      <c r="D50" s="24"/>
      <c r="E50" s="24"/>
      <c r="F50" s="28"/>
      <c r="G50" s="28"/>
      <c r="H50" s="24"/>
      <c r="I50" s="25"/>
    </row>
    <row r="51" spans="1:9" x14ac:dyDescent="0.25">
      <c r="A51" s="24" t="s">
        <v>213</v>
      </c>
      <c r="B51" s="28"/>
      <c r="C51" s="28"/>
      <c r="D51" s="24"/>
      <c r="E51" s="24" t="s">
        <v>213</v>
      </c>
      <c r="F51" s="28">
        <f>I26</f>
        <v>300</v>
      </c>
      <c r="G51" s="27"/>
      <c r="H51" s="28"/>
      <c r="I51" s="25"/>
    </row>
    <row r="52" spans="1:9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</row>
    <row r="53" spans="1:9" x14ac:dyDescent="0.25">
      <c r="A53" s="29" t="s">
        <v>19</v>
      </c>
      <c r="B53" s="28">
        <f>'OCTOBER 21'!D62</f>
        <v>-600</v>
      </c>
      <c r="C53" s="24"/>
      <c r="D53" s="24"/>
      <c r="E53" s="24" t="s">
        <v>19</v>
      </c>
      <c r="F53" s="28">
        <f>'OCTOBER 21'!I62</f>
        <v>-20950</v>
      </c>
      <c r="G53" s="28"/>
      <c r="H53" s="24"/>
      <c r="I53" s="25"/>
    </row>
    <row r="54" spans="1:9" x14ac:dyDescent="0.25">
      <c r="A54" s="29" t="s">
        <v>9</v>
      </c>
      <c r="B54" s="28">
        <f>B48+B50+B53+B52</f>
        <v>45400</v>
      </c>
      <c r="C54" s="24"/>
      <c r="D54" s="24"/>
      <c r="E54" s="24" t="s">
        <v>9</v>
      </c>
      <c r="F54" s="28">
        <f>F48+F50+F53+F51</f>
        <v>15950</v>
      </c>
      <c r="G54" s="28"/>
      <c r="H54" s="24"/>
      <c r="I54" s="25"/>
    </row>
    <row r="55" spans="1:9" x14ac:dyDescent="0.25">
      <c r="A55" s="196" t="s">
        <v>20</v>
      </c>
      <c r="B55" s="27"/>
      <c r="C55" s="31"/>
      <c r="D55" s="24"/>
      <c r="E55" s="24"/>
      <c r="F55" s="196" t="s">
        <v>20</v>
      </c>
      <c r="G55" s="27"/>
      <c r="H55" s="31"/>
      <c r="I55" s="25"/>
    </row>
    <row r="56" spans="1:9" x14ac:dyDescent="0.25">
      <c r="B56" s="29"/>
      <c r="C56" s="144"/>
      <c r="D56" s="24"/>
      <c r="E56" s="29"/>
      <c r="F56" s="26" t="s">
        <v>144</v>
      </c>
      <c r="G56" s="144"/>
      <c r="H56" s="144"/>
      <c r="I56" s="24"/>
    </row>
    <row r="57" spans="1:9" x14ac:dyDescent="0.25">
      <c r="A57" s="145" t="s">
        <v>266</v>
      </c>
      <c r="B57" s="26"/>
      <c r="C57" s="146">
        <v>40800</v>
      </c>
      <c r="D57" s="26"/>
      <c r="E57" s="145" t="s">
        <v>266</v>
      </c>
      <c r="F57" s="26"/>
      <c r="G57" s="146"/>
      <c r="H57" s="146">
        <v>40800</v>
      </c>
      <c r="I57" s="25"/>
    </row>
    <row r="58" spans="1:9" x14ac:dyDescent="0.25">
      <c r="A58" s="145" t="s">
        <v>178</v>
      </c>
      <c r="B58" s="26"/>
      <c r="C58" s="146">
        <v>3000</v>
      </c>
      <c r="D58" s="26"/>
      <c r="E58" s="145" t="s">
        <v>178</v>
      </c>
      <c r="F58" s="26"/>
      <c r="G58" s="146"/>
      <c r="H58" s="146">
        <v>3000</v>
      </c>
      <c r="I58" s="25"/>
    </row>
    <row r="59" spans="1:9" x14ac:dyDescent="0.25">
      <c r="A59" s="145" t="s">
        <v>269</v>
      </c>
      <c r="B59" s="26"/>
      <c r="C59" s="146">
        <v>10000</v>
      </c>
      <c r="D59" s="26"/>
      <c r="E59" s="145" t="s">
        <v>269</v>
      </c>
      <c r="F59" s="26"/>
      <c r="G59" s="146"/>
      <c r="H59" s="146">
        <v>10000</v>
      </c>
      <c r="I59" s="25"/>
    </row>
    <row r="60" spans="1:9" x14ac:dyDescent="0.25">
      <c r="A60" s="145" t="s">
        <v>270</v>
      </c>
      <c r="B60" s="26"/>
      <c r="C60" s="146">
        <v>2000</v>
      </c>
      <c r="D60" s="26"/>
      <c r="E60" s="145" t="s">
        <v>270</v>
      </c>
      <c r="F60" s="26"/>
      <c r="G60" s="146"/>
      <c r="H60" s="146">
        <v>2000</v>
      </c>
      <c r="I60" s="25"/>
    </row>
    <row r="61" spans="1:9" x14ac:dyDescent="0.25">
      <c r="A61" s="145" t="s">
        <v>272</v>
      </c>
      <c r="B61" s="26"/>
      <c r="C61" s="146">
        <v>2000</v>
      </c>
      <c r="D61" s="26"/>
      <c r="E61" s="145" t="s">
        <v>272</v>
      </c>
      <c r="F61" s="26"/>
      <c r="G61" s="146"/>
      <c r="H61" s="146">
        <v>2000</v>
      </c>
      <c r="I61" s="25"/>
    </row>
    <row r="62" spans="1:9" x14ac:dyDescent="0.25">
      <c r="A62" s="39" t="s">
        <v>9</v>
      </c>
      <c r="B62" s="40">
        <f>B48+B50+B51+B52+B53-C49</f>
        <v>40800</v>
      </c>
      <c r="C62" s="41">
        <f>SUM(C56:C61)</f>
        <v>57800</v>
      </c>
      <c r="D62" s="41">
        <f>B62-C62</f>
        <v>-17000</v>
      </c>
      <c r="E62" s="41"/>
      <c r="F62" s="40">
        <f>F48+F51+F50+F53-H49-H51</f>
        <v>11350</v>
      </c>
      <c r="G62" s="40"/>
      <c r="H62" s="41">
        <f>SUM(H56:H61)</f>
        <v>57800</v>
      </c>
      <c r="I62" s="41">
        <f>F62-H62</f>
        <v>-46450</v>
      </c>
    </row>
    <row r="63" spans="1:9" x14ac:dyDescent="0.25">
      <c r="A63" s="211" t="s">
        <v>21</v>
      </c>
      <c r="B63" s="211"/>
      <c r="C63" s="211" t="s">
        <v>22</v>
      </c>
      <c r="D63" s="211"/>
      <c r="E63" s="211"/>
      <c r="F63" s="2"/>
      <c r="G63" s="211" t="s">
        <v>23</v>
      </c>
      <c r="H63" s="211"/>
      <c r="I63" s="211"/>
    </row>
    <row r="64" spans="1:9" x14ac:dyDescent="0.25">
      <c r="A64" s="204" t="s">
        <v>194</v>
      </c>
      <c r="B64" s="204"/>
      <c r="C64" s="204" t="s">
        <v>24</v>
      </c>
      <c r="D64" s="204"/>
      <c r="E64" s="204"/>
      <c r="F64" s="2"/>
      <c r="G64" s="2"/>
      <c r="H64" s="204" t="s">
        <v>26</v>
      </c>
      <c r="I64" s="204"/>
    </row>
  </sheetData>
  <mergeCells count="11">
    <mergeCell ref="A64:B64"/>
    <mergeCell ref="C64:E64"/>
    <mergeCell ref="H64:I64"/>
    <mergeCell ref="A1:I1"/>
    <mergeCell ref="A2:H2"/>
    <mergeCell ref="A3:I4"/>
    <mergeCell ref="A27:I27"/>
    <mergeCell ref="A46:B46"/>
    <mergeCell ref="A63:B63"/>
    <mergeCell ref="C63:E63"/>
    <mergeCell ref="G63:I63"/>
  </mergeCells>
  <conditionalFormatting sqref="B6:B25 B29:B44">
    <cfRule type="containsText" dxfId="3" priority="2" operator="containsText" text="VACCANT">
      <formula>NOT(ISERROR(SEARCH("VACCANT",B6)))</formula>
    </cfRule>
  </conditionalFormatting>
  <conditionalFormatting sqref="B6:B25 B29:B44">
    <cfRule type="notContainsText" dxfId="2" priority="1" operator="notContains" text="VACCANT">
      <formula>ISERROR(SEARCH("VACCANT",B6))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27" workbookViewId="0">
      <selection activeCell="G40" sqref="G40"/>
    </sheetView>
  </sheetViews>
  <sheetFormatPr defaultRowHeight="15" x14ac:dyDescent="0.25"/>
  <cols>
    <col min="1" max="1" width="13.42578125" customWidth="1"/>
    <col min="2" max="2" width="19.140625" customWidth="1"/>
    <col min="5" max="5" width="14.28515625" customWidth="1"/>
  </cols>
  <sheetData>
    <row r="1" spans="1:13" ht="21" x14ac:dyDescent="0.25">
      <c r="A1" s="205" t="s">
        <v>26</v>
      </c>
      <c r="B1" s="205"/>
      <c r="C1" s="205"/>
      <c r="D1" s="205"/>
      <c r="E1" s="205"/>
      <c r="F1" s="205"/>
      <c r="G1" s="205"/>
      <c r="H1" s="205"/>
      <c r="I1" s="205"/>
    </row>
    <row r="2" spans="1:13" ht="18.75" x14ac:dyDescent="0.25">
      <c r="A2" s="206" t="s">
        <v>268</v>
      </c>
      <c r="B2" s="206"/>
      <c r="C2" s="206"/>
      <c r="D2" s="206"/>
      <c r="E2" s="206"/>
      <c r="F2" s="206"/>
      <c r="G2" s="206"/>
      <c r="H2" s="206"/>
      <c r="I2" s="148"/>
    </row>
    <row r="3" spans="1:13" x14ac:dyDescent="0.25">
      <c r="A3" s="207" t="s">
        <v>65</v>
      </c>
      <c r="B3" s="207"/>
      <c r="C3" s="207"/>
      <c r="D3" s="207"/>
      <c r="E3" s="207"/>
      <c r="F3" s="207"/>
      <c r="G3" s="207"/>
      <c r="H3" s="207"/>
      <c r="I3" s="207"/>
    </row>
    <row r="4" spans="1:13" x14ac:dyDescent="0.25">
      <c r="A4" s="208"/>
      <c r="B4" s="208"/>
      <c r="C4" s="208"/>
      <c r="D4" s="208"/>
      <c r="E4" s="208"/>
      <c r="F4" s="208"/>
      <c r="G4" s="208"/>
      <c r="H4" s="208"/>
      <c r="I4" s="208"/>
    </row>
    <row r="5" spans="1:13" x14ac:dyDescent="0.25">
      <c r="A5" s="196" t="s">
        <v>1</v>
      </c>
      <c r="B5" s="196" t="s">
        <v>2</v>
      </c>
      <c r="C5" s="196" t="s">
        <v>3</v>
      </c>
      <c r="D5" s="196" t="s">
        <v>4</v>
      </c>
      <c r="E5" s="196" t="s">
        <v>5</v>
      </c>
      <c r="F5" s="197" t="s">
        <v>6</v>
      </c>
      <c r="G5" s="196" t="s">
        <v>7</v>
      </c>
      <c r="H5" s="198" t="s">
        <v>8</v>
      </c>
      <c r="I5" s="198" t="s">
        <v>213</v>
      </c>
      <c r="J5" s="199"/>
      <c r="K5" s="199"/>
      <c r="L5" s="199"/>
      <c r="M5" s="199"/>
    </row>
    <row r="6" spans="1:13" x14ac:dyDescent="0.25">
      <c r="A6" s="124" t="s">
        <v>66</v>
      </c>
      <c r="B6" s="188" t="s">
        <v>103</v>
      </c>
      <c r="C6" s="126"/>
      <c r="D6" s="127">
        <f>'NOVEMBER 21'!H6:H25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128"/>
    </row>
    <row r="7" spans="1:13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/>
      <c r="H7" s="25">
        <f t="shared" si="0"/>
        <v>6000</v>
      </c>
      <c r="I7" s="127"/>
    </row>
    <row r="8" spans="1:13" x14ac:dyDescent="0.25">
      <c r="A8" s="124" t="s">
        <v>67</v>
      </c>
      <c r="B8" s="24" t="s">
        <v>218</v>
      </c>
      <c r="C8" s="126"/>
      <c r="D8" s="127">
        <f>'NOVEMBER 21'!H8:H27</f>
        <v>0</v>
      </c>
      <c r="E8" s="127"/>
      <c r="F8" s="127">
        <f t="shared" si="1"/>
        <v>0</v>
      </c>
      <c r="G8" s="26"/>
      <c r="H8" s="25">
        <f t="shared" si="0"/>
        <v>0</v>
      </c>
      <c r="I8" s="26"/>
    </row>
    <row r="9" spans="1:13" x14ac:dyDescent="0.25">
      <c r="A9" s="129" t="s">
        <v>72</v>
      </c>
      <c r="B9" s="189" t="s">
        <v>103</v>
      </c>
      <c r="C9" s="126"/>
      <c r="D9" s="127">
        <f>'NOVEMBER 21'!H9:H28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</row>
    <row r="10" spans="1:13" x14ac:dyDescent="0.25">
      <c r="A10" s="130" t="s">
        <v>68</v>
      </c>
      <c r="B10" s="188" t="s">
        <v>40</v>
      </c>
      <c r="C10" s="126"/>
      <c r="D10" s="127">
        <f>'NOVEMBER 21'!H10:H29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</row>
    <row r="11" spans="1:13" x14ac:dyDescent="0.25">
      <c r="A11" s="131" t="s">
        <v>73</v>
      </c>
      <c r="B11" s="190" t="s">
        <v>40</v>
      </c>
      <c r="C11" s="126"/>
      <c r="D11" s="127">
        <f>'NOVEMBER 21'!H11:H30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</row>
    <row r="12" spans="1:13" x14ac:dyDescent="0.25">
      <c r="A12" s="124" t="s">
        <v>69</v>
      </c>
      <c r="B12" s="132" t="s">
        <v>229</v>
      </c>
      <c r="C12" s="126"/>
      <c r="D12" s="127">
        <f>'NOVEMBER 21'!H12:H31</f>
        <v>3900</v>
      </c>
      <c r="E12" s="127">
        <v>3500</v>
      </c>
      <c r="F12" s="127">
        <f t="shared" si="1"/>
        <v>7400</v>
      </c>
      <c r="G12" s="128"/>
      <c r="H12" s="25">
        <f t="shared" si="0"/>
        <v>7400</v>
      </c>
      <c r="I12" s="128"/>
    </row>
    <row r="13" spans="1:13" x14ac:dyDescent="0.25">
      <c r="A13" s="124" t="s">
        <v>74</v>
      </c>
      <c r="B13" s="132" t="s">
        <v>87</v>
      </c>
      <c r="C13" s="126"/>
      <c r="D13" s="127">
        <f>'NOVEMBER 21'!H13:H32</f>
        <v>0</v>
      </c>
      <c r="E13" s="127">
        <v>4000</v>
      </c>
      <c r="F13" s="127">
        <f t="shared" si="1"/>
        <v>4000</v>
      </c>
      <c r="G13" s="128"/>
      <c r="H13" s="25">
        <f t="shared" si="0"/>
        <v>4000</v>
      </c>
      <c r="I13" s="128"/>
    </row>
    <row r="14" spans="1:13" x14ac:dyDescent="0.25">
      <c r="A14" s="124" t="s">
        <v>70</v>
      </c>
      <c r="B14" s="190"/>
      <c r="C14" s="126"/>
      <c r="D14" s="127">
        <f>'NOVEMBER 21'!H14:H33</f>
        <v>0</v>
      </c>
      <c r="E14" s="127"/>
      <c r="F14" s="127"/>
      <c r="G14" s="128"/>
      <c r="H14" s="25"/>
      <c r="I14" s="128"/>
    </row>
    <row r="15" spans="1:13" x14ac:dyDescent="0.25">
      <c r="A15" s="124" t="s">
        <v>75</v>
      </c>
      <c r="B15" s="190" t="s">
        <v>103</v>
      </c>
      <c r="C15" s="126"/>
      <c r="D15" s="127">
        <f>'NOVEMBER 21'!H15:H34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</row>
    <row r="16" spans="1:13" x14ac:dyDescent="0.25">
      <c r="A16" s="124" t="s">
        <v>76</v>
      </c>
      <c r="B16" s="190" t="s">
        <v>103</v>
      </c>
      <c r="C16" s="126"/>
      <c r="D16" s="127">
        <f>'NOVEMBER 21'!H16:H35</f>
        <v>0</v>
      </c>
      <c r="E16" s="127"/>
      <c r="F16" s="127">
        <f t="shared" si="1"/>
        <v>0</v>
      </c>
      <c r="G16" s="128"/>
      <c r="H16" s="25">
        <f>F16-G16</f>
        <v>0</v>
      </c>
      <c r="I16" s="128"/>
    </row>
    <row r="17" spans="1:13" x14ac:dyDescent="0.25">
      <c r="A17" s="124" t="s">
        <v>77</v>
      </c>
      <c r="B17" s="190" t="s">
        <v>103</v>
      </c>
      <c r="C17" s="126"/>
      <c r="D17" s="127">
        <f>'NOVEMBER 21'!H17:H36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L17" s="65">
        <f>E26</f>
        <v>15500</v>
      </c>
    </row>
    <row r="18" spans="1:13" x14ac:dyDescent="0.25">
      <c r="A18" s="124" t="s">
        <v>78</v>
      </c>
      <c r="B18" s="132" t="s">
        <v>88</v>
      </c>
      <c r="C18" s="126"/>
      <c r="D18" s="127">
        <f>'NOVEMBER 21'!H18:H37</f>
        <v>2000</v>
      </c>
      <c r="E18" s="127">
        <v>5000</v>
      </c>
      <c r="F18" s="127">
        <f t="shared" si="1"/>
        <v>7000</v>
      </c>
      <c r="G18" s="128"/>
      <c r="H18" s="25">
        <f t="shared" si="0"/>
        <v>7000</v>
      </c>
      <c r="I18" s="128"/>
      <c r="L18" s="65">
        <f>E45</f>
        <v>28500</v>
      </c>
    </row>
    <row r="19" spans="1:13" x14ac:dyDescent="0.25">
      <c r="A19" s="124" t="s">
        <v>79</v>
      </c>
      <c r="B19" s="132" t="s">
        <v>148</v>
      </c>
      <c r="C19" s="126"/>
      <c r="D19" s="127">
        <f>'NOVEMBER 21'!H19:H38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L19" s="65">
        <f>L17+L18</f>
        <v>44000</v>
      </c>
    </row>
    <row r="20" spans="1:13" x14ac:dyDescent="0.25">
      <c r="A20" s="124" t="s">
        <v>80</v>
      </c>
      <c r="B20" s="190" t="s">
        <v>103</v>
      </c>
      <c r="C20" s="126"/>
      <c r="D20" s="127">
        <f>'NOVEMBER 21'!H20:H39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K20" t="s">
        <v>171</v>
      </c>
      <c r="L20" s="65">
        <f>C49</f>
        <v>4400</v>
      </c>
    </row>
    <row r="21" spans="1:13" x14ac:dyDescent="0.25">
      <c r="A21" s="124" t="s">
        <v>81</v>
      </c>
      <c r="B21" s="132"/>
      <c r="C21" s="126"/>
      <c r="D21" s="127">
        <f>'NOVEMBER 21'!H21:H40</f>
        <v>0</v>
      </c>
      <c r="E21" s="127"/>
      <c r="F21" s="127">
        <f>C21+D21+E21</f>
        <v>0</v>
      </c>
      <c r="G21" s="128"/>
      <c r="H21" s="25">
        <f>F21-G21</f>
        <v>0</v>
      </c>
      <c r="I21" s="128"/>
      <c r="L21" s="65">
        <f>L19-L20</f>
        <v>39600</v>
      </c>
    </row>
    <row r="22" spans="1:13" x14ac:dyDescent="0.25">
      <c r="A22" s="124" t="s">
        <v>82</v>
      </c>
      <c r="B22" s="190" t="s">
        <v>103</v>
      </c>
      <c r="C22" s="126"/>
      <c r="D22" s="127">
        <f>'NOVEMBER 21'!H22:H41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K22" t="s">
        <v>274</v>
      </c>
      <c r="L22">
        <v>2000</v>
      </c>
    </row>
    <row r="23" spans="1:13" x14ac:dyDescent="0.25">
      <c r="A23" s="124" t="s">
        <v>83</v>
      </c>
      <c r="B23" s="190" t="s">
        <v>103</v>
      </c>
      <c r="C23" s="126"/>
      <c r="D23" s="127">
        <f>'NOVEMBER 21'!H23:H42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L23" s="65">
        <f>L21-L22</f>
        <v>37600</v>
      </c>
    </row>
    <row r="24" spans="1:13" x14ac:dyDescent="0.25">
      <c r="A24" s="124" t="s">
        <v>84</v>
      </c>
      <c r="B24" s="190" t="s">
        <v>103</v>
      </c>
      <c r="C24" s="126"/>
      <c r="D24" s="127">
        <f>'NOVEMBER 21'!H24:H43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  <c r="K24" t="s">
        <v>270</v>
      </c>
      <c r="L24">
        <v>2000</v>
      </c>
    </row>
    <row r="25" spans="1:13" x14ac:dyDescent="0.25">
      <c r="A25" s="124" t="s">
        <v>85</v>
      </c>
      <c r="B25" s="190" t="s">
        <v>103</v>
      </c>
      <c r="C25" s="126"/>
      <c r="D25" s="127">
        <f>'NOVEMBER 21'!H25:H44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L25" s="65">
        <f>L23-L24</f>
        <v>35600</v>
      </c>
    </row>
    <row r="26" spans="1:13" x14ac:dyDescent="0.25">
      <c r="A26" s="135"/>
      <c r="B26" s="136" t="s">
        <v>9</v>
      </c>
      <c r="C26" s="137">
        <f t="shared" ref="C26:H26" si="2">SUM(C6:C25)</f>
        <v>3000</v>
      </c>
      <c r="D26" s="127">
        <f>SUM(D6:D25)</f>
        <v>5900</v>
      </c>
      <c r="E26" s="138">
        <f t="shared" si="2"/>
        <v>15500</v>
      </c>
      <c r="F26" s="138">
        <f t="shared" si="2"/>
        <v>24400</v>
      </c>
      <c r="G26" s="139">
        <f t="shared" si="2"/>
        <v>0</v>
      </c>
      <c r="H26" s="140">
        <f t="shared" si="2"/>
        <v>24400</v>
      </c>
      <c r="I26" s="139">
        <f>SUM(I6:I25)</f>
        <v>0</v>
      </c>
      <c r="L26" s="147">
        <f>10000+3000+C57</f>
        <v>15362</v>
      </c>
    </row>
    <row r="27" spans="1:13" ht="18.75" x14ac:dyDescent="0.25">
      <c r="A27" s="209" t="s">
        <v>28</v>
      </c>
      <c r="B27" s="209"/>
      <c r="C27" s="209"/>
      <c r="D27" s="209"/>
      <c r="E27" s="209"/>
      <c r="F27" s="209"/>
      <c r="G27" s="209"/>
      <c r="H27" s="209"/>
      <c r="I27" s="209"/>
      <c r="L27" s="65">
        <f>L25-L26</f>
        <v>20238</v>
      </c>
    </row>
    <row r="28" spans="1:13" x14ac:dyDescent="0.25">
      <c r="A28" s="202"/>
      <c r="B28" s="203"/>
      <c r="C28" s="203"/>
      <c r="D28" s="138" t="s">
        <v>198</v>
      </c>
      <c r="E28" s="138" t="s">
        <v>5</v>
      </c>
      <c r="F28" s="138" t="s">
        <v>6</v>
      </c>
      <c r="G28" s="138" t="s">
        <v>7</v>
      </c>
      <c r="H28" s="201" t="s">
        <v>15</v>
      </c>
      <c r="I28" s="119"/>
      <c r="J28" s="119"/>
      <c r="K28" s="119"/>
      <c r="L28" s="119">
        <v>300</v>
      </c>
      <c r="M28" s="119"/>
    </row>
    <row r="29" spans="1:13" x14ac:dyDescent="0.25">
      <c r="A29" s="124" t="s">
        <v>43</v>
      </c>
      <c r="B29" s="125" t="s">
        <v>113</v>
      </c>
      <c r="C29" s="126">
        <f>'AUGUST 20'!I29:I44</f>
        <v>0</v>
      </c>
      <c r="D29" s="127">
        <f>'NOVEMBER 21'!H29:H44</f>
        <v>500</v>
      </c>
      <c r="E29" s="127">
        <v>2000</v>
      </c>
      <c r="F29" s="127">
        <f>C28+D29+E29</f>
        <v>2500</v>
      </c>
      <c r="G29" s="127"/>
      <c r="H29" s="25">
        <f t="shared" ref="H29:H44" si="3">F29-G29</f>
        <v>2500</v>
      </c>
      <c r="L29" s="65">
        <f>L27-L28</f>
        <v>19938</v>
      </c>
    </row>
    <row r="30" spans="1:13" x14ac:dyDescent="0.25">
      <c r="A30" s="124" t="s">
        <v>44</v>
      </c>
      <c r="B30" s="24" t="s">
        <v>138</v>
      </c>
      <c r="C30" s="126"/>
      <c r="D30" s="127">
        <f>'NOVEMBER 21'!H30:H45</f>
        <v>0</v>
      </c>
      <c r="E30" s="127">
        <v>2000</v>
      </c>
      <c r="F30" s="127">
        <f>C29+D30+E30</f>
        <v>2000</v>
      </c>
      <c r="G30" s="26">
        <v>2000</v>
      </c>
      <c r="H30" s="25">
        <f t="shared" si="3"/>
        <v>0</v>
      </c>
    </row>
    <row r="31" spans="1:13" x14ac:dyDescent="0.25">
      <c r="A31" s="124" t="s">
        <v>45</v>
      </c>
      <c r="B31" s="125" t="s">
        <v>251</v>
      </c>
      <c r="C31" s="126"/>
      <c r="D31" s="127">
        <f>'NOVEMBER 21'!H31:H46</f>
        <v>1700</v>
      </c>
      <c r="E31" s="127">
        <v>2000</v>
      </c>
      <c r="F31" s="127">
        <f t="shared" ref="F31:F44" si="4">C31+D31+E31</f>
        <v>3700</v>
      </c>
      <c r="G31" s="25"/>
      <c r="H31" s="25">
        <f>F31-G31</f>
        <v>3700</v>
      </c>
    </row>
    <row r="32" spans="1:13" x14ac:dyDescent="0.25">
      <c r="A32" s="124" t="s">
        <v>46</v>
      </c>
      <c r="B32" s="125" t="s">
        <v>103</v>
      </c>
      <c r="C32" s="126"/>
      <c r="D32" s="127"/>
      <c r="E32" s="127"/>
      <c r="F32" s="127">
        <f t="shared" si="4"/>
        <v>0</v>
      </c>
      <c r="G32" s="128"/>
      <c r="H32" s="25">
        <f>F32-G32</f>
        <v>0</v>
      </c>
    </row>
    <row r="33" spans="1:13" x14ac:dyDescent="0.25">
      <c r="A33" s="124" t="s">
        <v>47</v>
      </c>
      <c r="B33" s="132" t="s">
        <v>234</v>
      </c>
      <c r="C33" s="126"/>
      <c r="D33" s="127">
        <f>'NOVEMBER 21'!H33:H48</f>
        <v>800</v>
      </c>
      <c r="E33" s="127">
        <v>2000</v>
      </c>
      <c r="F33" s="127">
        <f t="shared" si="4"/>
        <v>2800</v>
      </c>
      <c r="G33" s="133"/>
      <c r="H33" s="25">
        <f>F33-G33</f>
        <v>2800</v>
      </c>
    </row>
    <row r="34" spans="1:13" x14ac:dyDescent="0.25">
      <c r="A34" s="124" t="s">
        <v>48</v>
      </c>
      <c r="B34" s="132" t="s">
        <v>37</v>
      </c>
      <c r="C34" s="126"/>
      <c r="D34" s="127">
        <f>'NOVEMBER 21'!H34:H49</f>
        <v>6300</v>
      </c>
      <c r="E34" s="127"/>
      <c r="F34" s="127">
        <f t="shared" si="4"/>
        <v>6300</v>
      </c>
      <c r="G34" s="128"/>
      <c r="H34" s="25">
        <f>F34-G34</f>
        <v>6300</v>
      </c>
    </row>
    <row r="35" spans="1:13" x14ac:dyDescent="0.25">
      <c r="A35" s="124" t="s">
        <v>49</v>
      </c>
      <c r="B35" s="132" t="s">
        <v>211</v>
      </c>
      <c r="C35" s="126"/>
      <c r="D35" s="127">
        <f>'NOVEMBER 21'!H35:H50</f>
        <v>5200</v>
      </c>
      <c r="E35" s="127">
        <v>2000</v>
      </c>
      <c r="F35" s="127">
        <f t="shared" si="4"/>
        <v>7200</v>
      </c>
      <c r="G35" s="128"/>
      <c r="H35" s="25">
        <f t="shared" si="3"/>
        <v>7200</v>
      </c>
      <c r="I35" s="68" t="s">
        <v>253</v>
      </c>
    </row>
    <row r="36" spans="1:13" x14ac:dyDescent="0.25">
      <c r="A36" s="124" t="s">
        <v>50</v>
      </c>
      <c r="B36" s="125" t="s">
        <v>115</v>
      </c>
      <c r="C36" s="126"/>
      <c r="D36" s="127">
        <f>'NOVEMBER 21'!H36:H51</f>
        <v>0</v>
      </c>
      <c r="E36" s="127">
        <v>2000</v>
      </c>
      <c r="F36" s="127">
        <f t="shared" si="4"/>
        <v>2000</v>
      </c>
      <c r="G36" s="128"/>
      <c r="H36" s="25">
        <f t="shared" si="3"/>
        <v>2000</v>
      </c>
    </row>
    <row r="37" spans="1:13" ht="30" x14ac:dyDescent="0.25">
      <c r="A37" s="124" t="s">
        <v>51</v>
      </c>
      <c r="B37" s="125" t="s">
        <v>167</v>
      </c>
      <c r="C37" s="126"/>
      <c r="D37" s="127">
        <f>'NOVEMBER 21'!H37:H52</f>
        <v>100</v>
      </c>
      <c r="E37" s="127">
        <v>2000</v>
      </c>
      <c r="F37" s="127">
        <f t="shared" si="4"/>
        <v>2100</v>
      </c>
      <c r="G37" s="128"/>
      <c r="H37" s="25">
        <f t="shared" si="3"/>
        <v>2100</v>
      </c>
    </row>
    <row r="38" spans="1:13" x14ac:dyDescent="0.25">
      <c r="A38" s="124" t="s">
        <v>52</v>
      </c>
      <c r="B38" s="125" t="s">
        <v>33</v>
      </c>
      <c r="C38" s="126"/>
      <c r="D38" s="127">
        <f>'NOVEMBER 21'!H38:H53</f>
        <v>1500</v>
      </c>
      <c r="E38" s="127">
        <v>2500</v>
      </c>
      <c r="F38" s="127">
        <f t="shared" si="4"/>
        <v>4000</v>
      </c>
      <c r="G38" s="128"/>
      <c r="H38" s="25">
        <f t="shared" si="3"/>
        <v>4000</v>
      </c>
    </row>
    <row r="39" spans="1:13" ht="45" x14ac:dyDescent="0.25">
      <c r="A39" s="124" t="s">
        <v>57</v>
      </c>
      <c r="B39" s="125" t="s">
        <v>107</v>
      </c>
      <c r="C39" s="126"/>
      <c r="D39" s="127">
        <f>'NOVEMBER 21'!H39:H54</f>
        <v>0</v>
      </c>
      <c r="E39" s="127">
        <v>2000</v>
      </c>
      <c r="F39" s="127">
        <f t="shared" si="4"/>
        <v>2000</v>
      </c>
      <c r="G39" s="128">
        <v>2000</v>
      </c>
      <c r="H39" s="25">
        <f t="shared" si="3"/>
        <v>0</v>
      </c>
    </row>
    <row r="40" spans="1:13" x14ac:dyDescent="0.25">
      <c r="A40" s="124" t="s">
        <v>58</v>
      </c>
      <c r="B40" s="125" t="s">
        <v>233</v>
      </c>
      <c r="C40" s="126"/>
      <c r="D40" s="127">
        <f>'NOVEMBER 21'!H40:H55</f>
        <v>0</v>
      </c>
      <c r="E40" s="127">
        <v>2000</v>
      </c>
      <c r="F40" s="128">
        <f t="shared" si="4"/>
        <v>2000</v>
      </c>
      <c r="G40" s="128">
        <v>2000</v>
      </c>
      <c r="H40" s="192">
        <f t="shared" si="3"/>
        <v>0</v>
      </c>
    </row>
    <row r="41" spans="1:13" x14ac:dyDescent="0.25">
      <c r="A41" s="124" t="s">
        <v>59</v>
      </c>
      <c r="B41" s="125" t="s">
        <v>245</v>
      </c>
      <c r="C41" s="126"/>
      <c r="D41" s="127">
        <f>'NOVEMBER 21'!H41:H56</f>
        <v>2000</v>
      </c>
      <c r="E41" s="127">
        <v>2000</v>
      </c>
      <c r="F41" s="127">
        <f t="shared" si="4"/>
        <v>4000</v>
      </c>
      <c r="G41" s="128"/>
      <c r="H41" s="25">
        <f t="shared" si="3"/>
        <v>4000</v>
      </c>
    </row>
    <row r="42" spans="1:13" ht="30" x14ac:dyDescent="0.25">
      <c r="A42" s="124" t="s">
        <v>60</v>
      </c>
      <c r="B42" s="125" t="s">
        <v>38</v>
      </c>
      <c r="C42" s="126"/>
      <c r="D42" s="127">
        <f>'NOVEMBER 21'!H42:H57</f>
        <v>2500</v>
      </c>
      <c r="E42" s="127">
        <v>2000</v>
      </c>
      <c r="F42" s="127">
        <f t="shared" si="4"/>
        <v>4500</v>
      </c>
      <c r="G42" s="128"/>
      <c r="H42" s="25">
        <f t="shared" si="3"/>
        <v>4500</v>
      </c>
    </row>
    <row r="43" spans="1:13" ht="30" x14ac:dyDescent="0.25">
      <c r="A43" s="124" t="s">
        <v>61</v>
      </c>
      <c r="B43" s="125" t="s">
        <v>201</v>
      </c>
      <c r="C43" s="126"/>
      <c r="D43" s="127">
        <f>'NOVEMBER 21'!H43:H58</f>
        <v>3550</v>
      </c>
      <c r="E43" s="127">
        <v>2000</v>
      </c>
      <c r="F43" s="127">
        <f t="shared" si="4"/>
        <v>5550</v>
      </c>
      <c r="G43" s="128"/>
      <c r="H43" s="25">
        <f t="shared" si="3"/>
        <v>5550</v>
      </c>
      <c r="I43" s="68" t="s">
        <v>253</v>
      </c>
    </row>
    <row r="44" spans="1:13" ht="30" x14ac:dyDescent="0.25">
      <c r="A44" s="124" t="s">
        <v>62</v>
      </c>
      <c r="B44" s="125" t="s">
        <v>267</v>
      </c>
      <c r="C44" s="126"/>
      <c r="D44" s="127">
        <f>'NOVEMBER 21'!H44:H59</f>
        <v>0</v>
      </c>
      <c r="E44" s="127">
        <v>2000</v>
      </c>
      <c r="F44" s="127">
        <f t="shared" si="4"/>
        <v>2000</v>
      </c>
      <c r="G44" s="128"/>
      <c r="H44" s="25">
        <f t="shared" si="3"/>
        <v>2000</v>
      </c>
    </row>
    <row r="45" spans="1:13" x14ac:dyDescent="0.25">
      <c r="A45" s="135"/>
      <c r="B45" s="136" t="s">
        <v>9</v>
      </c>
      <c r="C45" s="137">
        <f>SUM(C28:C40)</f>
        <v>0</v>
      </c>
      <c r="D45" s="127">
        <f>SUM(D29:D44)</f>
        <v>24150</v>
      </c>
      <c r="E45" s="138">
        <f>SUM(E29:E44)</f>
        <v>28500</v>
      </c>
      <c r="F45" s="138">
        <f>SUM(F29:F44)</f>
        <v>52650</v>
      </c>
      <c r="G45" s="139">
        <f>SUM(G28:G44)</f>
        <v>6000</v>
      </c>
      <c r="H45" s="41">
        <f>SUM(H28:H44)</f>
        <v>46650</v>
      </c>
    </row>
    <row r="46" spans="1:13" ht="15.75" x14ac:dyDescent="0.25">
      <c r="A46" s="210" t="s">
        <v>10</v>
      </c>
      <c r="B46" s="210"/>
      <c r="C46" s="142"/>
      <c r="D46" s="127">
        <f>'MAY21'!I46:I64</f>
        <v>0</v>
      </c>
      <c r="E46" s="143"/>
      <c r="F46" s="141"/>
      <c r="G46" s="141"/>
      <c r="H46" s="22" t="s">
        <v>13</v>
      </c>
      <c r="I46" s="21"/>
    </row>
    <row r="47" spans="1:13" x14ac:dyDescent="0.25">
      <c r="A47" s="130" t="s">
        <v>11</v>
      </c>
      <c r="B47" s="130" t="s">
        <v>12</v>
      </c>
      <c r="C47" s="130" t="s">
        <v>13</v>
      </c>
      <c r="D47" s="130" t="s">
        <v>14</v>
      </c>
      <c r="E47" s="130"/>
      <c r="F47" s="130" t="s">
        <v>12</v>
      </c>
      <c r="G47" s="130"/>
      <c r="H47" s="199"/>
      <c r="I47" s="200" t="s">
        <v>15</v>
      </c>
      <c r="J47" s="199"/>
      <c r="K47" s="199"/>
      <c r="L47" s="199"/>
      <c r="M47" s="199"/>
    </row>
    <row r="48" spans="1:13" x14ac:dyDescent="0.25">
      <c r="A48" s="24" t="s">
        <v>176</v>
      </c>
      <c r="B48" s="25">
        <f>E45+E26</f>
        <v>44000</v>
      </c>
      <c r="C48" s="26"/>
      <c r="D48" s="26"/>
      <c r="E48" s="26" t="s">
        <v>176</v>
      </c>
      <c r="F48" s="25">
        <f>G45+G26</f>
        <v>6000</v>
      </c>
      <c r="G48" s="25"/>
      <c r="H48" s="26"/>
      <c r="I48" s="25"/>
    </row>
    <row r="49" spans="1:9" x14ac:dyDescent="0.25">
      <c r="A49" s="24" t="s">
        <v>17</v>
      </c>
      <c r="B49" s="27">
        <v>0.1</v>
      </c>
      <c r="C49" s="28">
        <f>B49*B48</f>
        <v>4400</v>
      </c>
      <c r="D49" s="24"/>
      <c r="E49" s="24" t="s">
        <v>155</v>
      </c>
      <c r="F49" s="27">
        <v>0.1</v>
      </c>
      <c r="G49" s="27"/>
      <c r="H49" s="28">
        <f>F49*B48</f>
        <v>4400</v>
      </c>
      <c r="I49" s="25"/>
    </row>
    <row r="50" spans="1:9" x14ac:dyDescent="0.25">
      <c r="A50" s="29"/>
      <c r="B50" s="28"/>
      <c r="C50" s="24"/>
      <c r="D50" s="24"/>
      <c r="E50" s="24"/>
      <c r="F50" s="28"/>
      <c r="G50" s="28"/>
      <c r="H50" s="24"/>
      <c r="I50" s="25"/>
    </row>
    <row r="51" spans="1:9" x14ac:dyDescent="0.25">
      <c r="A51" s="24" t="s">
        <v>213</v>
      </c>
      <c r="B51" s="28">
        <f>I26</f>
        <v>0</v>
      </c>
      <c r="C51" s="28"/>
      <c r="D51" s="24"/>
      <c r="E51" s="24" t="s">
        <v>213</v>
      </c>
      <c r="F51" s="28">
        <f>I26</f>
        <v>0</v>
      </c>
      <c r="G51" s="27"/>
      <c r="H51" s="28"/>
      <c r="I51" s="25"/>
    </row>
    <row r="52" spans="1:9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</row>
    <row r="53" spans="1:9" x14ac:dyDescent="0.25">
      <c r="A53" s="29" t="s">
        <v>19</v>
      </c>
      <c r="B53" s="28">
        <f>'NOVEMBER 21'!D62</f>
        <v>-17000</v>
      </c>
      <c r="C53" s="24"/>
      <c r="D53" s="24"/>
      <c r="E53" s="24" t="s">
        <v>19</v>
      </c>
      <c r="F53" s="28">
        <f>'NOVEMBER 21'!I62</f>
        <v>-46450</v>
      </c>
      <c r="G53" s="28"/>
      <c r="H53" s="24"/>
      <c r="I53" s="25"/>
    </row>
    <row r="54" spans="1:9" x14ac:dyDescent="0.25">
      <c r="A54" s="29" t="s">
        <v>9</v>
      </c>
      <c r="B54" s="28">
        <f>B48+B50+B53+B52</f>
        <v>27000</v>
      </c>
      <c r="C54" s="24"/>
      <c r="D54" s="24"/>
      <c r="E54" s="24" t="s">
        <v>9</v>
      </c>
      <c r="F54" s="28">
        <f>F48+F50+F53+F51</f>
        <v>-40450</v>
      </c>
      <c r="G54" s="28"/>
      <c r="H54" s="24"/>
      <c r="I54" s="25"/>
    </row>
    <row r="55" spans="1:9" x14ac:dyDescent="0.25">
      <c r="A55" s="196" t="s">
        <v>20</v>
      </c>
      <c r="B55" s="27"/>
      <c r="C55" s="31"/>
      <c r="D55" s="24"/>
      <c r="E55" s="24"/>
      <c r="F55" s="196" t="s">
        <v>20</v>
      </c>
      <c r="G55" s="27"/>
      <c r="H55" s="31"/>
      <c r="I55" s="25"/>
    </row>
    <row r="56" spans="1:9" x14ac:dyDescent="0.25">
      <c r="B56" s="29"/>
      <c r="C56" s="144"/>
      <c r="D56" s="24"/>
      <c r="E56" s="29"/>
      <c r="F56" s="26" t="s">
        <v>144</v>
      </c>
      <c r="G56" s="144"/>
      <c r="H56" s="144"/>
      <c r="I56" s="24"/>
    </row>
    <row r="57" spans="1:9" x14ac:dyDescent="0.25">
      <c r="A57" s="145" t="s">
        <v>273</v>
      </c>
      <c r="B57" s="26"/>
      <c r="C57" s="146">
        <v>2362</v>
      </c>
      <c r="D57" s="26"/>
      <c r="E57" s="145" t="s">
        <v>273</v>
      </c>
      <c r="F57" s="26"/>
      <c r="G57" s="146"/>
      <c r="H57" s="146">
        <v>2362</v>
      </c>
      <c r="I57" s="25"/>
    </row>
    <row r="58" spans="1:9" x14ac:dyDescent="0.25">
      <c r="A58" s="145"/>
      <c r="B58" s="26"/>
      <c r="C58" s="146"/>
      <c r="D58" s="26"/>
      <c r="E58" s="145"/>
      <c r="F58" s="26"/>
      <c r="G58" s="146"/>
      <c r="H58" s="146"/>
      <c r="I58" s="25"/>
    </row>
    <row r="59" spans="1:9" x14ac:dyDescent="0.25">
      <c r="A59" s="145"/>
      <c r="B59" s="26"/>
      <c r="C59" s="146"/>
      <c r="D59" s="26"/>
      <c r="E59" s="145"/>
      <c r="F59" s="26"/>
      <c r="G59" s="146"/>
      <c r="H59" s="146"/>
      <c r="I59" s="25"/>
    </row>
    <row r="60" spans="1:9" x14ac:dyDescent="0.25">
      <c r="A60" s="145"/>
      <c r="B60" s="26"/>
      <c r="C60" s="146"/>
      <c r="D60" s="26"/>
      <c r="E60" s="145"/>
      <c r="F60" s="26"/>
      <c r="G60" s="146"/>
      <c r="H60" s="146"/>
      <c r="I60" s="25"/>
    </row>
    <row r="61" spans="1:9" x14ac:dyDescent="0.25">
      <c r="A61" s="145"/>
      <c r="B61" s="26"/>
      <c r="C61" s="146"/>
      <c r="D61" s="26"/>
      <c r="E61" s="26"/>
      <c r="F61" s="145"/>
      <c r="G61" s="26"/>
      <c r="H61" s="146"/>
      <c r="I61" s="25"/>
    </row>
    <row r="62" spans="1:9" x14ac:dyDescent="0.25">
      <c r="A62" s="39" t="s">
        <v>9</v>
      </c>
      <c r="B62" s="40">
        <f>B48+B50+B51+B52+B53-C49</f>
        <v>22600</v>
      </c>
      <c r="C62" s="41">
        <f>SUM(C56:C61)</f>
        <v>2362</v>
      </c>
      <c r="D62" s="41">
        <f>B62-C62</f>
        <v>20238</v>
      </c>
      <c r="E62" s="41"/>
      <c r="F62" s="40">
        <f>F48+F51+F50+F53-H49-H51</f>
        <v>-44850</v>
      </c>
      <c r="G62" s="40"/>
      <c r="H62" s="41">
        <f>SUM(H56:H61)</f>
        <v>2362</v>
      </c>
      <c r="I62" s="41">
        <f>F62-H62</f>
        <v>-47212</v>
      </c>
    </row>
    <row r="63" spans="1:9" x14ac:dyDescent="0.25">
      <c r="A63" s="211" t="s">
        <v>21</v>
      </c>
      <c r="B63" s="211"/>
      <c r="C63" s="211" t="s">
        <v>22</v>
      </c>
      <c r="D63" s="211"/>
      <c r="E63" s="211"/>
      <c r="F63" s="2"/>
      <c r="G63" s="211" t="s">
        <v>23</v>
      </c>
      <c r="H63" s="211"/>
      <c r="I63" s="211"/>
    </row>
    <row r="64" spans="1:9" x14ac:dyDescent="0.25">
      <c r="A64" s="204" t="s">
        <v>194</v>
      </c>
      <c r="B64" s="204"/>
      <c r="C64" s="204" t="s">
        <v>24</v>
      </c>
      <c r="D64" s="204"/>
      <c r="E64" s="204"/>
      <c r="F64" s="2"/>
      <c r="G64" s="2"/>
      <c r="H64" s="204" t="s">
        <v>26</v>
      </c>
      <c r="I64" s="204"/>
    </row>
  </sheetData>
  <mergeCells count="11">
    <mergeCell ref="A64:B64"/>
    <mergeCell ref="C64:E64"/>
    <mergeCell ref="H64:I64"/>
    <mergeCell ref="A1:I1"/>
    <mergeCell ref="A2:H2"/>
    <mergeCell ref="A3:I4"/>
    <mergeCell ref="A27:I27"/>
    <mergeCell ref="A46:B46"/>
    <mergeCell ref="A63:B63"/>
    <mergeCell ref="C63:E63"/>
    <mergeCell ref="G63:I63"/>
  </mergeCells>
  <conditionalFormatting sqref="B6:B25 B29:B44">
    <cfRule type="containsText" dxfId="1" priority="2" operator="containsText" text="VACCANT">
      <formula>NOT(ISERROR(SEARCH("VACCANT",B6)))</formula>
    </cfRule>
  </conditionalFormatting>
  <conditionalFormatting sqref="B6:B25 B29:B44">
    <cfRule type="notContainsText" dxfId="0" priority="1" operator="notContains" text="VACCANT">
      <formula>ISERROR(SEARCH("VACCANT",B6))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29" workbookViewId="0">
      <selection activeCell="D86" sqref="D86"/>
    </sheetView>
  </sheetViews>
  <sheetFormatPr defaultRowHeight="15" x14ac:dyDescent="0.25"/>
  <cols>
    <col min="2" max="2" width="12.28515625" customWidth="1"/>
    <col min="3" max="3" width="10.85546875" bestFit="1" customWidth="1"/>
    <col min="4" max="4" width="9.42578125" bestFit="1" customWidth="1"/>
    <col min="5" max="5" width="10.85546875" bestFit="1" customWidth="1"/>
    <col min="6" max="6" width="10.28515625" bestFit="1" customWidth="1"/>
    <col min="7" max="7" width="11.7109375" bestFit="1" customWidth="1"/>
    <col min="8" max="8" width="10.85546875" bestFit="1" customWidth="1"/>
    <col min="9" max="9" width="9.42578125" bestFit="1" customWidth="1"/>
    <col min="11" max="11" width="9.5703125" bestFit="1" customWidth="1"/>
  </cols>
  <sheetData>
    <row r="1" spans="1:12" ht="18.75" x14ac:dyDescent="0.3">
      <c r="A1" s="69"/>
      <c r="B1" s="69"/>
      <c r="C1" s="70" t="s">
        <v>26</v>
      </c>
      <c r="D1" s="69"/>
      <c r="E1" s="69"/>
      <c r="F1" s="69"/>
      <c r="G1" s="69"/>
      <c r="H1" s="69"/>
      <c r="I1" s="69"/>
      <c r="J1" s="69"/>
      <c r="K1" s="69"/>
      <c r="L1" s="69"/>
    </row>
    <row r="2" spans="1:12" ht="18.75" x14ac:dyDescent="0.3">
      <c r="A2" s="69"/>
      <c r="B2" s="69"/>
      <c r="C2" s="71" t="s">
        <v>0</v>
      </c>
      <c r="D2" s="72"/>
      <c r="E2" s="72"/>
      <c r="F2" s="69"/>
      <c r="G2" s="69"/>
      <c r="H2" s="69"/>
      <c r="I2" s="69"/>
      <c r="J2" s="69"/>
      <c r="K2" s="69"/>
      <c r="L2" s="69"/>
    </row>
    <row r="3" spans="1:12" ht="18.75" x14ac:dyDescent="0.3">
      <c r="A3" s="69"/>
      <c r="B3" s="69"/>
      <c r="C3" s="72" t="s">
        <v>109</v>
      </c>
      <c r="D3" s="71"/>
      <c r="E3" s="71"/>
      <c r="F3" s="73"/>
      <c r="G3" s="73"/>
      <c r="H3" s="69"/>
      <c r="I3" s="69"/>
      <c r="J3" s="69"/>
      <c r="K3" s="69"/>
      <c r="L3" s="69"/>
    </row>
    <row r="4" spans="1:12" ht="18.75" x14ac:dyDescent="0.3">
      <c r="A4" s="69"/>
      <c r="B4" s="69"/>
      <c r="C4" s="69"/>
      <c r="D4" s="72" t="s">
        <v>65</v>
      </c>
      <c r="E4" s="72"/>
      <c r="F4" s="69"/>
      <c r="G4" s="69"/>
      <c r="H4" s="69"/>
      <c r="I4" s="69"/>
      <c r="J4" s="69"/>
      <c r="K4" s="69"/>
      <c r="L4" s="69"/>
    </row>
    <row r="5" spans="1:12" ht="18.75" x14ac:dyDescent="0.3">
      <c r="A5" s="74" t="s">
        <v>1</v>
      </c>
      <c r="B5" s="74" t="s">
        <v>2</v>
      </c>
      <c r="C5" s="74" t="s">
        <v>3</v>
      </c>
      <c r="D5" s="74" t="s">
        <v>4</v>
      </c>
      <c r="E5" s="74" t="s">
        <v>114</v>
      </c>
      <c r="F5" s="74" t="s">
        <v>5</v>
      </c>
      <c r="G5" s="75" t="s">
        <v>6</v>
      </c>
      <c r="H5" s="74" t="s">
        <v>7</v>
      </c>
      <c r="I5" s="76" t="s">
        <v>8</v>
      </c>
      <c r="J5" s="69"/>
      <c r="K5" s="69"/>
      <c r="L5" s="69"/>
    </row>
    <row r="6" spans="1:12" ht="18.75" x14ac:dyDescent="0.3">
      <c r="A6" s="77" t="s">
        <v>66</v>
      </c>
      <c r="B6" s="83" t="s">
        <v>40</v>
      </c>
      <c r="C6" s="78"/>
      <c r="D6" s="79">
        <f>'APRIL 20'!H6:H25</f>
        <v>0</v>
      </c>
      <c r="E6" s="79"/>
      <c r="F6" s="80"/>
      <c r="G6" s="79">
        <f>C6+D6+F6</f>
        <v>0</v>
      </c>
      <c r="H6" s="81"/>
      <c r="I6" s="82">
        <f t="shared" ref="I6:I25" si="0">G6-H6</f>
        <v>0</v>
      </c>
      <c r="J6" s="69"/>
      <c r="K6" s="69"/>
      <c r="L6" s="69"/>
    </row>
    <row r="7" spans="1:12" ht="56.25" x14ac:dyDescent="0.3">
      <c r="A7" s="77" t="s">
        <v>71</v>
      </c>
      <c r="B7" s="83" t="s">
        <v>86</v>
      </c>
      <c r="C7" s="78"/>
      <c r="D7" s="79">
        <f>'APRIL 20'!H7:H26</f>
        <v>0</v>
      </c>
      <c r="E7" s="79">
        <v>4000</v>
      </c>
      <c r="F7" s="79">
        <v>2000</v>
      </c>
      <c r="G7" s="79">
        <f t="shared" ref="G7:G25" si="1">C7+D7+F7</f>
        <v>2000</v>
      </c>
      <c r="H7" s="79">
        <v>2000</v>
      </c>
      <c r="I7" s="82">
        <f t="shared" si="0"/>
        <v>0</v>
      </c>
      <c r="J7" s="69"/>
      <c r="K7" s="69"/>
      <c r="L7" s="69"/>
    </row>
    <row r="8" spans="1:12" ht="18.75" x14ac:dyDescent="0.3">
      <c r="A8" s="77" t="s">
        <v>67</v>
      </c>
      <c r="B8" s="84"/>
      <c r="C8" s="85"/>
      <c r="D8" s="79">
        <f>'APRIL 20'!H8:H27</f>
        <v>0</v>
      </c>
      <c r="E8" s="79"/>
      <c r="F8" s="79"/>
      <c r="G8" s="79">
        <f t="shared" si="1"/>
        <v>0</v>
      </c>
      <c r="H8" s="85"/>
      <c r="I8" s="82">
        <f t="shared" si="0"/>
        <v>0</v>
      </c>
      <c r="J8" s="69"/>
      <c r="K8" s="69"/>
      <c r="L8" s="69"/>
    </row>
    <row r="9" spans="1:12" ht="18.75" x14ac:dyDescent="0.3">
      <c r="A9" s="86" t="s">
        <v>72</v>
      </c>
      <c r="B9" s="84" t="s">
        <v>103</v>
      </c>
      <c r="C9" s="85"/>
      <c r="D9" s="79">
        <f>'APRIL 20'!H9:H28</f>
        <v>0</v>
      </c>
      <c r="E9" s="79"/>
      <c r="F9" s="79"/>
      <c r="G9" s="79">
        <f t="shared" si="1"/>
        <v>0</v>
      </c>
      <c r="H9" s="82"/>
      <c r="I9" s="82">
        <f t="shared" si="0"/>
        <v>0</v>
      </c>
      <c r="J9" s="69"/>
      <c r="K9" s="69"/>
      <c r="L9" s="69"/>
    </row>
    <row r="10" spans="1:12" ht="18.75" x14ac:dyDescent="0.3">
      <c r="A10" s="87" t="s">
        <v>68</v>
      </c>
      <c r="B10" s="83" t="s">
        <v>40</v>
      </c>
      <c r="C10" s="78"/>
      <c r="D10" s="79">
        <f>'APRIL 20'!H10:H29</f>
        <v>0</v>
      </c>
      <c r="E10" s="79"/>
      <c r="F10" s="79"/>
      <c r="G10" s="79">
        <f t="shared" si="1"/>
        <v>0</v>
      </c>
      <c r="H10" s="81"/>
      <c r="I10" s="82">
        <f t="shared" si="0"/>
        <v>0</v>
      </c>
      <c r="J10" s="69"/>
      <c r="K10" s="69"/>
      <c r="L10" s="69"/>
    </row>
    <row r="11" spans="1:12" ht="18.75" x14ac:dyDescent="0.3">
      <c r="A11" s="88" t="s">
        <v>73</v>
      </c>
      <c r="B11" s="90" t="s">
        <v>40</v>
      </c>
      <c r="C11" s="85"/>
      <c r="D11" s="79">
        <f>'APRIL 20'!H11:H30</f>
        <v>0</v>
      </c>
      <c r="E11" s="79"/>
      <c r="F11" s="79"/>
      <c r="G11" s="79">
        <f t="shared" si="1"/>
        <v>0</v>
      </c>
      <c r="H11" s="89"/>
      <c r="I11" s="82">
        <f t="shared" si="0"/>
        <v>0</v>
      </c>
      <c r="J11" s="69"/>
      <c r="K11" s="69"/>
      <c r="L11" s="69"/>
    </row>
    <row r="12" spans="1:12" ht="18.75" x14ac:dyDescent="0.3">
      <c r="A12" s="77" t="s">
        <v>69</v>
      </c>
      <c r="B12" s="90" t="s">
        <v>40</v>
      </c>
      <c r="C12" s="78"/>
      <c r="D12" s="79">
        <f>'APRIL 20'!H12:H31</f>
        <v>0</v>
      </c>
      <c r="E12" s="79"/>
      <c r="F12" s="79"/>
      <c r="G12" s="79">
        <f t="shared" si="1"/>
        <v>0</v>
      </c>
      <c r="H12" s="81"/>
      <c r="I12" s="82">
        <f t="shared" si="0"/>
        <v>0</v>
      </c>
      <c r="J12" s="69"/>
      <c r="K12" s="69"/>
      <c r="L12" s="69"/>
    </row>
    <row r="13" spans="1:12" ht="56.25" x14ac:dyDescent="0.3">
      <c r="A13" s="77" t="s">
        <v>74</v>
      </c>
      <c r="B13" s="90" t="s">
        <v>87</v>
      </c>
      <c r="C13" s="78"/>
      <c r="D13" s="79">
        <f>'APRIL 20'!H13:H32</f>
        <v>0</v>
      </c>
      <c r="E13" s="79">
        <v>4000</v>
      </c>
      <c r="F13" s="79">
        <v>2000</v>
      </c>
      <c r="G13" s="79">
        <f t="shared" si="1"/>
        <v>2000</v>
      </c>
      <c r="H13" s="81">
        <v>2000</v>
      </c>
      <c r="I13" s="82">
        <f t="shared" si="0"/>
        <v>0</v>
      </c>
      <c r="J13" s="69"/>
      <c r="K13" s="69"/>
      <c r="L13" s="69"/>
    </row>
    <row r="14" spans="1:12" ht="18.75" x14ac:dyDescent="0.3">
      <c r="A14" s="91" t="s">
        <v>70</v>
      </c>
      <c r="B14" s="90" t="s">
        <v>40</v>
      </c>
      <c r="C14" s="78"/>
      <c r="D14" s="79">
        <f>'APRIL 20'!H14:H33</f>
        <v>0</v>
      </c>
      <c r="E14" s="79"/>
      <c r="F14" s="79"/>
      <c r="G14" s="79">
        <f t="shared" si="1"/>
        <v>0</v>
      </c>
      <c r="H14" s="81"/>
      <c r="I14" s="82">
        <f t="shared" si="0"/>
        <v>0</v>
      </c>
      <c r="J14" s="69"/>
      <c r="K14" s="69"/>
      <c r="L14" s="69"/>
    </row>
    <row r="15" spans="1:12" ht="18.75" x14ac:dyDescent="0.3">
      <c r="A15" s="91" t="s">
        <v>75</v>
      </c>
      <c r="B15" s="90" t="s">
        <v>40</v>
      </c>
      <c r="C15" s="78"/>
      <c r="D15" s="79">
        <f>'APRIL 20'!H15:H34</f>
        <v>0</v>
      </c>
      <c r="E15" s="79"/>
      <c r="F15" s="79"/>
      <c r="G15" s="79">
        <f t="shared" si="1"/>
        <v>0</v>
      </c>
      <c r="H15" s="81"/>
      <c r="I15" s="82">
        <f t="shared" si="0"/>
        <v>0</v>
      </c>
      <c r="J15" s="69"/>
      <c r="K15" s="69"/>
      <c r="L15" s="69"/>
    </row>
    <row r="16" spans="1:12" ht="18.75" x14ac:dyDescent="0.3">
      <c r="A16" s="91" t="s">
        <v>76</v>
      </c>
      <c r="B16" s="90" t="s">
        <v>40</v>
      </c>
      <c r="C16" s="78"/>
      <c r="D16" s="79">
        <f>'APRIL 20'!H16:H35</f>
        <v>0</v>
      </c>
      <c r="E16" s="79"/>
      <c r="F16" s="79"/>
      <c r="G16" s="79">
        <f t="shared" si="1"/>
        <v>0</v>
      </c>
      <c r="H16" s="81"/>
      <c r="I16" s="82">
        <f t="shared" si="0"/>
        <v>0</v>
      </c>
      <c r="J16" s="69"/>
      <c r="K16" s="69"/>
      <c r="L16" s="69"/>
    </row>
    <row r="17" spans="1:12" ht="18.75" x14ac:dyDescent="0.3">
      <c r="A17" s="91" t="s">
        <v>77</v>
      </c>
      <c r="B17" s="90" t="s">
        <v>40</v>
      </c>
      <c r="C17" s="78"/>
      <c r="D17" s="79">
        <f>'APRIL 20'!H17:H36</f>
        <v>0</v>
      </c>
      <c r="E17" s="79"/>
      <c r="F17" s="79"/>
      <c r="G17" s="79">
        <f t="shared" si="1"/>
        <v>0</v>
      </c>
      <c r="H17" s="81"/>
      <c r="I17" s="82">
        <f>G17-H17</f>
        <v>0</v>
      </c>
      <c r="J17" s="69"/>
      <c r="K17" s="69"/>
      <c r="L17" s="69"/>
    </row>
    <row r="18" spans="1:12" ht="27" customHeight="1" x14ac:dyDescent="0.3">
      <c r="A18" s="91" t="s">
        <v>78</v>
      </c>
      <c r="B18" s="90" t="s">
        <v>88</v>
      </c>
      <c r="C18" s="78"/>
      <c r="D18" s="79">
        <f>'APRIL 20'!H18:H37</f>
        <v>2000</v>
      </c>
      <c r="E18" s="79">
        <v>5000</v>
      </c>
      <c r="F18" s="79">
        <v>2500</v>
      </c>
      <c r="G18" s="79">
        <f t="shared" si="1"/>
        <v>4500</v>
      </c>
      <c r="H18" s="81">
        <f>3000</f>
        <v>3000</v>
      </c>
      <c r="I18" s="82">
        <f t="shared" si="0"/>
        <v>1500</v>
      </c>
      <c r="J18" s="69"/>
      <c r="K18" s="69"/>
      <c r="L18" s="69"/>
    </row>
    <row r="19" spans="1:12" ht="18.75" x14ac:dyDescent="0.3">
      <c r="A19" s="91" t="s">
        <v>79</v>
      </c>
      <c r="B19" s="90" t="s">
        <v>40</v>
      </c>
      <c r="C19" s="78"/>
      <c r="D19" s="79">
        <f>'APRIL 20'!H19:H38</f>
        <v>0</v>
      </c>
      <c r="E19" s="79"/>
      <c r="F19" s="79"/>
      <c r="G19" s="79">
        <f t="shared" si="1"/>
        <v>0</v>
      </c>
      <c r="H19" s="81"/>
      <c r="I19" s="82">
        <f t="shared" si="0"/>
        <v>0</v>
      </c>
      <c r="J19" s="69"/>
      <c r="K19" s="69"/>
      <c r="L19" s="69"/>
    </row>
    <row r="20" spans="1:12" ht="18.75" x14ac:dyDescent="0.3">
      <c r="A20" s="91" t="s">
        <v>80</v>
      </c>
      <c r="B20" s="90" t="s">
        <v>40</v>
      </c>
      <c r="C20" s="78"/>
      <c r="D20" s="79">
        <f>'APRIL 20'!H20:H39</f>
        <v>0</v>
      </c>
      <c r="E20" s="79"/>
      <c r="F20" s="79"/>
      <c r="G20" s="79">
        <f t="shared" si="1"/>
        <v>0</v>
      </c>
      <c r="H20" s="81"/>
      <c r="I20" s="82">
        <f t="shared" si="0"/>
        <v>0</v>
      </c>
      <c r="J20" s="69"/>
      <c r="K20" s="69"/>
      <c r="L20" s="69"/>
    </row>
    <row r="21" spans="1:12" ht="37.5" x14ac:dyDescent="0.3">
      <c r="A21" s="91" t="s">
        <v>81</v>
      </c>
      <c r="B21" s="90" t="s">
        <v>89</v>
      </c>
      <c r="C21" s="78"/>
      <c r="D21" s="79">
        <f>'APRIL 20'!H21:H40</f>
        <v>0</v>
      </c>
      <c r="E21" s="79">
        <v>4000</v>
      </c>
      <c r="F21" s="79">
        <v>2000</v>
      </c>
      <c r="G21" s="79">
        <f t="shared" si="1"/>
        <v>2000</v>
      </c>
      <c r="H21" s="81">
        <f>1000+1000</f>
        <v>2000</v>
      </c>
      <c r="I21" s="82">
        <f t="shared" si="0"/>
        <v>0</v>
      </c>
      <c r="J21" s="69"/>
      <c r="K21" s="69"/>
      <c r="L21" s="69"/>
    </row>
    <row r="22" spans="1:12" ht="18.75" x14ac:dyDescent="0.3">
      <c r="A22" s="91" t="s">
        <v>82</v>
      </c>
      <c r="B22" s="90" t="s">
        <v>40</v>
      </c>
      <c r="C22" s="78"/>
      <c r="D22" s="79">
        <f>'APRIL 20'!H22:H41</f>
        <v>0</v>
      </c>
      <c r="E22" s="79"/>
      <c r="F22" s="79"/>
      <c r="G22" s="79">
        <f t="shared" si="1"/>
        <v>0</v>
      </c>
      <c r="H22" s="81"/>
      <c r="I22" s="82">
        <f t="shared" si="0"/>
        <v>0</v>
      </c>
      <c r="J22" s="69"/>
      <c r="K22" s="69"/>
      <c r="L22" s="69"/>
    </row>
    <row r="23" spans="1:12" ht="18.75" x14ac:dyDescent="0.3">
      <c r="A23" s="91" t="s">
        <v>83</v>
      </c>
      <c r="B23" s="90" t="s">
        <v>40</v>
      </c>
      <c r="C23" s="78"/>
      <c r="D23" s="79">
        <f>'APRIL 20'!H23:H42</f>
        <v>0</v>
      </c>
      <c r="E23" s="79"/>
      <c r="F23" s="79"/>
      <c r="G23" s="79">
        <f t="shared" si="1"/>
        <v>0</v>
      </c>
      <c r="H23" s="81"/>
      <c r="I23" s="82">
        <f t="shared" si="0"/>
        <v>0</v>
      </c>
      <c r="J23" s="69"/>
      <c r="K23" s="69"/>
      <c r="L23" s="69"/>
    </row>
    <row r="24" spans="1:12" ht="37.5" x14ac:dyDescent="0.3">
      <c r="A24" s="91" t="s">
        <v>84</v>
      </c>
      <c r="B24" s="90" t="s">
        <v>90</v>
      </c>
      <c r="C24" s="78"/>
      <c r="D24" s="79">
        <f>'APRIL 20'!H24:H43</f>
        <v>2000</v>
      </c>
      <c r="E24" s="79">
        <v>5000</v>
      </c>
      <c r="F24" s="79">
        <v>2500</v>
      </c>
      <c r="G24" s="79">
        <f t="shared" si="1"/>
        <v>4500</v>
      </c>
      <c r="H24" s="81">
        <f>1000</f>
        <v>1000</v>
      </c>
      <c r="I24" s="82">
        <f t="shared" si="0"/>
        <v>3500</v>
      </c>
      <c r="J24" s="69"/>
      <c r="K24" s="69"/>
      <c r="L24" s="69"/>
    </row>
    <row r="25" spans="1:12" ht="18.75" x14ac:dyDescent="0.3">
      <c r="A25" s="91" t="s">
        <v>85</v>
      </c>
      <c r="B25" s="90" t="s">
        <v>40</v>
      </c>
      <c r="C25" s="78"/>
      <c r="D25" s="79">
        <f>'APRIL 20'!H25:H44</f>
        <v>0</v>
      </c>
      <c r="E25" s="79"/>
      <c r="F25" s="78"/>
      <c r="G25" s="79">
        <f t="shared" si="1"/>
        <v>0</v>
      </c>
      <c r="H25" s="81"/>
      <c r="I25" s="82">
        <f t="shared" si="0"/>
        <v>0</v>
      </c>
      <c r="J25" s="69"/>
      <c r="K25" s="69"/>
      <c r="L25" s="69"/>
    </row>
    <row r="26" spans="1:12" ht="18.75" x14ac:dyDescent="0.3">
      <c r="A26" s="92"/>
      <c r="B26" s="93" t="s">
        <v>9</v>
      </c>
      <c r="C26" s="94">
        <f>SUM(C6:C25)</f>
        <v>0</v>
      </c>
      <c r="D26" s="95">
        <f>SUM(D6:D25)</f>
        <v>4000</v>
      </c>
      <c r="E26" s="95">
        <f>SUM(E6:E25)</f>
        <v>22000</v>
      </c>
      <c r="F26" s="96">
        <f>SUM(F6:F25)</f>
        <v>11000</v>
      </c>
      <c r="G26" s="95">
        <f>C26+D26+F26</f>
        <v>15000</v>
      </c>
      <c r="H26" s="97">
        <f>SUM(H6:H25)</f>
        <v>10000</v>
      </c>
      <c r="I26" s="98">
        <f>SUM(I6:I25)</f>
        <v>5000</v>
      </c>
      <c r="J26" s="69"/>
      <c r="K26" s="69"/>
      <c r="L26" s="69"/>
    </row>
    <row r="27" spans="1:12" ht="18.75" x14ac:dyDescent="0.3">
      <c r="A27" s="69"/>
      <c r="B27" s="69"/>
      <c r="C27" s="72"/>
      <c r="D27" s="72" t="s">
        <v>28</v>
      </c>
      <c r="E27" s="72"/>
      <c r="F27" s="72"/>
      <c r="G27" s="69"/>
      <c r="H27" s="69"/>
      <c r="I27" s="69"/>
      <c r="J27" s="69"/>
      <c r="K27" s="69"/>
      <c r="L27" s="69"/>
    </row>
    <row r="28" spans="1:12" ht="37.5" x14ac:dyDescent="0.3">
      <c r="A28" s="77" t="s">
        <v>42</v>
      </c>
      <c r="B28" s="83" t="s">
        <v>91</v>
      </c>
      <c r="C28" s="78"/>
      <c r="D28" s="79">
        <f>'APRIL 20'!H28:H48</f>
        <v>0</v>
      </c>
      <c r="E28" s="79">
        <v>2500</v>
      </c>
      <c r="F28" s="80">
        <v>1000</v>
      </c>
      <c r="G28" s="79">
        <f t="shared" ref="G28:G48" si="2">C28+D28+F28</f>
        <v>1000</v>
      </c>
      <c r="H28" s="79">
        <v>1000</v>
      </c>
      <c r="I28" s="82">
        <f t="shared" ref="I28:I48" si="3">G28-H28</f>
        <v>0</v>
      </c>
      <c r="J28" s="69"/>
      <c r="K28" s="99"/>
      <c r="L28" s="69"/>
    </row>
    <row r="29" spans="1:12" ht="56.25" x14ac:dyDescent="0.3">
      <c r="A29" s="77" t="s">
        <v>43</v>
      </c>
      <c r="B29" s="83" t="s">
        <v>113</v>
      </c>
      <c r="C29" s="78"/>
      <c r="D29" s="79">
        <f>'APRIL 20'!H29:H49</f>
        <v>0</v>
      </c>
      <c r="E29" s="79">
        <v>2500</v>
      </c>
      <c r="F29" s="80">
        <v>1000</v>
      </c>
      <c r="G29" s="79">
        <f>C29+D29+F29</f>
        <v>1000</v>
      </c>
      <c r="H29" s="79">
        <v>1000</v>
      </c>
      <c r="I29" s="82">
        <f t="shared" si="3"/>
        <v>0</v>
      </c>
      <c r="J29" s="69"/>
      <c r="K29" s="69"/>
      <c r="L29" s="69"/>
    </row>
    <row r="30" spans="1:12" ht="18.75" x14ac:dyDescent="0.3">
      <c r="A30" s="77" t="s">
        <v>44</v>
      </c>
      <c r="B30" s="84" t="s">
        <v>118</v>
      </c>
      <c r="C30" s="85"/>
      <c r="D30" s="79">
        <f>'APRIL 20'!H30:H50</f>
        <v>0</v>
      </c>
      <c r="E30" s="79"/>
      <c r="F30" s="80">
        <v>1000</v>
      </c>
      <c r="G30" s="79">
        <f t="shared" si="2"/>
        <v>1000</v>
      </c>
      <c r="H30" s="85">
        <v>1000</v>
      </c>
      <c r="I30" s="82">
        <f t="shared" si="3"/>
        <v>0</v>
      </c>
      <c r="J30" s="69"/>
      <c r="K30" s="69"/>
      <c r="L30" s="69"/>
    </row>
    <row r="31" spans="1:12" ht="17.25" customHeight="1" x14ac:dyDescent="0.3">
      <c r="A31" s="77" t="s">
        <v>45</v>
      </c>
      <c r="B31" s="83" t="s">
        <v>30</v>
      </c>
      <c r="C31" s="85"/>
      <c r="D31" s="79">
        <f>'APRIL 20'!H31:H51</f>
        <v>0</v>
      </c>
      <c r="E31" s="79">
        <v>2500</v>
      </c>
      <c r="F31" s="80">
        <v>1000</v>
      </c>
      <c r="G31" s="79">
        <f t="shared" si="2"/>
        <v>1000</v>
      </c>
      <c r="H31" s="82">
        <v>1000</v>
      </c>
      <c r="I31" s="82">
        <f t="shared" si="3"/>
        <v>0</v>
      </c>
      <c r="J31" s="69"/>
      <c r="K31" s="69"/>
      <c r="L31" s="69"/>
    </row>
    <row r="32" spans="1:12" ht="37.5" x14ac:dyDescent="0.3">
      <c r="A32" s="77" t="s">
        <v>46</v>
      </c>
      <c r="B32" s="83" t="s">
        <v>31</v>
      </c>
      <c r="C32" s="78"/>
      <c r="D32" s="79">
        <f>'APRIL 20'!H32:H52</f>
        <v>0</v>
      </c>
      <c r="E32" s="79">
        <v>2500</v>
      </c>
      <c r="F32" s="80">
        <v>1000</v>
      </c>
      <c r="G32" s="79">
        <f t="shared" si="2"/>
        <v>1000</v>
      </c>
      <c r="H32" s="81">
        <f>1000</f>
        <v>1000</v>
      </c>
      <c r="I32" s="82">
        <f t="shared" si="3"/>
        <v>0</v>
      </c>
      <c r="J32" s="69"/>
      <c r="K32" s="69"/>
      <c r="L32" s="69"/>
    </row>
    <row r="33" spans="1:12" ht="37.5" x14ac:dyDescent="0.3">
      <c r="A33" s="77" t="s">
        <v>47</v>
      </c>
      <c r="B33" s="90" t="s">
        <v>32</v>
      </c>
      <c r="C33" s="85"/>
      <c r="D33" s="79">
        <f>'APRIL 20'!H33:H53</f>
        <v>0</v>
      </c>
      <c r="E33" s="79">
        <v>2500</v>
      </c>
      <c r="F33" s="80">
        <v>1000</v>
      </c>
      <c r="G33" s="79">
        <f t="shared" si="2"/>
        <v>1000</v>
      </c>
      <c r="H33" s="89">
        <v>1000</v>
      </c>
      <c r="I33" s="82">
        <f t="shared" si="3"/>
        <v>0</v>
      </c>
      <c r="J33" s="69"/>
      <c r="K33" s="69"/>
      <c r="L33" s="69"/>
    </row>
    <row r="34" spans="1:12" ht="18.75" x14ac:dyDescent="0.3">
      <c r="A34" s="77" t="s">
        <v>48</v>
      </c>
      <c r="B34" s="90" t="s">
        <v>115</v>
      </c>
      <c r="C34" s="78"/>
      <c r="D34" s="79">
        <f>'APRIL 20'!H34:H54</f>
        <v>0</v>
      </c>
      <c r="E34" s="79">
        <v>2500</v>
      </c>
      <c r="F34" s="80">
        <v>1000</v>
      </c>
      <c r="G34" s="79">
        <f t="shared" si="2"/>
        <v>1000</v>
      </c>
      <c r="H34" s="81">
        <v>1000</v>
      </c>
      <c r="I34" s="82">
        <f t="shared" si="3"/>
        <v>0</v>
      </c>
      <c r="J34" s="69"/>
      <c r="K34" s="99"/>
      <c r="L34" s="69"/>
    </row>
    <row r="35" spans="1:12" ht="37.5" x14ac:dyDescent="0.3">
      <c r="A35" s="77" t="s">
        <v>49</v>
      </c>
      <c r="B35" s="90" t="s">
        <v>124</v>
      </c>
      <c r="C35" s="78"/>
      <c r="D35" s="79">
        <f>'APRIL 20'!H35:H55</f>
        <v>0</v>
      </c>
      <c r="E35" s="79">
        <v>2500</v>
      </c>
      <c r="F35" s="80">
        <v>1000</v>
      </c>
      <c r="G35" s="79">
        <f t="shared" si="2"/>
        <v>1000</v>
      </c>
      <c r="H35" s="81">
        <v>1000</v>
      </c>
      <c r="I35" s="82">
        <f t="shared" si="3"/>
        <v>0</v>
      </c>
      <c r="J35" s="69"/>
      <c r="K35" s="69"/>
      <c r="L35" s="69"/>
    </row>
    <row r="36" spans="1:12" ht="37.5" x14ac:dyDescent="0.3">
      <c r="A36" s="77" t="s">
        <v>50</v>
      </c>
      <c r="B36" s="83" t="s">
        <v>33</v>
      </c>
      <c r="C36" s="78"/>
      <c r="D36" s="79">
        <f>'APRIL 20'!H36:H56</f>
        <v>500</v>
      </c>
      <c r="E36" s="79">
        <v>2500</v>
      </c>
      <c r="F36" s="80">
        <v>1000</v>
      </c>
      <c r="G36" s="79">
        <f>C36+D36+F36</f>
        <v>1500</v>
      </c>
      <c r="H36" s="81">
        <v>1000</v>
      </c>
      <c r="I36" s="82">
        <f t="shared" si="3"/>
        <v>500</v>
      </c>
      <c r="J36" s="69"/>
      <c r="K36" s="69"/>
      <c r="L36" s="69"/>
    </row>
    <row r="37" spans="1:12" ht="18.75" x14ac:dyDescent="0.3">
      <c r="A37" s="77" t="s">
        <v>51</v>
      </c>
      <c r="B37" s="83" t="s">
        <v>40</v>
      </c>
      <c r="C37" s="78"/>
      <c r="D37" s="79">
        <f>'APRIL 20'!H37:H57</f>
        <v>0</v>
      </c>
      <c r="E37" s="79"/>
      <c r="F37" s="80"/>
      <c r="G37" s="79">
        <f t="shared" si="2"/>
        <v>0</v>
      </c>
      <c r="H37" s="81"/>
      <c r="I37" s="82">
        <f t="shared" si="3"/>
        <v>0</v>
      </c>
      <c r="J37" s="69"/>
      <c r="K37" s="69"/>
      <c r="L37" s="69"/>
    </row>
    <row r="38" spans="1:12" ht="18.75" x14ac:dyDescent="0.3">
      <c r="A38" s="77" t="s">
        <v>52</v>
      </c>
      <c r="B38" s="90" t="s">
        <v>40</v>
      </c>
      <c r="C38" s="78"/>
      <c r="D38" s="79">
        <f>'APRIL 20'!H38:H58</f>
        <v>0</v>
      </c>
      <c r="E38" s="79"/>
      <c r="F38" s="80"/>
      <c r="G38" s="79">
        <f>C38+D38+F38</f>
        <v>0</v>
      </c>
      <c r="H38" s="81"/>
      <c r="I38" s="82">
        <f>G38-H38</f>
        <v>0</v>
      </c>
      <c r="J38" s="69"/>
      <c r="K38" s="69"/>
      <c r="L38" s="69"/>
    </row>
    <row r="39" spans="1:12" ht="19.5" customHeight="1" x14ac:dyDescent="0.3">
      <c r="A39" s="77" t="s">
        <v>53</v>
      </c>
      <c r="B39" s="83" t="s">
        <v>123</v>
      </c>
      <c r="C39" s="78"/>
      <c r="D39" s="79">
        <f>'APRIL 20'!H39:H59</f>
        <v>0</v>
      </c>
      <c r="E39" s="79"/>
      <c r="F39" s="80">
        <v>1000</v>
      </c>
      <c r="G39" s="79">
        <f t="shared" si="2"/>
        <v>1000</v>
      </c>
      <c r="H39" s="81">
        <v>1000</v>
      </c>
      <c r="I39" s="82">
        <f t="shared" si="3"/>
        <v>0</v>
      </c>
      <c r="J39" s="69"/>
      <c r="K39" s="69"/>
      <c r="L39" s="69"/>
    </row>
    <row r="40" spans="1:12" ht="22.5" customHeight="1" x14ac:dyDescent="0.3">
      <c r="A40" s="77" t="s">
        <v>54</v>
      </c>
      <c r="B40" s="83" t="s">
        <v>107</v>
      </c>
      <c r="C40" s="78"/>
      <c r="D40" s="79">
        <f>'APRIL 20'!H40:H60</f>
        <v>0</v>
      </c>
      <c r="E40" s="79"/>
      <c r="F40" s="80"/>
      <c r="G40" s="79">
        <f t="shared" si="2"/>
        <v>0</v>
      </c>
      <c r="H40" s="81"/>
      <c r="I40" s="82">
        <f>G40-H40</f>
        <v>0</v>
      </c>
      <c r="J40" s="69"/>
      <c r="K40" s="69"/>
      <c r="L40" s="69"/>
    </row>
    <row r="41" spans="1:12" ht="18.75" x14ac:dyDescent="0.3">
      <c r="A41" s="77" t="s">
        <v>55</v>
      </c>
      <c r="B41" s="83" t="s">
        <v>103</v>
      </c>
      <c r="C41" s="78"/>
      <c r="D41" s="79">
        <f>'APRIL 20'!H41:H61</f>
        <v>0</v>
      </c>
      <c r="E41" s="79"/>
      <c r="F41" s="80"/>
      <c r="G41" s="79">
        <f t="shared" si="2"/>
        <v>0</v>
      </c>
      <c r="H41" s="81"/>
      <c r="I41" s="82">
        <f t="shared" si="3"/>
        <v>0</v>
      </c>
      <c r="J41" s="69" t="s">
        <v>106</v>
      </c>
      <c r="K41" s="69"/>
      <c r="L41" s="69"/>
    </row>
    <row r="42" spans="1:12" ht="37.5" x14ac:dyDescent="0.3">
      <c r="A42" s="77" t="s">
        <v>56</v>
      </c>
      <c r="B42" s="83" t="s">
        <v>120</v>
      </c>
      <c r="C42" s="78"/>
      <c r="D42" s="79">
        <f>'APRIL 20'!H42:H62</f>
        <v>0</v>
      </c>
      <c r="E42" s="79">
        <v>2500</v>
      </c>
      <c r="F42" s="80">
        <v>1000</v>
      </c>
      <c r="G42" s="79">
        <f>C42+D42+F42</f>
        <v>1000</v>
      </c>
      <c r="H42" s="81">
        <v>1000</v>
      </c>
      <c r="I42" s="82">
        <f>G42-H42</f>
        <v>0</v>
      </c>
      <c r="J42" s="69"/>
      <c r="K42" s="69"/>
      <c r="L42" s="69"/>
    </row>
    <row r="43" spans="1:12" ht="18.75" x14ac:dyDescent="0.3">
      <c r="A43" s="77" t="s">
        <v>57</v>
      </c>
      <c r="B43" s="83" t="s">
        <v>115</v>
      </c>
      <c r="C43" s="78"/>
      <c r="D43" s="79">
        <f>'APRIL 20'!H43:H63</f>
        <v>0</v>
      </c>
      <c r="E43" s="79">
        <v>2500</v>
      </c>
      <c r="F43" s="80">
        <v>1000</v>
      </c>
      <c r="G43" s="79">
        <f>C43+D43+F43</f>
        <v>1000</v>
      </c>
      <c r="H43" s="81">
        <v>1000</v>
      </c>
      <c r="I43" s="82">
        <f>G43-H43</f>
        <v>0</v>
      </c>
      <c r="J43" s="69"/>
      <c r="K43" s="69"/>
      <c r="L43" s="69"/>
    </row>
    <row r="44" spans="1:12" ht="56.25" x14ac:dyDescent="0.3">
      <c r="A44" s="77" t="s">
        <v>58</v>
      </c>
      <c r="B44" s="83" t="s">
        <v>37</v>
      </c>
      <c r="C44" s="78"/>
      <c r="D44" s="79">
        <f>'APRIL 20'!H44:H64</f>
        <v>100</v>
      </c>
      <c r="E44" s="79">
        <v>2500</v>
      </c>
      <c r="F44" s="80">
        <v>1000</v>
      </c>
      <c r="G44" s="79">
        <f t="shared" si="2"/>
        <v>1100</v>
      </c>
      <c r="H44" s="81">
        <v>1000</v>
      </c>
      <c r="I44" s="82">
        <f t="shared" si="3"/>
        <v>100</v>
      </c>
      <c r="J44" s="69"/>
      <c r="K44" s="69"/>
      <c r="L44" s="69"/>
    </row>
    <row r="45" spans="1:12" ht="37.5" x14ac:dyDescent="0.3">
      <c r="A45" s="77" t="s">
        <v>59</v>
      </c>
      <c r="B45" s="83" t="s">
        <v>112</v>
      </c>
      <c r="C45" s="78"/>
      <c r="D45" s="79">
        <f>'APRIL 20'!H45:H65</f>
        <v>0</v>
      </c>
      <c r="E45" s="79">
        <v>2500</v>
      </c>
      <c r="F45" s="80">
        <v>1000</v>
      </c>
      <c r="G45" s="79">
        <f t="shared" si="2"/>
        <v>1000</v>
      </c>
      <c r="H45" s="81">
        <v>1000</v>
      </c>
      <c r="I45" s="82">
        <f t="shared" si="3"/>
        <v>0</v>
      </c>
      <c r="J45" s="69"/>
      <c r="K45" s="69"/>
      <c r="L45" s="69"/>
    </row>
    <row r="46" spans="1:12" ht="56.25" x14ac:dyDescent="0.3">
      <c r="A46" s="77" t="s">
        <v>60</v>
      </c>
      <c r="B46" s="83" t="s">
        <v>38</v>
      </c>
      <c r="C46" s="78"/>
      <c r="D46" s="79">
        <f>'APRIL 20'!H46:H66</f>
        <v>2500</v>
      </c>
      <c r="E46" s="79">
        <v>2500</v>
      </c>
      <c r="F46" s="80">
        <v>1000</v>
      </c>
      <c r="G46" s="79">
        <f t="shared" si="2"/>
        <v>3500</v>
      </c>
      <c r="H46" s="81">
        <f>1000+2500</f>
        <v>3500</v>
      </c>
      <c r="I46" s="82">
        <f t="shared" si="3"/>
        <v>0</v>
      </c>
      <c r="J46" s="69" t="s">
        <v>119</v>
      </c>
      <c r="K46" s="69"/>
      <c r="L46" s="69"/>
    </row>
    <row r="47" spans="1:12" ht="37.5" x14ac:dyDescent="0.3">
      <c r="A47" s="77" t="s">
        <v>61</v>
      </c>
      <c r="B47" s="83" t="s">
        <v>41</v>
      </c>
      <c r="C47" s="78"/>
      <c r="D47" s="79">
        <f>'APRIL 20'!H47:H67</f>
        <v>0</v>
      </c>
      <c r="E47" s="79">
        <v>2500</v>
      </c>
      <c r="F47" s="80">
        <v>1000</v>
      </c>
      <c r="G47" s="79">
        <f t="shared" si="2"/>
        <v>1000</v>
      </c>
      <c r="H47" s="81">
        <v>1000</v>
      </c>
      <c r="I47" s="82">
        <f t="shared" si="3"/>
        <v>0</v>
      </c>
      <c r="J47" s="69"/>
      <c r="K47" s="69"/>
      <c r="L47" s="69"/>
    </row>
    <row r="48" spans="1:12" ht="37.5" x14ac:dyDescent="0.3">
      <c r="A48" s="77" t="s">
        <v>62</v>
      </c>
      <c r="B48" s="83" t="s">
        <v>39</v>
      </c>
      <c r="C48" s="78"/>
      <c r="D48" s="79">
        <f>'APRIL 20'!H48:H68</f>
        <v>2500</v>
      </c>
      <c r="E48" s="79">
        <v>2500</v>
      </c>
      <c r="F48" s="80">
        <v>1000</v>
      </c>
      <c r="G48" s="79">
        <f t="shared" si="2"/>
        <v>3500</v>
      </c>
      <c r="H48" s="81">
        <f>1000+2500</f>
        <v>3500</v>
      </c>
      <c r="I48" s="82">
        <f t="shared" si="3"/>
        <v>0</v>
      </c>
      <c r="J48" s="69"/>
      <c r="K48" s="69"/>
      <c r="L48" s="69"/>
    </row>
    <row r="49" spans="1:12" ht="18.75" x14ac:dyDescent="0.3">
      <c r="A49" s="92"/>
      <c r="B49" s="93" t="s">
        <v>9</v>
      </c>
      <c r="C49" s="94">
        <f>SUM(C28:C44)</f>
        <v>0</v>
      </c>
      <c r="D49" s="79">
        <f>SUM(D28:D48)</f>
        <v>5600</v>
      </c>
      <c r="E49" s="79">
        <f>SUM(E28:E48)</f>
        <v>37500</v>
      </c>
      <c r="F49" s="96">
        <f>SUM(F28:F48)</f>
        <v>17000</v>
      </c>
      <c r="G49" s="95">
        <f>SUM(G28:G48)</f>
        <v>22600</v>
      </c>
      <c r="H49" s="97">
        <f>SUM(H28:H48)</f>
        <v>22000</v>
      </c>
      <c r="I49" s="100">
        <f>G49-H49</f>
        <v>600</v>
      </c>
      <c r="J49" s="69"/>
      <c r="K49" s="69"/>
      <c r="L49" s="69"/>
    </row>
    <row r="50" spans="1:12" ht="18.75" x14ac:dyDescent="0.3">
      <c r="A50" s="72" t="s">
        <v>10</v>
      </c>
      <c r="B50" s="101"/>
      <c r="C50" s="102"/>
      <c r="D50" s="101"/>
      <c r="E50" s="117">
        <f>E49+E26</f>
        <v>59500</v>
      </c>
      <c r="F50" s="103"/>
      <c r="G50" s="101"/>
      <c r="H50" s="69"/>
      <c r="I50" s="104"/>
      <c r="J50" s="69"/>
      <c r="K50" s="69"/>
      <c r="L50" s="69"/>
    </row>
    <row r="51" spans="1:12" ht="18.75" x14ac:dyDescent="0.3">
      <c r="A51" s="105" t="s">
        <v>11</v>
      </c>
      <c r="B51" s="105" t="s">
        <v>12</v>
      </c>
      <c r="C51" s="105" t="s">
        <v>13</v>
      </c>
      <c r="D51" s="105" t="s">
        <v>14</v>
      </c>
      <c r="E51" s="105"/>
      <c r="F51" s="105" t="s">
        <v>11</v>
      </c>
      <c r="G51" s="105" t="s">
        <v>12</v>
      </c>
      <c r="H51" s="105" t="s">
        <v>13</v>
      </c>
      <c r="I51" s="106" t="s">
        <v>15</v>
      </c>
      <c r="J51" s="69"/>
      <c r="K51" s="104"/>
      <c r="L51" s="69"/>
    </row>
    <row r="52" spans="1:12" ht="18.75" x14ac:dyDescent="0.3">
      <c r="A52" s="84" t="s">
        <v>110</v>
      </c>
      <c r="B52" s="82">
        <f>F49+F26</f>
        <v>28000</v>
      </c>
      <c r="C52" s="85"/>
      <c r="D52" s="85"/>
      <c r="E52" s="85"/>
      <c r="F52" s="84" t="s">
        <v>110</v>
      </c>
      <c r="G52" s="82">
        <f>H49+H26</f>
        <v>32000</v>
      </c>
      <c r="H52" s="85"/>
      <c r="I52" s="82"/>
      <c r="J52" s="69"/>
      <c r="K52" s="69"/>
      <c r="L52" s="69"/>
    </row>
    <row r="53" spans="1:12" ht="18.75" x14ac:dyDescent="0.3">
      <c r="A53" s="84" t="s">
        <v>17</v>
      </c>
      <c r="B53" s="107">
        <v>0.1</v>
      </c>
      <c r="C53" s="108">
        <f>B53*B52</f>
        <v>2800</v>
      </c>
      <c r="D53" s="84"/>
      <c r="E53" s="84"/>
      <c r="F53" s="84" t="s">
        <v>17</v>
      </c>
      <c r="G53" s="107">
        <v>0.1</v>
      </c>
      <c r="H53" s="108">
        <f>G53*B52</f>
        <v>2800</v>
      </c>
      <c r="I53" s="82"/>
      <c r="J53" s="69"/>
      <c r="K53" s="69"/>
      <c r="L53" s="69"/>
    </row>
    <row r="54" spans="1:12" ht="3" customHeight="1" x14ac:dyDescent="0.3">
      <c r="A54" s="109"/>
      <c r="B54" s="108"/>
      <c r="C54" s="84"/>
      <c r="D54" s="84"/>
      <c r="E54" s="84"/>
      <c r="F54" s="109"/>
      <c r="G54" s="108"/>
      <c r="H54" s="84"/>
      <c r="I54" s="82"/>
      <c r="J54" s="69"/>
      <c r="K54" s="104"/>
      <c r="L54" s="69"/>
    </row>
    <row r="55" spans="1:12" ht="18.75" hidden="1" x14ac:dyDescent="0.3">
      <c r="A55" s="84"/>
      <c r="B55" s="107"/>
      <c r="C55" s="108"/>
      <c r="D55" s="84"/>
      <c r="E55" s="84"/>
      <c r="F55" s="84"/>
      <c r="G55" s="107"/>
      <c r="H55" s="108"/>
      <c r="I55" s="82"/>
      <c r="J55" s="69"/>
      <c r="K55" s="104"/>
      <c r="L55" s="69"/>
    </row>
    <row r="56" spans="1:12" ht="18.75" x14ac:dyDescent="0.3">
      <c r="A56" s="109" t="s">
        <v>18</v>
      </c>
      <c r="B56" s="108">
        <f>C49</f>
        <v>0</v>
      </c>
      <c r="C56" s="69"/>
      <c r="D56" s="84"/>
      <c r="E56" s="84"/>
      <c r="F56" s="84"/>
      <c r="G56" s="108"/>
      <c r="H56" s="84"/>
      <c r="I56" s="82"/>
      <c r="J56" s="69"/>
      <c r="K56" s="104"/>
      <c r="L56" s="69"/>
    </row>
    <row r="57" spans="1:12" ht="18.75" x14ac:dyDescent="0.3">
      <c r="A57" s="109" t="s">
        <v>19</v>
      </c>
      <c r="B57" s="108">
        <f>'APRIL 20'!D64</f>
        <v>-961</v>
      </c>
      <c r="C57" s="84"/>
      <c r="D57" s="84"/>
      <c r="E57" s="84"/>
      <c r="F57" s="109" t="s">
        <v>19</v>
      </c>
      <c r="G57" s="108">
        <f>'APRIL 20'!H64</f>
        <v>-10561</v>
      </c>
      <c r="H57" s="84"/>
      <c r="I57" s="82"/>
      <c r="J57" s="69"/>
      <c r="K57" s="104"/>
      <c r="L57" s="69"/>
    </row>
    <row r="58" spans="1:12" ht="18.75" x14ac:dyDescent="0.3">
      <c r="A58" s="109" t="s">
        <v>9</v>
      </c>
      <c r="B58" s="108">
        <f>B52+B54+B57+B56</f>
        <v>27039</v>
      </c>
      <c r="C58" s="84"/>
      <c r="D58" s="84"/>
      <c r="E58" s="84"/>
      <c r="F58" s="109" t="s">
        <v>9</v>
      </c>
      <c r="G58" s="108">
        <f>G52+G54+G57+G55</f>
        <v>21439</v>
      </c>
      <c r="H58" s="84"/>
      <c r="I58" s="82"/>
      <c r="J58" s="69"/>
      <c r="K58" s="69"/>
      <c r="L58" s="69"/>
    </row>
    <row r="59" spans="1:12" ht="18.75" x14ac:dyDescent="0.3">
      <c r="A59" s="110" t="s">
        <v>20</v>
      </c>
      <c r="B59" s="107"/>
      <c r="C59" s="111"/>
      <c r="D59" s="84"/>
      <c r="E59" s="84"/>
      <c r="F59" s="110" t="s">
        <v>20</v>
      </c>
      <c r="G59" s="107"/>
      <c r="H59" s="111"/>
      <c r="I59" s="82"/>
      <c r="J59" s="69"/>
      <c r="K59" s="99"/>
      <c r="L59" s="69"/>
    </row>
    <row r="60" spans="1:12" ht="18.75" x14ac:dyDescent="0.3">
      <c r="A60" s="109" t="s">
        <v>116</v>
      </c>
      <c r="B60" s="85"/>
      <c r="C60" s="112">
        <v>2500</v>
      </c>
      <c r="D60" s="84"/>
      <c r="E60" s="84"/>
      <c r="F60" s="109" t="s">
        <v>116</v>
      </c>
      <c r="G60" s="85"/>
      <c r="H60" s="112">
        <v>2500</v>
      </c>
      <c r="I60" s="82"/>
      <c r="J60" s="69"/>
      <c r="K60" s="69"/>
      <c r="L60" s="69"/>
    </row>
    <row r="61" spans="1:12" ht="18.75" x14ac:dyDescent="0.3">
      <c r="A61" s="113" t="s">
        <v>117</v>
      </c>
      <c r="B61" s="69"/>
      <c r="C61" s="114">
        <v>14200</v>
      </c>
      <c r="D61" s="85"/>
      <c r="E61" s="85"/>
      <c r="F61" s="113" t="s">
        <v>117</v>
      </c>
      <c r="G61" s="69"/>
      <c r="H61" s="114">
        <v>14200</v>
      </c>
      <c r="I61" s="82"/>
      <c r="J61" s="69"/>
      <c r="K61" s="69"/>
      <c r="L61" s="69"/>
    </row>
    <row r="62" spans="1:12" ht="18.75" x14ac:dyDescent="0.3">
      <c r="A62" s="113" t="s">
        <v>122</v>
      </c>
      <c r="B62" s="69"/>
      <c r="C62" s="114">
        <v>800</v>
      </c>
      <c r="D62" s="85"/>
      <c r="E62" s="85"/>
      <c r="F62" s="113" t="s">
        <v>122</v>
      </c>
      <c r="G62" s="69"/>
      <c r="H62" s="114">
        <v>800</v>
      </c>
      <c r="I62" s="82"/>
      <c r="J62" s="69"/>
      <c r="K62" s="69"/>
      <c r="L62" s="69"/>
    </row>
    <row r="63" spans="1:12" ht="18.75" x14ac:dyDescent="0.3">
      <c r="A63" s="113" t="s">
        <v>129</v>
      </c>
      <c r="B63" s="85"/>
      <c r="C63" s="114">
        <v>500</v>
      </c>
      <c r="D63" s="85"/>
      <c r="E63" s="85"/>
      <c r="F63" s="113" t="s">
        <v>125</v>
      </c>
      <c r="G63" s="85"/>
      <c r="H63" s="114">
        <v>500</v>
      </c>
      <c r="I63" s="82"/>
      <c r="J63" s="69"/>
      <c r="K63" s="69"/>
      <c r="L63" s="69"/>
    </row>
    <row r="64" spans="1:12" ht="18.75" x14ac:dyDescent="0.3">
      <c r="A64" s="115" t="s">
        <v>9</v>
      </c>
      <c r="B64" s="116">
        <f>B52+B54+B55+B56+B57-C53-C55</f>
        <v>24239</v>
      </c>
      <c r="C64" s="100">
        <f>SUM(C60:C63)</f>
        <v>18000</v>
      </c>
      <c r="D64" s="100">
        <f>B64-C64</f>
        <v>6239</v>
      </c>
      <c r="E64" s="100"/>
      <c r="F64" s="115" t="s">
        <v>9</v>
      </c>
      <c r="G64" s="116">
        <f>G52+G54+G57-H53-H55</f>
        <v>18639</v>
      </c>
      <c r="H64" s="100">
        <f>SUM(H60:H63)</f>
        <v>18000</v>
      </c>
      <c r="I64" s="100">
        <f>G64-H64</f>
        <v>639</v>
      </c>
      <c r="J64" s="69"/>
      <c r="K64" s="69"/>
      <c r="L64" s="69"/>
    </row>
    <row r="65" spans="1:12" ht="18.75" x14ac:dyDescent="0.3">
      <c r="A65" s="69" t="s">
        <v>21</v>
      </c>
      <c r="B65" s="69"/>
      <c r="C65" s="69"/>
      <c r="D65" s="69" t="s">
        <v>22</v>
      </c>
      <c r="E65" s="69"/>
      <c r="F65" s="69"/>
      <c r="G65" s="69"/>
      <c r="H65" s="69" t="s">
        <v>23</v>
      </c>
      <c r="I65" s="104"/>
      <c r="J65" s="69"/>
      <c r="K65" s="69"/>
      <c r="L65" s="69"/>
    </row>
    <row r="66" spans="1:12" ht="18.75" x14ac:dyDescent="0.3">
      <c r="A66" s="69" t="s">
        <v>64</v>
      </c>
      <c r="B66" s="69"/>
      <c r="C66" s="69"/>
      <c r="D66" s="69" t="s">
        <v>24</v>
      </c>
      <c r="E66" s="69"/>
      <c r="F66" s="69"/>
      <c r="G66" s="69"/>
      <c r="H66" s="69" t="s">
        <v>25</v>
      </c>
      <c r="I66" s="69"/>
      <c r="J66" s="69"/>
      <c r="K66" s="69"/>
      <c r="L66" s="69"/>
    </row>
    <row r="67" spans="1:12" ht="18.75" x14ac:dyDescent="0.3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</row>
    <row r="68" spans="1:12" ht="18.75" x14ac:dyDescent="0.3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</row>
    <row r="70" spans="1:12" x14ac:dyDescent="0.25">
      <c r="C70" s="65"/>
    </row>
  </sheetData>
  <pageMargins left="0.7" right="0.7" top="0" bottom="0" header="0.3" footer="0.3"/>
  <pageSetup paperSize="261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21" workbookViewId="0">
      <selection activeCell="M51" sqref="M51"/>
    </sheetView>
  </sheetViews>
  <sheetFormatPr defaultRowHeight="15" x14ac:dyDescent="0.25"/>
  <cols>
    <col min="1" max="1" width="7.5703125" customWidth="1"/>
    <col min="2" max="2" width="18.85546875" customWidth="1"/>
    <col min="5" max="5" width="8.28515625" customWidth="1"/>
    <col min="6" max="6" width="7.140625" customWidth="1"/>
    <col min="9" max="9" width="12.85546875" customWidth="1"/>
  </cols>
  <sheetData>
    <row r="1" spans="1:9" ht="15.75" x14ac:dyDescent="0.25">
      <c r="C1" s="1" t="s">
        <v>26</v>
      </c>
      <c r="D1" s="2"/>
      <c r="E1" s="2"/>
      <c r="F1" s="2"/>
      <c r="G1" s="2"/>
    </row>
    <row r="2" spans="1:9" ht="15.75" x14ac:dyDescent="0.25">
      <c r="C2" s="3" t="s">
        <v>0</v>
      </c>
      <c r="D2" s="4"/>
      <c r="E2" s="4"/>
      <c r="F2" s="2"/>
      <c r="G2" s="2"/>
    </row>
    <row r="3" spans="1:9" ht="21" x14ac:dyDescent="0.25">
      <c r="C3" s="4" t="s">
        <v>121</v>
      </c>
      <c r="D3" s="3"/>
      <c r="E3" s="3"/>
      <c r="F3" s="5"/>
      <c r="G3" s="5"/>
    </row>
    <row r="4" spans="1:9" x14ac:dyDescent="0.25">
      <c r="D4" s="6" t="s">
        <v>65</v>
      </c>
      <c r="E4" s="6"/>
    </row>
    <row r="5" spans="1:9" ht="15.75" x14ac:dyDescent="0.25">
      <c r="A5" s="46" t="s">
        <v>1</v>
      </c>
      <c r="B5" s="46" t="s">
        <v>2</v>
      </c>
      <c r="C5" s="46" t="s">
        <v>3</v>
      </c>
      <c r="D5" s="46" t="s">
        <v>4</v>
      </c>
      <c r="E5" s="46" t="s">
        <v>114</v>
      </c>
      <c r="F5" s="46" t="s">
        <v>5</v>
      </c>
      <c r="G5" s="47" t="s">
        <v>6</v>
      </c>
      <c r="H5" s="46" t="s">
        <v>7</v>
      </c>
      <c r="I5" s="48" t="s">
        <v>8</v>
      </c>
    </row>
    <row r="6" spans="1:9" x14ac:dyDescent="0.25">
      <c r="A6" s="49" t="s">
        <v>66</v>
      </c>
      <c r="B6" s="43" t="s">
        <v>40</v>
      </c>
      <c r="C6" s="8"/>
      <c r="D6" s="56">
        <f>'MAY 20'!I6:I25</f>
        <v>0</v>
      </c>
      <c r="E6" s="56"/>
      <c r="F6" s="10"/>
      <c r="G6" s="56">
        <f>C6+D6+F6</f>
        <v>0</v>
      </c>
      <c r="H6" s="11"/>
      <c r="I6" s="36">
        <f t="shared" ref="I6:I25" si="0">G6-H6</f>
        <v>0</v>
      </c>
    </row>
    <row r="7" spans="1:9" x14ac:dyDescent="0.25">
      <c r="A7" s="49" t="s">
        <v>71</v>
      </c>
      <c r="B7" s="43" t="s">
        <v>86</v>
      </c>
      <c r="C7" s="8"/>
      <c r="D7" s="56">
        <f>'MAY 20'!I7:I26</f>
        <v>0</v>
      </c>
      <c r="E7" s="56">
        <v>4000</v>
      </c>
      <c r="F7" s="56">
        <v>2000</v>
      </c>
      <c r="G7" s="56">
        <f t="shared" ref="G7:G25" si="1">C7+D7+F7</f>
        <v>2000</v>
      </c>
      <c r="H7" s="9">
        <f>1500</f>
        <v>1500</v>
      </c>
      <c r="I7" s="36">
        <f t="shared" si="0"/>
        <v>500</v>
      </c>
    </row>
    <row r="8" spans="1:9" x14ac:dyDescent="0.25">
      <c r="A8" s="49" t="s">
        <v>67</v>
      </c>
      <c r="B8" s="35"/>
      <c r="C8" s="13"/>
      <c r="D8" s="56">
        <f>'MAY 20'!I8:I27</f>
        <v>0</v>
      </c>
      <c r="E8" s="56"/>
      <c r="F8" s="56"/>
      <c r="G8" s="56">
        <f t="shared" si="1"/>
        <v>0</v>
      </c>
      <c r="H8" s="13"/>
      <c r="I8" s="36">
        <f t="shared" si="0"/>
        <v>0</v>
      </c>
    </row>
    <row r="9" spans="1:9" x14ac:dyDescent="0.25">
      <c r="A9" s="50" t="s">
        <v>72</v>
      </c>
      <c r="B9" s="35" t="s">
        <v>103</v>
      </c>
      <c r="C9" s="13"/>
      <c r="D9" s="56">
        <f>'MAY 20'!I9:I28</f>
        <v>0</v>
      </c>
      <c r="E9" s="56"/>
      <c r="F9" s="56"/>
      <c r="G9" s="56">
        <f t="shared" si="1"/>
        <v>0</v>
      </c>
      <c r="H9" s="12"/>
      <c r="I9" s="36">
        <f t="shared" si="0"/>
        <v>0</v>
      </c>
    </row>
    <row r="10" spans="1:9" x14ac:dyDescent="0.25">
      <c r="A10" s="51" t="s">
        <v>68</v>
      </c>
      <c r="B10" s="43" t="s">
        <v>40</v>
      </c>
      <c r="C10" s="8"/>
      <c r="D10" s="56">
        <f>'MAY 20'!I10:I29</f>
        <v>0</v>
      </c>
      <c r="E10" s="56"/>
      <c r="F10" s="56"/>
      <c r="G10" s="56">
        <f t="shared" si="1"/>
        <v>0</v>
      </c>
      <c r="H10" s="11"/>
      <c r="I10" s="36">
        <f t="shared" si="0"/>
        <v>0</v>
      </c>
    </row>
    <row r="11" spans="1:9" x14ac:dyDescent="0.25">
      <c r="A11" s="52" t="s">
        <v>73</v>
      </c>
      <c r="B11" s="44" t="s">
        <v>40</v>
      </c>
      <c r="C11" s="13"/>
      <c r="D11" s="56">
        <f>'MAY 20'!I11:I30</f>
        <v>0</v>
      </c>
      <c r="E11" s="56"/>
      <c r="F11" s="56"/>
      <c r="G11" s="56">
        <f t="shared" si="1"/>
        <v>0</v>
      </c>
      <c r="H11" s="14"/>
      <c r="I11" s="36">
        <f t="shared" si="0"/>
        <v>0</v>
      </c>
    </row>
    <row r="12" spans="1:9" x14ac:dyDescent="0.25">
      <c r="A12" s="49" t="s">
        <v>69</v>
      </c>
      <c r="B12" s="44" t="s">
        <v>40</v>
      </c>
      <c r="C12" s="8"/>
      <c r="D12" s="56">
        <f>'MAY 20'!I12:I31</f>
        <v>0</v>
      </c>
      <c r="E12" s="56"/>
      <c r="F12" s="56"/>
      <c r="G12" s="56">
        <f t="shared" si="1"/>
        <v>0</v>
      </c>
      <c r="H12" s="11"/>
      <c r="I12" s="36">
        <f t="shared" si="0"/>
        <v>0</v>
      </c>
    </row>
    <row r="13" spans="1:9" x14ac:dyDescent="0.25">
      <c r="A13" s="49" t="s">
        <v>74</v>
      </c>
      <c r="B13" s="44" t="s">
        <v>87</v>
      </c>
      <c r="C13" s="8"/>
      <c r="D13" s="56">
        <f>'MAY 20'!I13:I32</f>
        <v>0</v>
      </c>
      <c r="E13" s="56">
        <v>4000</v>
      </c>
      <c r="F13" s="56">
        <v>2000</v>
      </c>
      <c r="G13" s="56">
        <f t="shared" si="1"/>
        <v>2000</v>
      </c>
      <c r="H13" s="11">
        <v>2000</v>
      </c>
      <c r="I13" s="36">
        <f t="shared" si="0"/>
        <v>0</v>
      </c>
    </row>
    <row r="14" spans="1:9" x14ac:dyDescent="0.25">
      <c r="A14" s="53" t="s">
        <v>70</v>
      </c>
      <c r="B14" s="44" t="s">
        <v>40</v>
      </c>
      <c r="C14" s="8"/>
      <c r="D14" s="56">
        <f>'MAY 20'!I14:I33</f>
        <v>0</v>
      </c>
      <c r="E14" s="56"/>
      <c r="F14" s="56"/>
      <c r="G14" s="56">
        <f t="shared" si="1"/>
        <v>0</v>
      </c>
      <c r="H14" s="11"/>
      <c r="I14" s="36">
        <f t="shared" si="0"/>
        <v>0</v>
      </c>
    </row>
    <row r="15" spans="1:9" x14ac:dyDescent="0.25">
      <c r="A15" s="53" t="s">
        <v>75</v>
      </c>
      <c r="B15" s="44" t="s">
        <v>40</v>
      </c>
      <c r="C15" s="8"/>
      <c r="D15" s="56">
        <f>'MAY 20'!I15:I34</f>
        <v>0</v>
      </c>
      <c r="E15" s="56"/>
      <c r="F15" s="56"/>
      <c r="G15" s="56">
        <f t="shared" si="1"/>
        <v>0</v>
      </c>
      <c r="H15" s="11"/>
      <c r="I15" s="36">
        <f t="shared" si="0"/>
        <v>0</v>
      </c>
    </row>
    <row r="16" spans="1:9" x14ac:dyDescent="0.25">
      <c r="A16" s="53" t="s">
        <v>76</v>
      </c>
      <c r="B16" s="44" t="s">
        <v>40</v>
      </c>
      <c r="C16" s="8"/>
      <c r="D16" s="56">
        <f>'MAY 20'!I16:I35</f>
        <v>0</v>
      </c>
      <c r="E16" s="56"/>
      <c r="F16" s="56"/>
      <c r="G16" s="56">
        <f t="shared" si="1"/>
        <v>0</v>
      </c>
      <c r="H16" s="11"/>
      <c r="I16" s="36">
        <f t="shared" si="0"/>
        <v>0</v>
      </c>
    </row>
    <row r="17" spans="1:13" x14ac:dyDescent="0.25">
      <c r="A17" s="53" t="s">
        <v>77</v>
      </c>
      <c r="B17" s="44" t="s">
        <v>40</v>
      </c>
      <c r="C17" s="8"/>
      <c r="D17" s="56">
        <f>'MAY 20'!I17:I36</f>
        <v>0</v>
      </c>
      <c r="E17" s="56"/>
      <c r="F17" s="56"/>
      <c r="G17" s="56">
        <f t="shared" si="1"/>
        <v>0</v>
      </c>
      <c r="H17" s="11"/>
      <c r="I17" s="36">
        <f>G17-H17</f>
        <v>0</v>
      </c>
    </row>
    <row r="18" spans="1:13" x14ac:dyDescent="0.25">
      <c r="A18" s="53" t="s">
        <v>78</v>
      </c>
      <c r="B18" s="44" t="s">
        <v>88</v>
      </c>
      <c r="C18" s="8"/>
      <c r="D18" s="56">
        <f>'MAY 20'!I18:I37</f>
        <v>1500</v>
      </c>
      <c r="E18" s="56">
        <v>5000</v>
      </c>
      <c r="F18" s="56">
        <v>2500</v>
      </c>
      <c r="G18" s="56">
        <f t="shared" si="1"/>
        <v>4000</v>
      </c>
      <c r="H18" s="11">
        <f>3000</f>
        <v>3000</v>
      </c>
      <c r="I18" s="36">
        <f t="shared" si="0"/>
        <v>1000</v>
      </c>
    </row>
    <row r="19" spans="1:13" x14ac:dyDescent="0.25">
      <c r="A19" s="53" t="s">
        <v>79</v>
      </c>
      <c r="B19" s="44" t="s">
        <v>40</v>
      </c>
      <c r="C19" s="8"/>
      <c r="D19" s="56">
        <f>'MAY 20'!I19:I38</f>
        <v>0</v>
      </c>
      <c r="E19" s="56"/>
      <c r="F19" s="56"/>
      <c r="G19" s="56">
        <f t="shared" si="1"/>
        <v>0</v>
      </c>
      <c r="H19" s="11"/>
      <c r="I19" s="36">
        <f t="shared" si="0"/>
        <v>0</v>
      </c>
    </row>
    <row r="20" spans="1:13" x14ac:dyDescent="0.25">
      <c r="A20" s="53" t="s">
        <v>80</v>
      </c>
      <c r="B20" s="44" t="s">
        <v>40</v>
      </c>
      <c r="C20" s="8"/>
      <c r="D20" s="56">
        <f>'MAY 20'!I20:I39</f>
        <v>0</v>
      </c>
      <c r="E20" s="56"/>
      <c r="F20" s="56"/>
      <c r="G20" s="56">
        <f t="shared" si="1"/>
        <v>0</v>
      </c>
      <c r="H20" s="11"/>
      <c r="I20" s="36">
        <f t="shared" si="0"/>
        <v>0</v>
      </c>
    </row>
    <row r="21" spans="1:13" x14ac:dyDescent="0.25">
      <c r="A21" s="53" t="s">
        <v>81</v>
      </c>
      <c r="B21" s="44" t="s">
        <v>89</v>
      </c>
      <c r="C21" s="8"/>
      <c r="D21" s="56">
        <f>'MAY 20'!I21:I40</f>
        <v>0</v>
      </c>
      <c r="E21" s="56">
        <v>4000</v>
      </c>
      <c r="F21" s="56">
        <v>2000</v>
      </c>
      <c r="G21" s="56">
        <f t="shared" si="1"/>
        <v>2000</v>
      </c>
      <c r="H21" s="11">
        <f>1000+1000</f>
        <v>2000</v>
      </c>
      <c r="I21" s="36">
        <f t="shared" si="0"/>
        <v>0</v>
      </c>
    </row>
    <row r="22" spans="1:13" x14ac:dyDescent="0.25">
      <c r="A22" s="53" t="s">
        <v>82</v>
      </c>
      <c r="B22" s="44" t="s">
        <v>40</v>
      </c>
      <c r="C22" s="8"/>
      <c r="D22" s="56">
        <f>'MAY 20'!I22:I41</f>
        <v>0</v>
      </c>
      <c r="E22" s="56"/>
      <c r="F22" s="56"/>
      <c r="G22" s="56">
        <f t="shared" si="1"/>
        <v>0</v>
      </c>
      <c r="H22" s="11"/>
      <c r="I22" s="36">
        <f t="shared" si="0"/>
        <v>0</v>
      </c>
    </row>
    <row r="23" spans="1:13" x14ac:dyDescent="0.25">
      <c r="A23" s="53" t="s">
        <v>83</v>
      </c>
      <c r="B23" s="44" t="s">
        <v>40</v>
      </c>
      <c r="C23" s="8"/>
      <c r="D23" s="56">
        <f>'MAY 20'!I23:I42</f>
        <v>0</v>
      </c>
      <c r="E23" s="56"/>
      <c r="F23" s="56"/>
      <c r="G23" s="56">
        <f t="shared" si="1"/>
        <v>0</v>
      </c>
      <c r="H23" s="11"/>
      <c r="I23" s="36">
        <f t="shared" si="0"/>
        <v>0</v>
      </c>
    </row>
    <row r="24" spans="1:13" x14ac:dyDescent="0.25">
      <c r="A24" s="53" t="s">
        <v>84</v>
      </c>
      <c r="B24" s="44" t="s">
        <v>90</v>
      </c>
      <c r="C24" s="8"/>
      <c r="D24" s="56">
        <f>'MAY 20'!I24:I43</f>
        <v>3500</v>
      </c>
      <c r="E24" s="56">
        <v>5000</v>
      </c>
      <c r="F24" s="56">
        <v>2500</v>
      </c>
      <c r="G24" s="56">
        <f t="shared" si="1"/>
        <v>6000</v>
      </c>
      <c r="H24" s="11">
        <f>1000+1500+1000</f>
        <v>3500</v>
      </c>
      <c r="I24" s="36">
        <f t="shared" si="0"/>
        <v>2500</v>
      </c>
    </row>
    <row r="25" spans="1:13" x14ac:dyDescent="0.25">
      <c r="A25" s="53" t="s">
        <v>85</v>
      </c>
      <c r="B25" s="44" t="s">
        <v>40</v>
      </c>
      <c r="C25" s="8"/>
      <c r="D25" s="56">
        <f>'MAY 20'!I25:I44</f>
        <v>0</v>
      </c>
      <c r="E25" s="56"/>
      <c r="F25" s="8"/>
      <c r="G25" s="56">
        <f t="shared" si="1"/>
        <v>0</v>
      </c>
      <c r="H25" s="11"/>
      <c r="I25" s="36">
        <f t="shared" si="0"/>
        <v>0</v>
      </c>
    </row>
    <row r="26" spans="1:13" ht="15.75" x14ac:dyDescent="0.25">
      <c r="A26" s="7"/>
      <c r="B26" s="45" t="s">
        <v>9</v>
      </c>
      <c r="C26" s="15">
        <f>SUM(C6:C25)</f>
        <v>0</v>
      </c>
      <c r="D26" s="57">
        <f>SUM(D6:D25)</f>
        <v>5000</v>
      </c>
      <c r="E26" s="57">
        <f>SUM(E6:E25)</f>
        <v>22000</v>
      </c>
      <c r="F26" s="16">
        <f>SUM(F6:F25)</f>
        <v>11000</v>
      </c>
      <c r="G26" s="57">
        <f>C26+D26+F26</f>
        <v>16000</v>
      </c>
      <c r="H26" s="17">
        <f>SUM(H6:H25)</f>
        <v>12000</v>
      </c>
      <c r="I26" s="59">
        <f>SUM(I6:I25)</f>
        <v>4000</v>
      </c>
    </row>
    <row r="27" spans="1:13" x14ac:dyDescent="0.25">
      <c r="C27" s="6"/>
      <c r="D27" s="6" t="s">
        <v>28</v>
      </c>
      <c r="E27" s="6"/>
      <c r="F27" s="6"/>
      <c r="L27" s="65"/>
      <c r="M27" s="65"/>
    </row>
    <row r="28" spans="1:13" x14ac:dyDescent="0.25">
      <c r="A28" s="49"/>
      <c r="B28" s="43"/>
      <c r="C28" s="8"/>
      <c r="D28" s="9">
        <f>'MAY 20'!I28:I48</f>
        <v>0</v>
      </c>
      <c r="E28" s="9"/>
      <c r="F28" s="54"/>
      <c r="G28" s="56">
        <f t="shared" ref="G28:G48" si="2">C28+D28+F28</f>
        <v>0</v>
      </c>
      <c r="H28" s="9"/>
      <c r="I28" s="36">
        <f t="shared" ref="I28:I48" si="3">G28-H28</f>
        <v>0</v>
      </c>
      <c r="K28" s="64"/>
    </row>
    <row r="29" spans="1:13" x14ac:dyDescent="0.25">
      <c r="A29" s="49" t="s">
        <v>43</v>
      </c>
      <c r="B29" s="43" t="s">
        <v>113</v>
      </c>
      <c r="C29" s="8"/>
      <c r="D29" s="9">
        <f>'MAY 20'!I29:I49</f>
        <v>0</v>
      </c>
      <c r="E29" s="9">
        <v>2500</v>
      </c>
      <c r="F29" s="54">
        <v>1000</v>
      </c>
      <c r="G29" s="56">
        <f>C29+D29+F29</f>
        <v>1000</v>
      </c>
      <c r="H29" s="9">
        <v>1000</v>
      </c>
      <c r="I29" s="36">
        <f t="shared" si="3"/>
        <v>0</v>
      </c>
    </row>
    <row r="30" spans="1:13" x14ac:dyDescent="0.25">
      <c r="A30" s="49" t="s">
        <v>44</v>
      </c>
      <c r="B30" s="35" t="s">
        <v>132</v>
      </c>
      <c r="C30" s="13"/>
      <c r="D30" s="9">
        <f>'MAY 20'!I30:I50</f>
        <v>0</v>
      </c>
      <c r="E30" s="9">
        <v>2500</v>
      </c>
      <c r="F30" s="54">
        <v>1000</v>
      </c>
      <c r="G30" s="56">
        <f t="shared" si="2"/>
        <v>1000</v>
      </c>
      <c r="H30" s="13">
        <v>1000</v>
      </c>
      <c r="I30" s="36">
        <f t="shared" si="3"/>
        <v>0</v>
      </c>
    </row>
    <row r="31" spans="1:13" x14ac:dyDescent="0.25">
      <c r="A31" s="49" t="s">
        <v>45</v>
      </c>
      <c r="B31" s="43" t="s">
        <v>30</v>
      </c>
      <c r="C31" s="13"/>
      <c r="D31" s="9">
        <f>'MAY 20'!I31:I51</f>
        <v>0</v>
      </c>
      <c r="E31" s="9">
        <v>2500</v>
      </c>
      <c r="F31" s="54">
        <v>1000</v>
      </c>
      <c r="G31" s="56">
        <f t="shared" si="2"/>
        <v>1000</v>
      </c>
      <c r="H31" s="12"/>
      <c r="I31" s="36">
        <f t="shared" si="3"/>
        <v>1000</v>
      </c>
    </row>
    <row r="32" spans="1:13" x14ac:dyDescent="0.25">
      <c r="A32" s="49" t="s">
        <v>46</v>
      </c>
      <c r="B32" s="43" t="s">
        <v>31</v>
      </c>
      <c r="C32" s="8"/>
      <c r="D32" s="9">
        <f>'MAY 20'!I32:I52</f>
        <v>0</v>
      </c>
      <c r="E32" s="9">
        <v>2500</v>
      </c>
      <c r="F32" s="54">
        <v>1000</v>
      </c>
      <c r="G32" s="56">
        <f t="shared" si="2"/>
        <v>1000</v>
      </c>
      <c r="H32" s="11">
        <v>1000</v>
      </c>
      <c r="I32" s="36">
        <f t="shared" si="3"/>
        <v>0</v>
      </c>
      <c r="L32" s="65"/>
      <c r="M32" s="65"/>
    </row>
    <row r="33" spans="1:13" x14ac:dyDescent="0.25">
      <c r="A33" s="49" t="s">
        <v>47</v>
      </c>
      <c r="B33" s="44" t="s">
        <v>32</v>
      </c>
      <c r="C33" s="13"/>
      <c r="D33" s="9">
        <f>'MAY 20'!I33:I53</f>
        <v>0</v>
      </c>
      <c r="E33" s="9">
        <v>2500</v>
      </c>
      <c r="F33" s="54">
        <v>1000</v>
      </c>
      <c r="G33" s="56">
        <f t="shared" si="2"/>
        <v>1000</v>
      </c>
      <c r="H33" s="14">
        <v>1000</v>
      </c>
      <c r="I33" s="36">
        <f t="shared" si="3"/>
        <v>0</v>
      </c>
      <c r="L33" s="65"/>
      <c r="M33" s="65"/>
    </row>
    <row r="34" spans="1:13" x14ac:dyDescent="0.25">
      <c r="A34" s="49" t="s">
        <v>48</v>
      </c>
      <c r="B34" s="44" t="s">
        <v>37</v>
      </c>
      <c r="C34" s="8"/>
      <c r="D34" s="9">
        <v>100</v>
      </c>
      <c r="E34" s="9">
        <v>2500</v>
      </c>
      <c r="F34" s="54">
        <v>1000</v>
      </c>
      <c r="G34" s="56">
        <f t="shared" si="2"/>
        <v>1100</v>
      </c>
      <c r="H34" s="11">
        <v>1000</v>
      </c>
      <c r="I34" s="36">
        <f t="shared" si="3"/>
        <v>100</v>
      </c>
      <c r="K34" s="64"/>
    </row>
    <row r="35" spans="1:13" ht="14.25" customHeight="1" x14ac:dyDescent="0.25">
      <c r="A35" s="49" t="s">
        <v>49</v>
      </c>
      <c r="B35" s="44" t="s">
        <v>107</v>
      </c>
      <c r="C35" s="8"/>
      <c r="D35" s="9">
        <f>'MAY 20'!I35:I55</f>
        <v>0</v>
      </c>
      <c r="E35" s="9"/>
      <c r="F35" s="54"/>
      <c r="G35" s="56">
        <f t="shared" si="2"/>
        <v>0</v>
      </c>
      <c r="H35" s="11"/>
      <c r="I35" s="36">
        <f t="shared" si="3"/>
        <v>0</v>
      </c>
      <c r="M35" s="65"/>
    </row>
    <row r="36" spans="1:13" x14ac:dyDescent="0.25">
      <c r="A36" s="49" t="s">
        <v>50</v>
      </c>
      <c r="B36" s="43" t="s">
        <v>33</v>
      </c>
      <c r="C36" s="8"/>
      <c r="D36" s="9">
        <f>'MAY 20'!I36:I56</f>
        <v>500</v>
      </c>
      <c r="E36" s="9">
        <v>2500</v>
      </c>
      <c r="F36" s="54">
        <v>1000</v>
      </c>
      <c r="G36" s="56">
        <f>C36+D36+F36</f>
        <v>1500</v>
      </c>
      <c r="H36" s="11">
        <v>1000</v>
      </c>
      <c r="I36" s="36">
        <f t="shared" si="3"/>
        <v>500</v>
      </c>
    </row>
    <row r="37" spans="1:13" x14ac:dyDescent="0.25">
      <c r="A37" s="49" t="s">
        <v>51</v>
      </c>
      <c r="B37" s="43" t="s">
        <v>126</v>
      </c>
      <c r="C37" s="8"/>
      <c r="D37" s="9">
        <f>'MAY 20'!I37:I57</f>
        <v>0</v>
      </c>
      <c r="E37" s="9"/>
      <c r="F37" s="54">
        <v>1000</v>
      </c>
      <c r="G37" s="56">
        <f t="shared" si="2"/>
        <v>1000</v>
      </c>
      <c r="H37" s="11">
        <v>1000</v>
      </c>
      <c r="I37" s="36">
        <f t="shared" si="3"/>
        <v>0</v>
      </c>
    </row>
    <row r="38" spans="1:13" x14ac:dyDescent="0.25">
      <c r="A38" s="49" t="s">
        <v>52</v>
      </c>
      <c r="B38" s="44" t="s">
        <v>127</v>
      </c>
      <c r="C38" s="8"/>
      <c r="D38" s="9">
        <f>'MAY 20'!I38:I58</f>
        <v>0</v>
      </c>
      <c r="E38" s="9"/>
      <c r="F38" s="54">
        <v>1000</v>
      </c>
      <c r="G38" s="56">
        <f>C38+D38+F38</f>
        <v>1000</v>
      </c>
      <c r="H38" s="11">
        <v>1000</v>
      </c>
      <c r="I38" s="36">
        <f>G38-H38</f>
        <v>0</v>
      </c>
    </row>
    <row r="39" spans="1:13" ht="3" customHeight="1" x14ac:dyDescent="0.25">
      <c r="A39" s="49"/>
      <c r="B39" s="43"/>
      <c r="C39" s="8"/>
      <c r="D39" s="9">
        <f>'MAY 20'!I39:I59</f>
        <v>0</v>
      </c>
      <c r="E39" s="9"/>
      <c r="F39" s="54"/>
      <c r="G39" s="56">
        <f t="shared" si="2"/>
        <v>0</v>
      </c>
      <c r="H39" s="11"/>
      <c r="I39" s="36">
        <f t="shared" si="3"/>
        <v>0</v>
      </c>
      <c r="L39" s="65"/>
    </row>
    <row r="40" spans="1:13" hidden="1" x14ac:dyDescent="0.25">
      <c r="A40" s="49"/>
      <c r="B40" s="61"/>
      <c r="C40" s="8"/>
      <c r="D40" s="9">
        <f>'MAY 20'!I40:I60</f>
        <v>0</v>
      </c>
      <c r="E40" s="9"/>
      <c r="F40" s="54"/>
      <c r="G40" s="56">
        <f t="shared" si="2"/>
        <v>0</v>
      </c>
      <c r="H40" s="11"/>
      <c r="I40" s="36">
        <f>G40-H40</f>
        <v>0</v>
      </c>
      <c r="L40" s="65"/>
    </row>
    <row r="41" spans="1:13" hidden="1" x14ac:dyDescent="0.25">
      <c r="A41" s="49"/>
      <c r="B41" s="43"/>
      <c r="C41" s="8"/>
      <c r="D41" s="9">
        <f>'MAY 20'!I41:I61</f>
        <v>0</v>
      </c>
      <c r="E41" s="9"/>
      <c r="F41" s="54"/>
      <c r="G41" s="56">
        <f t="shared" si="2"/>
        <v>0</v>
      </c>
      <c r="H41" s="11"/>
      <c r="I41" s="36">
        <f t="shared" si="3"/>
        <v>0</v>
      </c>
    </row>
    <row r="42" spans="1:13" hidden="1" x14ac:dyDescent="0.25">
      <c r="A42" s="49"/>
      <c r="B42" s="43"/>
      <c r="C42" s="8"/>
      <c r="D42" s="9">
        <f>'MAY 20'!I42:I63</f>
        <v>0</v>
      </c>
      <c r="E42" s="9"/>
      <c r="F42" s="54"/>
      <c r="G42" s="56">
        <f>C42+D42+F42</f>
        <v>0</v>
      </c>
      <c r="H42" s="11"/>
      <c r="I42" s="36">
        <f>G42-H42</f>
        <v>0</v>
      </c>
    </row>
    <row r="43" spans="1:13" x14ac:dyDescent="0.25">
      <c r="A43" s="49" t="s">
        <v>57</v>
      </c>
      <c r="B43" s="43" t="s">
        <v>133</v>
      </c>
      <c r="C43" s="8"/>
      <c r="D43" s="9">
        <f>'MAY 20'!I43:I64</f>
        <v>0</v>
      </c>
      <c r="E43" s="9">
        <v>2500</v>
      </c>
      <c r="F43" s="54">
        <v>1000</v>
      </c>
      <c r="G43" s="56">
        <f>C43+D43+F43</f>
        <v>1000</v>
      </c>
      <c r="H43" s="11">
        <v>1000</v>
      </c>
      <c r="I43" s="36">
        <f>G43-H43</f>
        <v>0</v>
      </c>
    </row>
    <row r="44" spans="1:13" x14ac:dyDescent="0.25">
      <c r="A44" s="49" t="s">
        <v>58</v>
      </c>
      <c r="B44" s="43" t="s">
        <v>134</v>
      </c>
      <c r="C44" s="8"/>
      <c r="D44" s="9"/>
      <c r="E44" s="9">
        <v>2500</v>
      </c>
      <c r="F44" s="54">
        <v>1000</v>
      </c>
      <c r="G44" s="56">
        <f t="shared" si="2"/>
        <v>1000</v>
      </c>
      <c r="H44" s="11"/>
      <c r="I44" s="36">
        <f t="shared" si="3"/>
        <v>1000</v>
      </c>
    </row>
    <row r="45" spans="1:13" ht="25.5" x14ac:dyDescent="0.25">
      <c r="A45" s="49" t="s">
        <v>59</v>
      </c>
      <c r="B45" s="43" t="s">
        <v>131</v>
      </c>
      <c r="C45" s="8"/>
      <c r="D45" s="9">
        <f>'MAY 20'!I45:I66</f>
        <v>0</v>
      </c>
      <c r="E45" s="9">
        <v>2500</v>
      </c>
      <c r="F45" s="54">
        <v>1000</v>
      </c>
      <c r="G45" s="56">
        <f t="shared" si="2"/>
        <v>1000</v>
      </c>
      <c r="H45" s="11">
        <v>1000</v>
      </c>
      <c r="I45" s="36">
        <f t="shared" si="3"/>
        <v>0</v>
      </c>
    </row>
    <row r="46" spans="1:13" x14ac:dyDescent="0.25">
      <c r="A46" s="49" t="s">
        <v>60</v>
      </c>
      <c r="B46" s="43" t="s">
        <v>38</v>
      </c>
      <c r="C46" s="8"/>
      <c r="D46" s="9">
        <f>'MAY 20'!I46:I67</f>
        <v>0</v>
      </c>
      <c r="E46" s="9">
        <v>2500</v>
      </c>
      <c r="F46" s="54">
        <v>1000</v>
      </c>
      <c r="G46" s="56">
        <f t="shared" si="2"/>
        <v>1000</v>
      </c>
      <c r="H46" s="11">
        <v>1000</v>
      </c>
      <c r="I46" s="36">
        <f t="shared" si="3"/>
        <v>0</v>
      </c>
    </row>
    <row r="47" spans="1:13" x14ac:dyDescent="0.25">
      <c r="A47" s="49" t="s">
        <v>61</v>
      </c>
      <c r="B47" s="43" t="s">
        <v>41</v>
      </c>
      <c r="C47" s="8"/>
      <c r="D47" s="9">
        <f>'MAY 20'!I47:I68</f>
        <v>0</v>
      </c>
      <c r="E47" s="9">
        <v>2500</v>
      </c>
      <c r="F47" s="54">
        <v>1000</v>
      </c>
      <c r="G47" s="56">
        <f t="shared" si="2"/>
        <v>1000</v>
      </c>
      <c r="H47" s="11">
        <v>1000</v>
      </c>
      <c r="I47" s="36">
        <f t="shared" si="3"/>
        <v>0</v>
      </c>
    </row>
    <row r="48" spans="1:13" x14ac:dyDescent="0.25">
      <c r="A48" s="49" t="s">
        <v>62</v>
      </c>
      <c r="B48" s="43" t="s">
        <v>39</v>
      </c>
      <c r="C48" s="8"/>
      <c r="D48" s="9">
        <f>'MAY 20'!I48:I69</f>
        <v>0</v>
      </c>
      <c r="E48" s="9">
        <v>2500</v>
      </c>
      <c r="F48" s="54">
        <v>1000</v>
      </c>
      <c r="G48" s="56">
        <f t="shared" si="2"/>
        <v>1000</v>
      </c>
      <c r="H48" s="11">
        <v>1000</v>
      </c>
      <c r="I48" s="36">
        <f t="shared" si="3"/>
        <v>0</v>
      </c>
    </row>
    <row r="49" spans="1:14" ht="15.75" x14ac:dyDescent="0.25">
      <c r="A49" s="7"/>
      <c r="B49" s="45" t="s">
        <v>9</v>
      </c>
      <c r="C49" s="15">
        <f>SUM(C28:C44)</f>
        <v>0</v>
      </c>
      <c r="D49" s="9">
        <f>SUM(D28:D48)</f>
        <v>600</v>
      </c>
      <c r="E49" s="9">
        <f>SUM(E28:E48)</f>
        <v>32500</v>
      </c>
      <c r="F49" s="55">
        <f>SUM(F28:F48)</f>
        <v>15000</v>
      </c>
      <c r="G49" s="57">
        <f>SUM(G28:G48)</f>
        <v>15600</v>
      </c>
      <c r="H49" s="17">
        <f>SUM(H28:H48)</f>
        <v>13000</v>
      </c>
      <c r="I49" s="58">
        <f>G49-H49</f>
        <v>2600</v>
      </c>
    </row>
    <row r="50" spans="1:14" x14ac:dyDescent="0.25">
      <c r="L50" s="65"/>
      <c r="N50" s="65"/>
    </row>
    <row r="51" spans="1:14" x14ac:dyDescent="0.25">
      <c r="K51" s="65"/>
      <c r="L51" s="65"/>
    </row>
    <row r="52" spans="1:14" x14ac:dyDescent="0.25">
      <c r="A52" s="60" t="s">
        <v>10</v>
      </c>
      <c r="B52" s="18"/>
      <c r="C52" s="19"/>
      <c r="D52" s="18"/>
      <c r="E52" s="66">
        <f>E49+E26</f>
        <v>54500</v>
      </c>
      <c r="F52" s="20"/>
      <c r="G52" s="18"/>
      <c r="H52" s="2"/>
      <c r="I52" s="21"/>
      <c r="K52" s="65"/>
    </row>
    <row r="53" spans="1:14" x14ac:dyDescent="0.25">
      <c r="A53" s="22" t="s">
        <v>11</v>
      </c>
      <c r="B53" s="22" t="s">
        <v>12</v>
      </c>
      <c r="C53" s="22" t="s">
        <v>13</v>
      </c>
      <c r="D53" s="22" t="s">
        <v>14</v>
      </c>
      <c r="E53" s="22"/>
      <c r="F53" s="22" t="s">
        <v>11</v>
      </c>
      <c r="G53" s="22" t="s">
        <v>12</v>
      </c>
      <c r="H53" s="22" t="s">
        <v>13</v>
      </c>
      <c r="I53" s="23" t="s">
        <v>15</v>
      </c>
    </row>
    <row r="54" spans="1:14" x14ac:dyDescent="0.25">
      <c r="A54" s="24" t="s">
        <v>128</v>
      </c>
      <c r="B54" s="25">
        <f>F49+F26</f>
        <v>26000</v>
      </c>
      <c r="C54" s="26"/>
      <c r="D54" s="26"/>
      <c r="E54" s="26"/>
      <c r="F54" s="24" t="s">
        <v>128</v>
      </c>
      <c r="G54" s="25">
        <f>H49+H26</f>
        <v>25000</v>
      </c>
      <c r="H54" s="26"/>
      <c r="I54" s="25"/>
      <c r="K54" s="65"/>
    </row>
    <row r="55" spans="1:14" x14ac:dyDescent="0.25">
      <c r="A55" s="24" t="s">
        <v>17</v>
      </c>
      <c r="B55" s="27">
        <v>0.1</v>
      </c>
      <c r="C55" s="28">
        <f>B55*B54</f>
        <v>2600</v>
      </c>
      <c r="D55" s="24"/>
      <c r="E55" s="24"/>
      <c r="F55" s="24" t="s">
        <v>17</v>
      </c>
      <c r="G55" s="27">
        <v>0.1</v>
      </c>
      <c r="H55" s="28">
        <f>G55*B54</f>
        <v>2600</v>
      </c>
      <c r="I55" s="25"/>
      <c r="K55" s="65"/>
    </row>
    <row r="56" spans="1:14" x14ac:dyDescent="0.25">
      <c r="A56" s="29"/>
      <c r="B56" s="28"/>
      <c r="C56" s="24"/>
      <c r="D56" s="24"/>
      <c r="E56" s="24"/>
      <c r="F56" s="29"/>
      <c r="G56" s="28"/>
      <c r="H56" s="24"/>
      <c r="I56" s="25"/>
      <c r="K56" s="65"/>
    </row>
    <row r="57" spans="1:14" hidden="1" x14ac:dyDescent="0.25">
      <c r="A57" s="24"/>
      <c r="B57" s="27"/>
      <c r="C57" s="28"/>
      <c r="D57" s="24"/>
      <c r="E57" s="24"/>
      <c r="F57" s="24"/>
      <c r="G57" s="27"/>
      <c r="H57" s="28"/>
      <c r="I57" s="25"/>
      <c r="K57" s="67"/>
    </row>
    <row r="58" spans="1:14" x14ac:dyDescent="0.25">
      <c r="A58" s="29" t="s">
        <v>18</v>
      </c>
      <c r="B58" s="28">
        <f>C49</f>
        <v>0</v>
      </c>
      <c r="D58" s="24"/>
      <c r="E58" s="24"/>
      <c r="F58" s="24"/>
      <c r="G58" s="28"/>
      <c r="H58" s="24"/>
      <c r="I58" s="25"/>
    </row>
    <row r="59" spans="1:14" x14ac:dyDescent="0.25">
      <c r="A59" s="29" t="s">
        <v>19</v>
      </c>
      <c r="B59" s="28">
        <f>'MAY 20'!D64</f>
        <v>6239</v>
      </c>
      <c r="C59" s="24"/>
      <c r="D59" s="24"/>
      <c r="E59" s="24"/>
      <c r="F59" s="29" t="s">
        <v>19</v>
      </c>
      <c r="G59" s="28">
        <f>'MAY 20'!I64</f>
        <v>639</v>
      </c>
      <c r="H59" s="24"/>
      <c r="I59" s="25"/>
      <c r="K59" s="64"/>
    </row>
    <row r="60" spans="1:14" x14ac:dyDescent="0.25">
      <c r="A60" s="29" t="s">
        <v>9</v>
      </c>
      <c r="B60" s="28">
        <f>B54+B56+B59+B58</f>
        <v>32239</v>
      </c>
      <c r="C60" s="24"/>
      <c r="D60" s="24"/>
      <c r="E60" s="24"/>
      <c r="F60" s="29" t="s">
        <v>9</v>
      </c>
      <c r="G60" s="28">
        <f>G54+G56+G59+G57</f>
        <v>25639</v>
      </c>
      <c r="H60" s="24"/>
      <c r="I60" s="25"/>
    </row>
    <row r="61" spans="1:14" x14ac:dyDescent="0.25">
      <c r="A61" s="30" t="s">
        <v>20</v>
      </c>
      <c r="B61" s="27"/>
      <c r="C61" s="31"/>
      <c r="D61" s="24"/>
      <c r="E61" s="24"/>
      <c r="F61" s="30" t="s">
        <v>20</v>
      </c>
      <c r="G61" s="27"/>
      <c r="H61" s="31"/>
      <c r="I61" s="25"/>
    </row>
    <row r="62" spans="1:14" x14ac:dyDescent="0.25">
      <c r="A62" s="32" t="s">
        <v>130</v>
      </c>
      <c r="B62" s="33"/>
      <c r="C62" s="34">
        <v>26550</v>
      </c>
      <c r="D62" s="35"/>
      <c r="E62" s="35"/>
      <c r="F62" s="32" t="s">
        <v>130</v>
      </c>
      <c r="G62" s="33"/>
      <c r="H62" s="34">
        <v>26550</v>
      </c>
      <c r="I62" s="36"/>
    </row>
    <row r="63" spans="1:14" x14ac:dyDescent="0.25">
      <c r="A63" s="37" t="s">
        <v>137</v>
      </c>
      <c r="C63" s="38">
        <v>10110</v>
      </c>
      <c r="D63" s="33"/>
      <c r="E63" s="33"/>
      <c r="F63" s="37" t="s">
        <v>137</v>
      </c>
      <c r="H63" s="38">
        <v>10110</v>
      </c>
      <c r="I63" s="36"/>
    </row>
    <row r="64" spans="1:14" x14ac:dyDescent="0.25">
      <c r="A64" s="37"/>
      <c r="B64" s="33"/>
      <c r="C64" s="38"/>
      <c r="D64" s="33"/>
      <c r="E64" s="33"/>
      <c r="F64" s="37"/>
      <c r="G64" s="33"/>
      <c r="H64" s="38"/>
      <c r="I64" s="36"/>
    </row>
    <row r="65" spans="1:9" x14ac:dyDescent="0.25">
      <c r="A65" s="39" t="s">
        <v>9</v>
      </c>
      <c r="B65" s="40">
        <f>B54+B56+B57+B58+B59-C55-C57</f>
        <v>29639</v>
      </c>
      <c r="C65" s="41">
        <f>SUM(C62:C64)</f>
        <v>36660</v>
      </c>
      <c r="D65" s="41">
        <f>B65-C65</f>
        <v>-7021</v>
      </c>
      <c r="E65" s="41"/>
      <c r="F65" s="39" t="s">
        <v>9</v>
      </c>
      <c r="G65" s="40">
        <f>G54+G56+G59-H55-H57</f>
        <v>23039</v>
      </c>
      <c r="H65" s="41">
        <f>SUM(H62:H64)</f>
        <v>36660</v>
      </c>
      <c r="I65" s="41">
        <f>G65-H65</f>
        <v>-13621</v>
      </c>
    </row>
    <row r="66" spans="1:9" x14ac:dyDescent="0.25">
      <c r="A66" s="2" t="s">
        <v>21</v>
      </c>
      <c r="B66" s="42"/>
      <c r="D66" s="2" t="s">
        <v>22</v>
      </c>
      <c r="E66" s="2"/>
      <c r="H66" s="2" t="s">
        <v>23</v>
      </c>
      <c r="I66" s="21"/>
    </row>
    <row r="67" spans="1:9" x14ac:dyDescent="0.25">
      <c r="A67" s="2" t="s">
        <v>64</v>
      </c>
      <c r="B67" s="2"/>
      <c r="D67" s="2" t="s">
        <v>24</v>
      </c>
      <c r="E67" s="2"/>
      <c r="H67" s="2" t="s">
        <v>25</v>
      </c>
    </row>
  </sheetData>
  <pageMargins left="0.7" right="0.7" top="0.75" bottom="0.75" header="0.3" footer="0.3"/>
  <pageSetup paperSize="286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43" workbookViewId="0">
      <selection activeCell="F69" sqref="F69"/>
    </sheetView>
  </sheetViews>
  <sheetFormatPr defaultRowHeight="15" x14ac:dyDescent="0.25"/>
  <cols>
    <col min="1" max="1" width="7.5703125" customWidth="1"/>
  </cols>
  <sheetData>
    <row r="1" spans="1:9" ht="15.75" x14ac:dyDescent="0.25">
      <c r="C1" s="1" t="s">
        <v>26</v>
      </c>
      <c r="D1" s="2"/>
      <c r="E1" s="2"/>
      <c r="F1" s="2"/>
      <c r="G1" s="2"/>
    </row>
    <row r="2" spans="1:9" ht="15.75" x14ac:dyDescent="0.25">
      <c r="C2" s="3" t="s">
        <v>0</v>
      </c>
      <c r="D2" s="4"/>
      <c r="E2" s="4"/>
      <c r="F2" s="2"/>
      <c r="G2" s="2"/>
    </row>
    <row r="3" spans="1:9" ht="21" x14ac:dyDescent="0.25">
      <c r="C3" s="4" t="s">
        <v>135</v>
      </c>
      <c r="D3" s="3"/>
      <c r="E3" s="3"/>
      <c r="F3" s="5"/>
      <c r="G3" s="5"/>
    </row>
    <row r="4" spans="1:9" x14ac:dyDescent="0.25">
      <c r="D4" s="6" t="s">
        <v>65</v>
      </c>
      <c r="E4" s="6"/>
    </row>
    <row r="5" spans="1:9" ht="15.75" x14ac:dyDescent="0.25">
      <c r="A5" s="46" t="s">
        <v>1</v>
      </c>
      <c r="B5" s="46" t="s">
        <v>2</v>
      </c>
      <c r="C5" s="46" t="s">
        <v>3</v>
      </c>
      <c r="D5" s="46" t="s">
        <v>4</v>
      </c>
      <c r="E5" s="46" t="s">
        <v>5</v>
      </c>
      <c r="F5" s="47" t="s">
        <v>6</v>
      </c>
      <c r="G5" s="46" t="s">
        <v>7</v>
      </c>
      <c r="H5" s="48" t="s">
        <v>8</v>
      </c>
    </row>
    <row r="6" spans="1:9" x14ac:dyDescent="0.25">
      <c r="A6" s="49" t="s">
        <v>66</v>
      </c>
      <c r="B6" s="43" t="s">
        <v>40</v>
      </c>
      <c r="C6" s="8"/>
      <c r="D6" s="56">
        <f>'JUNE 20'!I6:I25</f>
        <v>0</v>
      </c>
      <c r="E6" s="56"/>
      <c r="F6" s="56">
        <f>C6+D6+E6</f>
        <v>0</v>
      </c>
      <c r="G6" s="11"/>
      <c r="H6" s="36">
        <f t="shared" ref="H6:H25" si="0">F6-G6</f>
        <v>0</v>
      </c>
    </row>
    <row r="7" spans="1:9" ht="25.5" x14ac:dyDescent="0.25">
      <c r="A7" s="49" t="s">
        <v>71</v>
      </c>
      <c r="B7" s="43" t="s">
        <v>86</v>
      </c>
      <c r="C7" s="8"/>
      <c r="D7" s="56">
        <f>'JUNE 20'!I7:I26</f>
        <v>500</v>
      </c>
      <c r="E7" s="56">
        <v>4000</v>
      </c>
      <c r="F7" s="56">
        <f t="shared" ref="F7:F25" si="1">C7+D7+E7</f>
        <v>4500</v>
      </c>
      <c r="G7" s="9">
        <v>4500</v>
      </c>
      <c r="H7" s="36">
        <f t="shared" si="0"/>
        <v>0</v>
      </c>
      <c r="I7" t="s">
        <v>106</v>
      </c>
    </row>
    <row r="8" spans="1:9" x14ac:dyDescent="0.25">
      <c r="A8" s="49" t="s">
        <v>67</v>
      </c>
      <c r="B8" s="35"/>
      <c r="C8" s="13"/>
      <c r="D8" s="56">
        <f>'JUNE 20'!I8:I27</f>
        <v>0</v>
      </c>
      <c r="E8" s="56"/>
      <c r="F8" s="56">
        <f t="shared" si="1"/>
        <v>0</v>
      </c>
      <c r="G8" s="13"/>
      <c r="H8" s="36">
        <f t="shared" si="0"/>
        <v>0</v>
      </c>
    </row>
    <row r="9" spans="1:9" x14ac:dyDescent="0.25">
      <c r="A9" s="50" t="s">
        <v>72</v>
      </c>
      <c r="B9" s="35" t="s">
        <v>103</v>
      </c>
      <c r="C9" s="13"/>
      <c r="D9" s="56">
        <f>'JUNE 20'!I9:I28</f>
        <v>0</v>
      </c>
      <c r="E9" s="56"/>
      <c r="F9" s="56">
        <f t="shared" si="1"/>
        <v>0</v>
      </c>
      <c r="G9" s="12"/>
      <c r="H9" s="36">
        <f t="shared" si="0"/>
        <v>0</v>
      </c>
    </row>
    <row r="10" spans="1:9" x14ac:dyDescent="0.25">
      <c r="A10" s="51" t="s">
        <v>68</v>
      </c>
      <c r="B10" s="43" t="s">
        <v>40</v>
      </c>
      <c r="C10" s="8"/>
      <c r="D10" s="56">
        <f>'JUNE 20'!I10:I29</f>
        <v>0</v>
      </c>
      <c r="E10" s="56"/>
      <c r="F10" s="56">
        <f t="shared" si="1"/>
        <v>0</v>
      </c>
      <c r="G10" s="11"/>
      <c r="H10" s="36">
        <f t="shared" si="0"/>
        <v>0</v>
      </c>
    </row>
    <row r="11" spans="1:9" x14ac:dyDescent="0.25">
      <c r="A11" s="52" t="s">
        <v>73</v>
      </c>
      <c r="B11" s="44" t="s">
        <v>40</v>
      </c>
      <c r="C11" s="13"/>
      <c r="D11" s="56">
        <f>'JUNE 20'!I11:I30</f>
        <v>0</v>
      </c>
      <c r="E11" s="56"/>
      <c r="F11" s="56">
        <f t="shared" si="1"/>
        <v>0</v>
      </c>
      <c r="G11" s="14"/>
      <c r="H11" s="36">
        <f t="shared" si="0"/>
        <v>0</v>
      </c>
    </row>
    <row r="12" spans="1:9" x14ac:dyDescent="0.25">
      <c r="A12" s="49" t="s">
        <v>69</v>
      </c>
      <c r="B12" s="44" t="s">
        <v>40</v>
      </c>
      <c r="C12" s="8"/>
      <c r="D12" s="56">
        <f>'JUNE 20'!I12:I31</f>
        <v>0</v>
      </c>
      <c r="E12" s="56"/>
      <c r="F12" s="56">
        <f t="shared" si="1"/>
        <v>0</v>
      </c>
      <c r="G12" s="11"/>
      <c r="H12" s="36">
        <f t="shared" si="0"/>
        <v>0</v>
      </c>
    </row>
    <row r="13" spans="1:9" ht="25.5" x14ac:dyDescent="0.25">
      <c r="A13" s="49" t="s">
        <v>74</v>
      </c>
      <c r="B13" s="44" t="s">
        <v>87</v>
      </c>
      <c r="C13" s="8"/>
      <c r="D13" s="56">
        <f>'JUNE 20'!I13:I32</f>
        <v>0</v>
      </c>
      <c r="E13" s="56">
        <v>4000</v>
      </c>
      <c r="F13" s="56">
        <f t="shared" si="1"/>
        <v>4000</v>
      </c>
      <c r="G13" s="11">
        <v>4000</v>
      </c>
      <c r="H13" s="36">
        <f t="shared" si="0"/>
        <v>0</v>
      </c>
    </row>
    <row r="14" spans="1:9" x14ac:dyDescent="0.25">
      <c r="A14" s="53" t="s">
        <v>70</v>
      </c>
      <c r="B14" s="44" t="s">
        <v>40</v>
      </c>
      <c r="C14" s="8"/>
      <c r="D14" s="56">
        <f>'JUNE 20'!I14:I33</f>
        <v>0</v>
      </c>
      <c r="E14" s="56"/>
      <c r="F14" s="56">
        <f t="shared" si="1"/>
        <v>0</v>
      </c>
      <c r="G14" s="11"/>
      <c r="H14" s="36">
        <f t="shared" si="0"/>
        <v>0</v>
      </c>
    </row>
    <row r="15" spans="1:9" x14ac:dyDescent="0.25">
      <c r="A15" s="53" t="s">
        <v>75</v>
      </c>
      <c r="B15" s="44" t="s">
        <v>40</v>
      </c>
      <c r="C15" s="8"/>
      <c r="D15" s="56">
        <f>'JUNE 20'!I15:I34</f>
        <v>0</v>
      </c>
      <c r="E15" s="56"/>
      <c r="F15" s="56">
        <f t="shared" si="1"/>
        <v>0</v>
      </c>
      <c r="G15" s="11"/>
      <c r="H15" s="36">
        <f t="shared" si="0"/>
        <v>0</v>
      </c>
    </row>
    <row r="16" spans="1:9" x14ac:dyDescent="0.25">
      <c r="A16" s="53" t="s">
        <v>76</v>
      </c>
      <c r="B16" s="44" t="s">
        <v>40</v>
      </c>
      <c r="C16" s="8"/>
      <c r="D16" s="56">
        <f>'JUNE 20'!I16:I35</f>
        <v>0</v>
      </c>
      <c r="E16" s="56"/>
      <c r="F16" s="56">
        <f t="shared" si="1"/>
        <v>0</v>
      </c>
      <c r="G16" s="11"/>
      <c r="H16" s="36">
        <f t="shared" si="0"/>
        <v>0</v>
      </c>
    </row>
    <row r="17" spans="1:9" x14ac:dyDescent="0.25">
      <c r="A17" s="53" t="s">
        <v>77</v>
      </c>
      <c r="B17" s="44" t="s">
        <v>40</v>
      </c>
      <c r="C17" s="8"/>
      <c r="D17" s="56">
        <f>'JUNE 20'!I17:I36</f>
        <v>0</v>
      </c>
      <c r="E17" s="56"/>
      <c r="F17" s="56">
        <f t="shared" si="1"/>
        <v>0</v>
      </c>
      <c r="G17" s="11"/>
      <c r="H17" s="36">
        <f t="shared" si="0"/>
        <v>0</v>
      </c>
    </row>
    <row r="18" spans="1:9" ht="25.5" x14ac:dyDescent="0.25">
      <c r="A18" s="53" t="s">
        <v>78</v>
      </c>
      <c r="B18" s="44" t="s">
        <v>88</v>
      </c>
      <c r="C18" s="8"/>
      <c r="D18" s="56">
        <f>'JUNE 20'!I18:I37</f>
        <v>1000</v>
      </c>
      <c r="E18" s="56">
        <v>5000</v>
      </c>
      <c r="F18" s="56">
        <f t="shared" si="1"/>
        <v>6000</v>
      </c>
      <c r="G18" s="11">
        <f>4000</f>
        <v>4000</v>
      </c>
      <c r="H18" s="36">
        <f t="shared" si="0"/>
        <v>2000</v>
      </c>
    </row>
    <row r="19" spans="1:9" x14ac:dyDescent="0.25">
      <c r="A19" s="53" t="s">
        <v>79</v>
      </c>
      <c r="B19" s="44" t="s">
        <v>40</v>
      </c>
      <c r="C19" s="8"/>
      <c r="D19" s="56">
        <f>'JUNE 20'!I19:I38</f>
        <v>0</v>
      </c>
      <c r="E19" s="56"/>
      <c r="F19" s="56">
        <f t="shared" si="1"/>
        <v>0</v>
      </c>
      <c r="G19" s="11"/>
      <c r="H19" s="36">
        <f t="shared" si="0"/>
        <v>0</v>
      </c>
    </row>
    <row r="20" spans="1:9" x14ac:dyDescent="0.25">
      <c r="A20" s="53" t="s">
        <v>80</v>
      </c>
      <c r="B20" s="44" t="s">
        <v>40</v>
      </c>
      <c r="C20" s="8"/>
      <c r="D20" s="56">
        <f>'JUNE 20'!I20:I39</f>
        <v>0</v>
      </c>
      <c r="E20" s="56"/>
      <c r="F20" s="56">
        <f t="shared" si="1"/>
        <v>0</v>
      </c>
      <c r="G20" s="11"/>
      <c r="H20" s="36">
        <f t="shared" si="0"/>
        <v>0</v>
      </c>
    </row>
    <row r="21" spans="1:9" ht="25.5" x14ac:dyDescent="0.25">
      <c r="A21" s="53" t="s">
        <v>81</v>
      </c>
      <c r="B21" s="44" t="s">
        <v>89</v>
      </c>
      <c r="C21" s="8"/>
      <c r="D21" s="56">
        <f>'JUNE 20'!I21:I40</f>
        <v>0</v>
      </c>
      <c r="E21" s="56">
        <v>4000</v>
      </c>
      <c r="F21" s="56">
        <f t="shared" si="1"/>
        <v>4000</v>
      </c>
      <c r="G21" s="11">
        <f>1000</f>
        <v>1000</v>
      </c>
      <c r="H21" s="36">
        <f t="shared" si="0"/>
        <v>3000</v>
      </c>
    </row>
    <row r="22" spans="1:9" x14ac:dyDescent="0.25">
      <c r="A22" s="53" t="s">
        <v>82</v>
      </c>
      <c r="B22" s="44" t="s">
        <v>40</v>
      </c>
      <c r="C22" s="8"/>
      <c r="D22" s="56">
        <f>'JUNE 20'!I22:I41</f>
        <v>0</v>
      </c>
      <c r="E22" s="56"/>
      <c r="F22" s="56">
        <f t="shared" si="1"/>
        <v>0</v>
      </c>
      <c r="G22" s="11"/>
      <c r="H22" s="36">
        <f t="shared" si="0"/>
        <v>0</v>
      </c>
    </row>
    <row r="23" spans="1:9" x14ac:dyDescent="0.25">
      <c r="A23" s="53" t="s">
        <v>83</v>
      </c>
      <c r="B23" s="44" t="s">
        <v>40</v>
      </c>
      <c r="C23" s="8"/>
      <c r="D23" s="56">
        <f>'JUNE 20'!I23:I42</f>
        <v>0</v>
      </c>
      <c r="E23" s="56"/>
      <c r="F23" s="56">
        <f t="shared" si="1"/>
        <v>0</v>
      </c>
      <c r="G23" s="11"/>
      <c r="H23" s="36">
        <f t="shared" si="0"/>
        <v>0</v>
      </c>
    </row>
    <row r="24" spans="1:9" ht="25.5" x14ac:dyDescent="0.25">
      <c r="A24" s="53" t="s">
        <v>84</v>
      </c>
      <c r="B24" s="44" t="s">
        <v>90</v>
      </c>
      <c r="C24" s="8"/>
      <c r="D24" s="56">
        <f>'JUNE 20'!I24:I43</f>
        <v>2500</v>
      </c>
      <c r="E24" s="56">
        <v>5000</v>
      </c>
      <c r="F24" s="56">
        <f t="shared" si="1"/>
        <v>7500</v>
      </c>
      <c r="G24" s="11">
        <f>1500+1000+1000</f>
        <v>3500</v>
      </c>
      <c r="H24" s="36">
        <f t="shared" si="0"/>
        <v>4000</v>
      </c>
    </row>
    <row r="25" spans="1:9" x14ac:dyDescent="0.25">
      <c r="A25" s="53" t="s">
        <v>85</v>
      </c>
      <c r="B25" s="44" t="s">
        <v>40</v>
      </c>
      <c r="C25" s="8"/>
      <c r="D25" s="56">
        <f>'JUNE 20'!I25:I44</f>
        <v>0</v>
      </c>
      <c r="E25" s="56"/>
      <c r="F25" s="56">
        <f t="shared" si="1"/>
        <v>0</v>
      </c>
      <c r="G25" s="11"/>
      <c r="H25" s="36">
        <f t="shared" si="0"/>
        <v>0</v>
      </c>
    </row>
    <row r="26" spans="1:9" ht="15.75" x14ac:dyDescent="0.25">
      <c r="A26" s="7"/>
      <c r="B26" s="45" t="s">
        <v>9</v>
      </c>
      <c r="C26" s="15">
        <f t="shared" ref="C26:H26" si="2">SUM(C6:C25)</f>
        <v>0</v>
      </c>
      <c r="D26" s="57">
        <f t="shared" si="2"/>
        <v>4000</v>
      </c>
      <c r="E26" s="57">
        <f t="shared" si="2"/>
        <v>22000</v>
      </c>
      <c r="F26" s="57">
        <f t="shared" si="2"/>
        <v>26000</v>
      </c>
      <c r="G26" s="17">
        <f t="shared" si="2"/>
        <v>17000</v>
      </c>
      <c r="H26" s="59">
        <f t="shared" si="2"/>
        <v>9000</v>
      </c>
    </row>
    <row r="27" spans="1:9" x14ac:dyDescent="0.25">
      <c r="C27" s="6"/>
      <c r="D27" s="6" t="s">
        <v>28</v>
      </c>
      <c r="E27" s="6"/>
    </row>
    <row r="28" spans="1:9" x14ac:dyDescent="0.25">
      <c r="A28" s="49"/>
      <c r="B28" s="43"/>
      <c r="C28" s="8"/>
      <c r="D28" s="9">
        <f>'MAY 20'!I28:I48</f>
        <v>0</v>
      </c>
      <c r="E28" s="9"/>
      <c r="F28" s="56"/>
      <c r="G28" s="56"/>
      <c r="H28" s="9"/>
      <c r="I28" s="36">
        <f>G28-H28</f>
        <v>0</v>
      </c>
    </row>
    <row r="29" spans="1:9" ht="25.5" x14ac:dyDescent="0.25">
      <c r="A29" s="49" t="s">
        <v>43</v>
      </c>
      <c r="B29" s="43" t="s">
        <v>113</v>
      </c>
      <c r="C29" s="8"/>
      <c r="D29" s="9">
        <f>'JUNE 20'!I29:I48</f>
        <v>0</v>
      </c>
      <c r="E29" s="9">
        <v>2500</v>
      </c>
      <c r="F29" s="56">
        <v>2000</v>
      </c>
      <c r="G29" s="56">
        <f>C29+D29+F29</f>
        <v>2000</v>
      </c>
      <c r="H29" s="9">
        <v>2000</v>
      </c>
      <c r="I29" s="36">
        <f t="shared" ref="I29:I44" si="3">G29-H29</f>
        <v>0</v>
      </c>
    </row>
    <row r="30" spans="1:9" x14ac:dyDescent="0.25">
      <c r="A30" s="49" t="s">
        <v>44</v>
      </c>
      <c r="B30" s="35" t="s">
        <v>138</v>
      </c>
      <c r="C30" s="13"/>
      <c r="D30" s="9">
        <f>'JUNE 20'!I30:I49</f>
        <v>0</v>
      </c>
      <c r="E30" s="9">
        <v>2500</v>
      </c>
      <c r="F30" s="56">
        <v>2000</v>
      </c>
      <c r="G30" s="56">
        <f t="shared" ref="G30:G44" si="4">C30+D30+F30</f>
        <v>2000</v>
      </c>
      <c r="H30" s="13">
        <v>2000</v>
      </c>
      <c r="I30" s="36">
        <f t="shared" si="3"/>
        <v>0</v>
      </c>
    </row>
    <row r="31" spans="1:9" ht="25.5" x14ac:dyDescent="0.25">
      <c r="A31" s="49" t="s">
        <v>45</v>
      </c>
      <c r="B31" s="43" t="s">
        <v>30</v>
      </c>
      <c r="C31" s="13"/>
      <c r="D31" s="9">
        <f>'JUNE 20'!I31:I50</f>
        <v>1000</v>
      </c>
      <c r="E31" s="9">
        <v>2500</v>
      </c>
      <c r="F31" s="56">
        <v>2000</v>
      </c>
      <c r="G31" s="56">
        <f>C31+D31+F31</f>
        <v>3000</v>
      </c>
      <c r="H31" s="12">
        <v>2500</v>
      </c>
      <c r="I31" s="36">
        <f t="shared" si="3"/>
        <v>500</v>
      </c>
    </row>
    <row r="32" spans="1:9" ht="25.5" x14ac:dyDescent="0.25">
      <c r="A32" s="49" t="s">
        <v>46</v>
      </c>
      <c r="B32" s="43" t="s">
        <v>31</v>
      </c>
      <c r="C32" s="8"/>
      <c r="D32" s="9">
        <f>'JUNE 20'!I32:I51</f>
        <v>0</v>
      </c>
      <c r="E32" s="9">
        <v>2500</v>
      </c>
      <c r="F32" s="56">
        <v>2000</v>
      </c>
      <c r="G32" s="56">
        <f t="shared" si="4"/>
        <v>2000</v>
      </c>
      <c r="H32" s="11">
        <v>2000</v>
      </c>
      <c r="I32" s="36">
        <f t="shared" si="3"/>
        <v>0</v>
      </c>
    </row>
    <row r="33" spans="1:11" ht="25.5" x14ac:dyDescent="0.25">
      <c r="A33" s="49" t="s">
        <v>47</v>
      </c>
      <c r="B33" s="44" t="s">
        <v>32</v>
      </c>
      <c r="C33" s="13"/>
      <c r="D33" s="9">
        <f>'JUNE 20'!I33:I52</f>
        <v>0</v>
      </c>
      <c r="E33" s="9">
        <v>2500</v>
      </c>
      <c r="F33" s="56">
        <v>2000</v>
      </c>
      <c r="G33" s="56">
        <f t="shared" si="4"/>
        <v>2000</v>
      </c>
      <c r="H33" s="14">
        <v>2000</v>
      </c>
      <c r="I33" s="36">
        <f t="shared" si="3"/>
        <v>0</v>
      </c>
    </row>
    <row r="34" spans="1:11" ht="25.5" x14ac:dyDescent="0.25">
      <c r="A34" s="49" t="s">
        <v>48</v>
      </c>
      <c r="B34" s="44" t="s">
        <v>37</v>
      </c>
      <c r="C34" s="8"/>
      <c r="D34" s="9">
        <f>'JUNE 20'!I34:I53</f>
        <v>100</v>
      </c>
      <c r="E34" s="9">
        <v>2500</v>
      </c>
      <c r="F34" s="56">
        <v>2000</v>
      </c>
      <c r="G34" s="56">
        <f t="shared" si="4"/>
        <v>2100</v>
      </c>
      <c r="H34" s="11">
        <v>1800</v>
      </c>
      <c r="I34" s="36">
        <f t="shared" si="3"/>
        <v>300</v>
      </c>
    </row>
    <row r="35" spans="1:11" ht="25.5" x14ac:dyDescent="0.25">
      <c r="A35" s="49" t="s">
        <v>49</v>
      </c>
      <c r="B35" s="44" t="s">
        <v>132</v>
      </c>
      <c r="C35" s="8"/>
      <c r="D35" s="9">
        <f>'JUNE 20'!I35:I54</f>
        <v>0</v>
      </c>
      <c r="E35" s="9">
        <v>2500</v>
      </c>
      <c r="F35" s="56">
        <v>2000</v>
      </c>
      <c r="G35" s="56">
        <f t="shared" si="4"/>
        <v>2000</v>
      </c>
      <c r="H35" s="11">
        <v>2000</v>
      </c>
      <c r="I35" s="36">
        <f t="shared" si="3"/>
        <v>0</v>
      </c>
    </row>
    <row r="36" spans="1:11" ht="25.5" x14ac:dyDescent="0.25">
      <c r="A36" s="49" t="s">
        <v>50</v>
      </c>
      <c r="B36" s="43" t="s">
        <v>33</v>
      </c>
      <c r="C36" s="8"/>
      <c r="D36" s="9">
        <f>'JUNE 20'!I36:I55</f>
        <v>500</v>
      </c>
      <c r="E36" s="9">
        <v>2500</v>
      </c>
      <c r="F36" s="56">
        <v>2000</v>
      </c>
      <c r="G36" s="56">
        <f t="shared" si="4"/>
        <v>2500</v>
      </c>
      <c r="H36" s="11">
        <f>1000</f>
        <v>1000</v>
      </c>
      <c r="I36" s="36">
        <f t="shared" si="3"/>
        <v>1500</v>
      </c>
    </row>
    <row r="37" spans="1:11" ht="25.5" x14ac:dyDescent="0.25">
      <c r="A37" s="49" t="s">
        <v>51</v>
      </c>
      <c r="B37" s="43" t="s">
        <v>126</v>
      </c>
      <c r="C37" s="8"/>
      <c r="D37" s="9">
        <f>'JUNE 20'!I37:I56</f>
        <v>0</v>
      </c>
      <c r="E37" s="9"/>
      <c r="F37" s="56">
        <v>2000</v>
      </c>
      <c r="G37" s="56">
        <f t="shared" si="4"/>
        <v>2000</v>
      </c>
      <c r="H37" s="11">
        <f>1000</f>
        <v>1000</v>
      </c>
      <c r="I37" s="36">
        <f t="shared" si="3"/>
        <v>1000</v>
      </c>
      <c r="K37" s="65"/>
    </row>
    <row r="38" spans="1:11" ht="25.5" x14ac:dyDescent="0.25">
      <c r="A38" s="49" t="s">
        <v>52</v>
      </c>
      <c r="B38" s="44" t="s">
        <v>127</v>
      </c>
      <c r="C38" s="8"/>
      <c r="D38" s="9">
        <f>'JUNE 20'!I38:I57</f>
        <v>0</v>
      </c>
      <c r="E38" s="9"/>
      <c r="F38" s="56">
        <v>2500</v>
      </c>
      <c r="G38" s="56">
        <f t="shared" si="4"/>
        <v>2500</v>
      </c>
      <c r="H38" s="11">
        <v>2000</v>
      </c>
      <c r="I38" s="36">
        <f t="shared" si="3"/>
        <v>500</v>
      </c>
    </row>
    <row r="39" spans="1:11" ht="22.5" customHeight="1" x14ac:dyDescent="0.25">
      <c r="A39" s="49" t="s">
        <v>57</v>
      </c>
      <c r="B39" s="43" t="s">
        <v>107</v>
      </c>
      <c r="C39" s="8"/>
      <c r="D39" s="9">
        <f>'JUNE 20'!I43</f>
        <v>0</v>
      </c>
      <c r="E39" s="9"/>
      <c r="F39" s="56"/>
      <c r="G39" s="56">
        <f t="shared" si="4"/>
        <v>0</v>
      </c>
      <c r="H39" s="11"/>
      <c r="I39" s="36">
        <f t="shared" si="3"/>
        <v>0</v>
      </c>
    </row>
    <row r="40" spans="1:11" x14ac:dyDescent="0.25">
      <c r="A40" s="49" t="s">
        <v>58</v>
      </c>
      <c r="B40" s="43" t="s">
        <v>134</v>
      </c>
      <c r="C40" s="8"/>
      <c r="D40" s="9">
        <v>1000</v>
      </c>
      <c r="E40" s="9">
        <v>2500</v>
      </c>
      <c r="F40" s="56">
        <v>2000</v>
      </c>
      <c r="G40" s="56">
        <f t="shared" si="4"/>
        <v>3000</v>
      </c>
      <c r="H40" s="11"/>
      <c r="I40" s="36">
        <f t="shared" si="3"/>
        <v>3000</v>
      </c>
    </row>
    <row r="41" spans="1:11" ht="38.25" x14ac:dyDescent="0.25">
      <c r="A41" s="49" t="s">
        <v>59</v>
      </c>
      <c r="B41" s="43" t="s">
        <v>131</v>
      </c>
      <c r="C41" s="8"/>
      <c r="D41" s="9"/>
      <c r="E41" s="9">
        <v>2500</v>
      </c>
      <c r="F41" s="56">
        <v>2000</v>
      </c>
      <c r="G41" s="56">
        <f t="shared" si="4"/>
        <v>2000</v>
      </c>
      <c r="H41" s="11">
        <v>2000</v>
      </c>
      <c r="I41" s="36">
        <f t="shared" si="3"/>
        <v>0</v>
      </c>
    </row>
    <row r="42" spans="1:11" ht="25.5" x14ac:dyDescent="0.25">
      <c r="A42" s="49" t="s">
        <v>60</v>
      </c>
      <c r="B42" s="43" t="s">
        <v>38</v>
      </c>
      <c r="C42" s="8"/>
      <c r="D42" s="9"/>
      <c r="E42" s="9">
        <v>2500</v>
      </c>
      <c r="F42" s="56">
        <v>2000</v>
      </c>
      <c r="G42" s="56">
        <f t="shared" si="4"/>
        <v>2000</v>
      </c>
      <c r="H42" s="11">
        <v>2000</v>
      </c>
      <c r="I42" s="36">
        <f t="shared" si="3"/>
        <v>0</v>
      </c>
    </row>
    <row r="43" spans="1:11" ht="25.5" x14ac:dyDescent="0.25">
      <c r="A43" s="49" t="s">
        <v>61</v>
      </c>
      <c r="B43" s="43" t="s">
        <v>41</v>
      </c>
      <c r="C43" s="8"/>
      <c r="D43" s="9"/>
      <c r="E43" s="9">
        <v>2500</v>
      </c>
      <c r="F43" s="56">
        <v>2000</v>
      </c>
      <c r="G43" s="56">
        <f t="shared" si="4"/>
        <v>2000</v>
      </c>
      <c r="H43" s="11">
        <v>2000</v>
      </c>
      <c r="I43" s="36">
        <f t="shared" si="3"/>
        <v>0</v>
      </c>
    </row>
    <row r="44" spans="1:11" ht="25.5" x14ac:dyDescent="0.25">
      <c r="A44" s="49" t="s">
        <v>62</v>
      </c>
      <c r="B44" s="43" t="s">
        <v>39</v>
      </c>
      <c r="C44" s="8"/>
      <c r="D44" s="9"/>
      <c r="E44" s="9">
        <v>2500</v>
      </c>
      <c r="F44" s="56">
        <v>2000</v>
      </c>
      <c r="G44" s="56">
        <f t="shared" si="4"/>
        <v>2000</v>
      </c>
      <c r="H44" s="11">
        <v>2000</v>
      </c>
      <c r="I44" s="36">
        <f t="shared" si="3"/>
        <v>0</v>
      </c>
    </row>
    <row r="45" spans="1:11" ht="15.75" x14ac:dyDescent="0.25">
      <c r="A45" s="7"/>
      <c r="B45" s="45" t="s">
        <v>9</v>
      </c>
      <c r="C45" s="15">
        <f>SUM(C28:C40)</f>
        <v>0</v>
      </c>
      <c r="D45" s="9">
        <f>SUM(D28:D44)</f>
        <v>2600</v>
      </c>
      <c r="E45" s="9">
        <f>SUM(E28:E44)</f>
        <v>32500</v>
      </c>
      <c r="F45" s="57">
        <f>SUM(F28:F44)</f>
        <v>30500</v>
      </c>
      <c r="G45" s="57">
        <f>SUM(G29:G44)</f>
        <v>33100</v>
      </c>
      <c r="H45" s="17">
        <f>SUM(H28:H44)</f>
        <v>26300</v>
      </c>
      <c r="I45" s="58">
        <f>SUM(I28:I44)</f>
        <v>6800</v>
      </c>
    </row>
    <row r="46" spans="1:11" x14ac:dyDescent="0.25">
      <c r="I46" s="65">
        <f>I45-3000</f>
        <v>3800</v>
      </c>
    </row>
    <row r="48" spans="1:11" x14ac:dyDescent="0.25">
      <c r="A48" s="60" t="s">
        <v>10</v>
      </c>
      <c r="B48" s="18"/>
      <c r="C48" s="19"/>
      <c r="D48" s="18"/>
      <c r="E48" s="66">
        <f>E45+E26</f>
        <v>54500</v>
      </c>
      <c r="F48" s="18"/>
      <c r="G48" s="18"/>
      <c r="H48" s="2"/>
      <c r="I48" s="21"/>
    </row>
    <row r="49" spans="1:13" x14ac:dyDescent="0.25">
      <c r="A49" s="22" t="s">
        <v>11</v>
      </c>
      <c r="B49" s="22" t="s">
        <v>12</v>
      </c>
      <c r="C49" s="22" t="s">
        <v>13</v>
      </c>
      <c r="D49" s="22" t="s">
        <v>14</v>
      </c>
      <c r="E49" s="22"/>
      <c r="F49" s="22" t="s">
        <v>12</v>
      </c>
      <c r="G49" s="22"/>
      <c r="H49" s="22" t="s">
        <v>13</v>
      </c>
      <c r="I49" s="23" t="s">
        <v>15</v>
      </c>
    </row>
    <row r="50" spans="1:13" x14ac:dyDescent="0.25">
      <c r="A50" s="24" t="s">
        <v>136</v>
      </c>
      <c r="B50" s="25">
        <f>F45+E26</f>
        <v>52500</v>
      </c>
      <c r="C50" s="26"/>
      <c r="D50" s="26"/>
      <c r="E50" s="26"/>
      <c r="F50" s="25">
        <f>H45+G26</f>
        <v>43300</v>
      </c>
      <c r="G50" s="25"/>
      <c r="H50" s="26"/>
      <c r="I50" s="25"/>
    </row>
    <row r="51" spans="1:13" x14ac:dyDescent="0.25">
      <c r="A51" s="24" t="s">
        <v>17</v>
      </c>
      <c r="B51" s="27">
        <v>0.1</v>
      </c>
      <c r="C51" s="28">
        <f>B51*B50</f>
        <v>5250</v>
      </c>
      <c r="D51" s="24"/>
      <c r="E51" s="24"/>
      <c r="F51" s="27">
        <v>0.1</v>
      </c>
      <c r="G51" s="27"/>
      <c r="H51" s="28">
        <f>F51*B50</f>
        <v>5250</v>
      </c>
      <c r="I51" s="25"/>
    </row>
    <row r="52" spans="1:13" ht="10.5" customHeight="1" x14ac:dyDescent="0.25">
      <c r="A52" s="29"/>
      <c r="B52" s="28"/>
      <c r="C52" s="24"/>
      <c r="D52" s="24"/>
      <c r="E52" s="24"/>
      <c r="F52" s="28"/>
      <c r="G52" s="28"/>
      <c r="H52" s="24"/>
      <c r="I52" s="25"/>
    </row>
    <row r="53" spans="1:13" hidden="1" x14ac:dyDescent="0.25">
      <c r="A53" s="24"/>
      <c r="B53" s="27"/>
      <c r="C53" s="28"/>
      <c r="D53" s="24"/>
      <c r="E53" s="24"/>
      <c r="F53" s="27"/>
      <c r="G53" s="27"/>
      <c r="H53" s="28"/>
      <c r="I53" s="25"/>
    </row>
    <row r="54" spans="1:13" x14ac:dyDescent="0.25">
      <c r="A54" s="29" t="s">
        <v>18</v>
      </c>
      <c r="B54" s="28">
        <f>C45</f>
        <v>0</v>
      </c>
      <c r="D54" s="24"/>
      <c r="E54" s="24"/>
      <c r="F54" s="28"/>
      <c r="G54" s="28"/>
      <c r="H54" s="24"/>
      <c r="I54" s="25"/>
      <c r="M54" s="65"/>
    </row>
    <row r="55" spans="1:13" x14ac:dyDescent="0.25">
      <c r="A55" s="29" t="s">
        <v>19</v>
      </c>
      <c r="B55" s="28">
        <f>'JUNE 20'!D65</f>
        <v>-7021</v>
      </c>
      <c r="C55" s="24"/>
      <c r="D55" s="24"/>
      <c r="E55" s="24"/>
      <c r="F55" s="28">
        <f>'JUNE 20'!I65</f>
        <v>-13621</v>
      </c>
      <c r="G55" s="28"/>
      <c r="H55" s="24"/>
      <c r="I55" s="25"/>
    </row>
    <row r="56" spans="1:13" x14ac:dyDescent="0.25">
      <c r="A56" s="29" t="s">
        <v>9</v>
      </c>
      <c r="B56" s="28">
        <f>B50+B52+B55+B54</f>
        <v>45479</v>
      </c>
      <c r="C56" s="24"/>
      <c r="D56" s="24"/>
      <c r="E56" s="24"/>
      <c r="F56" s="28">
        <f>F50+F52+F55+F53</f>
        <v>29679</v>
      </c>
      <c r="G56" s="28"/>
      <c r="H56" s="24"/>
      <c r="I56" s="25"/>
    </row>
    <row r="57" spans="1:13" x14ac:dyDescent="0.25">
      <c r="A57" s="30" t="s">
        <v>20</v>
      </c>
      <c r="B57" s="27"/>
      <c r="C57" s="31"/>
      <c r="D57" s="24"/>
      <c r="E57" s="24"/>
      <c r="F57" s="27"/>
      <c r="G57" s="27"/>
      <c r="H57" s="31"/>
      <c r="I57" s="25"/>
    </row>
    <row r="58" spans="1:13" x14ac:dyDescent="0.25">
      <c r="A58" s="32" t="s">
        <v>141</v>
      </c>
      <c r="B58" s="33"/>
      <c r="C58" s="34">
        <v>35105</v>
      </c>
      <c r="D58" s="35"/>
      <c r="E58" s="35"/>
      <c r="F58" s="32" t="s">
        <v>141</v>
      </c>
      <c r="G58" s="33"/>
      <c r="H58" s="34">
        <v>35105</v>
      </c>
      <c r="I58" s="35"/>
    </row>
    <row r="59" spans="1:13" x14ac:dyDescent="0.25">
      <c r="A59" s="37" t="s">
        <v>142</v>
      </c>
      <c r="C59" s="38">
        <v>4500</v>
      </c>
      <c r="D59" s="33"/>
      <c r="E59" s="33"/>
      <c r="F59" s="37" t="s">
        <v>142</v>
      </c>
      <c r="H59" s="38">
        <v>4500</v>
      </c>
      <c r="I59" s="33"/>
    </row>
    <row r="60" spans="1:13" x14ac:dyDescent="0.25">
      <c r="A60" s="37" t="s">
        <v>160</v>
      </c>
      <c r="B60" s="33"/>
      <c r="C60" s="38">
        <v>3000</v>
      </c>
      <c r="D60" s="33"/>
      <c r="E60" s="33"/>
      <c r="F60" s="33"/>
      <c r="G60" s="33"/>
      <c r="H60" s="38"/>
      <c r="I60" s="36"/>
    </row>
    <row r="61" spans="1:13" x14ac:dyDescent="0.25">
      <c r="A61" s="39" t="s">
        <v>9</v>
      </c>
      <c r="B61" s="40">
        <f>B50+B52+B53+B54+B55-C51-C53</f>
        <v>40229</v>
      </c>
      <c r="C61" s="41">
        <f>SUM(C58:C60)</f>
        <v>42605</v>
      </c>
      <c r="D61" s="41">
        <f>B61-C61</f>
        <v>-2376</v>
      </c>
      <c r="E61" s="41"/>
      <c r="F61" s="40">
        <f>F50+F52+F55-H51-H53</f>
        <v>24429</v>
      </c>
      <c r="G61" s="40"/>
      <c r="H61" s="41">
        <f>SUM(H58:H60)</f>
        <v>39605</v>
      </c>
      <c r="I61" s="41">
        <f>F61-H61</f>
        <v>-15176</v>
      </c>
    </row>
    <row r="62" spans="1:13" x14ac:dyDescent="0.25">
      <c r="A62" s="2" t="s">
        <v>21</v>
      </c>
      <c r="B62" s="42"/>
      <c r="D62" s="2" t="s">
        <v>22</v>
      </c>
      <c r="E62" s="2"/>
      <c r="H62" s="2" t="s">
        <v>23</v>
      </c>
      <c r="I62" s="21"/>
    </row>
    <row r="63" spans="1:13" x14ac:dyDescent="0.25">
      <c r="A63" s="2" t="s">
        <v>64</v>
      </c>
      <c r="B63" s="2"/>
      <c r="D63" s="2" t="s">
        <v>24</v>
      </c>
      <c r="E63" s="2"/>
      <c r="H63" s="2" t="s">
        <v>26</v>
      </c>
    </row>
  </sheetData>
  <pageMargins left="0.7" right="0.7" top="0.75" bottom="0.75" header="0.3" footer="0.3"/>
  <pageSetup paperSize="262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A46" workbookViewId="0">
      <selection activeCell="C58" sqref="C58"/>
    </sheetView>
  </sheetViews>
  <sheetFormatPr defaultRowHeight="15" x14ac:dyDescent="0.25"/>
  <cols>
    <col min="2" max="2" width="10.7109375" bestFit="1" customWidth="1"/>
    <col min="3" max="3" width="10.85546875" bestFit="1" customWidth="1"/>
    <col min="4" max="4" width="9.42578125" bestFit="1" customWidth="1"/>
    <col min="5" max="5" width="10.85546875" bestFit="1" customWidth="1"/>
    <col min="6" max="6" width="11.7109375" bestFit="1" customWidth="1"/>
    <col min="7" max="8" width="10.85546875" bestFit="1" customWidth="1"/>
    <col min="9" max="9" width="10.28515625" bestFit="1" customWidth="1"/>
  </cols>
  <sheetData>
    <row r="1" spans="1:11" x14ac:dyDescent="0.25">
      <c r="A1" s="2"/>
      <c r="B1" s="2"/>
      <c r="C1" s="118" t="s">
        <v>26</v>
      </c>
      <c r="D1" s="2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/>
      <c r="C2" s="119" t="s">
        <v>0</v>
      </c>
      <c r="D2" s="6"/>
      <c r="E2" s="6"/>
      <c r="F2" s="2"/>
      <c r="G2" s="2"/>
      <c r="H2" s="2"/>
      <c r="I2" s="2"/>
      <c r="J2" s="2"/>
      <c r="K2" s="2"/>
    </row>
    <row r="3" spans="1:11" x14ac:dyDescent="0.25">
      <c r="A3" s="2"/>
      <c r="B3" s="2"/>
      <c r="C3" s="6" t="s">
        <v>139</v>
      </c>
      <c r="D3" s="119"/>
      <c r="E3" s="119"/>
      <c r="F3" s="120"/>
      <c r="G3" s="120"/>
      <c r="H3" s="2"/>
      <c r="I3" s="2"/>
      <c r="J3" s="2"/>
      <c r="K3" s="2"/>
    </row>
    <row r="4" spans="1:11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  <c r="K4" s="2"/>
    </row>
    <row r="5" spans="1:11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2"/>
      <c r="J5" s="2"/>
      <c r="K5" s="2"/>
    </row>
    <row r="6" spans="1:11" x14ac:dyDescent="0.25">
      <c r="A6" s="124" t="s">
        <v>66</v>
      </c>
      <c r="B6" s="125" t="s">
        <v>40</v>
      </c>
      <c r="C6" s="126"/>
      <c r="D6" s="127">
        <f>'JULY 20'!H6:H25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2"/>
      <c r="J6" s="2"/>
      <c r="K6" s="2"/>
    </row>
    <row r="7" spans="1:11" x14ac:dyDescent="0.25">
      <c r="A7" s="124" t="s">
        <v>71</v>
      </c>
      <c r="B7" s="125"/>
      <c r="C7" s="126"/>
      <c r="D7" s="127">
        <f>'JULY 20'!H7:H26</f>
        <v>0</v>
      </c>
      <c r="E7" s="127"/>
      <c r="F7" s="127">
        <f t="shared" ref="F7:F24" si="1">C7+D7+E7</f>
        <v>0</v>
      </c>
      <c r="G7" s="127"/>
      <c r="H7" s="25">
        <f t="shared" si="0"/>
        <v>0</v>
      </c>
      <c r="I7" s="2"/>
      <c r="J7" s="2"/>
      <c r="K7" s="2"/>
    </row>
    <row r="8" spans="1:11" x14ac:dyDescent="0.25">
      <c r="A8" s="124" t="s">
        <v>67</v>
      </c>
      <c r="B8" s="24"/>
      <c r="C8" s="26"/>
      <c r="D8" s="127">
        <f>'JULY 20'!H8:H27</f>
        <v>0</v>
      </c>
      <c r="E8" s="127"/>
      <c r="F8" s="127">
        <f t="shared" si="1"/>
        <v>0</v>
      </c>
      <c r="G8" s="26"/>
      <c r="H8" s="25">
        <f t="shared" si="0"/>
        <v>0</v>
      </c>
      <c r="I8" s="2"/>
      <c r="J8" s="2"/>
      <c r="K8" s="2"/>
    </row>
    <row r="9" spans="1:11" x14ac:dyDescent="0.25">
      <c r="A9" s="129" t="s">
        <v>72</v>
      </c>
      <c r="B9" s="24" t="s">
        <v>103</v>
      </c>
      <c r="C9" s="26"/>
      <c r="D9" s="127">
        <f>'JULY 20'!H9:H28</f>
        <v>0</v>
      </c>
      <c r="E9" s="127"/>
      <c r="F9" s="127">
        <f t="shared" si="1"/>
        <v>0</v>
      </c>
      <c r="G9" s="25"/>
      <c r="H9" s="25">
        <f t="shared" si="0"/>
        <v>0</v>
      </c>
      <c r="I9" s="2"/>
      <c r="J9" s="2"/>
      <c r="K9" s="2"/>
    </row>
    <row r="10" spans="1:11" x14ac:dyDescent="0.25">
      <c r="A10" s="130" t="s">
        <v>68</v>
      </c>
      <c r="B10" s="125" t="s">
        <v>40</v>
      </c>
      <c r="C10" s="126"/>
      <c r="D10" s="127">
        <f>'JULY 20'!H10:H29</f>
        <v>0</v>
      </c>
      <c r="E10" s="127"/>
      <c r="F10" s="127">
        <f t="shared" si="1"/>
        <v>0</v>
      </c>
      <c r="G10" s="128"/>
      <c r="H10" s="25">
        <f t="shared" si="0"/>
        <v>0</v>
      </c>
      <c r="I10" s="2"/>
      <c r="J10" s="2"/>
      <c r="K10" s="2"/>
    </row>
    <row r="11" spans="1:11" x14ac:dyDescent="0.25">
      <c r="A11" s="131" t="s">
        <v>73</v>
      </c>
      <c r="B11" s="132" t="s">
        <v>40</v>
      </c>
      <c r="C11" s="26"/>
      <c r="D11" s="127">
        <f>'JULY 20'!H11:H30</f>
        <v>0</v>
      </c>
      <c r="E11" s="127"/>
      <c r="F11" s="127">
        <f t="shared" si="1"/>
        <v>0</v>
      </c>
      <c r="G11" s="133"/>
      <c r="H11" s="25">
        <f t="shared" si="0"/>
        <v>0</v>
      </c>
      <c r="I11" s="2"/>
      <c r="J11" s="2"/>
      <c r="K11" s="2"/>
    </row>
    <row r="12" spans="1:11" x14ac:dyDescent="0.25">
      <c r="A12" s="124" t="s">
        <v>69</v>
      </c>
      <c r="B12" s="132" t="s">
        <v>40</v>
      </c>
      <c r="C12" s="126"/>
      <c r="D12" s="127">
        <f>'JULY 20'!H12:H31</f>
        <v>0</v>
      </c>
      <c r="E12" s="127"/>
      <c r="F12" s="127">
        <f t="shared" si="1"/>
        <v>0</v>
      </c>
      <c r="G12" s="128"/>
      <c r="H12" s="25">
        <f t="shared" si="0"/>
        <v>0</v>
      </c>
      <c r="I12" s="2"/>
      <c r="J12" s="2"/>
      <c r="K12" s="2"/>
    </row>
    <row r="13" spans="1:11" ht="30" x14ac:dyDescent="0.25">
      <c r="A13" s="124" t="s">
        <v>74</v>
      </c>
      <c r="B13" s="132" t="s">
        <v>87</v>
      </c>
      <c r="C13" s="126"/>
      <c r="D13" s="127">
        <f>'JULY 20'!H13:H32</f>
        <v>0</v>
      </c>
      <c r="E13" s="127">
        <v>4000</v>
      </c>
      <c r="F13" s="127">
        <f t="shared" si="1"/>
        <v>4000</v>
      </c>
      <c r="G13" s="128">
        <f>2800+700</f>
        <v>3500</v>
      </c>
      <c r="H13" s="25">
        <f t="shared" si="0"/>
        <v>500</v>
      </c>
      <c r="I13" s="2"/>
      <c r="J13" s="2"/>
      <c r="K13" s="2"/>
    </row>
    <row r="14" spans="1:11" x14ac:dyDescent="0.25">
      <c r="A14" s="134" t="s">
        <v>70</v>
      </c>
      <c r="B14" s="132" t="s">
        <v>40</v>
      </c>
      <c r="C14" s="126"/>
      <c r="D14" s="127">
        <f>'JULY 20'!H14:H33</f>
        <v>0</v>
      </c>
      <c r="E14" s="127"/>
      <c r="F14" s="127">
        <f t="shared" si="1"/>
        <v>0</v>
      </c>
      <c r="G14" s="128"/>
      <c r="H14" s="25">
        <f t="shared" si="0"/>
        <v>0</v>
      </c>
      <c r="I14" s="2"/>
      <c r="J14" s="2"/>
      <c r="K14" s="2"/>
    </row>
    <row r="15" spans="1:11" x14ac:dyDescent="0.25">
      <c r="A15" s="134" t="s">
        <v>75</v>
      </c>
      <c r="B15" s="132" t="s">
        <v>40</v>
      </c>
      <c r="C15" s="126"/>
      <c r="D15" s="127">
        <f>'JULY 20'!H15:H34</f>
        <v>0</v>
      </c>
      <c r="E15" s="127"/>
      <c r="F15" s="127">
        <f t="shared" si="1"/>
        <v>0</v>
      </c>
      <c r="G15" s="128"/>
      <c r="H15" s="25">
        <f t="shared" si="0"/>
        <v>0</v>
      </c>
      <c r="I15" s="2"/>
      <c r="J15" s="2"/>
      <c r="K15" s="2"/>
    </row>
    <row r="16" spans="1:11" x14ac:dyDescent="0.25">
      <c r="A16" s="134" t="s">
        <v>76</v>
      </c>
      <c r="B16" s="132" t="s">
        <v>40</v>
      </c>
      <c r="C16" s="126"/>
      <c r="D16" s="127">
        <f>'JULY 20'!H16:H35</f>
        <v>0</v>
      </c>
      <c r="E16" s="127"/>
      <c r="F16" s="127">
        <f t="shared" si="1"/>
        <v>0</v>
      </c>
      <c r="G16" s="128"/>
      <c r="H16" s="25">
        <f t="shared" si="0"/>
        <v>0</v>
      </c>
      <c r="I16" s="2"/>
      <c r="J16" s="2"/>
      <c r="K16" s="2"/>
    </row>
    <row r="17" spans="1:15" x14ac:dyDescent="0.25">
      <c r="A17" s="134" t="s">
        <v>77</v>
      </c>
      <c r="B17" s="132" t="s">
        <v>40</v>
      </c>
      <c r="C17" s="126"/>
      <c r="D17" s="127">
        <f>'JULY 20'!H17:H36</f>
        <v>0</v>
      </c>
      <c r="E17" s="127"/>
      <c r="F17" s="127">
        <f t="shared" si="1"/>
        <v>0</v>
      </c>
      <c r="G17" s="128"/>
      <c r="H17" s="25">
        <f t="shared" si="0"/>
        <v>0</v>
      </c>
      <c r="I17" s="2"/>
      <c r="J17" s="2"/>
      <c r="K17" s="2"/>
    </row>
    <row r="18" spans="1:15" ht="30" x14ac:dyDescent="0.25">
      <c r="A18" s="134" t="s">
        <v>78</v>
      </c>
      <c r="B18" s="132" t="s">
        <v>88</v>
      </c>
      <c r="C18" s="126"/>
      <c r="D18" s="127">
        <f>'JULY 20'!H18:H37</f>
        <v>2000</v>
      </c>
      <c r="E18" s="127">
        <v>5000</v>
      </c>
      <c r="F18" s="127">
        <f t="shared" si="1"/>
        <v>7000</v>
      </c>
      <c r="G18" s="128">
        <f>3000+2800</f>
        <v>5800</v>
      </c>
      <c r="H18" s="25">
        <f t="shared" si="0"/>
        <v>1200</v>
      </c>
      <c r="I18" s="2"/>
      <c r="J18" s="2"/>
      <c r="K18" s="2"/>
    </row>
    <row r="19" spans="1:15" x14ac:dyDescent="0.25">
      <c r="A19" s="134" t="s">
        <v>79</v>
      </c>
      <c r="B19" s="132" t="s">
        <v>40</v>
      </c>
      <c r="C19" s="126"/>
      <c r="D19" s="127">
        <f>'JULY 20'!H19:H38</f>
        <v>0</v>
      </c>
      <c r="E19" s="127"/>
      <c r="F19" s="127">
        <f t="shared" si="1"/>
        <v>0</v>
      </c>
      <c r="G19" s="128"/>
      <c r="H19" s="25">
        <f t="shared" si="0"/>
        <v>0</v>
      </c>
      <c r="I19" s="2"/>
      <c r="J19" s="2"/>
      <c r="K19" s="2"/>
    </row>
    <row r="20" spans="1:15" x14ac:dyDescent="0.25">
      <c r="A20" s="134" t="s">
        <v>80</v>
      </c>
      <c r="B20" s="132" t="s">
        <v>40</v>
      </c>
      <c r="C20" s="126"/>
      <c r="D20" s="127">
        <f>'JULY 20'!H20:H39</f>
        <v>0</v>
      </c>
      <c r="E20" s="127"/>
      <c r="F20" s="127">
        <f t="shared" si="1"/>
        <v>0</v>
      </c>
      <c r="G20" s="128"/>
      <c r="H20" s="25">
        <f t="shared" si="0"/>
        <v>0</v>
      </c>
      <c r="I20" s="2"/>
      <c r="J20" s="2"/>
      <c r="K20" s="2"/>
      <c r="M20" s="65"/>
    </row>
    <row r="21" spans="1:15" ht="30" x14ac:dyDescent="0.25">
      <c r="A21" s="134" t="s">
        <v>81</v>
      </c>
      <c r="B21" s="132" t="s">
        <v>89</v>
      </c>
      <c r="C21" s="126"/>
      <c r="D21" s="127">
        <f>'JULY 20'!H21:H40</f>
        <v>3000</v>
      </c>
      <c r="E21" s="127">
        <v>4000</v>
      </c>
      <c r="F21" s="127">
        <f t="shared" si="1"/>
        <v>7000</v>
      </c>
      <c r="G21" s="128">
        <f>1000+2000+1000+2000</f>
        <v>6000</v>
      </c>
      <c r="H21" s="25">
        <f t="shared" si="0"/>
        <v>1000</v>
      </c>
      <c r="I21" s="2"/>
      <c r="J21" s="2"/>
      <c r="K21" s="2"/>
      <c r="O21" s="65"/>
    </row>
    <row r="22" spans="1:15" x14ac:dyDescent="0.25">
      <c r="A22" s="134" t="s">
        <v>82</v>
      </c>
      <c r="B22" s="132" t="s">
        <v>40</v>
      </c>
      <c r="C22" s="126"/>
      <c r="D22" s="127">
        <f>'JULY 20'!H22:H41</f>
        <v>0</v>
      </c>
      <c r="E22" s="127"/>
      <c r="F22" s="127">
        <f t="shared" si="1"/>
        <v>0</v>
      </c>
      <c r="G22" s="128"/>
      <c r="H22" s="25">
        <f t="shared" si="0"/>
        <v>0</v>
      </c>
      <c r="I22" s="2"/>
      <c r="J22" s="2"/>
      <c r="K22" s="2"/>
      <c r="M22" s="65"/>
    </row>
    <row r="23" spans="1:15" x14ac:dyDescent="0.25">
      <c r="A23" s="134" t="s">
        <v>83</v>
      </c>
      <c r="B23" s="132" t="s">
        <v>40</v>
      </c>
      <c r="C23" s="126"/>
      <c r="D23" s="127">
        <f>'JULY 20'!H23:H42</f>
        <v>0</v>
      </c>
      <c r="E23" s="127"/>
      <c r="F23" s="127">
        <f t="shared" si="1"/>
        <v>0</v>
      </c>
      <c r="G23" s="128"/>
      <c r="H23" s="25">
        <f t="shared" si="0"/>
        <v>0</v>
      </c>
      <c r="I23" s="2"/>
      <c r="J23" s="2"/>
      <c r="K23" s="2"/>
    </row>
    <row r="24" spans="1:15" ht="30" x14ac:dyDescent="0.25">
      <c r="A24" s="134" t="s">
        <v>84</v>
      </c>
      <c r="B24" s="132" t="s">
        <v>90</v>
      </c>
      <c r="C24" s="126"/>
      <c r="D24" s="127">
        <f>'JULY 20'!H24:H43</f>
        <v>4000</v>
      </c>
      <c r="E24" s="127">
        <v>5000</v>
      </c>
      <c r="F24" s="127">
        <f t="shared" si="1"/>
        <v>9000</v>
      </c>
      <c r="G24" s="128">
        <f>2000+1000+1000+1000</f>
        <v>5000</v>
      </c>
      <c r="H24" s="25">
        <f t="shared" si="0"/>
        <v>4000</v>
      </c>
      <c r="I24" s="2"/>
      <c r="J24" s="2"/>
      <c r="K24" s="2"/>
      <c r="L24" s="68"/>
      <c r="M24" s="65"/>
    </row>
    <row r="25" spans="1:15" x14ac:dyDescent="0.25">
      <c r="A25" s="134" t="s">
        <v>85</v>
      </c>
      <c r="B25" s="132" t="s">
        <v>40</v>
      </c>
      <c r="C25" s="126"/>
      <c r="D25" s="127">
        <f>'JULY 20'!H25:H44</f>
        <v>0</v>
      </c>
      <c r="E25" s="127"/>
      <c r="F25" s="127">
        <f>C25+D25+E25</f>
        <v>0</v>
      </c>
      <c r="G25" s="128"/>
      <c r="H25" s="25">
        <f t="shared" si="0"/>
        <v>0</v>
      </c>
      <c r="I25" s="2"/>
      <c r="J25" s="2"/>
      <c r="K25" s="2"/>
      <c r="L25" s="65"/>
      <c r="M25" s="65"/>
    </row>
    <row r="26" spans="1:15" x14ac:dyDescent="0.25">
      <c r="A26" s="135"/>
      <c r="B26" s="136" t="s">
        <v>9</v>
      </c>
      <c r="C26" s="137">
        <f t="shared" ref="C26:H26" si="2">SUM(C6:C25)</f>
        <v>0</v>
      </c>
      <c r="D26" s="138">
        <f>SUM(D6:D25)</f>
        <v>9000</v>
      </c>
      <c r="E26" s="138">
        <f t="shared" si="2"/>
        <v>18000</v>
      </c>
      <c r="F26" s="138">
        <f t="shared" si="2"/>
        <v>27000</v>
      </c>
      <c r="G26" s="139">
        <f t="shared" si="2"/>
        <v>20300</v>
      </c>
      <c r="H26" s="140">
        <f t="shared" si="2"/>
        <v>6700</v>
      </c>
      <c r="I26" s="2"/>
      <c r="J26" s="2"/>
      <c r="K26" s="2"/>
    </row>
    <row r="27" spans="1:15" x14ac:dyDescent="0.25">
      <c r="A27" s="2"/>
      <c r="B27" s="2"/>
      <c r="C27" s="6"/>
      <c r="D27" s="6" t="s">
        <v>28</v>
      </c>
      <c r="E27" s="6"/>
      <c r="F27" s="2"/>
      <c r="G27" s="2"/>
      <c r="H27" s="2"/>
      <c r="I27" s="2"/>
      <c r="J27" s="2"/>
      <c r="K27" s="2"/>
    </row>
    <row r="28" spans="1:15" x14ac:dyDescent="0.25">
      <c r="A28" s="124"/>
      <c r="B28" s="125"/>
      <c r="C28" s="126"/>
      <c r="D28" s="127">
        <f>'MAY 20'!I28:I48</f>
        <v>0</v>
      </c>
      <c r="E28" s="127"/>
      <c r="F28" s="127"/>
      <c r="G28" s="127"/>
      <c r="H28" s="127"/>
      <c r="I28" s="25">
        <f>G28-H28</f>
        <v>0</v>
      </c>
      <c r="J28" s="2"/>
      <c r="K28" s="2"/>
    </row>
    <row r="29" spans="1:15" ht="30" x14ac:dyDescent="0.25">
      <c r="A29" s="124" t="s">
        <v>43</v>
      </c>
      <c r="B29" s="125" t="s">
        <v>113</v>
      </c>
      <c r="C29" s="126"/>
      <c r="D29" s="127">
        <f>'JULY 20'!I28:I44</f>
        <v>0</v>
      </c>
      <c r="E29" s="127">
        <v>2500</v>
      </c>
      <c r="F29" s="127">
        <v>2000</v>
      </c>
      <c r="G29" s="127">
        <f>C29+D29+F29</f>
        <v>2000</v>
      </c>
      <c r="H29" s="127">
        <v>2000</v>
      </c>
      <c r="I29" s="25">
        <f t="shared" ref="I29:I44" si="3">G29-H29</f>
        <v>0</v>
      </c>
      <c r="J29" s="2"/>
      <c r="K29" s="2"/>
    </row>
    <row r="30" spans="1:15" x14ac:dyDescent="0.25">
      <c r="A30" s="124" t="s">
        <v>44</v>
      </c>
      <c r="B30" s="24" t="s">
        <v>138</v>
      </c>
      <c r="C30" s="26"/>
      <c r="D30" s="127">
        <f>'JULY 20'!I29:I45</f>
        <v>0</v>
      </c>
      <c r="E30" s="127">
        <v>2500</v>
      </c>
      <c r="F30" s="127">
        <v>2000</v>
      </c>
      <c r="G30" s="127">
        <f t="shared" ref="G30:G44" si="4">C30+D30+F30</f>
        <v>2000</v>
      </c>
      <c r="H30" s="26">
        <v>2000</v>
      </c>
      <c r="I30" s="25">
        <f t="shared" si="3"/>
        <v>0</v>
      </c>
      <c r="J30" s="2"/>
      <c r="K30" s="2"/>
    </row>
    <row r="31" spans="1:15" ht="30" x14ac:dyDescent="0.25">
      <c r="A31" s="124" t="s">
        <v>45</v>
      </c>
      <c r="B31" s="125" t="s">
        <v>30</v>
      </c>
      <c r="C31" s="26"/>
      <c r="D31" s="127">
        <f>'JULY 20'!I30:I46</f>
        <v>500</v>
      </c>
      <c r="E31" s="127">
        <v>2500</v>
      </c>
      <c r="F31" s="127">
        <v>2000</v>
      </c>
      <c r="G31" s="127">
        <f>C31+D31+F31</f>
        <v>2500</v>
      </c>
      <c r="H31" s="25">
        <f>2500</f>
        <v>2500</v>
      </c>
      <c r="I31" s="25">
        <f t="shared" si="3"/>
        <v>0</v>
      </c>
      <c r="J31" s="2"/>
      <c r="K31" s="2"/>
    </row>
    <row r="32" spans="1:15" ht="30" x14ac:dyDescent="0.25">
      <c r="A32" s="124" t="s">
        <v>46</v>
      </c>
      <c r="B32" s="125" t="s">
        <v>31</v>
      </c>
      <c r="C32" s="126"/>
      <c r="D32" s="127">
        <f>'JULY 20'!I31:I47</f>
        <v>0</v>
      </c>
      <c r="E32" s="127">
        <v>2500</v>
      </c>
      <c r="F32" s="127">
        <v>2000</v>
      </c>
      <c r="G32" s="127">
        <f t="shared" si="4"/>
        <v>2000</v>
      </c>
      <c r="H32" s="128">
        <v>2000</v>
      </c>
      <c r="I32" s="25">
        <f t="shared" si="3"/>
        <v>0</v>
      </c>
      <c r="J32" s="2"/>
      <c r="K32" s="2"/>
    </row>
    <row r="33" spans="1:11" ht="30" x14ac:dyDescent="0.25">
      <c r="A33" s="124" t="s">
        <v>47</v>
      </c>
      <c r="B33" s="132" t="s">
        <v>32</v>
      </c>
      <c r="C33" s="26"/>
      <c r="D33" s="127">
        <f>'JULY 20'!I32:I48</f>
        <v>0</v>
      </c>
      <c r="E33" s="127">
        <v>2500</v>
      </c>
      <c r="F33" s="127">
        <v>2000</v>
      </c>
      <c r="G33" s="127">
        <f t="shared" si="4"/>
        <v>2000</v>
      </c>
      <c r="H33" s="133">
        <v>2000</v>
      </c>
      <c r="I33" s="25">
        <f t="shared" si="3"/>
        <v>0</v>
      </c>
      <c r="J33" s="2"/>
      <c r="K33" s="2"/>
    </row>
    <row r="34" spans="1:11" ht="30" x14ac:dyDescent="0.25">
      <c r="A34" s="124" t="s">
        <v>48</v>
      </c>
      <c r="B34" s="132" t="s">
        <v>37</v>
      </c>
      <c r="C34" s="126"/>
      <c r="D34" s="127">
        <f>'JULY 20'!I33:I49</f>
        <v>300</v>
      </c>
      <c r="E34" s="127">
        <v>2500</v>
      </c>
      <c r="F34" s="127">
        <v>2000</v>
      </c>
      <c r="G34" s="127">
        <f t="shared" si="4"/>
        <v>2300</v>
      </c>
      <c r="H34" s="128">
        <f>2000</f>
        <v>2000</v>
      </c>
      <c r="I34" s="25">
        <f t="shared" si="3"/>
        <v>300</v>
      </c>
      <c r="J34" s="2"/>
      <c r="K34" s="2"/>
    </row>
    <row r="35" spans="1:11" ht="30" x14ac:dyDescent="0.25">
      <c r="A35" s="124" t="s">
        <v>49</v>
      </c>
      <c r="B35" s="132" t="s">
        <v>132</v>
      </c>
      <c r="C35" s="126"/>
      <c r="D35" s="127">
        <f>'JULY 20'!I34:I50</f>
        <v>0</v>
      </c>
      <c r="E35" s="127">
        <v>2500</v>
      </c>
      <c r="F35" s="127">
        <v>2000</v>
      </c>
      <c r="G35" s="127">
        <f t="shared" si="4"/>
        <v>2000</v>
      </c>
      <c r="H35" s="128">
        <f>2000</f>
        <v>2000</v>
      </c>
      <c r="I35" s="25">
        <f t="shared" si="3"/>
        <v>0</v>
      </c>
      <c r="J35" s="2"/>
      <c r="K35" s="2"/>
    </row>
    <row r="36" spans="1:11" ht="30" x14ac:dyDescent="0.25">
      <c r="A36" s="124" t="s">
        <v>50</v>
      </c>
      <c r="B36" s="125" t="s">
        <v>33</v>
      </c>
      <c r="C36" s="126"/>
      <c r="D36" s="127">
        <f>'JULY 20'!I35:I51</f>
        <v>1500</v>
      </c>
      <c r="E36" s="127">
        <v>2500</v>
      </c>
      <c r="F36" s="127">
        <v>2000</v>
      </c>
      <c r="G36" s="127">
        <f t="shared" si="4"/>
        <v>3500</v>
      </c>
      <c r="H36" s="128">
        <f>2000</f>
        <v>2000</v>
      </c>
      <c r="I36" s="25">
        <f t="shared" si="3"/>
        <v>1500</v>
      </c>
      <c r="J36" s="2"/>
      <c r="K36" s="2"/>
    </row>
    <row r="37" spans="1:11" ht="30" x14ac:dyDescent="0.25">
      <c r="A37" s="124" t="s">
        <v>51</v>
      </c>
      <c r="B37" s="125" t="s">
        <v>126</v>
      </c>
      <c r="C37" s="126"/>
      <c r="D37" s="127">
        <f>'JULY 20'!I36:I52</f>
        <v>1000</v>
      </c>
      <c r="E37" s="127"/>
      <c r="F37" s="127">
        <v>2000</v>
      </c>
      <c r="G37" s="127">
        <f>C37+D37+F37</f>
        <v>3000</v>
      </c>
      <c r="H37" s="128">
        <v>1000</v>
      </c>
      <c r="I37" s="25">
        <f t="shared" si="3"/>
        <v>2000</v>
      </c>
      <c r="J37" s="2"/>
      <c r="K37" s="2"/>
    </row>
    <row r="38" spans="1:11" ht="30" x14ac:dyDescent="0.25">
      <c r="A38" s="124" t="s">
        <v>52</v>
      </c>
      <c r="B38" s="132" t="s">
        <v>127</v>
      </c>
      <c r="C38" s="126"/>
      <c r="D38" s="127">
        <f>'JULY 20'!I37:I53</f>
        <v>500</v>
      </c>
      <c r="E38" s="127"/>
      <c r="F38" s="127">
        <v>2500</v>
      </c>
      <c r="G38" s="127">
        <f t="shared" si="4"/>
        <v>3000</v>
      </c>
      <c r="H38" s="128">
        <v>3000</v>
      </c>
      <c r="I38" s="25">
        <f t="shared" si="3"/>
        <v>0</v>
      </c>
      <c r="J38" s="2"/>
      <c r="K38" s="2"/>
    </row>
    <row r="39" spans="1:11" ht="45" x14ac:dyDescent="0.25">
      <c r="A39" s="124" t="s">
        <v>57</v>
      </c>
      <c r="B39" s="125" t="s">
        <v>107</v>
      </c>
      <c r="C39" s="126"/>
      <c r="D39" s="127">
        <f>'JULY 20'!I38:I54</f>
        <v>0</v>
      </c>
      <c r="E39" s="127"/>
      <c r="F39" s="127"/>
      <c r="G39" s="127">
        <f t="shared" si="4"/>
        <v>0</v>
      </c>
      <c r="H39" s="128"/>
      <c r="I39" s="25">
        <f t="shared" si="3"/>
        <v>0</v>
      </c>
      <c r="J39" s="2"/>
      <c r="K39" s="2"/>
    </row>
    <row r="40" spans="1:11" x14ac:dyDescent="0.25">
      <c r="A40" s="124" t="s">
        <v>58</v>
      </c>
      <c r="B40" s="125" t="s">
        <v>115</v>
      </c>
      <c r="C40" s="126"/>
      <c r="D40" s="127"/>
      <c r="E40" s="127">
        <v>2500</v>
      </c>
      <c r="F40" s="127">
        <v>1000</v>
      </c>
      <c r="G40" s="127">
        <f>C40+D40+F40</f>
        <v>1000</v>
      </c>
      <c r="H40" s="128">
        <v>1000</v>
      </c>
      <c r="I40" s="25">
        <f t="shared" si="3"/>
        <v>0</v>
      </c>
      <c r="J40" s="2"/>
      <c r="K40" s="2"/>
    </row>
    <row r="41" spans="1:11" ht="45" x14ac:dyDescent="0.25">
      <c r="A41" s="124" t="s">
        <v>59</v>
      </c>
      <c r="B41" s="125" t="s">
        <v>131</v>
      </c>
      <c r="C41" s="126"/>
      <c r="D41" s="127">
        <f>'JULY 20'!I40:I56</f>
        <v>0</v>
      </c>
      <c r="E41" s="127">
        <v>2500</v>
      </c>
      <c r="F41" s="127">
        <v>2000</v>
      </c>
      <c r="G41" s="127">
        <f t="shared" si="4"/>
        <v>2000</v>
      </c>
      <c r="H41" s="128">
        <v>2000</v>
      </c>
      <c r="I41" s="25">
        <f t="shared" si="3"/>
        <v>0</v>
      </c>
      <c r="J41" s="2"/>
      <c r="K41" s="2"/>
    </row>
    <row r="42" spans="1:11" ht="30" x14ac:dyDescent="0.25">
      <c r="A42" s="124" t="s">
        <v>60</v>
      </c>
      <c r="B42" s="125" t="s">
        <v>38</v>
      </c>
      <c r="C42" s="126"/>
      <c r="D42" s="127">
        <f>'JULY 20'!I41:I57</f>
        <v>0</v>
      </c>
      <c r="E42" s="127">
        <v>2500</v>
      </c>
      <c r="F42" s="127">
        <v>2000</v>
      </c>
      <c r="G42" s="127">
        <f t="shared" si="4"/>
        <v>2000</v>
      </c>
      <c r="H42" s="128">
        <f>1000</f>
        <v>1000</v>
      </c>
      <c r="I42" s="25">
        <f t="shared" si="3"/>
        <v>1000</v>
      </c>
      <c r="J42" s="2"/>
      <c r="K42" s="2"/>
    </row>
    <row r="43" spans="1:11" ht="30" x14ac:dyDescent="0.25">
      <c r="A43" s="124" t="s">
        <v>61</v>
      </c>
      <c r="B43" s="125" t="s">
        <v>41</v>
      </c>
      <c r="C43" s="126"/>
      <c r="D43" s="127">
        <f>'JULY 20'!I42:I58</f>
        <v>0</v>
      </c>
      <c r="E43" s="127">
        <v>2500</v>
      </c>
      <c r="F43" s="127">
        <v>2000</v>
      </c>
      <c r="G43" s="127">
        <f t="shared" si="4"/>
        <v>2000</v>
      </c>
      <c r="H43" s="128">
        <v>2000</v>
      </c>
      <c r="I43" s="25">
        <f t="shared" si="3"/>
        <v>0</v>
      </c>
      <c r="J43" s="2"/>
      <c r="K43" s="2"/>
    </row>
    <row r="44" spans="1:11" x14ac:dyDescent="0.25">
      <c r="A44" s="124" t="s">
        <v>62</v>
      </c>
      <c r="B44" s="125" t="s">
        <v>115</v>
      </c>
      <c r="C44" s="126"/>
      <c r="D44" s="127">
        <f>'JULY 20'!I43:I59</f>
        <v>0</v>
      </c>
      <c r="E44" s="127">
        <v>2500</v>
      </c>
      <c r="F44" s="127">
        <v>2000</v>
      </c>
      <c r="G44" s="127">
        <f t="shared" si="4"/>
        <v>2000</v>
      </c>
      <c r="H44" s="128">
        <v>2000</v>
      </c>
      <c r="I44" s="25">
        <f t="shared" si="3"/>
        <v>0</v>
      </c>
      <c r="J44" s="2"/>
      <c r="K44" s="2"/>
    </row>
    <row r="45" spans="1:11" x14ac:dyDescent="0.25">
      <c r="A45" s="135"/>
      <c r="B45" s="136" t="s">
        <v>9</v>
      </c>
      <c r="C45" s="137">
        <f>SUM(C28:C40)</f>
        <v>0</v>
      </c>
      <c r="D45" s="127">
        <f>SUM(D28:D44)</f>
        <v>3800</v>
      </c>
      <c r="E45" s="127">
        <f>SUM(E28:E44)</f>
        <v>32500</v>
      </c>
      <c r="F45" s="138">
        <f>SUM(F28:F44)</f>
        <v>29500</v>
      </c>
      <c r="G45" s="138">
        <f>SUM(G29:G44)</f>
        <v>33300</v>
      </c>
      <c r="H45" s="139">
        <f>SUM(H28:H44)</f>
        <v>28500</v>
      </c>
      <c r="I45" s="41">
        <f>SUM(I28:I44)</f>
        <v>4800</v>
      </c>
      <c r="J45" s="2"/>
      <c r="K45" s="2"/>
    </row>
    <row r="46" spans="1:11" x14ac:dyDescent="0.25">
      <c r="A46" s="2"/>
      <c r="B46" s="2"/>
      <c r="C46" s="2"/>
      <c r="D46" s="127">
        <f>'JULY 20'!I45:I61</f>
        <v>3800</v>
      </c>
      <c r="E46" s="2"/>
      <c r="F46" s="2"/>
      <c r="G46" s="2"/>
      <c r="H46" s="2"/>
      <c r="I46" s="2"/>
      <c r="J46" s="2"/>
      <c r="K46" s="2"/>
    </row>
    <row r="47" spans="1:1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6" t="s">
        <v>10</v>
      </c>
      <c r="B48" s="141"/>
      <c r="C48" s="142"/>
      <c r="D48" s="141"/>
      <c r="E48" s="143">
        <f>E45+E26</f>
        <v>50500</v>
      </c>
      <c r="F48" s="141"/>
      <c r="G48" s="141"/>
      <c r="H48" s="2"/>
      <c r="I48" s="21"/>
      <c r="J48" s="2"/>
      <c r="K48" s="2"/>
    </row>
    <row r="49" spans="1:11" x14ac:dyDescent="0.25">
      <c r="A49" s="22" t="s">
        <v>11</v>
      </c>
      <c r="B49" s="22" t="s">
        <v>12</v>
      </c>
      <c r="C49" s="22" t="s">
        <v>13</v>
      </c>
      <c r="D49" s="22" t="s">
        <v>14</v>
      </c>
      <c r="E49" s="22"/>
      <c r="F49" s="22" t="s">
        <v>12</v>
      </c>
      <c r="G49" s="22"/>
      <c r="H49" s="22" t="s">
        <v>13</v>
      </c>
      <c r="I49" s="23" t="s">
        <v>15</v>
      </c>
      <c r="J49" s="2"/>
      <c r="K49" s="2"/>
    </row>
    <row r="50" spans="1:11" x14ac:dyDescent="0.25">
      <c r="A50" s="24" t="s">
        <v>140</v>
      </c>
      <c r="B50" s="25">
        <f>F45+E26</f>
        <v>47500</v>
      </c>
      <c r="C50" s="26"/>
      <c r="D50" s="26"/>
      <c r="E50" s="26"/>
      <c r="F50" s="25">
        <f>H45+G26</f>
        <v>48800</v>
      </c>
      <c r="G50" s="25"/>
      <c r="H50" s="26"/>
      <c r="I50" s="25"/>
      <c r="J50" s="2"/>
      <c r="K50" s="2"/>
    </row>
    <row r="51" spans="1:11" x14ac:dyDescent="0.25">
      <c r="A51" s="24" t="s">
        <v>17</v>
      </c>
      <c r="B51" s="27">
        <v>0.1</v>
      </c>
      <c r="C51" s="28">
        <f>B51*B50</f>
        <v>4750</v>
      </c>
      <c r="D51" s="24"/>
      <c r="E51" s="24"/>
      <c r="F51" s="27">
        <v>0.1</v>
      </c>
      <c r="G51" s="27"/>
      <c r="H51" s="28">
        <f>F51*B50</f>
        <v>4750</v>
      </c>
      <c r="I51" s="25"/>
      <c r="J51" s="2"/>
      <c r="K51" s="2"/>
    </row>
    <row r="52" spans="1:11" ht="9.75" customHeight="1" x14ac:dyDescent="0.25">
      <c r="A52" s="29"/>
      <c r="B52" s="28"/>
      <c r="C52" s="24"/>
      <c r="D52" s="24"/>
      <c r="E52" s="24"/>
      <c r="F52" s="28"/>
      <c r="G52" s="28"/>
      <c r="H52" s="24"/>
      <c r="I52" s="25"/>
      <c r="J52" s="2"/>
      <c r="K52" s="2"/>
    </row>
    <row r="53" spans="1:11" hidden="1" x14ac:dyDescent="0.25">
      <c r="A53" s="24"/>
      <c r="B53" s="27"/>
      <c r="C53" s="28"/>
      <c r="D53" s="24"/>
      <c r="E53" s="24"/>
      <c r="F53" s="27"/>
      <c r="G53" s="27"/>
      <c r="H53" s="28"/>
      <c r="I53" s="25"/>
      <c r="J53" s="2"/>
      <c r="K53" s="2"/>
    </row>
    <row r="54" spans="1:11" x14ac:dyDescent="0.25">
      <c r="A54" s="29" t="s">
        <v>18</v>
      </c>
      <c r="B54" s="28">
        <f>C45</f>
        <v>0</v>
      </c>
      <c r="C54" s="2"/>
      <c r="D54" s="24"/>
      <c r="E54" s="24"/>
      <c r="F54" s="28"/>
      <c r="G54" s="28"/>
      <c r="H54" s="24"/>
      <c r="I54" s="25"/>
      <c r="J54" s="2"/>
      <c r="K54" s="2"/>
    </row>
    <row r="55" spans="1:11" x14ac:dyDescent="0.25">
      <c r="A55" s="29" t="s">
        <v>19</v>
      </c>
      <c r="B55" s="28">
        <f>'JULY 20'!D61</f>
        <v>-2376</v>
      </c>
      <c r="C55" s="24"/>
      <c r="D55" s="24"/>
      <c r="E55" s="24"/>
      <c r="F55" s="28">
        <f>'JULY 20'!I61</f>
        <v>-15176</v>
      </c>
      <c r="G55" s="28"/>
      <c r="H55" s="24"/>
      <c r="I55" s="25"/>
      <c r="J55" s="2"/>
      <c r="K55" s="2"/>
    </row>
    <row r="56" spans="1:11" x14ac:dyDescent="0.25">
      <c r="A56" s="29" t="s">
        <v>9</v>
      </c>
      <c r="B56" s="28">
        <f>B50+B52+B55+B54</f>
        <v>45124</v>
      </c>
      <c r="C56" s="24"/>
      <c r="D56" s="24"/>
      <c r="E56" s="24"/>
      <c r="F56" s="28">
        <f>F50+F52+F55+F53</f>
        <v>33624</v>
      </c>
      <c r="G56" s="28"/>
      <c r="H56" s="24"/>
      <c r="I56" s="25"/>
      <c r="J56" s="2"/>
      <c r="K56" s="2"/>
    </row>
    <row r="57" spans="1:11" x14ac:dyDescent="0.25">
      <c r="A57" s="30" t="s">
        <v>20</v>
      </c>
      <c r="B57" s="27"/>
      <c r="C57" s="31"/>
      <c r="D57" s="24"/>
      <c r="E57" s="24"/>
      <c r="F57" s="30" t="s">
        <v>20</v>
      </c>
      <c r="G57" s="27"/>
      <c r="H57" s="31"/>
      <c r="I57" s="25"/>
      <c r="J57" s="2"/>
      <c r="K57" s="2"/>
    </row>
    <row r="58" spans="1:11" x14ac:dyDescent="0.25">
      <c r="A58" s="29" t="s">
        <v>144</v>
      </c>
      <c r="B58" s="26"/>
      <c r="C58" s="144">
        <v>5000</v>
      </c>
      <c r="D58" s="24"/>
      <c r="E58" s="24"/>
      <c r="F58" s="29" t="s">
        <v>144</v>
      </c>
      <c r="G58" s="26"/>
      <c r="H58" s="144">
        <v>5000</v>
      </c>
      <c r="I58" s="24"/>
      <c r="J58" s="2"/>
      <c r="K58" s="2"/>
    </row>
    <row r="59" spans="1:11" x14ac:dyDescent="0.25">
      <c r="A59" s="145" t="s">
        <v>145</v>
      </c>
      <c r="B59" s="2"/>
      <c r="C59" s="146">
        <v>32455</v>
      </c>
      <c r="D59" s="26"/>
      <c r="E59" s="26"/>
      <c r="F59" s="145" t="s">
        <v>145</v>
      </c>
      <c r="G59" s="2"/>
      <c r="H59" s="146">
        <v>32455</v>
      </c>
      <c r="I59" s="25"/>
      <c r="J59" s="2"/>
      <c r="K59" s="2"/>
    </row>
    <row r="60" spans="1:11" x14ac:dyDescent="0.25">
      <c r="A60" s="145"/>
      <c r="B60" s="26"/>
      <c r="C60" s="146"/>
      <c r="D60" s="26"/>
      <c r="E60" s="26"/>
      <c r="F60" s="26"/>
      <c r="G60" s="26"/>
      <c r="H60" s="146"/>
      <c r="I60" s="25"/>
      <c r="J60" s="2"/>
      <c r="K60" s="2"/>
    </row>
    <row r="61" spans="1:11" x14ac:dyDescent="0.25">
      <c r="A61" s="39" t="s">
        <v>9</v>
      </c>
      <c r="B61" s="40">
        <f>B50+B52+B53+B54+B55-C51-C53</f>
        <v>40374</v>
      </c>
      <c r="C61" s="41">
        <f>SUM(C58:C60)</f>
        <v>37455</v>
      </c>
      <c r="D61" s="41">
        <f>B61-C61</f>
        <v>2919</v>
      </c>
      <c r="E61" s="41"/>
      <c r="F61" s="40">
        <f>F50+F52+F55-H51-H53</f>
        <v>28874</v>
      </c>
      <c r="G61" s="40"/>
      <c r="H61" s="41">
        <f>SUM(H58:H60)</f>
        <v>37455</v>
      </c>
      <c r="I61" s="41">
        <f>F61-H61</f>
        <v>-8581</v>
      </c>
      <c r="J61" s="2"/>
      <c r="K61" s="2"/>
    </row>
    <row r="62" spans="1:11" x14ac:dyDescent="0.25">
      <c r="A62" s="2" t="s">
        <v>21</v>
      </c>
      <c r="B62" s="2"/>
      <c r="C62" s="2"/>
      <c r="D62" s="2" t="s">
        <v>22</v>
      </c>
      <c r="E62" s="2"/>
      <c r="F62" s="2"/>
      <c r="G62" s="2"/>
      <c r="H62" s="2" t="s">
        <v>23</v>
      </c>
      <c r="I62" s="21"/>
      <c r="J62" s="2"/>
      <c r="K62" s="2"/>
    </row>
    <row r="63" spans="1:11" x14ac:dyDescent="0.25">
      <c r="A63" s="2" t="s">
        <v>64</v>
      </c>
      <c r="B63" s="2"/>
      <c r="C63" s="2"/>
      <c r="D63" s="2" t="s">
        <v>24</v>
      </c>
      <c r="E63" s="2"/>
      <c r="F63" s="2"/>
      <c r="G63" s="2"/>
      <c r="H63" s="2" t="s">
        <v>26</v>
      </c>
      <c r="I63" s="2"/>
      <c r="J63" s="2"/>
      <c r="K63" s="2"/>
    </row>
    <row r="64" spans="1:1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</sheetData>
  <pageMargins left="0.7" right="0.7" top="0" bottom="0" header="0.3" footer="0.3"/>
  <pageSetup paperSize="262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40" workbookViewId="0">
      <selection activeCell="M42" sqref="M42"/>
    </sheetView>
  </sheetViews>
  <sheetFormatPr defaultRowHeight="15" x14ac:dyDescent="0.25"/>
  <cols>
    <col min="1" max="1" width="6.7109375" customWidth="1"/>
    <col min="2" max="2" width="17.28515625" customWidth="1"/>
    <col min="4" max="4" width="10" bestFit="1" customWidth="1"/>
  </cols>
  <sheetData>
    <row r="1" spans="1:8" ht="15.75" x14ac:dyDescent="0.25">
      <c r="C1" s="1" t="s">
        <v>26</v>
      </c>
      <c r="D1" s="2"/>
      <c r="E1" s="2"/>
      <c r="F1" s="2"/>
      <c r="G1" s="2"/>
    </row>
    <row r="2" spans="1:8" ht="15.75" x14ac:dyDescent="0.25">
      <c r="C2" s="3" t="s">
        <v>0</v>
      </c>
      <c r="D2" s="4"/>
      <c r="E2" s="4"/>
      <c r="F2" s="2"/>
      <c r="G2" s="2"/>
    </row>
    <row r="3" spans="1:8" ht="21" x14ac:dyDescent="0.25">
      <c r="C3" s="4" t="s">
        <v>146</v>
      </c>
      <c r="D3" s="3"/>
      <c r="E3" s="3"/>
      <c r="F3" s="5"/>
      <c r="G3" s="5"/>
    </row>
    <row r="4" spans="1:8" x14ac:dyDescent="0.25">
      <c r="D4" s="6" t="s">
        <v>65</v>
      </c>
      <c r="E4" s="6"/>
    </row>
    <row r="5" spans="1:8" ht="15.75" x14ac:dyDescent="0.25">
      <c r="A5" s="46" t="s">
        <v>1</v>
      </c>
      <c r="B5" s="46" t="s">
        <v>2</v>
      </c>
      <c r="C5" s="46" t="s">
        <v>3</v>
      </c>
      <c r="D5" s="46" t="s">
        <v>4</v>
      </c>
      <c r="E5" s="46" t="s">
        <v>5</v>
      </c>
      <c r="F5" s="47" t="s">
        <v>6</v>
      </c>
      <c r="G5" s="46" t="s">
        <v>7</v>
      </c>
      <c r="H5" s="48" t="s">
        <v>8</v>
      </c>
    </row>
    <row r="6" spans="1:8" x14ac:dyDescent="0.25">
      <c r="A6" s="49" t="s">
        <v>66</v>
      </c>
      <c r="B6" s="43" t="s">
        <v>40</v>
      </c>
      <c r="C6" s="8">
        <f>'AUGUST 20'!H6:H25</f>
        <v>0</v>
      </c>
      <c r="D6" s="56">
        <f>'AUGUST 20'!H6:H25</f>
        <v>0</v>
      </c>
      <c r="E6" s="56"/>
      <c r="F6" s="56">
        <f>C6+D6+E6</f>
        <v>0</v>
      </c>
      <c r="G6" s="11"/>
      <c r="H6" s="36">
        <f t="shared" ref="H6:H25" si="0">F6-G6</f>
        <v>0</v>
      </c>
    </row>
    <row r="7" spans="1:8" x14ac:dyDescent="0.25">
      <c r="A7" s="49" t="s">
        <v>71</v>
      </c>
      <c r="B7" s="43"/>
      <c r="C7" s="8"/>
      <c r="D7" s="56">
        <f>'AUGUST 20'!H7:H26</f>
        <v>0</v>
      </c>
      <c r="E7" s="56"/>
      <c r="F7" s="56">
        <f t="shared" ref="F7:F25" si="1">C7+D7+E7</f>
        <v>0</v>
      </c>
      <c r="G7" s="9"/>
      <c r="H7" s="36">
        <f t="shared" si="0"/>
        <v>0</v>
      </c>
    </row>
    <row r="8" spans="1:8" x14ac:dyDescent="0.25">
      <c r="A8" s="49" t="s">
        <v>67</v>
      </c>
      <c r="B8" s="35"/>
      <c r="C8" s="8"/>
      <c r="D8" s="56">
        <f>'AUGUST 20'!H8:H27</f>
        <v>0</v>
      </c>
      <c r="E8" s="56"/>
      <c r="F8" s="56">
        <f t="shared" si="1"/>
        <v>0</v>
      </c>
      <c r="G8" s="13"/>
      <c r="H8" s="36">
        <f t="shared" si="0"/>
        <v>0</v>
      </c>
    </row>
    <row r="9" spans="1:8" x14ac:dyDescent="0.25">
      <c r="A9" s="50" t="s">
        <v>72</v>
      </c>
      <c r="B9" s="35" t="s">
        <v>103</v>
      </c>
      <c r="C9" s="8"/>
      <c r="D9" s="56">
        <f>'AUGUST 20'!H9:H28</f>
        <v>0</v>
      </c>
      <c r="E9" s="56"/>
      <c r="F9" s="56">
        <f t="shared" si="1"/>
        <v>0</v>
      </c>
      <c r="G9" s="12"/>
      <c r="H9" s="36">
        <f t="shared" si="0"/>
        <v>0</v>
      </c>
    </row>
    <row r="10" spans="1:8" x14ac:dyDescent="0.25">
      <c r="A10" s="51" t="s">
        <v>68</v>
      </c>
      <c r="B10" s="43" t="s">
        <v>40</v>
      </c>
      <c r="C10" s="8"/>
      <c r="D10" s="56">
        <f>'AUGUST 20'!H10:H29</f>
        <v>0</v>
      </c>
      <c r="E10" s="56"/>
      <c r="F10" s="56">
        <f t="shared" si="1"/>
        <v>0</v>
      </c>
      <c r="G10" s="11"/>
      <c r="H10" s="36">
        <f t="shared" si="0"/>
        <v>0</v>
      </c>
    </row>
    <row r="11" spans="1:8" x14ac:dyDescent="0.25">
      <c r="A11" s="52" t="s">
        <v>73</v>
      </c>
      <c r="B11" s="44" t="s">
        <v>40</v>
      </c>
      <c r="C11" s="8"/>
      <c r="D11" s="56">
        <f>'AUGUST 20'!H11:H30</f>
        <v>0</v>
      </c>
      <c r="E11" s="56"/>
      <c r="F11" s="56">
        <f t="shared" si="1"/>
        <v>0</v>
      </c>
      <c r="G11" s="14"/>
      <c r="H11" s="36">
        <f t="shared" si="0"/>
        <v>0</v>
      </c>
    </row>
    <row r="12" spans="1:8" x14ac:dyDescent="0.25">
      <c r="A12" s="49" t="s">
        <v>69</v>
      </c>
      <c r="B12" s="44" t="s">
        <v>40</v>
      </c>
      <c r="C12" s="8"/>
      <c r="D12" s="56">
        <f>'AUGUST 20'!H12:H31</f>
        <v>0</v>
      </c>
      <c r="E12" s="56"/>
      <c r="F12" s="56">
        <f t="shared" si="1"/>
        <v>0</v>
      </c>
      <c r="G12" s="11"/>
      <c r="H12" s="36">
        <f t="shared" si="0"/>
        <v>0</v>
      </c>
    </row>
    <row r="13" spans="1:8" x14ac:dyDescent="0.25">
      <c r="A13" s="49" t="s">
        <v>74</v>
      </c>
      <c r="B13" s="44" t="s">
        <v>87</v>
      </c>
      <c r="C13" s="8"/>
      <c r="D13" s="56">
        <f>'AUGUST 20'!H13:H32</f>
        <v>500</v>
      </c>
      <c r="E13" s="56">
        <v>4000</v>
      </c>
      <c r="F13" s="56">
        <f t="shared" si="1"/>
        <v>4500</v>
      </c>
      <c r="G13" s="11">
        <f>700+600+2700</f>
        <v>4000</v>
      </c>
      <c r="H13" s="36">
        <f t="shared" si="0"/>
        <v>500</v>
      </c>
    </row>
    <row r="14" spans="1:8" x14ac:dyDescent="0.25">
      <c r="A14" s="53" t="s">
        <v>70</v>
      </c>
      <c r="B14" s="44" t="s">
        <v>40</v>
      </c>
      <c r="C14" s="8"/>
      <c r="D14" s="56">
        <f>'AUGUST 20'!H14:H33</f>
        <v>0</v>
      </c>
      <c r="E14" s="56"/>
      <c r="F14" s="56">
        <f t="shared" si="1"/>
        <v>0</v>
      </c>
      <c r="G14" s="11"/>
      <c r="H14" s="36">
        <f t="shared" si="0"/>
        <v>0</v>
      </c>
    </row>
    <row r="15" spans="1:8" x14ac:dyDescent="0.25">
      <c r="A15" s="53" t="s">
        <v>75</v>
      </c>
      <c r="B15" s="44" t="s">
        <v>40</v>
      </c>
      <c r="C15" s="8"/>
      <c r="D15" s="56">
        <f>'AUGUST 20'!H15:H34</f>
        <v>0</v>
      </c>
      <c r="E15" s="56"/>
      <c r="F15" s="56">
        <f t="shared" si="1"/>
        <v>0</v>
      </c>
      <c r="G15" s="11"/>
      <c r="H15" s="36">
        <f t="shared" si="0"/>
        <v>0</v>
      </c>
    </row>
    <row r="16" spans="1:8" x14ac:dyDescent="0.25">
      <c r="A16" s="53" t="s">
        <v>76</v>
      </c>
      <c r="B16" s="44" t="s">
        <v>40</v>
      </c>
      <c r="C16" s="8"/>
      <c r="D16" s="56">
        <f>'AUGUST 20'!H16:H35</f>
        <v>0</v>
      </c>
      <c r="E16" s="56"/>
      <c r="F16" s="56">
        <f t="shared" si="1"/>
        <v>0</v>
      </c>
      <c r="G16" s="11"/>
      <c r="H16" s="36">
        <f t="shared" si="0"/>
        <v>0</v>
      </c>
    </row>
    <row r="17" spans="1:13" x14ac:dyDescent="0.25">
      <c r="A17" s="53" t="s">
        <v>77</v>
      </c>
      <c r="B17" s="44" t="s">
        <v>40</v>
      </c>
      <c r="C17" s="8"/>
      <c r="D17" s="56">
        <f>'AUGUST 20'!H17:H36</f>
        <v>0</v>
      </c>
      <c r="E17" s="56"/>
      <c r="F17" s="56">
        <f t="shared" si="1"/>
        <v>0</v>
      </c>
      <c r="G17" s="11"/>
      <c r="H17" s="36">
        <f t="shared" si="0"/>
        <v>0</v>
      </c>
    </row>
    <row r="18" spans="1:13" x14ac:dyDescent="0.25">
      <c r="A18" s="53" t="s">
        <v>78</v>
      </c>
      <c r="B18" s="44" t="s">
        <v>88</v>
      </c>
      <c r="C18" s="8"/>
      <c r="D18" s="56">
        <f>'AUGUST 20'!H18:H37</f>
        <v>1200</v>
      </c>
      <c r="E18" s="56">
        <v>5000</v>
      </c>
      <c r="F18" s="56">
        <f t="shared" si="1"/>
        <v>6200</v>
      </c>
      <c r="G18" s="11">
        <f>3000+1800</f>
        <v>4800</v>
      </c>
      <c r="H18" s="36">
        <f t="shared" si="0"/>
        <v>1400</v>
      </c>
    </row>
    <row r="19" spans="1:13" x14ac:dyDescent="0.25">
      <c r="A19" s="53" t="s">
        <v>79</v>
      </c>
      <c r="B19" s="44" t="s">
        <v>148</v>
      </c>
      <c r="C19" s="8">
        <v>4000</v>
      </c>
      <c r="D19" s="56">
        <f>'AUGUST 20'!H19:H38</f>
        <v>0</v>
      </c>
      <c r="E19" s="56">
        <v>4000</v>
      </c>
      <c r="F19" s="56">
        <f t="shared" si="1"/>
        <v>8000</v>
      </c>
      <c r="G19" s="11">
        <f>4000+1000</f>
        <v>5000</v>
      </c>
      <c r="H19" s="36">
        <f t="shared" si="0"/>
        <v>3000</v>
      </c>
    </row>
    <row r="20" spans="1:13" x14ac:dyDescent="0.25">
      <c r="A20" s="53" t="s">
        <v>80</v>
      </c>
      <c r="B20" s="44" t="s">
        <v>40</v>
      </c>
      <c r="C20" s="8"/>
      <c r="D20" s="56">
        <f>'AUGUST 20'!H20:H39</f>
        <v>0</v>
      </c>
      <c r="E20" s="56"/>
      <c r="F20" s="56">
        <f t="shared" si="1"/>
        <v>0</v>
      </c>
      <c r="G20" s="11"/>
      <c r="H20" s="36">
        <f t="shared" si="0"/>
        <v>0</v>
      </c>
    </row>
    <row r="21" spans="1:13" x14ac:dyDescent="0.25">
      <c r="A21" s="53" t="s">
        <v>81</v>
      </c>
      <c r="B21" s="44" t="s">
        <v>89</v>
      </c>
      <c r="C21" s="8"/>
      <c r="D21" s="56">
        <f>'AUGUST 20'!H21:H40</f>
        <v>1000</v>
      </c>
      <c r="E21" s="56">
        <v>4000</v>
      </c>
      <c r="F21" s="56">
        <f t="shared" si="1"/>
        <v>5000</v>
      </c>
      <c r="G21" s="11"/>
      <c r="H21" s="36">
        <f t="shared" si="0"/>
        <v>5000</v>
      </c>
      <c r="I21" t="s">
        <v>106</v>
      </c>
    </row>
    <row r="22" spans="1:13" x14ac:dyDescent="0.25">
      <c r="A22" s="53" t="s">
        <v>82</v>
      </c>
      <c r="B22" s="44" t="s">
        <v>40</v>
      </c>
      <c r="C22" s="8"/>
      <c r="D22" s="56">
        <f>'AUGUST 20'!H22:H41</f>
        <v>0</v>
      </c>
      <c r="E22" s="56"/>
      <c r="F22" s="56">
        <f t="shared" si="1"/>
        <v>0</v>
      </c>
      <c r="G22" s="11"/>
      <c r="H22" s="36">
        <f t="shared" si="0"/>
        <v>0</v>
      </c>
    </row>
    <row r="23" spans="1:13" x14ac:dyDescent="0.25">
      <c r="A23" s="53" t="s">
        <v>83</v>
      </c>
      <c r="B23" s="44" t="s">
        <v>40</v>
      </c>
      <c r="C23" s="8"/>
      <c r="D23" s="56">
        <f>'AUGUST 20'!H23:H42</f>
        <v>0</v>
      </c>
      <c r="E23" s="56"/>
      <c r="F23" s="56">
        <f t="shared" si="1"/>
        <v>0</v>
      </c>
      <c r="G23" s="11"/>
      <c r="H23" s="36">
        <f t="shared" si="0"/>
        <v>0</v>
      </c>
    </row>
    <row r="24" spans="1:13" x14ac:dyDescent="0.25">
      <c r="A24" s="53" t="s">
        <v>84</v>
      </c>
      <c r="B24" s="44" t="s">
        <v>90</v>
      </c>
      <c r="C24" s="8"/>
      <c r="D24" s="56">
        <f>'AUGUST 20'!H24:H43</f>
        <v>4000</v>
      </c>
      <c r="E24" s="56">
        <v>5000</v>
      </c>
      <c r="F24" s="56">
        <f t="shared" si="1"/>
        <v>9000</v>
      </c>
      <c r="G24" s="11">
        <f>1000+1000+1000+1000+5000</f>
        <v>9000</v>
      </c>
      <c r="H24" s="36"/>
      <c r="I24" t="s">
        <v>106</v>
      </c>
    </row>
    <row r="25" spans="1:13" x14ac:dyDescent="0.25">
      <c r="A25" s="53" t="s">
        <v>85</v>
      </c>
      <c r="B25" s="44" t="s">
        <v>40</v>
      </c>
      <c r="C25" s="8"/>
      <c r="D25" s="56">
        <f>'AUGUST 20'!H25:H44</f>
        <v>0</v>
      </c>
      <c r="E25" s="56"/>
      <c r="F25" s="56">
        <f t="shared" si="1"/>
        <v>0</v>
      </c>
      <c r="G25" s="11"/>
      <c r="H25" s="36">
        <f t="shared" si="0"/>
        <v>0</v>
      </c>
    </row>
    <row r="26" spans="1:13" ht="15.75" x14ac:dyDescent="0.25">
      <c r="A26" s="7"/>
      <c r="B26" s="45" t="s">
        <v>9</v>
      </c>
      <c r="C26" s="15">
        <f t="shared" ref="C26:H26" si="2">SUM(C6:C25)</f>
        <v>4000</v>
      </c>
      <c r="D26" s="56">
        <f t="shared" si="2"/>
        <v>6700</v>
      </c>
      <c r="E26" s="57">
        <f t="shared" si="2"/>
        <v>22000</v>
      </c>
      <c r="F26" s="57">
        <f t="shared" si="2"/>
        <v>32700</v>
      </c>
      <c r="G26" s="17">
        <f t="shared" si="2"/>
        <v>22800</v>
      </c>
      <c r="H26" s="59">
        <f t="shared" si="2"/>
        <v>9900</v>
      </c>
    </row>
    <row r="27" spans="1:13" x14ac:dyDescent="0.25">
      <c r="D27" s="6"/>
      <c r="E27" s="6" t="s">
        <v>28</v>
      </c>
      <c r="F27" s="6"/>
    </row>
    <row r="28" spans="1:13" x14ac:dyDescent="0.25">
      <c r="A28" s="49"/>
      <c r="B28" s="43"/>
      <c r="C28" s="8"/>
      <c r="D28" s="56">
        <f>'AUGUST 20'!I28:I44</f>
        <v>0</v>
      </c>
      <c r="E28" s="9"/>
      <c r="F28" s="56"/>
      <c r="G28" s="56" t="s">
        <v>6</v>
      </c>
      <c r="H28" s="9" t="s">
        <v>7</v>
      </c>
      <c r="I28" s="36" t="s">
        <v>15</v>
      </c>
    </row>
    <row r="29" spans="1:13" x14ac:dyDescent="0.25">
      <c r="A29" s="49" t="s">
        <v>43</v>
      </c>
      <c r="B29" s="43" t="s">
        <v>113</v>
      </c>
      <c r="C29" s="8">
        <f>'AUGUST 20'!I29:I44</f>
        <v>0</v>
      </c>
      <c r="D29" s="56">
        <f>'AUGUST 20'!I29:I45</f>
        <v>0</v>
      </c>
      <c r="E29" s="9">
        <v>2500</v>
      </c>
      <c r="F29" s="56">
        <v>2000</v>
      </c>
      <c r="G29" s="56">
        <f>C28+D29+F29</f>
        <v>2000</v>
      </c>
      <c r="H29" s="9">
        <f>2000</f>
        <v>2000</v>
      </c>
      <c r="I29" s="36">
        <f t="shared" ref="I29:I44" si="3">G29-H29</f>
        <v>0</v>
      </c>
      <c r="L29" s="65"/>
      <c r="M29" s="65"/>
    </row>
    <row r="30" spans="1:13" x14ac:dyDescent="0.25">
      <c r="A30" s="49" t="s">
        <v>44</v>
      </c>
      <c r="B30" s="35" t="s">
        <v>138</v>
      </c>
      <c r="C30" s="8"/>
      <c r="D30" s="56">
        <f>'AUGUST 20'!I30:I46</f>
        <v>0</v>
      </c>
      <c r="E30" s="9">
        <v>2500</v>
      </c>
      <c r="F30" s="56">
        <v>2000</v>
      </c>
      <c r="G30" s="56">
        <f>C29+D30+F30</f>
        <v>2000</v>
      </c>
      <c r="H30" s="13">
        <f>2000</f>
        <v>2000</v>
      </c>
      <c r="I30" s="36">
        <f t="shared" si="3"/>
        <v>0</v>
      </c>
    </row>
    <row r="31" spans="1:13" x14ac:dyDescent="0.25">
      <c r="A31" s="49" t="s">
        <v>45</v>
      </c>
      <c r="B31" s="43" t="s">
        <v>30</v>
      </c>
      <c r="C31" s="8"/>
      <c r="D31" s="56">
        <f>'AUGUST 20'!I31:I47</f>
        <v>0</v>
      </c>
      <c r="E31" s="9">
        <v>2500</v>
      </c>
      <c r="F31" s="56">
        <v>2000</v>
      </c>
      <c r="G31" s="56">
        <f>C31+D31+F31</f>
        <v>2000</v>
      </c>
      <c r="H31" s="12">
        <f>2000</f>
        <v>2000</v>
      </c>
      <c r="I31" s="36">
        <f t="shared" si="3"/>
        <v>0</v>
      </c>
      <c r="L31" s="65"/>
      <c r="M31" s="65"/>
    </row>
    <row r="32" spans="1:13" x14ac:dyDescent="0.25">
      <c r="A32" s="49" t="s">
        <v>46</v>
      </c>
      <c r="B32" s="43" t="s">
        <v>31</v>
      </c>
      <c r="C32" s="8"/>
      <c r="D32" s="56">
        <f>'AUGUST 20'!I32:I48</f>
        <v>0</v>
      </c>
      <c r="E32" s="9">
        <v>2500</v>
      </c>
      <c r="F32" s="56">
        <v>2000</v>
      </c>
      <c r="G32" s="56">
        <f t="shared" ref="G32:G44" si="4">C32+D32+F32</f>
        <v>2000</v>
      </c>
      <c r="H32" s="11">
        <v>2000</v>
      </c>
      <c r="I32" s="36">
        <f t="shared" si="3"/>
        <v>0</v>
      </c>
    </row>
    <row r="33" spans="1:13" x14ac:dyDescent="0.25">
      <c r="A33" s="49" t="s">
        <v>47</v>
      </c>
      <c r="B33" s="44" t="s">
        <v>32</v>
      </c>
      <c r="C33" s="8"/>
      <c r="D33" s="56">
        <f>'AUGUST 20'!I33:I49</f>
        <v>0</v>
      </c>
      <c r="E33" s="9">
        <v>2500</v>
      </c>
      <c r="F33" s="56">
        <v>2000</v>
      </c>
      <c r="G33" s="56">
        <f t="shared" si="4"/>
        <v>2000</v>
      </c>
      <c r="H33" s="14">
        <f>2000</f>
        <v>2000</v>
      </c>
      <c r="I33" s="36">
        <f t="shared" si="3"/>
        <v>0</v>
      </c>
      <c r="L33" s="65"/>
      <c r="M33" s="65"/>
    </row>
    <row r="34" spans="1:13" x14ac:dyDescent="0.25">
      <c r="A34" s="49" t="s">
        <v>48</v>
      </c>
      <c r="B34" s="44" t="s">
        <v>37</v>
      </c>
      <c r="C34" s="8"/>
      <c r="D34" s="56">
        <f>'AUGUST 20'!I34:I50</f>
        <v>300</v>
      </c>
      <c r="E34" s="9">
        <v>2500</v>
      </c>
      <c r="F34" s="56">
        <v>2000</v>
      </c>
      <c r="G34" s="56">
        <f t="shared" si="4"/>
        <v>2300</v>
      </c>
      <c r="H34" s="11">
        <f>2000</f>
        <v>2000</v>
      </c>
      <c r="I34" s="36">
        <f t="shared" si="3"/>
        <v>300</v>
      </c>
    </row>
    <row r="35" spans="1:13" x14ac:dyDescent="0.25">
      <c r="A35" s="49" t="s">
        <v>49</v>
      </c>
      <c r="B35" s="44" t="s">
        <v>132</v>
      </c>
      <c r="C35" s="8"/>
      <c r="D35" s="56">
        <f>'AUGUST 20'!I35:I51</f>
        <v>0</v>
      </c>
      <c r="E35" s="9">
        <v>2500</v>
      </c>
      <c r="F35" s="56">
        <v>2000</v>
      </c>
      <c r="G35" s="56">
        <f t="shared" si="4"/>
        <v>2000</v>
      </c>
      <c r="H35" s="11">
        <f>2000</f>
        <v>2000</v>
      </c>
      <c r="I35" s="36">
        <f t="shared" si="3"/>
        <v>0</v>
      </c>
      <c r="L35" s="65"/>
    </row>
    <row r="36" spans="1:13" x14ac:dyDescent="0.25">
      <c r="A36" s="49" t="s">
        <v>50</v>
      </c>
      <c r="B36" s="43" t="s">
        <v>33</v>
      </c>
      <c r="C36" s="8"/>
      <c r="D36" s="56">
        <f>'AUGUST 20'!I36:I52</f>
        <v>1500</v>
      </c>
      <c r="E36" s="9">
        <v>2500</v>
      </c>
      <c r="F36" s="56">
        <v>2000</v>
      </c>
      <c r="G36" s="56">
        <f t="shared" si="4"/>
        <v>3500</v>
      </c>
      <c r="H36" s="11">
        <f>2000</f>
        <v>2000</v>
      </c>
      <c r="I36" s="36">
        <f t="shared" si="3"/>
        <v>1500</v>
      </c>
    </row>
    <row r="37" spans="1:13" x14ac:dyDescent="0.25">
      <c r="A37" s="49" t="s">
        <v>51</v>
      </c>
      <c r="B37" s="43" t="s">
        <v>126</v>
      </c>
      <c r="C37" s="8"/>
      <c r="D37" s="56">
        <f>'AUGUST 20'!I37:I53</f>
        <v>2000</v>
      </c>
      <c r="E37" s="9">
        <v>2500</v>
      </c>
      <c r="F37" s="56">
        <v>2000</v>
      </c>
      <c r="G37" s="56">
        <f>C37+D37+F37</f>
        <v>4000</v>
      </c>
      <c r="H37" s="11">
        <f>2000</f>
        <v>2000</v>
      </c>
      <c r="I37" s="36">
        <f t="shared" si="3"/>
        <v>2000</v>
      </c>
    </row>
    <row r="38" spans="1:13" x14ac:dyDescent="0.25">
      <c r="A38" s="49" t="s">
        <v>52</v>
      </c>
      <c r="B38" s="44" t="s">
        <v>127</v>
      </c>
      <c r="C38" s="8"/>
      <c r="D38" s="56">
        <f>'AUGUST 20'!I38:I54</f>
        <v>0</v>
      </c>
      <c r="E38" s="9"/>
      <c r="F38" s="56">
        <v>2500</v>
      </c>
      <c r="G38" s="56">
        <f t="shared" si="4"/>
        <v>2500</v>
      </c>
      <c r="H38" s="11">
        <f>2500</f>
        <v>2500</v>
      </c>
      <c r="I38" s="36">
        <f t="shared" si="3"/>
        <v>0</v>
      </c>
    </row>
    <row r="39" spans="1:13" ht="25.5" x14ac:dyDescent="0.25">
      <c r="A39" s="49" t="s">
        <v>57</v>
      </c>
      <c r="B39" s="43" t="s">
        <v>107</v>
      </c>
      <c r="C39" s="8"/>
      <c r="D39" s="56">
        <f>'AUGUST 20'!I39:I55</f>
        <v>0</v>
      </c>
      <c r="E39" s="9"/>
      <c r="F39" s="56"/>
      <c r="G39" s="56">
        <f t="shared" si="4"/>
        <v>0</v>
      </c>
      <c r="H39" s="11"/>
      <c r="I39" s="36">
        <f t="shared" si="3"/>
        <v>0</v>
      </c>
    </row>
    <row r="40" spans="1:13" x14ac:dyDescent="0.25">
      <c r="A40" s="49" t="s">
        <v>58</v>
      </c>
      <c r="B40" s="43" t="s">
        <v>151</v>
      </c>
      <c r="C40" s="8"/>
      <c r="D40" s="56">
        <f>'AUGUST 20'!I40:I56</f>
        <v>0</v>
      </c>
      <c r="E40" s="9">
        <v>2500</v>
      </c>
      <c r="F40" s="56">
        <v>2000</v>
      </c>
      <c r="G40" s="56">
        <f>C40+D40+F40</f>
        <v>2000</v>
      </c>
      <c r="H40" s="11">
        <f>2000</f>
        <v>2000</v>
      </c>
      <c r="I40" s="36">
        <f t="shared" si="3"/>
        <v>0</v>
      </c>
    </row>
    <row r="41" spans="1:13" ht="25.5" x14ac:dyDescent="0.25">
      <c r="A41" s="49" t="s">
        <v>59</v>
      </c>
      <c r="B41" s="43" t="s">
        <v>131</v>
      </c>
      <c r="C41" s="8"/>
      <c r="D41" s="56">
        <f>'AUGUST 20'!I41:I57</f>
        <v>0</v>
      </c>
      <c r="E41" s="9">
        <v>2500</v>
      </c>
      <c r="F41" s="56">
        <v>2000</v>
      </c>
      <c r="G41" s="56">
        <f t="shared" si="4"/>
        <v>2000</v>
      </c>
      <c r="H41" s="11">
        <f>2000</f>
        <v>2000</v>
      </c>
      <c r="I41" s="36">
        <f t="shared" si="3"/>
        <v>0</v>
      </c>
    </row>
    <row r="42" spans="1:13" ht="25.5" x14ac:dyDescent="0.25">
      <c r="A42" s="49" t="s">
        <v>60</v>
      </c>
      <c r="B42" s="43" t="s">
        <v>38</v>
      </c>
      <c r="C42" s="8"/>
      <c r="D42" s="56">
        <f>'AUGUST 20'!I42:I58</f>
        <v>1000</v>
      </c>
      <c r="E42" s="9">
        <v>2500</v>
      </c>
      <c r="F42" s="56">
        <v>2000</v>
      </c>
      <c r="G42" s="56">
        <f t="shared" si="4"/>
        <v>3000</v>
      </c>
      <c r="H42" s="11">
        <f>1000+1000</f>
        <v>2000</v>
      </c>
      <c r="I42" s="36">
        <f t="shared" si="3"/>
        <v>1000</v>
      </c>
    </row>
    <row r="43" spans="1:13" x14ac:dyDescent="0.25">
      <c r="A43" s="49" t="s">
        <v>61</v>
      </c>
      <c r="B43" s="43" t="s">
        <v>41</v>
      </c>
      <c r="C43" s="8"/>
      <c r="D43" s="56">
        <f>'AUGUST 20'!I43:I59</f>
        <v>0</v>
      </c>
      <c r="E43" s="9">
        <v>2500</v>
      </c>
      <c r="F43" s="56">
        <v>2000</v>
      </c>
      <c r="G43" s="56">
        <f t="shared" si="4"/>
        <v>2000</v>
      </c>
      <c r="H43" s="11">
        <v>2000</v>
      </c>
      <c r="I43" s="36">
        <f t="shared" si="3"/>
        <v>0</v>
      </c>
    </row>
    <row r="44" spans="1:13" x14ac:dyDescent="0.25">
      <c r="A44" s="49" t="s">
        <v>62</v>
      </c>
      <c r="B44" s="43" t="s">
        <v>150</v>
      </c>
      <c r="C44" s="8"/>
      <c r="D44" s="56">
        <f>'AUGUST 20'!I44:I60</f>
        <v>0</v>
      </c>
      <c r="E44" s="9">
        <v>2500</v>
      </c>
      <c r="F44" s="56">
        <v>2000</v>
      </c>
      <c r="G44" s="56">
        <f t="shared" si="4"/>
        <v>2000</v>
      </c>
      <c r="H44" s="11">
        <f>2000</f>
        <v>2000</v>
      </c>
      <c r="I44" s="36">
        <f t="shared" si="3"/>
        <v>0</v>
      </c>
      <c r="K44" s="65"/>
    </row>
    <row r="45" spans="1:13" ht="15.75" x14ac:dyDescent="0.25">
      <c r="A45" s="7"/>
      <c r="B45" s="45" t="s">
        <v>9</v>
      </c>
      <c r="C45" s="15">
        <f>SUM(C28:C40)</f>
        <v>0</v>
      </c>
      <c r="D45" s="56">
        <f>SUM(D27:D44)</f>
        <v>4800</v>
      </c>
      <c r="E45" s="9">
        <f>SUM(E28:E44)</f>
        <v>35000</v>
      </c>
      <c r="F45" s="57">
        <f>SUM(F28:F44)</f>
        <v>30500</v>
      </c>
      <c r="G45" s="57">
        <f>SUM(G29:G44)</f>
        <v>35300</v>
      </c>
      <c r="H45" s="17">
        <f>SUM(H28:H44)</f>
        <v>30500</v>
      </c>
      <c r="I45" s="58">
        <f>SUM(I28:I44)</f>
        <v>4800</v>
      </c>
    </row>
    <row r="46" spans="1:13" x14ac:dyDescent="0.25">
      <c r="D46" s="56">
        <f>'AUGUST 20'!H46:H65</f>
        <v>0</v>
      </c>
    </row>
    <row r="48" spans="1:13" x14ac:dyDescent="0.25">
      <c r="A48" s="60" t="s">
        <v>10</v>
      </c>
      <c r="B48" s="18"/>
      <c r="C48" s="19"/>
      <c r="D48" s="18"/>
      <c r="E48" s="66">
        <f>E45+E26</f>
        <v>57000</v>
      </c>
      <c r="F48" s="18"/>
      <c r="G48" s="18"/>
      <c r="H48" s="2"/>
      <c r="I48" s="21"/>
    </row>
    <row r="49" spans="1:11" x14ac:dyDescent="0.25">
      <c r="A49" s="22" t="s">
        <v>11</v>
      </c>
      <c r="B49" s="22" t="s">
        <v>12</v>
      </c>
      <c r="C49" s="22" t="s">
        <v>13</v>
      </c>
      <c r="D49" s="22" t="s">
        <v>14</v>
      </c>
      <c r="E49" s="22"/>
      <c r="F49" s="22" t="s">
        <v>12</v>
      </c>
      <c r="G49" s="22"/>
      <c r="H49" s="22" t="s">
        <v>13</v>
      </c>
      <c r="I49" s="23" t="s">
        <v>15</v>
      </c>
    </row>
    <row r="50" spans="1:11" x14ac:dyDescent="0.25">
      <c r="A50" s="24" t="s">
        <v>147</v>
      </c>
      <c r="B50" s="25">
        <f>F45+E26</f>
        <v>52500</v>
      </c>
      <c r="C50" s="26"/>
      <c r="D50" s="26"/>
      <c r="E50" s="26"/>
      <c r="F50" s="25">
        <f>H45+G26</f>
        <v>53300</v>
      </c>
      <c r="G50" s="25"/>
      <c r="H50" s="26"/>
      <c r="I50" s="25"/>
      <c r="K50" s="65"/>
    </row>
    <row r="51" spans="1:11" x14ac:dyDescent="0.25">
      <c r="A51" s="24" t="s">
        <v>17</v>
      </c>
      <c r="B51" s="27">
        <v>0.1</v>
      </c>
      <c r="C51" s="28">
        <f>B51*B50</f>
        <v>5250</v>
      </c>
      <c r="D51" s="24"/>
      <c r="E51" s="24"/>
      <c r="F51" s="27">
        <v>0.1</v>
      </c>
      <c r="G51" s="27"/>
      <c r="H51" s="28">
        <f>F51*B50</f>
        <v>5250</v>
      </c>
      <c r="I51" s="25"/>
    </row>
    <row r="52" spans="1:11" ht="10.5" customHeight="1" x14ac:dyDescent="0.25">
      <c r="A52" s="29"/>
      <c r="B52" s="28"/>
      <c r="C52" s="24"/>
      <c r="D52" s="24"/>
      <c r="E52" s="24"/>
      <c r="F52" s="28"/>
      <c r="G52" s="28"/>
      <c r="H52" s="24"/>
      <c r="I52" s="25"/>
    </row>
    <row r="53" spans="1:11" hidden="1" x14ac:dyDescent="0.25">
      <c r="A53" s="24"/>
      <c r="B53" s="27"/>
      <c r="C53" s="28"/>
      <c r="D53" s="24"/>
      <c r="E53" s="24"/>
      <c r="F53" s="27"/>
      <c r="G53" s="27"/>
      <c r="H53" s="28"/>
      <c r="I53" s="25"/>
    </row>
    <row r="54" spans="1:11" x14ac:dyDescent="0.25">
      <c r="A54" s="29" t="s">
        <v>18</v>
      </c>
      <c r="B54" s="28">
        <v>1000</v>
      </c>
      <c r="D54" s="24"/>
      <c r="E54" s="24"/>
      <c r="F54" s="28"/>
      <c r="G54" s="28"/>
      <c r="H54" s="24"/>
      <c r="I54" s="25"/>
    </row>
    <row r="55" spans="1:11" x14ac:dyDescent="0.25">
      <c r="A55" s="29" t="s">
        <v>19</v>
      </c>
      <c r="B55" s="28">
        <f>'AUGUST 20'!D61</f>
        <v>2919</v>
      </c>
      <c r="C55" s="24"/>
      <c r="D55" s="24"/>
      <c r="E55" s="24"/>
      <c r="F55" s="28">
        <f>'AUGUST 20'!I61</f>
        <v>-8581</v>
      </c>
      <c r="G55" s="28"/>
      <c r="H55" s="24"/>
      <c r="I55" s="25"/>
    </row>
    <row r="56" spans="1:11" x14ac:dyDescent="0.25">
      <c r="A56" s="29" t="s">
        <v>9</v>
      </c>
      <c r="B56" s="28">
        <f>B50+B52+B55+B54</f>
        <v>56419</v>
      </c>
      <c r="C56" s="24"/>
      <c r="D56" s="24"/>
      <c r="E56" s="24"/>
      <c r="F56" s="28">
        <f>F50+F52+F55+F53</f>
        <v>44719</v>
      </c>
      <c r="G56" s="28"/>
      <c r="H56" s="24"/>
      <c r="I56" s="25"/>
    </row>
    <row r="57" spans="1:11" x14ac:dyDescent="0.25">
      <c r="A57" s="30" t="s">
        <v>20</v>
      </c>
      <c r="B57" s="27"/>
      <c r="C57" s="31"/>
      <c r="D57" s="24"/>
      <c r="E57" s="24"/>
      <c r="F57" s="30" t="s">
        <v>20</v>
      </c>
      <c r="G57" s="27"/>
      <c r="H57" s="31"/>
      <c r="I57" s="25"/>
    </row>
    <row r="58" spans="1:11" x14ac:dyDescent="0.25">
      <c r="A58" s="32" t="s">
        <v>144</v>
      </c>
      <c r="B58" s="33"/>
      <c r="C58" s="34">
        <v>10000</v>
      </c>
      <c r="D58" s="35"/>
      <c r="E58" s="35"/>
      <c r="F58" s="32" t="s">
        <v>144</v>
      </c>
      <c r="G58" s="33"/>
      <c r="H58" s="34">
        <v>10000</v>
      </c>
      <c r="I58" s="35"/>
    </row>
    <row r="59" spans="1:11" x14ac:dyDescent="0.25">
      <c r="A59" s="37" t="s">
        <v>152</v>
      </c>
      <c r="C59" s="38">
        <v>38250</v>
      </c>
      <c r="D59" s="33"/>
      <c r="E59" s="33"/>
      <c r="F59" s="37" t="s">
        <v>152</v>
      </c>
      <c r="H59" s="38">
        <v>38250</v>
      </c>
      <c r="I59" s="36"/>
    </row>
    <row r="60" spans="1:11" x14ac:dyDescent="0.25">
      <c r="A60" s="37" t="s">
        <v>159</v>
      </c>
      <c r="B60" s="33"/>
      <c r="C60" s="38">
        <v>5000</v>
      </c>
      <c r="D60" s="33"/>
      <c r="E60" s="33"/>
      <c r="F60" s="37" t="s">
        <v>159</v>
      </c>
      <c r="G60" s="33"/>
      <c r="H60" s="38">
        <v>5000</v>
      </c>
      <c r="I60" s="36"/>
    </row>
    <row r="61" spans="1:11" x14ac:dyDescent="0.25">
      <c r="A61" s="39" t="s">
        <v>9</v>
      </c>
      <c r="B61" s="40">
        <f>B50+B52+B53+B54+B55-C51-C53</f>
        <v>51169</v>
      </c>
      <c r="C61" s="41">
        <f>SUM(C58:C60)</f>
        <v>53250</v>
      </c>
      <c r="D61" s="41">
        <f>B61-C61</f>
        <v>-2081</v>
      </c>
      <c r="E61" s="41"/>
      <c r="F61" s="40">
        <f>F50+F52+F55-H51-H53</f>
        <v>39469</v>
      </c>
      <c r="G61" s="40"/>
      <c r="H61" s="41">
        <f>SUM(H58:H60)</f>
        <v>53250</v>
      </c>
      <c r="I61" s="41">
        <f>F61-H61</f>
        <v>-13781</v>
      </c>
    </row>
    <row r="62" spans="1:11" x14ac:dyDescent="0.25">
      <c r="A62" s="2" t="s">
        <v>21</v>
      </c>
      <c r="B62" s="42"/>
      <c r="D62" s="2" t="s">
        <v>22</v>
      </c>
      <c r="E62" s="2"/>
      <c r="H62" s="2" t="s">
        <v>23</v>
      </c>
      <c r="I62" s="21"/>
    </row>
    <row r="63" spans="1:11" x14ac:dyDescent="0.25">
      <c r="A63" s="2" t="s">
        <v>64</v>
      </c>
      <c r="B63" s="2"/>
      <c r="D63" s="2" t="s">
        <v>24</v>
      </c>
      <c r="E63" s="2"/>
      <c r="H63" s="2" t="s">
        <v>26</v>
      </c>
    </row>
    <row r="64" spans="1:11" x14ac:dyDescent="0.25">
      <c r="J64" s="65"/>
    </row>
  </sheetData>
  <pageMargins left="0.7" right="0.7" top="0.75" bottom="0.75" header="0.3" footer="0.3"/>
  <pageSetup paperSize="262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40" workbookViewId="0">
      <selection activeCell="I55" sqref="I55"/>
    </sheetView>
  </sheetViews>
  <sheetFormatPr defaultRowHeight="15" x14ac:dyDescent="0.25"/>
  <sheetData>
    <row r="1" spans="1:14" ht="15.75" x14ac:dyDescent="0.25">
      <c r="C1" s="1" t="s">
        <v>26</v>
      </c>
      <c r="D1" s="2"/>
      <c r="E1" s="2"/>
      <c r="F1" s="2"/>
      <c r="G1" s="2"/>
    </row>
    <row r="2" spans="1:14" ht="15.75" x14ac:dyDescent="0.25">
      <c r="C2" s="3" t="s">
        <v>0</v>
      </c>
      <c r="D2" s="4"/>
      <c r="E2" s="4"/>
      <c r="F2" s="2"/>
      <c r="G2" s="2"/>
    </row>
    <row r="3" spans="1:14" ht="21" x14ac:dyDescent="0.25">
      <c r="C3" s="4" t="s">
        <v>153</v>
      </c>
      <c r="D3" s="3"/>
      <c r="E3" s="3"/>
      <c r="F3" s="5"/>
      <c r="G3" s="5"/>
    </row>
    <row r="4" spans="1:14" x14ac:dyDescent="0.25">
      <c r="D4" s="6" t="s">
        <v>65</v>
      </c>
      <c r="E4" s="6"/>
    </row>
    <row r="5" spans="1:14" ht="15.75" x14ac:dyDescent="0.25">
      <c r="A5" s="46" t="s">
        <v>1</v>
      </c>
      <c r="B5" s="46" t="s">
        <v>2</v>
      </c>
      <c r="C5" s="46" t="s">
        <v>3</v>
      </c>
      <c r="D5" s="46" t="s">
        <v>4</v>
      </c>
      <c r="E5" s="46" t="s">
        <v>5</v>
      </c>
      <c r="F5" s="47" t="s">
        <v>6</v>
      </c>
      <c r="G5" s="46" t="s">
        <v>7</v>
      </c>
      <c r="H5" s="48" t="s">
        <v>8</v>
      </c>
    </row>
    <row r="6" spans="1:14" x14ac:dyDescent="0.25">
      <c r="A6" s="49" t="s">
        <v>66</v>
      </c>
      <c r="B6" s="61" t="s">
        <v>40</v>
      </c>
      <c r="C6" s="8">
        <f>'AUGUST 20'!H6:H25</f>
        <v>0</v>
      </c>
      <c r="D6" s="56">
        <f>SEPTEMBER!H6:H25</f>
        <v>0</v>
      </c>
      <c r="E6" s="56"/>
      <c r="F6" s="56">
        <f>C6+D6+E6</f>
        <v>0</v>
      </c>
      <c r="G6" s="11"/>
      <c r="H6" s="36">
        <f t="shared" ref="H6:H25" si="0">F6-G6</f>
        <v>0</v>
      </c>
    </row>
    <row r="7" spans="1:14" x14ac:dyDescent="0.25">
      <c r="A7" s="49" t="s">
        <v>71</v>
      </c>
      <c r="B7" s="43"/>
      <c r="C7" s="8"/>
      <c r="D7" s="56">
        <f>SEPTEMBER!H7:H26</f>
        <v>0</v>
      </c>
      <c r="E7" s="56"/>
      <c r="F7" s="56">
        <f t="shared" ref="F7:F25" si="1">C7+D7+E7</f>
        <v>0</v>
      </c>
      <c r="G7" s="9"/>
      <c r="H7" s="36">
        <f t="shared" si="0"/>
        <v>0</v>
      </c>
    </row>
    <row r="8" spans="1:14" x14ac:dyDescent="0.25">
      <c r="A8" s="49" t="s">
        <v>67</v>
      </c>
      <c r="B8" s="35"/>
      <c r="C8" s="8"/>
      <c r="D8" s="56">
        <f>SEPTEMBER!H8:H27</f>
        <v>0</v>
      </c>
      <c r="E8" s="56"/>
      <c r="F8" s="56">
        <f t="shared" si="1"/>
        <v>0</v>
      </c>
      <c r="G8" s="13"/>
      <c r="H8" s="36">
        <f t="shared" si="0"/>
        <v>0</v>
      </c>
    </row>
    <row r="9" spans="1:14" x14ac:dyDescent="0.25">
      <c r="A9" s="50" t="s">
        <v>72</v>
      </c>
      <c r="B9" s="62" t="s">
        <v>103</v>
      </c>
      <c r="C9" s="8"/>
      <c r="D9" s="56">
        <f>SEPTEMBER!H9:H28</f>
        <v>0</v>
      </c>
      <c r="E9" s="56"/>
      <c r="F9" s="56">
        <f t="shared" si="1"/>
        <v>0</v>
      </c>
      <c r="G9" s="12"/>
      <c r="H9" s="36">
        <f t="shared" si="0"/>
        <v>0</v>
      </c>
    </row>
    <row r="10" spans="1:14" x14ac:dyDescent="0.25">
      <c r="A10" s="51" t="s">
        <v>68</v>
      </c>
      <c r="B10" s="61" t="s">
        <v>40</v>
      </c>
      <c r="C10" s="8"/>
      <c r="D10" s="56">
        <f>SEPTEMBER!H10:H29</f>
        <v>0</v>
      </c>
      <c r="E10" s="56"/>
      <c r="F10" s="56">
        <f t="shared" si="1"/>
        <v>0</v>
      </c>
      <c r="G10" s="11"/>
      <c r="H10" s="36">
        <f t="shared" si="0"/>
        <v>0</v>
      </c>
    </row>
    <row r="11" spans="1:14" x14ac:dyDescent="0.25">
      <c r="A11" s="52" t="s">
        <v>73</v>
      </c>
      <c r="B11" s="63" t="s">
        <v>40</v>
      </c>
      <c r="C11" s="8"/>
      <c r="D11" s="56">
        <f>SEPTEMBER!H11:H30</f>
        <v>0</v>
      </c>
      <c r="E11" s="56"/>
      <c r="F11" s="56">
        <f t="shared" si="1"/>
        <v>0</v>
      </c>
      <c r="G11" s="14"/>
      <c r="H11" s="36">
        <f t="shared" si="0"/>
        <v>0</v>
      </c>
      <c r="L11" s="65">
        <f>E26</f>
        <v>21500</v>
      </c>
      <c r="N11" s="65">
        <f>E26+F45</f>
        <v>50000</v>
      </c>
    </row>
    <row r="12" spans="1:14" x14ac:dyDescent="0.25">
      <c r="A12" s="49" t="s">
        <v>69</v>
      </c>
      <c r="B12" s="63" t="s">
        <v>40</v>
      </c>
      <c r="C12" s="8"/>
      <c r="D12" s="56">
        <f>SEPTEMBER!H12:H31</f>
        <v>0</v>
      </c>
      <c r="E12" s="56"/>
      <c r="F12" s="56">
        <f t="shared" si="1"/>
        <v>0</v>
      </c>
      <c r="G12" s="11"/>
      <c r="H12" s="36">
        <f t="shared" si="0"/>
        <v>0</v>
      </c>
      <c r="L12" s="65">
        <f>F45</f>
        <v>28500</v>
      </c>
      <c r="N12" s="65">
        <f>H51</f>
        <v>5000</v>
      </c>
    </row>
    <row r="13" spans="1:14" ht="25.5" x14ac:dyDescent="0.25">
      <c r="A13" s="49" t="s">
        <v>74</v>
      </c>
      <c r="B13" s="44" t="s">
        <v>87</v>
      </c>
      <c r="C13" s="8"/>
      <c r="D13" s="56">
        <f>SEPTEMBER!H13:H32</f>
        <v>500</v>
      </c>
      <c r="E13" s="56">
        <v>4000</v>
      </c>
      <c r="F13" s="56">
        <f t="shared" si="1"/>
        <v>4500</v>
      </c>
      <c r="G13" s="11">
        <f>2800+1500</f>
        <v>4300</v>
      </c>
      <c r="H13" s="36">
        <f t="shared" si="0"/>
        <v>200</v>
      </c>
      <c r="K13" t="s">
        <v>156</v>
      </c>
      <c r="L13" s="65">
        <f>L11+L12</f>
        <v>50000</v>
      </c>
      <c r="N13" s="65">
        <f>N11-N12</f>
        <v>45000</v>
      </c>
    </row>
    <row r="14" spans="1:14" ht="25.5" x14ac:dyDescent="0.25">
      <c r="A14" s="53" t="s">
        <v>70</v>
      </c>
      <c r="B14" s="63" t="s">
        <v>32</v>
      </c>
      <c r="C14" s="8"/>
      <c r="D14" s="56">
        <f>SEPTEMBER!H14:H33</f>
        <v>0</v>
      </c>
      <c r="E14" s="56">
        <v>3500</v>
      </c>
      <c r="F14" s="56">
        <f t="shared" si="1"/>
        <v>3500</v>
      </c>
      <c r="G14" s="11">
        <v>2000</v>
      </c>
      <c r="H14" s="36">
        <f t="shared" si="0"/>
        <v>1500</v>
      </c>
      <c r="J14" t="s">
        <v>157</v>
      </c>
      <c r="L14">
        <v>5000</v>
      </c>
      <c r="N14">
        <v>5000</v>
      </c>
    </row>
    <row r="15" spans="1:14" x14ac:dyDescent="0.25">
      <c r="A15" s="53" t="s">
        <v>75</v>
      </c>
      <c r="B15" s="63" t="s">
        <v>40</v>
      </c>
      <c r="C15" s="8"/>
      <c r="D15" s="56">
        <f>SEPTEMBER!H15:H34</f>
        <v>0</v>
      </c>
      <c r="E15" s="56"/>
      <c r="F15" s="56">
        <f t="shared" si="1"/>
        <v>0</v>
      </c>
      <c r="G15" s="11"/>
      <c r="H15" s="36">
        <f t="shared" si="0"/>
        <v>0</v>
      </c>
      <c r="L15" s="65">
        <f>L13-L14</f>
        <v>45000</v>
      </c>
      <c r="N15" s="65">
        <f>N13-N14</f>
        <v>40000</v>
      </c>
    </row>
    <row r="16" spans="1:14" x14ac:dyDescent="0.25">
      <c r="A16" s="53" t="s">
        <v>76</v>
      </c>
      <c r="B16" s="63" t="s">
        <v>40</v>
      </c>
      <c r="C16" s="8"/>
      <c r="D16" s="56">
        <f>SEPTEMBER!H16:H35</f>
        <v>0</v>
      </c>
      <c r="E16" s="56"/>
      <c r="F16" s="56">
        <f t="shared" si="1"/>
        <v>0</v>
      </c>
      <c r="G16" s="11"/>
      <c r="H16" s="36">
        <f t="shared" si="0"/>
        <v>0</v>
      </c>
      <c r="J16" t="s">
        <v>143</v>
      </c>
      <c r="L16" s="65">
        <f>H51</f>
        <v>5000</v>
      </c>
    </row>
    <row r="17" spans="1:16" x14ac:dyDescent="0.25">
      <c r="A17" s="53" t="s">
        <v>77</v>
      </c>
      <c r="B17" s="63" t="s">
        <v>40</v>
      </c>
      <c r="C17" s="8"/>
      <c r="D17" s="56">
        <f>SEPTEMBER!H17:H36</f>
        <v>0</v>
      </c>
      <c r="E17" s="56"/>
      <c r="F17" s="56">
        <f t="shared" si="1"/>
        <v>0</v>
      </c>
      <c r="G17" s="11"/>
      <c r="H17" s="36">
        <f t="shared" si="0"/>
        <v>0</v>
      </c>
      <c r="L17" s="65">
        <f>L15-L16</f>
        <v>40000</v>
      </c>
      <c r="N17" s="65">
        <f>N15-N16</f>
        <v>40000</v>
      </c>
    </row>
    <row r="18" spans="1:16" ht="25.5" x14ac:dyDescent="0.25">
      <c r="A18" s="53" t="s">
        <v>78</v>
      </c>
      <c r="B18" s="44" t="s">
        <v>88</v>
      </c>
      <c r="C18" s="8"/>
      <c r="D18" s="56">
        <f>SEPTEMBER!H18:H37</f>
        <v>1400</v>
      </c>
      <c r="E18" s="56">
        <v>5000</v>
      </c>
      <c r="F18" s="56">
        <f t="shared" si="1"/>
        <v>6400</v>
      </c>
      <c r="G18" s="11">
        <f>5000</f>
        <v>5000</v>
      </c>
      <c r="H18" s="36">
        <f t="shared" si="0"/>
        <v>1400</v>
      </c>
      <c r="J18" t="s">
        <v>144</v>
      </c>
      <c r="L18">
        <v>5000</v>
      </c>
      <c r="N18">
        <v>5000</v>
      </c>
    </row>
    <row r="19" spans="1:16" ht="25.5" x14ac:dyDescent="0.25">
      <c r="A19" s="53" t="s">
        <v>79</v>
      </c>
      <c r="B19" s="44" t="s">
        <v>148</v>
      </c>
      <c r="C19" s="8">
        <v>3000</v>
      </c>
      <c r="D19" s="56"/>
      <c r="E19" s="56">
        <v>4000</v>
      </c>
      <c r="F19" s="56">
        <f t="shared" si="1"/>
        <v>7000</v>
      </c>
      <c r="G19" s="11">
        <f>4000+1000</f>
        <v>5000</v>
      </c>
      <c r="H19" s="36">
        <f t="shared" si="0"/>
        <v>2000</v>
      </c>
      <c r="L19" s="65">
        <f>L17-L18</f>
        <v>35000</v>
      </c>
      <c r="N19" s="65">
        <f>N17-N18</f>
        <v>35000</v>
      </c>
    </row>
    <row r="20" spans="1:16" x14ac:dyDescent="0.25">
      <c r="A20" s="53" t="s">
        <v>80</v>
      </c>
      <c r="B20" s="63" t="s">
        <v>40</v>
      </c>
      <c r="C20" s="8"/>
      <c r="D20" s="56">
        <f>SEPTEMBER!H20:H39</f>
        <v>0</v>
      </c>
      <c r="E20" s="56"/>
      <c r="F20" s="56">
        <f t="shared" si="1"/>
        <v>0</v>
      </c>
      <c r="G20" s="11"/>
      <c r="H20" s="36">
        <f t="shared" si="0"/>
        <v>0</v>
      </c>
      <c r="P20" s="65">
        <f>N19-L18</f>
        <v>30000</v>
      </c>
    </row>
    <row r="21" spans="1:16" ht="25.5" x14ac:dyDescent="0.25">
      <c r="A21" s="53" t="s">
        <v>81</v>
      </c>
      <c r="B21" s="44" t="s">
        <v>89</v>
      </c>
      <c r="C21" s="8"/>
      <c r="D21" s="56">
        <f>SEPTEMBER!H21:H40</f>
        <v>5000</v>
      </c>
      <c r="E21" s="56"/>
      <c r="F21" s="56">
        <f t="shared" si="1"/>
        <v>5000</v>
      </c>
      <c r="G21" s="11">
        <f>1700</f>
        <v>1700</v>
      </c>
      <c r="H21" s="36">
        <f>F21-G21</f>
        <v>3300</v>
      </c>
      <c r="I21" t="s">
        <v>106</v>
      </c>
      <c r="L21" s="65"/>
    </row>
    <row r="22" spans="1:16" x14ac:dyDescent="0.25">
      <c r="A22" s="53" t="s">
        <v>82</v>
      </c>
      <c r="B22" s="63" t="s">
        <v>40</v>
      </c>
      <c r="C22" s="8"/>
      <c r="D22" s="56">
        <f>SEPTEMBER!H22:H41</f>
        <v>0</v>
      </c>
      <c r="E22" s="56"/>
      <c r="F22" s="56">
        <f t="shared" si="1"/>
        <v>0</v>
      </c>
      <c r="G22" s="11"/>
      <c r="H22" s="36">
        <f t="shared" si="0"/>
        <v>0</v>
      </c>
    </row>
    <row r="23" spans="1:16" x14ac:dyDescent="0.25">
      <c r="A23" s="53" t="s">
        <v>83</v>
      </c>
      <c r="B23" s="63" t="s">
        <v>40</v>
      </c>
      <c r="C23" s="8"/>
      <c r="D23" s="56">
        <f>SEPTEMBER!H23:H42</f>
        <v>0</v>
      </c>
      <c r="E23" s="56"/>
      <c r="F23" s="56">
        <f t="shared" si="1"/>
        <v>0</v>
      </c>
      <c r="G23" s="11"/>
      <c r="H23" s="36">
        <f t="shared" si="0"/>
        <v>0</v>
      </c>
    </row>
    <row r="24" spans="1:16" ht="25.5" x14ac:dyDescent="0.25">
      <c r="A24" s="53" t="s">
        <v>84</v>
      </c>
      <c r="B24" s="44" t="s">
        <v>166</v>
      </c>
      <c r="C24" s="8">
        <v>5000</v>
      </c>
      <c r="D24" s="56"/>
      <c r="E24" s="56">
        <v>5000</v>
      </c>
      <c r="F24" s="56">
        <f t="shared" si="1"/>
        <v>10000</v>
      </c>
      <c r="G24" s="11">
        <f>5000+500</f>
        <v>5500</v>
      </c>
      <c r="H24" s="36">
        <f t="shared" si="0"/>
        <v>4500</v>
      </c>
    </row>
    <row r="25" spans="1:16" x14ac:dyDescent="0.25">
      <c r="A25" s="53" t="s">
        <v>85</v>
      </c>
      <c r="B25" s="63" t="s">
        <v>40</v>
      </c>
      <c r="C25" s="8"/>
      <c r="D25" s="56">
        <f>SEPTEMBER!H25:H44</f>
        <v>0</v>
      </c>
      <c r="E25" s="56"/>
      <c r="F25" s="56">
        <f t="shared" si="1"/>
        <v>0</v>
      </c>
      <c r="G25" s="11"/>
      <c r="H25" s="36">
        <f t="shared" si="0"/>
        <v>0</v>
      </c>
    </row>
    <row r="26" spans="1:16" ht="15.75" x14ac:dyDescent="0.25">
      <c r="A26" s="7"/>
      <c r="B26" s="45" t="s">
        <v>9</v>
      </c>
      <c r="C26" s="15">
        <f t="shared" ref="C26:H26" si="2">SUM(C6:C25)</f>
        <v>8000</v>
      </c>
      <c r="D26" s="56">
        <f t="shared" si="2"/>
        <v>6900</v>
      </c>
      <c r="E26" s="57">
        <f t="shared" si="2"/>
        <v>21500</v>
      </c>
      <c r="F26" s="57">
        <f t="shared" si="2"/>
        <v>36400</v>
      </c>
      <c r="G26" s="17">
        <f t="shared" si="2"/>
        <v>23500</v>
      </c>
      <c r="H26" s="59">
        <f t="shared" si="2"/>
        <v>12900</v>
      </c>
    </row>
    <row r="27" spans="1:16" x14ac:dyDescent="0.25">
      <c r="D27" s="6"/>
      <c r="E27" s="6" t="s">
        <v>28</v>
      </c>
      <c r="F27" s="6"/>
    </row>
    <row r="28" spans="1:16" x14ac:dyDescent="0.25">
      <c r="A28" s="49"/>
      <c r="B28" s="43"/>
      <c r="C28" s="8"/>
      <c r="D28" s="56">
        <f>'AUGUST 20'!I28:I44</f>
        <v>0</v>
      </c>
      <c r="E28" s="9"/>
      <c r="F28" s="56"/>
      <c r="G28" s="56" t="s">
        <v>6</v>
      </c>
      <c r="H28" s="9" t="s">
        <v>7</v>
      </c>
      <c r="I28" s="36" t="s">
        <v>15</v>
      </c>
    </row>
    <row r="29" spans="1:16" ht="25.5" x14ac:dyDescent="0.25">
      <c r="A29" s="49" t="s">
        <v>43</v>
      </c>
      <c r="B29" s="43" t="s">
        <v>113</v>
      </c>
      <c r="C29" s="8">
        <f>'AUGUST 20'!I29:I44</f>
        <v>0</v>
      </c>
      <c r="D29" s="56">
        <f>SEPTEMBER!I29:I44</f>
        <v>0</v>
      </c>
      <c r="E29" s="9">
        <v>2500</v>
      </c>
      <c r="F29" s="56">
        <v>2000</v>
      </c>
      <c r="G29" s="56">
        <f>C28+D29+F29</f>
        <v>2000</v>
      </c>
      <c r="H29" s="9">
        <f>1000</f>
        <v>1000</v>
      </c>
      <c r="I29" s="36">
        <f t="shared" ref="I29:I44" si="3">G29-H29</f>
        <v>1000</v>
      </c>
    </row>
    <row r="30" spans="1:16" x14ac:dyDescent="0.25">
      <c r="A30" s="49" t="s">
        <v>44</v>
      </c>
      <c r="B30" s="35" t="s">
        <v>138</v>
      </c>
      <c r="C30" s="8"/>
      <c r="D30" s="56">
        <f>SEPTEMBER!I30:I45</f>
        <v>0</v>
      </c>
      <c r="E30" s="9">
        <v>2500</v>
      </c>
      <c r="F30" s="56">
        <v>2000</v>
      </c>
      <c r="G30" s="56">
        <f>C29+D30+F30</f>
        <v>2000</v>
      </c>
      <c r="H30" s="13">
        <f>2000</f>
        <v>2000</v>
      </c>
      <c r="I30" s="36">
        <f t="shared" si="3"/>
        <v>0</v>
      </c>
    </row>
    <row r="31" spans="1:16" ht="25.5" x14ac:dyDescent="0.25">
      <c r="A31" s="49" t="s">
        <v>45</v>
      </c>
      <c r="B31" s="43" t="s">
        <v>30</v>
      </c>
      <c r="C31" s="8"/>
      <c r="D31" s="56">
        <f>SEPTEMBER!I31:I46</f>
        <v>0</v>
      </c>
      <c r="E31" s="9">
        <v>2500</v>
      </c>
      <c r="F31" s="56">
        <v>2000</v>
      </c>
      <c r="G31" s="56">
        <f>C31+D31+F31</f>
        <v>2000</v>
      </c>
      <c r="H31" s="12">
        <f>2000</f>
        <v>2000</v>
      </c>
      <c r="I31" s="36">
        <f t="shared" si="3"/>
        <v>0</v>
      </c>
    </row>
    <row r="32" spans="1:16" ht="25.5" x14ac:dyDescent="0.25">
      <c r="A32" s="49" t="s">
        <v>46</v>
      </c>
      <c r="B32" s="43" t="s">
        <v>31</v>
      </c>
      <c r="C32" s="8"/>
      <c r="D32" s="56">
        <f>SEPTEMBER!I32:I47</f>
        <v>0</v>
      </c>
      <c r="E32" s="9">
        <v>2500</v>
      </c>
      <c r="F32" s="56">
        <v>2000</v>
      </c>
      <c r="G32" s="56">
        <f t="shared" ref="G32:G44" si="4">C32+D32+F32</f>
        <v>2000</v>
      </c>
      <c r="H32" s="11">
        <f>2000</f>
        <v>2000</v>
      </c>
      <c r="I32" s="36">
        <f t="shared" si="3"/>
        <v>0</v>
      </c>
    </row>
    <row r="33" spans="1:10" x14ac:dyDescent="0.25">
      <c r="A33" s="49" t="s">
        <v>47</v>
      </c>
      <c r="B33" s="44"/>
      <c r="C33" s="8"/>
      <c r="D33" s="56">
        <f>SEPTEMBER!I33:I48</f>
        <v>0</v>
      </c>
      <c r="E33" s="9">
        <v>2500</v>
      </c>
      <c r="F33" s="56"/>
      <c r="G33" s="56">
        <f t="shared" si="4"/>
        <v>0</v>
      </c>
      <c r="H33" s="14"/>
      <c r="I33" s="36">
        <f t="shared" si="3"/>
        <v>0</v>
      </c>
    </row>
    <row r="34" spans="1:10" ht="25.5" x14ac:dyDescent="0.25">
      <c r="A34" s="49" t="s">
        <v>48</v>
      </c>
      <c r="B34" s="44" t="s">
        <v>37</v>
      </c>
      <c r="C34" s="8"/>
      <c r="D34" s="56">
        <f>SEPTEMBER!I34:I49</f>
        <v>300</v>
      </c>
      <c r="E34" s="9">
        <v>2500</v>
      </c>
      <c r="F34" s="56">
        <v>2000</v>
      </c>
      <c r="G34" s="56">
        <f t="shared" si="4"/>
        <v>2300</v>
      </c>
      <c r="H34" s="11">
        <f>1000</f>
        <v>1000</v>
      </c>
      <c r="I34" s="36">
        <f t="shared" si="3"/>
        <v>1300</v>
      </c>
    </row>
    <row r="35" spans="1:10" ht="25.5" x14ac:dyDescent="0.25">
      <c r="A35" s="49" t="s">
        <v>49</v>
      </c>
      <c r="B35" s="44" t="s">
        <v>132</v>
      </c>
      <c r="C35" s="8"/>
      <c r="D35" s="56">
        <f>SEPTEMBER!I35:I50</f>
        <v>0</v>
      </c>
      <c r="E35" s="9">
        <v>2500</v>
      </c>
      <c r="F35" s="56">
        <v>2000</v>
      </c>
      <c r="G35" s="56">
        <f t="shared" si="4"/>
        <v>2000</v>
      </c>
      <c r="H35" s="11">
        <f>2000</f>
        <v>2000</v>
      </c>
      <c r="I35" s="36">
        <f t="shared" si="3"/>
        <v>0</v>
      </c>
    </row>
    <row r="36" spans="1:10" ht="25.5" x14ac:dyDescent="0.25">
      <c r="A36" s="49" t="s">
        <v>50</v>
      </c>
      <c r="B36" s="43" t="s">
        <v>33</v>
      </c>
      <c r="C36" s="8"/>
      <c r="D36" s="56">
        <f>SEPTEMBER!I36:I51</f>
        <v>1500</v>
      </c>
      <c r="E36" s="9">
        <v>2500</v>
      </c>
      <c r="F36" s="56">
        <v>2000</v>
      </c>
      <c r="G36" s="56">
        <f t="shared" si="4"/>
        <v>3500</v>
      </c>
      <c r="H36" s="11">
        <f>2000</f>
        <v>2000</v>
      </c>
      <c r="I36" s="36">
        <f t="shared" si="3"/>
        <v>1500</v>
      </c>
    </row>
    <row r="37" spans="1:10" ht="25.5" x14ac:dyDescent="0.25">
      <c r="A37" s="49" t="s">
        <v>51</v>
      </c>
      <c r="B37" s="43" t="s">
        <v>126</v>
      </c>
      <c r="C37" s="8"/>
      <c r="D37" s="56">
        <f>SEPTEMBER!I37:I52</f>
        <v>2000</v>
      </c>
      <c r="E37" s="9">
        <v>2500</v>
      </c>
      <c r="F37" s="56">
        <v>2000</v>
      </c>
      <c r="G37" s="56">
        <f>C37+D37+F37</f>
        <v>4000</v>
      </c>
      <c r="H37" s="11"/>
      <c r="I37" s="36">
        <f t="shared" si="3"/>
        <v>4000</v>
      </c>
      <c r="J37" t="s">
        <v>106</v>
      </c>
    </row>
    <row r="38" spans="1:10" ht="25.5" x14ac:dyDescent="0.25">
      <c r="A38" s="49" t="s">
        <v>52</v>
      </c>
      <c r="B38" s="44" t="s">
        <v>127</v>
      </c>
      <c r="C38" s="8"/>
      <c r="D38" s="56">
        <f>SEPTEMBER!I38:I53</f>
        <v>0</v>
      </c>
      <c r="E38" s="9"/>
      <c r="F38" s="56">
        <v>2500</v>
      </c>
      <c r="G38" s="56">
        <f t="shared" si="4"/>
        <v>2500</v>
      </c>
      <c r="H38" s="11">
        <v>2500</v>
      </c>
      <c r="I38" s="36">
        <f t="shared" si="3"/>
        <v>0</v>
      </c>
    </row>
    <row r="39" spans="1:10" ht="38.25" x14ac:dyDescent="0.25">
      <c r="A39" s="49" t="s">
        <v>57</v>
      </c>
      <c r="B39" s="43" t="s">
        <v>107</v>
      </c>
      <c r="C39" s="8"/>
      <c r="D39" s="56">
        <f>SEPTEMBER!I39:I54</f>
        <v>0</v>
      </c>
      <c r="E39" s="9"/>
      <c r="F39" s="56"/>
      <c r="G39" s="56">
        <f t="shared" si="4"/>
        <v>0</v>
      </c>
      <c r="H39" s="11"/>
      <c r="I39" s="36">
        <f t="shared" si="3"/>
        <v>0</v>
      </c>
    </row>
    <row r="40" spans="1:10" ht="25.5" x14ac:dyDescent="0.25">
      <c r="A40" s="49" t="s">
        <v>58</v>
      </c>
      <c r="B40" s="43" t="s">
        <v>151</v>
      </c>
      <c r="C40" s="8"/>
      <c r="D40" s="56">
        <f>SEPTEMBER!I40:I55</f>
        <v>0</v>
      </c>
      <c r="E40" s="9">
        <v>2500</v>
      </c>
      <c r="F40" s="56">
        <v>2000</v>
      </c>
      <c r="G40" s="56">
        <f>C40+D40+F40</f>
        <v>2000</v>
      </c>
      <c r="H40" s="11">
        <f>2000</f>
        <v>2000</v>
      </c>
      <c r="I40" s="36">
        <f t="shared" si="3"/>
        <v>0</v>
      </c>
    </row>
    <row r="41" spans="1:10" ht="38.25" x14ac:dyDescent="0.25">
      <c r="A41" s="49" t="s">
        <v>59</v>
      </c>
      <c r="B41" s="43" t="s">
        <v>131</v>
      </c>
      <c r="C41" s="8"/>
      <c r="D41" s="56">
        <f>SEPTEMBER!I41:I56</f>
        <v>0</v>
      </c>
      <c r="E41" s="9">
        <v>2500</v>
      </c>
      <c r="F41" s="56">
        <v>2000</v>
      </c>
      <c r="G41" s="56">
        <f t="shared" si="4"/>
        <v>2000</v>
      </c>
      <c r="H41" s="11">
        <f>2000</f>
        <v>2000</v>
      </c>
      <c r="I41" s="36">
        <f t="shared" si="3"/>
        <v>0</v>
      </c>
    </row>
    <row r="42" spans="1:10" ht="25.5" x14ac:dyDescent="0.25">
      <c r="A42" s="49" t="s">
        <v>60</v>
      </c>
      <c r="B42" s="43" t="s">
        <v>38</v>
      </c>
      <c r="C42" s="8"/>
      <c r="D42" s="56">
        <f>SEPTEMBER!I42:I57</f>
        <v>1000</v>
      </c>
      <c r="E42" s="9">
        <v>2500</v>
      </c>
      <c r="F42" s="56">
        <v>2000</v>
      </c>
      <c r="G42" s="56">
        <f t="shared" si="4"/>
        <v>3000</v>
      </c>
      <c r="H42" s="11">
        <f>2000</f>
        <v>2000</v>
      </c>
      <c r="I42" s="36">
        <f t="shared" si="3"/>
        <v>1000</v>
      </c>
    </row>
    <row r="43" spans="1:10" ht="25.5" x14ac:dyDescent="0.25">
      <c r="A43" s="49" t="s">
        <v>61</v>
      </c>
      <c r="B43" s="43" t="s">
        <v>162</v>
      </c>
      <c r="C43" s="8"/>
      <c r="D43" s="56">
        <f>SEPTEMBER!I43:I58</f>
        <v>0</v>
      </c>
      <c r="E43" s="9">
        <v>2500</v>
      </c>
      <c r="F43" s="56">
        <v>2000</v>
      </c>
      <c r="G43" s="56">
        <f t="shared" si="4"/>
        <v>2000</v>
      </c>
      <c r="H43" s="11">
        <v>2000</v>
      </c>
      <c r="I43" s="36">
        <f t="shared" si="3"/>
        <v>0</v>
      </c>
    </row>
    <row r="44" spans="1:10" ht="25.5" x14ac:dyDescent="0.25">
      <c r="A44" s="49" t="s">
        <v>62</v>
      </c>
      <c r="B44" s="43" t="s">
        <v>150</v>
      </c>
      <c r="C44" s="8"/>
      <c r="D44" s="56">
        <f>SEPTEMBER!I44:I59</f>
        <v>0</v>
      </c>
      <c r="E44" s="9">
        <v>2500</v>
      </c>
      <c r="F44" s="56">
        <v>2000</v>
      </c>
      <c r="G44" s="56">
        <f t="shared" si="4"/>
        <v>2000</v>
      </c>
      <c r="H44" s="11">
        <v>200</v>
      </c>
      <c r="I44" s="36">
        <f t="shared" si="3"/>
        <v>1800</v>
      </c>
    </row>
    <row r="45" spans="1:10" ht="15.75" x14ac:dyDescent="0.25">
      <c r="A45" s="7"/>
      <c r="B45" s="45" t="s">
        <v>9</v>
      </c>
      <c r="C45" s="15">
        <f>SUM(C28:C40)</f>
        <v>0</v>
      </c>
      <c r="D45" s="56">
        <f>SEPTEMBER!I45:I60</f>
        <v>4800</v>
      </c>
      <c r="E45" s="9">
        <f>SUM(E28:E44)</f>
        <v>35000</v>
      </c>
      <c r="F45" s="57">
        <f>SUM(F28:F44)</f>
        <v>28500</v>
      </c>
      <c r="G45" s="57">
        <f>SUM(G29:G44)</f>
        <v>33300</v>
      </c>
      <c r="H45" s="17">
        <f>SUM(H28:H44)</f>
        <v>22700</v>
      </c>
      <c r="I45" s="58">
        <f>SUM(I28:I44)</f>
        <v>10600</v>
      </c>
    </row>
    <row r="46" spans="1:10" x14ac:dyDescent="0.25">
      <c r="D46" s="56">
        <f>SEPTEMBER!I46:I61</f>
        <v>0</v>
      </c>
      <c r="I46" s="65">
        <f>H13+H14+H18+H21+I29+I34+I36+I37+I42+I44</f>
        <v>17000</v>
      </c>
    </row>
    <row r="47" spans="1:10" x14ac:dyDescent="0.25">
      <c r="D47" s="56">
        <f>SEPTEMBER!I47:I62</f>
        <v>0</v>
      </c>
      <c r="I47" s="65">
        <f>I46-5500</f>
        <v>11500</v>
      </c>
    </row>
    <row r="48" spans="1:10" x14ac:dyDescent="0.25">
      <c r="A48" s="60" t="s">
        <v>10</v>
      </c>
      <c r="B48" s="18"/>
      <c r="C48" s="19"/>
      <c r="D48" s="18"/>
      <c r="E48" s="66">
        <f>E45+E26</f>
        <v>56500</v>
      </c>
      <c r="F48" s="18"/>
      <c r="G48" s="18"/>
      <c r="H48" s="2"/>
      <c r="I48" s="21"/>
    </row>
    <row r="49" spans="1:9" x14ac:dyDescent="0.25">
      <c r="A49" s="22" t="s">
        <v>11</v>
      </c>
      <c r="B49" s="22" t="s">
        <v>12</v>
      </c>
      <c r="C49" s="22" t="s">
        <v>13</v>
      </c>
      <c r="D49" s="22" t="s">
        <v>14</v>
      </c>
      <c r="E49" s="22"/>
      <c r="F49" s="22" t="s">
        <v>12</v>
      </c>
      <c r="G49" s="22"/>
      <c r="H49" s="22" t="s">
        <v>13</v>
      </c>
      <c r="I49" s="23" t="s">
        <v>15</v>
      </c>
    </row>
    <row r="50" spans="1:9" x14ac:dyDescent="0.25">
      <c r="A50" s="24" t="s">
        <v>154</v>
      </c>
      <c r="B50" s="25">
        <f>F45+E26</f>
        <v>50000</v>
      </c>
      <c r="C50" s="26"/>
      <c r="D50" s="26"/>
      <c r="E50" s="26" t="s">
        <v>154</v>
      </c>
      <c r="F50" s="25">
        <f>H45+G26+I47</f>
        <v>57700</v>
      </c>
      <c r="G50" s="25"/>
      <c r="H50" s="26"/>
      <c r="I50" s="25"/>
    </row>
    <row r="51" spans="1:9" x14ac:dyDescent="0.25">
      <c r="A51" s="24" t="s">
        <v>17</v>
      </c>
      <c r="B51" s="27">
        <v>0.1</v>
      </c>
      <c r="C51" s="28">
        <f>B51*B50</f>
        <v>5000</v>
      </c>
      <c r="D51" s="24"/>
      <c r="E51" s="24" t="s">
        <v>155</v>
      </c>
      <c r="F51" s="27">
        <v>0.1</v>
      </c>
      <c r="G51" s="27"/>
      <c r="H51" s="28">
        <f>F51*B50</f>
        <v>5000</v>
      </c>
      <c r="I51" s="25"/>
    </row>
    <row r="52" spans="1:9" x14ac:dyDescent="0.25">
      <c r="A52" s="29"/>
      <c r="B52" s="28"/>
      <c r="C52" s="24"/>
      <c r="D52" s="24"/>
      <c r="E52" s="24"/>
      <c r="F52" s="28"/>
      <c r="G52" s="28"/>
      <c r="H52" s="24"/>
      <c r="I52" s="25"/>
    </row>
    <row r="53" spans="1:9" x14ac:dyDescent="0.25">
      <c r="A53" s="24"/>
      <c r="B53" s="27"/>
      <c r="C53" s="28"/>
      <c r="D53" s="24"/>
      <c r="E53" s="24"/>
      <c r="F53" s="27"/>
      <c r="G53" s="27"/>
      <c r="H53" s="28"/>
      <c r="I53" s="25"/>
    </row>
    <row r="54" spans="1:9" x14ac:dyDescent="0.25">
      <c r="A54" s="29" t="s">
        <v>18</v>
      </c>
      <c r="B54" s="28">
        <f>1000+500</f>
        <v>1500</v>
      </c>
      <c r="D54" s="24"/>
      <c r="E54" s="24" t="s">
        <v>158</v>
      </c>
      <c r="F54" s="28"/>
      <c r="G54" s="28"/>
      <c r="H54" s="24"/>
      <c r="I54" s="25"/>
    </row>
    <row r="55" spans="1:9" x14ac:dyDescent="0.25">
      <c r="A55" s="29" t="s">
        <v>19</v>
      </c>
      <c r="B55" s="28">
        <f>SEPTEMBER!D61</f>
        <v>-2081</v>
      </c>
      <c r="C55" s="24"/>
      <c r="D55" s="24"/>
      <c r="E55" s="24" t="s">
        <v>19</v>
      </c>
      <c r="F55" s="28">
        <f>SEPTEMBER!I61</f>
        <v>-13781</v>
      </c>
      <c r="G55" s="28"/>
      <c r="H55" s="24"/>
      <c r="I55" s="25"/>
    </row>
    <row r="56" spans="1:9" x14ac:dyDescent="0.25">
      <c r="A56" s="29" t="s">
        <v>9</v>
      </c>
      <c r="B56" s="28">
        <f>B50+B52+B55+B54</f>
        <v>49419</v>
      </c>
      <c r="C56" s="24"/>
      <c r="D56" s="24"/>
      <c r="E56" s="24" t="s">
        <v>9</v>
      </c>
      <c r="F56" s="28">
        <f>F50+F52+F55+F53</f>
        <v>43919</v>
      </c>
      <c r="G56" s="28"/>
      <c r="H56" s="24"/>
      <c r="I56" s="25"/>
    </row>
    <row r="57" spans="1:9" x14ac:dyDescent="0.25">
      <c r="A57" s="30" t="s">
        <v>20</v>
      </c>
      <c r="B57" s="27"/>
      <c r="C57" s="31"/>
      <c r="D57" s="24"/>
      <c r="E57" s="24"/>
      <c r="F57" s="30" t="s">
        <v>20</v>
      </c>
      <c r="G57" s="27"/>
      <c r="H57" s="31"/>
      <c r="I57" s="25"/>
    </row>
    <row r="58" spans="1:9" x14ac:dyDescent="0.25">
      <c r="A58" s="32" t="s">
        <v>144</v>
      </c>
      <c r="B58" s="33"/>
      <c r="C58" s="34">
        <v>5000</v>
      </c>
      <c r="D58" s="35"/>
      <c r="E58" s="35"/>
      <c r="F58" s="32" t="s">
        <v>144</v>
      </c>
      <c r="G58" s="33"/>
      <c r="H58" s="34">
        <v>5000</v>
      </c>
      <c r="I58" s="35"/>
    </row>
    <row r="59" spans="1:9" x14ac:dyDescent="0.25">
      <c r="A59" s="37" t="s">
        <v>161</v>
      </c>
      <c r="C59" s="38">
        <v>35105</v>
      </c>
      <c r="D59" s="33"/>
      <c r="E59" s="33"/>
      <c r="F59" s="37" t="s">
        <v>161</v>
      </c>
      <c r="H59" s="38">
        <v>35105</v>
      </c>
      <c r="I59" s="36"/>
    </row>
    <row r="60" spans="1:9" x14ac:dyDescent="0.25">
      <c r="A60" s="37" t="s">
        <v>168</v>
      </c>
      <c r="B60" s="33"/>
      <c r="C60" s="38">
        <v>4000</v>
      </c>
      <c r="D60" s="33"/>
      <c r="E60" s="33"/>
      <c r="F60" s="37"/>
      <c r="H60" s="38"/>
      <c r="I60" s="36"/>
    </row>
    <row r="61" spans="1:9" x14ac:dyDescent="0.25">
      <c r="A61" s="37" t="s">
        <v>170</v>
      </c>
      <c r="B61" s="33"/>
      <c r="C61" s="38">
        <v>1500</v>
      </c>
      <c r="D61" s="33"/>
      <c r="E61" s="33"/>
      <c r="F61" s="37" t="s">
        <v>170</v>
      </c>
      <c r="G61" s="33"/>
      <c r="H61" s="38">
        <v>1500</v>
      </c>
      <c r="I61" s="36"/>
    </row>
    <row r="62" spans="1:9" x14ac:dyDescent="0.25">
      <c r="A62" s="39" t="s">
        <v>9</v>
      </c>
      <c r="B62" s="40">
        <f>B50+B52+B53+B54+B55-C51-C53</f>
        <v>44419</v>
      </c>
      <c r="C62" s="41">
        <f>SUM(C58:C61)</f>
        <v>45605</v>
      </c>
      <c r="D62" s="41">
        <f>B62-C62</f>
        <v>-1186</v>
      </c>
      <c r="E62" s="41"/>
      <c r="F62" s="40">
        <f>F50+F52+F55-H51-H53</f>
        <v>38919</v>
      </c>
      <c r="G62" s="40"/>
      <c r="H62" s="41">
        <f>SUM(H58:H61)</f>
        <v>41605</v>
      </c>
      <c r="I62" s="41">
        <f>F62-H62</f>
        <v>-2686</v>
      </c>
    </row>
    <row r="63" spans="1:9" x14ac:dyDescent="0.25">
      <c r="A63" s="2" t="s">
        <v>21</v>
      </c>
      <c r="B63" s="42"/>
      <c r="D63" s="2" t="s">
        <v>22</v>
      </c>
      <c r="E63" s="2"/>
      <c r="H63" s="2" t="s">
        <v>23</v>
      </c>
      <c r="I63" s="21"/>
    </row>
    <row r="64" spans="1:9" x14ac:dyDescent="0.25">
      <c r="A64" s="2" t="s">
        <v>64</v>
      </c>
      <c r="B64" s="2"/>
      <c r="D64" s="2" t="s">
        <v>24</v>
      </c>
      <c r="E64" s="2"/>
      <c r="H64" s="2" t="s">
        <v>26</v>
      </c>
    </row>
    <row r="66" spans="11:11" x14ac:dyDescent="0.25">
      <c r="K66" s="6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A40" workbookViewId="0">
      <selection activeCell="M60" sqref="M60"/>
    </sheetView>
  </sheetViews>
  <sheetFormatPr defaultRowHeight="15" x14ac:dyDescent="0.25"/>
  <cols>
    <col min="1" max="1" width="11.5703125" customWidth="1"/>
    <col min="5" max="5" width="12.140625" customWidth="1"/>
    <col min="11" max="11" width="9.5703125" customWidth="1"/>
  </cols>
  <sheetData>
    <row r="1" spans="1:10" ht="15.75" x14ac:dyDescent="0.25">
      <c r="C1" s="1" t="s">
        <v>26</v>
      </c>
      <c r="D1" s="2"/>
      <c r="E1" s="2"/>
      <c r="F1" s="2"/>
      <c r="G1" s="2"/>
    </row>
    <row r="2" spans="1:10" ht="15.75" x14ac:dyDescent="0.25">
      <c r="C2" s="3" t="s">
        <v>0</v>
      </c>
      <c r="D2" s="4"/>
      <c r="E2" s="4"/>
      <c r="F2" s="2"/>
      <c r="G2" s="2"/>
    </row>
    <row r="3" spans="1:10" ht="21" x14ac:dyDescent="0.25">
      <c r="C3" s="4" t="s">
        <v>163</v>
      </c>
      <c r="D3" s="3"/>
      <c r="E3" s="3"/>
      <c r="F3" s="5"/>
      <c r="G3" s="5"/>
    </row>
    <row r="4" spans="1:10" x14ac:dyDescent="0.25">
      <c r="D4" s="6" t="s">
        <v>65</v>
      </c>
      <c r="E4" s="6"/>
    </row>
    <row r="5" spans="1:10" ht="15.75" x14ac:dyDescent="0.25">
      <c r="A5" s="46" t="s">
        <v>1</v>
      </c>
      <c r="B5" s="46" t="s">
        <v>2</v>
      </c>
      <c r="C5" s="46" t="s">
        <v>3</v>
      </c>
      <c r="D5" s="46" t="s">
        <v>4</v>
      </c>
      <c r="E5" s="46" t="s">
        <v>5</v>
      </c>
      <c r="F5" s="47" t="s">
        <v>6</v>
      </c>
      <c r="G5" s="46" t="s">
        <v>7</v>
      </c>
      <c r="H5" s="48" t="s">
        <v>8</v>
      </c>
    </row>
    <row r="6" spans="1:10" x14ac:dyDescent="0.25">
      <c r="A6" s="49" t="s">
        <v>66</v>
      </c>
      <c r="B6" s="61"/>
      <c r="C6" s="8"/>
      <c r="D6" s="56">
        <f>OCTOBER20!H6:H26</f>
        <v>0</v>
      </c>
      <c r="E6" s="56"/>
      <c r="F6" s="56">
        <f>C6+D6+E6</f>
        <v>0</v>
      </c>
      <c r="G6" s="11"/>
      <c r="H6" s="36">
        <f t="shared" ref="H6:H25" si="0">F6-G6</f>
        <v>0</v>
      </c>
    </row>
    <row r="7" spans="1:10" x14ac:dyDescent="0.25">
      <c r="A7" s="49" t="s">
        <v>71</v>
      </c>
      <c r="B7" s="43"/>
      <c r="C7" s="8"/>
      <c r="D7" s="56">
        <f>OCTOBER20!H7:H27</f>
        <v>0</v>
      </c>
      <c r="E7" s="56"/>
      <c r="F7" s="56">
        <f t="shared" ref="F7:F25" si="1">C7+D7+E7</f>
        <v>0</v>
      </c>
      <c r="G7" s="9"/>
      <c r="H7" s="36">
        <f t="shared" si="0"/>
        <v>0</v>
      </c>
    </row>
    <row r="8" spans="1:10" x14ac:dyDescent="0.25">
      <c r="A8" s="49" t="s">
        <v>67</v>
      </c>
      <c r="B8" s="35"/>
      <c r="C8" s="8"/>
      <c r="D8" s="56">
        <f>OCTOBER20!H8:H28</f>
        <v>0</v>
      </c>
      <c r="E8" s="56"/>
      <c r="F8" s="56">
        <f t="shared" si="1"/>
        <v>0</v>
      </c>
      <c r="G8" s="13"/>
      <c r="H8" s="36">
        <f t="shared" si="0"/>
        <v>0</v>
      </c>
    </row>
    <row r="9" spans="1:10" x14ac:dyDescent="0.25">
      <c r="A9" s="50" t="s">
        <v>72</v>
      </c>
      <c r="B9" s="62" t="s">
        <v>103</v>
      </c>
      <c r="C9" s="8"/>
      <c r="D9" s="56">
        <f>OCTOBER20!H9:H29</f>
        <v>0</v>
      </c>
      <c r="E9" s="56"/>
      <c r="F9" s="56">
        <f t="shared" si="1"/>
        <v>0</v>
      </c>
      <c r="G9" s="12"/>
      <c r="H9" s="36">
        <f t="shared" si="0"/>
        <v>0</v>
      </c>
    </row>
    <row r="10" spans="1:10" x14ac:dyDescent="0.25">
      <c r="A10" s="51" t="s">
        <v>68</v>
      </c>
      <c r="B10" s="61" t="s">
        <v>40</v>
      </c>
      <c r="C10" s="8"/>
      <c r="D10" s="56">
        <f>OCTOBER20!H10:H30</f>
        <v>0</v>
      </c>
      <c r="E10" s="56"/>
      <c r="F10" s="56">
        <f t="shared" si="1"/>
        <v>0</v>
      </c>
      <c r="G10" s="11"/>
      <c r="H10" s="36">
        <f t="shared" si="0"/>
        <v>0</v>
      </c>
    </row>
    <row r="11" spans="1:10" x14ac:dyDescent="0.25">
      <c r="A11" s="52" t="s">
        <v>73</v>
      </c>
      <c r="B11" s="63" t="s">
        <v>40</v>
      </c>
      <c r="C11" s="8"/>
      <c r="D11" s="56">
        <f>OCTOBER20!H11:H31</f>
        <v>0</v>
      </c>
      <c r="E11" s="56"/>
      <c r="F11" s="56">
        <f t="shared" si="1"/>
        <v>0</v>
      </c>
      <c r="G11" s="14"/>
      <c r="H11" s="36">
        <f t="shared" si="0"/>
        <v>0</v>
      </c>
    </row>
    <row r="12" spans="1:10" x14ac:dyDescent="0.25">
      <c r="A12" s="49" t="s">
        <v>69</v>
      </c>
      <c r="B12" s="63" t="s">
        <v>40</v>
      </c>
      <c r="C12" s="8"/>
      <c r="D12" s="56">
        <f>OCTOBER20!H12:H32</f>
        <v>0</v>
      </c>
      <c r="E12" s="56"/>
      <c r="F12" s="56">
        <f t="shared" si="1"/>
        <v>0</v>
      </c>
      <c r="G12" s="11"/>
      <c r="H12" s="36">
        <f t="shared" si="0"/>
        <v>0</v>
      </c>
    </row>
    <row r="13" spans="1:10" ht="25.5" x14ac:dyDescent="0.25">
      <c r="A13" s="49" t="s">
        <v>74</v>
      </c>
      <c r="B13" s="44" t="s">
        <v>87</v>
      </c>
      <c r="C13" s="8"/>
      <c r="D13" s="56">
        <f>OCTOBER20!H13:H33</f>
        <v>200</v>
      </c>
      <c r="E13" s="56">
        <v>4000</v>
      </c>
      <c r="F13" s="56">
        <f t="shared" si="1"/>
        <v>4200</v>
      </c>
      <c r="G13" s="11">
        <f>800+3000</f>
        <v>3800</v>
      </c>
      <c r="H13" s="36">
        <f t="shared" si="0"/>
        <v>400</v>
      </c>
    </row>
    <row r="14" spans="1:10" x14ac:dyDescent="0.25">
      <c r="A14" s="53" t="s">
        <v>70</v>
      </c>
      <c r="B14" s="63"/>
      <c r="C14" s="8"/>
      <c r="D14" s="56"/>
      <c r="E14" s="56"/>
      <c r="F14" s="56"/>
      <c r="G14" s="11"/>
      <c r="H14" s="36"/>
    </row>
    <row r="15" spans="1:10" x14ac:dyDescent="0.25">
      <c r="A15" s="53" t="s">
        <v>75</v>
      </c>
      <c r="B15" s="63" t="s">
        <v>40</v>
      </c>
      <c r="C15" s="8"/>
      <c r="D15" s="56">
        <f>OCTOBER20!H15:H35</f>
        <v>0</v>
      </c>
      <c r="E15" s="56"/>
      <c r="F15" s="56">
        <f t="shared" si="1"/>
        <v>0</v>
      </c>
      <c r="G15" s="11"/>
      <c r="H15" s="36">
        <f t="shared" si="0"/>
        <v>0</v>
      </c>
    </row>
    <row r="16" spans="1:10" x14ac:dyDescent="0.25">
      <c r="A16" s="53" t="s">
        <v>76</v>
      </c>
      <c r="B16" s="63" t="s">
        <v>40</v>
      </c>
      <c r="C16" s="8"/>
      <c r="D16" s="56">
        <f>OCTOBER20!H16:H36</f>
        <v>0</v>
      </c>
      <c r="E16" s="56"/>
      <c r="F16" s="56">
        <f t="shared" si="1"/>
        <v>0</v>
      </c>
      <c r="G16" s="11"/>
      <c r="H16" s="36">
        <f t="shared" si="0"/>
        <v>0</v>
      </c>
      <c r="J16" t="s">
        <v>143</v>
      </c>
    </row>
    <row r="17" spans="1:10" x14ac:dyDescent="0.25">
      <c r="A17" s="53" t="s">
        <v>77</v>
      </c>
      <c r="B17" s="63" t="s">
        <v>40</v>
      </c>
      <c r="C17" s="8"/>
      <c r="D17" s="56">
        <f>OCTOBER20!H17:H37</f>
        <v>0</v>
      </c>
      <c r="E17" s="56"/>
      <c r="F17" s="56">
        <f t="shared" si="1"/>
        <v>0</v>
      </c>
      <c r="G17" s="11"/>
      <c r="H17" s="36">
        <f t="shared" si="0"/>
        <v>0</v>
      </c>
    </row>
    <row r="18" spans="1:10" ht="25.5" x14ac:dyDescent="0.25">
      <c r="A18" s="53" t="s">
        <v>78</v>
      </c>
      <c r="B18" s="44" t="s">
        <v>88</v>
      </c>
      <c r="C18" s="8"/>
      <c r="D18" s="56">
        <f>OCTOBER20!H18:H38</f>
        <v>1400</v>
      </c>
      <c r="E18" s="56">
        <v>5000</v>
      </c>
      <c r="F18" s="56">
        <f t="shared" si="1"/>
        <v>6400</v>
      </c>
      <c r="G18" s="11">
        <f>6000</f>
        <v>6000</v>
      </c>
      <c r="H18" s="36">
        <f t="shared" si="0"/>
        <v>400</v>
      </c>
      <c r="J18" t="s">
        <v>144</v>
      </c>
    </row>
    <row r="19" spans="1:10" ht="25.5" x14ac:dyDescent="0.25">
      <c r="A19" s="53" t="s">
        <v>79</v>
      </c>
      <c r="B19" s="44" t="s">
        <v>148</v>
      </c>
      <c r="C19" s="8">
        <v>2000</v>
      </c>
      <c r="D19" s="56"/>
      <c r="E19" s="56">
        <v>4000</v>
      </c>
      <c r="F19" s="56">
        <f t="shared" si="1"/>
        <v>6000</v>
      </c>
      <c r="G19" s="11"/>
      <c r="H19" s="36">
        <f t="shared" si="0"/>
        <v>6000</v>
      </c>
    </row>
    <row r="20" spans="1:10" x14ac:dyDescent="0.25">
      <c r="A20" s="53" t="s">
        <v>80</v>
      </c>
      <c r="B20" s="63" t="s">
        <v>40</v>
      </c>
      <c r="C20" s="8"/>
      <c r="D20" s="56">
        <f>OCTOBER20!H20:H40</f>
        <v>0</v>
      </c>
      <c r="E20" s="56"/>
      <c r="F20" s="56">
        <f t="shared" si="1"/>
        <v>0</v>
      </c>
      <c r="G20" s="11"/>
      <c r="H20" s="36">
        <f>F20-G20</f>
        <v>0</v>
      </c>
    </row>
    <row r="21" spans="1:10" ht="32.25" customHeight="1" x14ac:dyDescent="0.25">
      <c r="A21" s="53" t="s">
        <v>81</v>
      </c>
      <c r="B21" s="44" t="s">
        <v>173</v>
      </c>
      <c r="C21" s="8">
        <v>4000</v>
      </c>
      <c r="D21" s="56"/>
      <c r="E21" s="56">
        <v>2000</v>
      </c>
      <c r="F21" s="56">
        <f t="shared" si="1"/>
        <v>6000</v>
      </c>
      <c r="G21" s="11">
        <v>4000</v>
      </c>
      <c r="H21" s="36">
        <f>F21-G21</f>
        <v>2000</v>
      </c>
    </row>
    <row r="22" spans="1:10" x14ac:dyDescent="0.25">
      <c r="A22" s="53" t="s">
        <v>82</v>
      </c>
      <c r="B22" s="63" t="s">
        <v>40</v>
      </c>
      <c r="C22" s="8"/>
      <c r="D22" s="56">
        <f>OCTOBER20!H22:H42</f>
        <v>0</v>
      </c>
      <c r="E22" s="56"/>
      <c r="F22" s="56">
        <f t="shared" si="1"/>
        <v>0</v>
      </c>
      <c r="G22" s="11"/>
      <c r="H22" s="36">
        <f t="shared" si="0"/>
        <v>0</v>
      </c>
    </row>
    <row r="23" spans="1:10" x14ac:dyDescent="0.25">
      <c r="A23" s="53" t="s">
        <v>83</v>
      </c>
      <c r="B23" s="63" t="s">
        <v>40</v>
      </c>
      <c r="C23" s="8"/>
      <c r="D23" s="56">
        <f>OCTOBER20!H23:H43</f>
        <v>0</v>
      </c>
      <c r="E23" s="56"/>
      <c r="F23" s="56">
        <f t="shared" si="1"/>
        <v>0</v>
      </c>
      <c r="G23" s="11"/>
      <c r="H23" s="36">
        <f t="shared" si="0"/>
        <v>0</v>
      </c>
    </row>
    <row r="24" spans="1:10" ht="25.5" x14ac:dyDescent="0.25">
      <c r="A24" s="53" t="s">
        <v>84</v>
      </c>
      <c r="B24" s="44" t="s">
        <v>166</v>
      </c>
      <c r="C24" s="8">
        <v>4500</v>
      </c>
      <c r="D24" s="56"/>
      <c r="E24" s="56">
        <v>5000</v>
      </c>
      <c r="F24" s="56">
        <f t="shared" si="1"/>
        <v>9500</v>
      </c>
      <c r="G24" s="11">
        <f>4750</f>
        <v>4750</v>
      </c>
      <c r="H24" s="36">
        <f t="shared" si="0"/>
        <v>4750</v>
      </c>
    </row>
    <row r="25" spans="1:10" x14ac:dyDescent="0.25">
      <c r="A25" s="53" t="s">
        <v>85</v>
      </c>
      <c r="B25" s="63" t="s">
        <v>40</v>
      </c>
      <c r="C25" s="8"/>
      <c r="D25" s="56">
        <f>OCTOBER20!H25:H45</f>
        <v>0</v>
      </c>
      <c r="E25" s="56"/>
      <c r="F25" s="56">
        <f t="shared" si="1"/>
        <v>0</v>
      </c>
      <c r="G25" s="11"/>
      <c r="H25" s="36">
        <f t="shared" si="0"/>
        <v>0</v>
      </c>
    </row>
    <row r="26" spans="1:10" ht="15.75" x14ac:dyDescent="0.25">
      <c r="A26" s="7"/>
      <c r="B26" s="45" t="s">
        <v>9</v>
      </c>
      <c r="C26" s="15">
        <f>SUM(C6:C25)</f>
        <v>10500</v>
      </c>
      <c r="D26" s="56">
        <f>OCTOBER20!H26:H46</f>
        <v>12900</v>
      </c>
      <c r="E26" s="57">
        <f>SUM(E6:E25)</f>
        <v>20000</v>
      </c>
      <c r="F26" s="57">
        <f>SUM(F6:F25)</f>
        <v>32100</v>
      </c>
      <c r="G26" s="17">
        <f>SUM(G6:G25)</f>
        <v>18550</v>
      </c>
      <c r="H26" s="59">
        <f>SUM(H6:H25)</f>
        <v>13550</v>
      </c>
    </row>
    <row r="27" spans="1:10" x14ac:dyDescent="0.25">
      <c r="D27" s="6"/>
      <c r="E27" s="6" t="s">
        <v>28</v>
      </c>
      <c r="F27" s="6"/>
    </row>
    <row r="28" spans="1:10" x14ac:dyDescent="0.25">
      <c r="A28" s="49"/>
      <c r="B28" s="43"/>
      <c r="C28" s="8"/>
      <c r="D28" s="56">
        <f>'AUGUST 20'!I28:I44</f>
        <v>0</v>
      </c>
      <c r="E28" s="9"/>
      <c r="F28" s="56"/>
      <c r="G28" s="56" t="s">
        <v>6</v>
      </c>
      <c r="H28" s="9" t="s">
        <v>7</v>
      </c>
      <c r="I28" s="36" t="s">
        <v>15</v>
      </c>
    </row>
    <row r="29" spans="1:10" ht="25.5" x14ac:dyDescent="0.25">
      <c r="A29" s="49" t="s">
        <v>43</v>
      </c>
      <c r="B29" s="43" t="s">
        <v>113</v>
      </c>
      <c r="C29" s="8">
        <f>'AUGUST 20'!I29:I44</f>
        <v>0</v>
      </c>
      <c r="D29" s="56">
        <f>OCTOBER20!I29:I45</f>
        <v>1000</v>
      </c>
      <c r="E29" s="9">
        <v>2500</v>
      </c>
      <c r="F29" s="56">
        <v>2000</v>
      </c>
      <c r="G29" s="56">
        <f>C28+D29+F29</f>
        <v>3000</v>
      </c>
      <c r="H29" s="9">
        <f>2000+500</f>
        <v>2500</v>
      </c>
      <c r="I29" s="36">
        <f t="shared" ref="I29:I44" si="2">G29-H29</f>
        <v>500</v>
      </c>
    </row>
    <row r="30" spans="1:10" x14ac:dyDescent="0.25">
      <c r="A30" s="49" t="s">
        <v>44</v>
      </c>
      <c r="B30" s="35" t="s">
        <v>138</v>
      </c>
      <c r="C30" s="8"/>
      <c r="D30" s="56">
        <f>OCTOBER20!I30:I46</f>
        <v>0</v>
      </c>
      <c r="E30" s="9">
        <v>2500</v>
      </c>
      <c r="F30" s="56">
        <v>2000</v>
      </c>
      <c r="G30" s="56">
        <f>C29+D30+F30</f>
        <v>2000</v>
      </c>
      <c r="H30" s="13">
        <v>2000</v>
      </c>
      <c r="I30" s="36">
        <f t="shared" si="2"/>
        <v>0</v>
      </c>
    </row>
    <row r="31" spans="1:10" ht="25.5" x14ac:dyDescent="0.25">
      <c r="A31" s="49" t="s">
        <v>45</v>
      </c>
      <c r="B31" s="43" t="s">
        <v>30</v>
      </c>
      <c r="C31" s="8"/>
      <c r="D31" s="56">
        <f>OCTOBER20!I31:I47</f>
        <v>0</v>
      </c>
      <c r="E31" s="9">
        <v>2500</v>
      </c>
      <c r="F31" s="56">
        <v>2000</v>
      </c>
      <c r="G31" s="56">
        <f>C31+D31+F31</f>
        <v>2000</v>
      </c>
      <c r="H31" s="12">
        <f>1000+1000</f>
        <v>2000</v>
      </c>
      <c r="I31" s="36">
        <f t="shared" si="2"/>
        <v>0</v>
      </c>
    </row>
    <row r="32" spans="1:10" ht="25.5" x14ac:dyDescent="0.25">
      <c r="A32" s="49" t="s">
        <v>46</v>
      </c>
      <c r="B32" s="43" t="s">
        <v>31</v>
      </c>
      <c r="C32" s="8"/>
      <c r="D32" s="56">
        <f>OCTOBER20!I32:I48</f>
        <v>0</v>
      </c>
      <c r="E32" s="9">
        <v>2500</v>
      </c>
      <c r="F32" s="56">
        <v>2000</v>
      </c>
      <c r="G32" s="56">
        <f t="shared" ref="G32:G44" si="3">C32+D32+F32</f>
        <v>2000</v>
      </c>
      <c r="H32" s="11">
        <f>2000</f>
        <v>2000</v>
      </c>
      <c r="I32" s="36">
        <f t="shared" si="2"/>
        <v>0</v>
      </c>
    </row>
    <row r="33" spans="1:16" ht="25.5" x14ac:dyDescent="0.25">
      <c r="A33" s="49" t="s">
        <v>47</v>
      </c>
      <c r="B33" s="44" t="s">
        <v>32</v>
      </c>
      <c r="C33" s="8"/>
      <c r="D33" s="56"/>
      <c r="E33" s="9">
        <v>2500</v>
      </c>
      <c r="F33" s="56">
        <v>2000</v>
      </c>
      <c r="G33" s="56">
        <f>C33+D33+F33</f>
        <v>2000</v>
      </c>
      <c r="H33" s="14">
        <v>2000</v>
      </c>
      <c r="I33" s="36">
        <f>G33-H33</f>
        <v>0</v>
      </c>
    </row>
    <row r="34" spans="1:16" ht="25.5" x14ac:dyDescent="0.25">
      <c r="A34" s="49" t="s">
        <v>48</v>
      </c>
      <c r="B34" s="44" t="s">
        <v>37</v>
      </c>
      <c r="C34" s="8"/>
      <c r="D34" s="56">
        <f>OCTOBER20!I34:I50</f>
        <v>1300</v>
      </c>
      <c r="E34" s="9">
        <v>2500</v>
      </c>
      <c r="F34" s="56">
        <v>2000</v>
      </c>
      <c r="G34" s="56">
        <f t="shared" si="3"/>
        <v>3300</v>
      </c>
      <c r="H34" s="11">
        <f>1800</f>
        <v>1800</v>
      </c>
      <c r="I34" s="36">
        <f t="shared" si="2"/>
        <v>1500</v>
      </c>
    </row>
    <row r="35" spans="1:16" ht="25.5" x14ac:dyDescent="0.25">
      <c r="A35" s="49" t="s">
        <v>49</v>
      </c>
      <c r="B35" s="44" t="s">
        <v>132</v>
      </c>
      <c r="C35" s="8"/>
      <c r="D35" s="56">
        <f>OCTOBER20!I35:I51</f>
        <v>0</v>
      </c>
      <c r="E35" s="9">
        <v>2500</v>
      </c>
      <c r="F35" s="56">
        <v>2000</v>
      </c>
      <c r="G35" s="56">
        <f t="shared" si="3"/>
        <v>2000</v>
      </c>
      <c r="H35" s="11">
        <f>1000+1000</f>
        <v>2000</v>
      </c>
      <c r="I35" s="36">
        <f t="shared" si="2"/>
        <v>0</v>
      </c>
      <c r="P35" s="65">
        <f>F45</f>
        <v>30500</v>
      </c>
    </row>
    <row r="36" spans="1:16" ht="25.5" x14ac:dyDescent="0.25">
      <c r="A36" s="49" t="s">
        <v>50</v>
      </c>
      <c r="B36" s="43" t="s">
        <v>33</v>
      </c>
      <c r="C36" s="8"/>
      <c r="D36" s="56">
        <f>OCTOBER20!I36:I52</f>
        <v>1500</v>
      </c>
      <c r="E36" s="9">
        <v>2500</v>
      </c>
      <c r="F36" s="56">
        <v>2000</v>
      </c>
      <c r="G36" s="56">
        <f t="shared" si="3"/>
        <v>3500</v>
      </c>
      <c r="H36" s="11">
        <f>2000</f>
        <v>2000</v>
      </c>
      <c r="I36" s="36">
        <f t="shared" si="2"/>
        <v>1500</v>
      </c>
      <c r="P36" s="65">
        <f>E26</f>
        <v>20000</v>
      </c>
    </row>
    <row r="37" spans="1:16" ht="25.5" x14ac:dyDescent="0.25">
      <c r="A37" s="49" t="s">
        <v>51</v>
      </c>
      <c r="B37" s="43" t="s">
        <v>167</v>
      </c>
      <c r="C37" s="8"/>
      <c r="D37" s="56"/>
      <c r="E37" s="9">
        <v>2500</v>
      </c>
      <c r="F37" s="56">
        <v>2000</v>
      </c>
      <c r="G37" s="56">
        <f>C37+D37+F37</f>
        <v>2000</v>
      </c>
      <c r="H37" s="11">
        <f>1000+1000</f>
        <v>2000</v>
      </c>
      <c r="I37" s="36">
        <f t="shared" si="2"/>
        <v>0</v>
      </c>
      <c r="P37" s="65">
        <f>P35+P36</f>
        <v>50500</v>
      </c>
    </row>
    <row r="38" spans="1:16" ht="25.5" x14ac:dyDescent="0.25">
      <c r="A38" s="49" t="s">
        <v>52</v>
      </c>
      <c r="B38" s="44" t="s">
        <v>127</v>
      </c>
      <c r="C38" s="8"/>
      <c r="D38" s="56">
        <f>OCTOBER20!I38:I54</f>
        <v>0</v>
      </c>
      <c r="E38" s="9"/>
      <c r="F38" s="56">
        <v>2500</v>
      </c>
      <c r="G38" s="56">
        <v>2500</v>
      </c>
      <c r="H38" s="11">
        <v>2500</v>
      </c>
      <c r="I38" s="36">
        <f t="shared" si="2"/>
        <v>0</v>
      </c>
      <c r="O38" t="s">
        <v>171</v>
      </c>
      <c r="P38" s="65">
        <f>C51</f>
        <v>5050</v>
      </c>
    </row>
    <row r="39" spans="1:16" ht="38.25" x14ac:dyDescent="0.25">
      <c r="A39" s="49" t="s">
        <v>57</v>
      </c>
      <c r="B39" s="43" t="s">
        <v>107</v>
      </c>
      <c r="C39" s="8"/>
      <c r="D39" s="56">
        <f>OCTOBER20!I39:I55</f>
        <v>0</v>
      </c>
      <c r="E39" s="9"/>
      <c r="F39" s="56"/>
      <c r="G39" s="56">
        <f t="shared" si="3"/>
        <v>0</v>
      </c>
      <c r="H39" s="11"/>
      <c r="I39" s="36">
        <f t="shared" si="2"/>
        <v>0</v>
      </c>
      <c r="P39" s="65">
        <f>P37-P38</f>
        <v>45450</v>
      </c>
    </row>
    <row r="40" spans="1:16" ht="25.5" x14ac:dyDescent="0.25">
      <c r="A40" s="49" t="s">
        <v>58</v>
      </c>
      <c r="B40" s="43" t="s">
        <v>151</v>
      </c>
      <c r="C40" s="8"/>
      <c r="D40" s="56">
        <f>OCTOBER20!I40:I56</f>
        <v>0</v>
      </c>
      <c r="E40" s="9">
        <v>2500</v>
      </c>
      <c r="F40" s="56">
        <v>2000</v>
      </c>
      <c r="G40" s="56">
        <f>C40+D40+F40</f>
        <v>2000</v>
      </c>
      <c r="H40" s="11">
        <f>2000</f>
        <v>2000</v>
      </c>
      <c r="I40" s="36">
        <f t="shared" si="2"/>
        <v>0</v>
      </c>
      <c r="O40" t="s">
        <v>169</v>
      </c>
      <c r="P40" s="147">
        <v>18102</v>
      </c>
    </row>
    <row r="41" spans="1:16" ht="22.5" customHeight="1" x14ac:dyDescent="0.25">
      <c r="A41" s="49" t="s">
        <v>59</v>
      </c>
      <c r="B41" s="43" t="s">
        <v>131</v>
      </c>
      <c r="C41" s="8"/>
      <c r="D41" s="56">
        <f>OCTOBER20!I41:I57</f>
        <v>0</v>
      </c>
      <c r="E41" s="9">
        <v>2500</v>
      </c>
      <c r="F41" s="56">
        <v>2000</v>
      </c>
      <c r="G41" s="56">
        <f t="shared" si="3"/>
        <v>2000</v>
      </c>
      <c r="H41" s="11">
        <v>2000</v>
      </c>
      <c r="I41" s="36">
        <f t="shared" si="2"/>
        <v>0</v>
      </c>
      <c r="O41" t="s">
        <v>169</v>
      </c>
      <c r="P41" s="147">
        <f>22105</f>
        <v>22105</v>
      </c>
    </row>
    <row r="42" spans="1:16" ht="25.5" x14ac:dyDescent="0.25">
      <c r="A42" s="49" t="s">
        <v>60</v>
      </c>
      <c r="B42" s="43" t="s">
        <v>38</v>
      </c>
      <c r="C42" s="8"/>
      <c r="D42" s="56">
        <f>OCTOBER20!I42:I58</f>
        <v>1000</v>
      </c>
      <c r="E42" s="9">
        <v>2500</v>
      </c>
      <c r="F42" s="56">
        <v>2000</v>
      </c>
      <c r="G42" s="56">
        <f t="shared" si="3"/>
        <v>3000</v>
      </c>
      <c r="H42" s="11">
        <f>2000</f>
        <v>2000</v>
      </c>
      <c r="I42" s="36">
        <f t="shared" si="2"/>
        <v>1000</v>
      </c>
      <c r="P42" s="65">
        <f>P39-P40-P41</f>
        <v>5243</v>
      </c>
    </row>
    <row r="43" spans="1:16" ht="25.5" x14ac:dyDescent="0.25">
      <c r="A43" s="49" t="s">
        <v>61</v>
      </c>
      <c r="B43" s="43" t="s">
        <v>162</v>
      </c>
      <c r="C43" s="8"/>
      <c r="D43" s="56">
        <f>OCTOBER20!I43:I59</f>
        <v>0</v>
      </c>
      <c r="E43" s="9">
        <v>2500</v>
      </c>
      <c r="F43" s="56">
        <v>2000</v>
      </c>
      <c r="G43" s="56">
        <f t="shared" si="3"/>
        <v>2000</v>
      </c>
      <c r="H43" s="11"/>
      <c r="I43" s="36">
        <f t="shared" si="2"/>
        <v>2000</v>
      </c>
      <c r="N43" t="s">
        <v>172</v>
      </c>
      <c r="P43">
        <v>1186</v>
      </c>
    </row>
    <row r="44" spans="1:16" ht="25.5" x14ac:dyDescent="0.25">
      <c r="A44" s="49" t="s">
        <v>62</v>
      </c>
      <c r="B44" s="43" t="s">
        <v>150</v>
      </c>
      <c r="C44" s="8"/>
      <c r="D44" s="56">
        <f>OCTOBER20!I44:I61</f>
        <v>1800</v>
      </c>
      <c r="E44" s="9">
        <v>2500</v>
      </c>
      <c r="F44" s="56">
        <v>2000</v>
      </c>
      <c r="G44" s="56">
        <f t="shared" si="3"/>
        <v>3800</v>
      </c>
      <c r="H44" s="11"/>
      <c r="I44" s="36">
        <f t="shared" si="2"/>
        <v>3800</v>
      </c>
      <c r="J44" t="s">
        <v>174</v>
      </c>
      <c r="P44" s="65">
        <f>P42-P43</f>
        <v>4057</v>
      </c>
    </row>
    <row r="45" spans="1:16" ht="15.75" x14ac:dyDescent="0.25">
      <c r="A45" s="7"/>
      <c r="B45" s="45" t="s">
        <v>9</v>
      </c>
      <c r="C45" s="15">
        <f>SUM(C28:C40)</f>
        <v>0</v>
      </c>
      <c r="D45" s="56">
        <f>OCTOBER20!I45:I62</f>
        <v>10600</v>
      </c>
      <c r="E45" s="9">
        <f>SUM(E28:E44)</f>
        <v>35000</v>
      </c>
      <c r="F45" s="57">
        <f>SUM(F28:F44)</f>
        <v>30500</v>
      </c>
      <c r="G45" s="57">
        <f>SUM(G29:G44)</f>
        <v>37100</v>
      </c>
      <c r="H45" s="17">
        <f>SUM(H28:H44)</f>
        <v>26800</v>
      </c>
      <c r="I45" s="58">
        <f>SUM(I28:I44)</f>
        <v>10300</v>
      </c>
    </row>
    <row r="46" spans="1:16" x14ac:dyDescent="0.25">
      <c r="D46" s="56">
        <f>OCTOBER20!I46:I63</f>
        <v>17000</v>
      </c>
      <c r="N46" t="s">
        <v>158</v>
      </c>
      <c r="P46" s="65">
        <v>2000</v>
      </c>
    </row>
    <row r="47" spans="1:16" x14ac:dyDescent="0.25">
      <c r="D47" s="56">
        <f>OCTOBER20!I47:I64</f>
        <v>11500</v>
      </c>
      <c r="P47" s="65">
        <f>P44+P46</f>
        <v>6057</v>
      </c>
    </row>
    <row r="48" spans="1:16" x14ac:dyDescent="0.25">
      <c r="A48" s="60" t="s">
        <v>10</v>
      </c>
      <c r="B48" s="18"/>
      <c r="C48" s="19"/>
      <c r="D48" s="18"/>
      <c r="E48" s="66">
        <f>E45+E26</f>
        <v>55000</v>
      </c>
      <c r="F48" s="18"/>
      <c r="G48" s="18"/>
      <c r="H48" s="2"/>
      <c r="I48" s="21"/>
      <c r="N48" t="s">
        <v>180</v>
      </c>
      <c r="P48">
        <v>3800</v>
      </c>
    </row>
    <row r="49" spans="1:16" x14ac:dyDescent="0.25">
      <c r="A49" s="22" t="s">
        <v>11</v>
      </c>
      <c r="B49" s="22" t="s">
        <v>12</v>
      </c>
      <c r="C49" s="22" t="s">
        <v>13</v>
      </c>
      <c r="D49" s="22" t="s">
        <v>14</v>
      </c>
      <c r="E49" s="22"/>
      <c r="F49" s="22" t="s">
        <v>12</v>
      </c>
      <c r="G49" s="22"/>
      <c r="H49" s="22" t="s">
        <v>13</v>
      </c>
      <c r="I49" s="23" t="s">
        <v>15</v>
      </c>
      <c r="N49" t="s">
        <v>181</v>
      </c>
      <c r="P49">
        <v>2000</v>
      </c>
    </row>
    <row r="50" spans="1:16" x14ac:dyDescent="0.25">
      <c r="A50" s="24" t="s">
        <v>164</v>
      </c>
      <c r="B50" s="25">
        <f>F45+E26</f>
        <v>50500</v>
      </c>
      <c r="C50" s="26"/>
      <c r="D50" s="26"/>
      <c r="E50" s="26" t="s">
        <v>164</v>
      </c>
      <c r="F50" s="25">
        <f>H45+G26</f>
        <v>45350</v>
      </c>
      <c r="G50" s="25"/>
      <c r="H50" s="26"/>
      <c r="I50" s="25"/>
      <c r="P50" s="65">
        <f>P47-P48-P49</f>
        <v>257</v>
      </c>
    </row>
    <row r="51" spans="1:16" x14ac:dyDescent="0.25">
      <c r="A51" s="24" t="s">
        <v>17</v>
      </c>
      <c r="B51" s="27">
        <v>0.1</v>
      </c>
      <c r="C51" s="28">
        <f>B51*B50</f>
        <v>5050</v>
      </c>
      <c r="D51" s="24"/>
      <c r="E51" s="24" t="s">
        <v>155</v>
      </c>
      <c r="F51" s="27">
        <v>0.1</v>
      </c>
      <c r="G51" s="27"/>
      <c r="H51" s="28">
        <f>F51*B50</f>
        <v>5050</v>
      </c>
      <c r="I51" s="25"/>
    </row>
    <row r="52" spans="1:16" x14ac:dyDescent="0.25">
      <c r="A52" s="29"/>
      <c r="B52" s="28"/>
      <c r="C52" s="24"/>
      <c r="D52" s="24"/>
      <c r="E52" s="24"/>
      <c r="F52" s="28"/>
      <c r="G52" s="28"/>
      <c r="H52" s="24"/>
      <c r="I52" s="25"/>
    </row>
    <row r="53" spans="1:16" x14ac:dyDescent="0.25">
      <c r="A53" s="24"/>
      <c r="B53" s="27"/>
      <c r="C53" s="28"/>
      <c r="D53" s="24"/>
      <c r="E53" s="24"/>
      <c r="F53" s="27"/>
      <c r="G53" s="27"/>
      <c r="H53" s="28"/>
      <c r="I53" s="25"/>
    </row>
    <row r="54" spans="1:16" x14ac:dyDescent="0.25">
      <c r="A54" s="29" t="s">
        <v>225</v>
      </c>
      <c r="B54" s="28">
        <v>2000</v>
      </c>
      <c r="D54" s="24"/>
      <c r="E54" s="24" t="s">
        <v>158</v>
      </c>
      <c r="F54" s="28"/>
      <c r="G54" s="28"/>
      <c r="H54" s="24"/>
      <c r="I54" s="25"/>
    </row>
    <row r="55" spans="1:16" x14ac:dyDescent="0.25">
      <c r="A55" s="29" t="s">
        <v>19</v>
      </c>
      <c r="B55" s="28">
        <f>OCTOBER20!D62</f>
        <v>-1186</v>
      </c>
      <c r="C55" s="24"/>
      <c r="D55" s="24"/>
      <c r="E55" s="24" t="s">
        <v>19</v>
      </c>
      <c r="F55" s="28">
        <f>OCTOBER20!I62</f>
        <v>-2686</v>
      </c>
      <c r="G55" s="28"/>
      <c r="H55" s="24"/>
      <c r="I55" s="25"/>
    </row>
    <row r="56" spans="1:16" x14ac:dyDescent="0.25">
      <c r="A56" s="29" t="s">
        <v>9</v>
      </c>
      <c r="B56" s="28">
        <f>B50+B52+B55+B54</f>
        <v>51314</v>
      </c>
      <c r="C56" s="24"/>
      <c r="D56" s="24"/>
      <c r="E56" s="24" t="s">
        <v>9</v>
      </c>
      <c r="F56" s="28">
        <f>F50+F52+F55+F53</f>
        <v>42664</v>
      </c>
      <c r="G56" s="28"/>
      <c r="H56" s="24"/>
      <c r="I56" s="25"/>
    </row>
    <row r="57" spans="1:16" x14ac:dyDescent="0.25">
      <c r="A57" s="30" t="s">
        <v>20</v>
      </c>
      <c r="B57" s="27"/>
      <c r="C57" s="31"/>
      <c r="D57" s="24"/>
      <c r="E57" s="24"/>
      <c r="F57" s="30" t="s">
        <v>20</v>
      </c>
      <c r="G57" s="27"/>
      <c r="H57" s="31"/>
      <c r="I57" s="25"/>
    </row>
    <row r="58" spans="1:16" x14ac:dyDescent="0.25">
      <c r="A58" s="32" t="s">
        <v>144</v>
      </c>
      <c r="B58" s="33"/>
      <c r="C58" s="34"/>
      <c r="D58" s="35"/>
      <c r="E58" s="35"/>
      <c r="F58" s="32" t="s">
        <v>144</v>
      </c>
      <c r="G58" s="33"/>
      <c r="H58" s="34"/>
      <c r="I58" s="35"/>
    </row>
    <row r="59" spans="1:16" x14ac:dyDescent="0.25">
      <c r="A59" s="37" t="s">
        <v>169</v>
      </c>
      <c r="C59" s="38">
        <v>18102</v>
      </c>
      <c r="D59" s="33"/>
      <c r="E59" s="33"/>
      <c r="F59" s="37" t="s">
        <v>169</v>
      </c>
      <c r="H59" s="38">
        <v>18102</v>
      </c>
      <c r="I59" s="36"/>
    </row>
    <row r="60" spans="1:16" x14ac:dyDescent="0.25">
      <c r="A60" s="37" t="s">
        <v>169</v>
      </c>
      <c r="B60" s="33"/>
      <c r="C60" s="38">
        <v>22105</v>
      </c>
      <c r="D60" s="33"/>
      <c r="E60" s="33"/>
      <c r="F60" s="37" t="s">
        <v>169</v>
      </c>
      <c r="G60" s="33"/>
      <c r="H60" s="38">
        <v>22105</v>
      </c>
      <c r="I60" s="36"/>
    </row>
    <row r="61" spans="1:16" x14ac:dyDescent="0.25">
      <c r="A61" s="37" t="s">
        <v>182</v>
      </c>
      <c r="B61" s="33"/>
      <c r="C61" s="38">
        <v>2000</v>
      </c>
      <c r="D61" s="33"/>
      <c r="E61" s="33"/>
      <c r="F61" s="37"/>
      <c r="G61" s="33"/>
      <c r="H61" s="38"/>
      <c r="I61" s="36"/>
    </row>
    <row r="62" spans="1:16" x14ac:dyDescent="0.25">
      <c r="A62" s="37" t="s">
        <v>183</v>
      </c>
      <c r="B62" s="33"/>
      <c r="C62" s="38">
        <v>3800</v>
      </c>
      <c r="D62" s="33"/>
      <c r="E62" s="33"/>
      <c r="F62" s="37"/>
      <c r="G62" s="33"/>
      <c r="H62" s="38"/>
      <c r="I62" s="36"/>
    </row>
    <row r="63" spans="1:16" x14ac:dyDescent="0.25">
      <c r="A63" s="37" t="s">
        <v>178</v>
      </c>
      <c r="B63" s="33"/>
      <c r="C63" s="38">
        <v>30000</v>
      </c>
      <c r="D63" s="33"/>
      <c r="E63" s="33"/>
      <c r="F63" s="37" t="s">
        <v>178</v>
      </c>
      <c r="G63" s="33"/>
      <c r="H63" s="38">
        <v>30000</v>
      </c>
      <c r="I63" s="36"/>
    </row>
    <row r="64" spans="1:16" x14ac:dyDescent="0.25">
      <c r="A64" s="37"/>
      <c r="B64" s="33"/>
      <c r="C64" s="38"/>
      <c r="D64" s="33"/>
      <c r="E64" s="33"/>
      <c r="F64" s="37"/>
      <c r="G64" s="33"/>
      <c r="H64" s="38"/>
      <c r="I64" s="36"/>
    </row>
    <row r="65" spans="1:10" x14ac:dyDescent="0.25">
      <c r="A65" s="39" t="s">
        <v>9</v>
      </c>
      <c r="B65" s="40">
        <f>B50+B52+B53+B54+B55-C51-C53</f>
        <v>46264</v>
      </c>
      <c r="C65" s="41">
        <f>SUM(C58:C64)</f>
        <v>76007</v>
      </c>
      <c r="D65" s="41">
        <f>B65-C65</f>
        <v>-29743</v>
      </c>
      <c r="E65" s="41"/>
      <c r="F65" s="40">
        <f>F50+F52+F55-H51-H53</f>
        <v>37614</v>
      </c>
      <c r="G65" s="40"/>
      <c r="H65" s="41">
        <f>SUM(H58:H64)</f>
        <v>70207</v>
      </c>
      <c r="I65" s="41">
        <f>F65-H65</f>
        <v>-32593</v>
      </c>
    </row>
    <row r="66" spans="1:10" x14ac:dyDescent="0.25">
      <c r="A66" s="2" t="s">
        <v>21</v>
      </c>
      <c r="B66" s="42"/>
      <c r="D66" s="2" t="s">
        <v>22</v>
      </c>
      <c r="E66" s="2"/>
      <c r="H66" s="2" t="s">
        <v>23</v>
      </c>
      <c r="I66" s="21"/>
    </row>
    <row r="67" spans="1:10" x14ac:dyDescent="0.25">
      <c r="A67" s="2" t="s">
        <v>64</v>
      </c>
      <c r="B67" s="2"/>
      <c r="D67" s="2" t="s">
        <v>24</v>
      </c>
      <c r="E67" s="2"/>
      <c r="H67" s="2" t="s">
        <v>26</v>
      </c>
    </row>
    <row r="73" spans="1:10" x14ac:dyDescent="0.25">
      <c r="J73" s="147">
        <f>C59+C64+5000</f>
        <v>23102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MARCH 20</vt:lpstr>
      <vt:lpstr>APRIL 20</vt:lpstr>
      <vt:lpstr>MAY 20</vt:lpstr>
      <vt:lpstr>JUNE 20</vt:lpstr>
      <vt:lpstr>JULY 20</vt:lpstr>
      <vt:lpstr>AUGUST 20</vt:lpstr>
      <vt:lpstr>SEPTEMBER</vt:lpstr>
      <vt:lpstr>OCTOBER20</vt:lpstr>
      <vt:lpstr>NOVEMBER20</vt:lpstr>
      <vt:lpstr>DECEMBER 20</vt:lpstr>
      <vt:lpstr>JANUARY 21</vt:lpstr>
      <vt:lpstr>FEBRUARY 21</vt:lpstr>
      <vt:lpstr>MARCH 21</vt:lpstr>
      <vt:lpstr>APRIL 21</vt:lpstr>
      <vt:lpstr>MAY21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Njeri</dc:creator>
  <cp:lastModifiedBy>ASSETFLOW PC3</cp:lastModifiedBy>
  <cp:lastPrinted>2021-01-25T11:53:29Z</cp:lastPrinted>
  <dcterms:created xsi:type="dcterms:W3CDTF">2020-03-10T08:22:43Z</dcterms:created>
  <dcterms:modified xsi:type="dcterms:W3CDTF">2021-12-08T09:37:00Z</dcterms:modified>
</cp:coreProperties>
</file>