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720" yWindow="405" windowWidth="15480" windowHeight="11490" firstSheet="10" activeTab="13"/>
  </bookViews>
  <sheets>
    <sheet name="NOVEMBER 20" sheetId="1" r:id="rId1"/>
    <sheet name="DECEMBER 20" sheetId="2" r:id="rId2"/>
    <sheet name="JANUARY 21" sheetId="3" r:id="rId3"/>
    <sheet name="FEBRUARY 21" sheetId="4" r:id="rId4"/>
    <sheet name="MARCH 21" sheetId="5" r:id="rId5"/>
    <sheet name="APRIL21" sheetId="6" r:id="rId6"/>
    <sheet name="MAY 21" sheetId="7" r:id="rId7"/>
    <sheet name="JUNE 21" sheetId="8" r:id="rId8"/>
    <sheet name="JULY21" sheetId="9" r:id="rId9"/>
    <sheet name="AUGUST 21" sheetId="10" r:id="rId10"/>
    <sheet name="SEPTEMBER 21" sheetId="11" r:id="rId11"/>
    <sheet name="OCTOBER 21" sheetId="12" r:id="rId12"/>
    <sheet name="NOVEMBER 21" sheetId="13" r:id="rId13"/>
    <sheet name="DECEMBER 21" sheetId="14" r:id="rId14"/>
  </sheets>
  <calcPr calcId="162913"/>
</workbook>
</file>

<file path=xl/calcChain.xml><?xml version="1.0" encoding="utf-8"?>
<calcChain xmlns="http://schemas.openxmlformats.org/spreadsheetml/2006/main">
  <c r="I19" i="14" l="1"/>
  <c r="I35" i="14" l="1"/>
  <c r="D35" i="14"/>
  <c r="D21" i="14"/>
  <c r="K20" i="14"/>
  <c r="C29" i="14" s="1"/>
  <c r="G20" i="14"/>
  <c r="C25" i="14" s="1"/>
  <c r="F20" i="14"/>
  <c r="C27" i="14" s="1"/>
  <c r="E20" i="14"/>
  <c r="C28" i="14" s="1"/>
  <c r="C20" i="14"/>
  <c r="I20" i="14"/>
  <c r="G25" i="14" s="1"/>
  <c r="I31" i="14" l="1"/>
  <c r="D31" i="14"/>
  <c r="I11" i="13"/>
  <c r="I19" i="13" l="1"/>
  <c r="I17" i="13"/>
  <c r="I14" i="13" l="1"/>
  <c r="I11" i="11" l="1"/>
  <c r="I35" i="13" l="1"/>
  <c r="D35" i="13"/>
  <c r="D21" i="13"/>
  <c r="K20" i="13"/>
  <c r="C29" i="13" s="1"/>
  <c r="I20" i="13"/>
  <c r="G25" i="13" s="1"/>
  <c r="G20" i="13"/>
  <c r="C25" i="13" s="1"/>
  <c r="F20" i="13"/>
  <c r="C27" i="13" s="1"/>
  <c r="E20" i="13"/>
  <c r="C28" i="13" s="1"/>
  <c r="C20" i="13"/>
  <c r="I31" i="13" l="1"/>
  <c r="D31" i="13"/>
  <c r="I14" i="11"/>
  <c r="D19" i="12" l="1"/>
  <c r="H19" i="12" s="1"/>
  <c r="J19" i="12" s="1"/>
  <c r="D21" i="12"/>
  <c r="I37" i="12"/>
  <c r="D37" i="12"/>
  <c r="K20" i="12"/>
  <c r="C29" i="12" s="1"/>
  <c r="G20" i="12"/>
  <c r="C25" i="12" s="1"/>
  <c r="F20" i="12"/>
  <c r="C27" i="12" s="1"/>
  <c r="E20" i="12"/>
  <c r="C28" i="12" s="1"/>
  <c r="C20" i="12"/>
  <c r="I20" i="12"/>
  <c r="G25" i="12" s="1"/>
  <c r="D19" i="13" l="1"/>
  <c r="H19" i="13" s="1"/>
  <c r="J19" i="13" s="1"/>
  <c r="D19" i="14"/>
  <c r="H19" i="14" s="1"/>
  <c r="J19" i="14" s="1"/>
  <c r="I31" i="12"/>
  <c r="D31" i="12"/>
  <c r="I9" i="10" l="1"/>
  <c r="I15" i="11" l="1"/>
  <c r="I13" i="11" l="1"/>
  <c r="I16" i="11" l="1"/>
  <c r="D19" i="11" l="1"/>
  <c r="I37" i="11"/>
  <c r="D37" i="11"/>
  <c r="K20" i="11"/>
  <c r="C29" i="11" s="1"/>
  <c r="G20" i="11"/>
  <c r="C25" i="11" s="1"/>
  <c r="F20" i="11"/>
  <c r="C27" i="11" s="1"/>
  <c r="E20" i="11"/>
  <c r="C28" i="11" s="1"/>
  <c r="C20" i="11"/>
  <c r="H19" i="11"/>
  <c r="H9" i="11"/>
  <c r="J9" i="11" s="1"/>
  <c r="D9" i="12" s="1"/>
  <c r="H9" i="12" s="1"/>
  <c r="J9" i="12" s="1"/>
  <c r="I20" i="11"/>
  <c r="G25" i="11" s="1"/>
  <c r="I11" i="10"/>
  <c r="D9" i="13" l="1"/>
  <c r="H9" i="13" s="1"/>
  <c r="J9" i="13" s="1"/>
  <c r="D9" i="14"/>
  <c r="H9" i="14" s="1"/>
  <c r="J9" i="14" s="1"/>
  <c r="I31" i="11"/>
  <c r="D31" i="11"/>
  <c r="I14" i="10"/>
  <c r="I7" i="10"/>
  <c r="I13" i="10" l="1"/>
  <c r="I18" i="10" l="1"/>
  <c r="I37" i="10" l="1"/>
  <c r="D37" i="10"/>
  <c r="K20" i="10"/>
  <c r="C29" i="10" s="1"/>
  <c r="G20" i="10"/>
  <c r="C25" i="10" s="1"/>
  <c r="F20" i="10"/>
  <c r="C27" i="10" s="1"/>
  <c r="E20" i="10"/>
  <c r="C28" i="10" s="1"/>
  <c r="C20" i="10"/>
  <c r="I31" i="10" l="1"/>
  <c r="D31" i="10"/>
  <c r="I9" i="9"/>
  <c r="I6" i="9" l="1"/>
  <c r="I7" i="9" l="1"/>
  <c r="I18" i="9" l="1"/>
  <c r="I13" i="9" l="1"/>
  <c r="I14" i="9" l="1"/>
  <c r="I10" i="9" l="1"/>
  <c r="I37" i="9" l="1"/>
  <c r="D37" i="9"/>
  <c r="K20" i="9"/>
  <c r="C29" i="9" s="1"/>
  <c r="G20" i="9"/>
  <c r="C25" i="9" s="1"/>
  <c r="F20" i="9"/>
  <c r="C27" i="9" s="1"/>
  <c r="E20" i="9"/>
  <c r="C28" i="9" s="1"/>
  <c r="C20" i="9"/>
  <c r="H19" i="9"/>
  <c r="J19" i="9" s="1"/>
  <c r="D19" i="10" s="1"/>
  <c r="H19" i="10" s="1"/>
  <c r="I20" i="9"/>
  <c r="G25" i="9" s="1"/>
  <c r="I31" i="9" l="1"/>
  <c r="D31" i="9"/>
  <c r="M23" i="8"/>
  <c r="M24" i="8" s="1"/>
  <c r="M25" i="8" s="1"/>
  <c r="I8" i="8"/>
  <c r="I9" i="8" l="1"/>
  <c r="O19" i="7"/>
  <c r="O20" i="7"/>
  <c r="N20" i="7"/>
  <c r="N19" i="7"/>
  <c r="N21" i="7" l="1"/>
  <c r="O21" i="7"/>
  <c r="I16" i="8"/>
  <c r="I13" i="8" l="1"/>
  <c r="I15" i="8" l="1"/>
  <c r="I14" i="8" l="1"/>
  <c r="I10" i="8" l="1"/>
  <c r="I16" i="7" l="1"/>
  <c r="I9" i="7" l="1"/>
  <c r="I37" i="8" l="1"/>
  <c r="D37" i="8"/>
  <c r="K20" i="8"/>
  <c r="C29" i="8" s="1"/>
  <c r="G20" i="8"/>
  <c r="C25" i="8" s="1"/>
  <c r="F20" i="8"/>
  <c r="C27" i="8" s="1"/>
  <c r="E20" i="8"/>
  <c r="C28" i="8" s="1"/>
  <c r="C20" i="8"/>
  <c r="H11" i="8"/>
  <c r="J11" i="8" s="1"/>
  <c r="D11" i="9" s="1"/>
  <c r="H11" i="9" s="1"/>
  <c r="J11" i="9" s="1"/>
  <c r="D11" i="10" s="1"/>
  <c r="H11" i="10" s="1"/>
  <c r="J11" i="10" s="1"/>
  <c r="D11" i="11" s="1"/>
  <c r="H11" i="11" s="1"/>
  <c r="J11" i="11" s="1"/>
  <c r="D11" i="12" s="1"/>
  <c r="H11" i="12" s="1"/>
  <c r="J11" i="12" s="1"/>
  <c r="I20" i="8"/>
  <c r="G25" i="8" s="1"/>
  <c r="D11" i="13" l="1"/>
  <c r="H11" i="13" s="1"/>
  <c r="D11" i="14"/>
  <c r="H11" i="14" s="1"/>
  <c r="J11" i="14" s="1"/>
  <c r="J11" i="13"/>
  <c r="I31" i="8"/>
  <c r="D31" i="8"/>
  <c r="I12" i="7"/>
  <c r="I8" i="7" l="1"/>
  <c r="G20" i="7" l="1"/>
  <c r="I11" i="7" l="1"/>
  <c r="I37" i="7" l="1"/>
  <c r="D37" i="7"/>
  <c r="K20" i="7"/>
  <c r="C29" i="7" s="1"/>
  <c r="I20" i="7"/>
  <c r="G25" i="7" s="1"/>
  <c r="C25" i="7"/>
  <c r="I31" i="7" s="1"/>
  <c r="F20" i="7"/>
  <c r="C27" i="7" s="1"/>
  <c r="E20" i="7"/>
  <c r="C28" i="7" s="1"/>
  <c r="C20" i="7"/>
  <c r="C30" i="7" s="1"/>
  <c r="H17" i="7"/>
  <c r="J17" i="7" s="1"/>
  <c r="D17" i="8" s="1"/>
  <c r="H17" i="8" s="1"/>
  <c r="J17" i="8" s="1"/>
  <c r="D17" i="9" s="1"/>
  <c r="H17" i="9" s="1"/>
  <c r="J17" i="9" s="1"/>
  <c r="D17" i="10" s="1"/>
  <c r="H17" i="10" s="1"/>
  <c r="J17" i="10" s="1"/>
  <c r="D17" i="11" s="1"/>
  <c r="H17" i="11" s="1"/>
  <c r="J17" i="11" s="1"/>
  <c r="D17" i="12" s="1"/>
  <c r="H17" i="12" s="1"/>
  <c r="J17" i="12" s="1"/>
  <c r="D17" i="13" l="1"/>
  <c r="H17" i="13" s="1"/>
  <c r="J17" i="13" s="1"/>
  <c r="D17" i="14"/>
  <c r="H17" i="14" s="1"/>
  <c r="J17" i="14" s="1"/>
  <c r="D31" i="7"/>
  <c r="K20" i="6"/>
  <c r="C29" i="6" s="1"/>
  <c r="I11" i="6" l="1"/>
  <c r="I15" i="6" l="1"/>
  <c r="I14" i="6" l="1"/>
  <c r="I9" i="6" l="1"/>
  <c r="F20" i="6" l="1"/>
  <c r="G20" i="6"/>
  <c r="I37" i="6" l="1"/>
  <c r="D37" i="6"/>
  <c r="C25" i="6"/>
  <c r="I31" i="6" s="1"/>
  <c r="C27" i="6"/>
  <c r="E20" i="6"/>
  <c r="C28" i="6" s="1"/>
  <c r="C20" i="6"/>
  <c r="C30" i="6" s="1"/>
  <c r="I20" i="6"/>
  <c r="G25" i="6" s="1"/>
  <c r="D31" i="6" l="1"/>
  <c r="N18" i="2"/>
  <c r="N38" i="3"/>
  <c r="I19" i="5" l="1"/>
  <c r="I8" i="5" l="1"/>
  <c r="I9" i="5" l="1"/>
  <c r="I11" i="5" l="1"/>
  <c r="I15" i="5" l="1"/>
  <c r="I8" i="4" l="1"/>
  <c r="I36" i="5"/>
  <c r="D36" i="5"/>
  <c r="K20" i="5"/>
  <c r="G20" i="5"/>
  <c r="C25" i="5" s="1"/>
  <c r="I31" i="5" s="1"/>
  <c r="F20" i="5"/>
  <c r="C27" i="5" s="1"/>
  <c r="E20" i="5"/>
  <c r="C28" i="5" s="1"/>
  <c r="C20" i="5"/>
  <c r="C30" i="5" s="1"/>
  <c r="I20" i="5"/>
  <c r="G25" i="5" s="1"/>
  <c r="D31" i="5" l="1"/>
  <c r="R28" i="4"/>
  <c r="I9" i="4" l="1"/>
  <c r="I17" i="4" l="1"/>
  <c r="I14" i="4" l="1"/>
  <c r="I15" i="4" l="1"/>
  <c r="K36" i="4" l="1"/>
  <c r="F36" i="4"/>
  <c r="K20" i="4"/>
  <c r="C29" i="4" s="1"/>
  <c r="G20" i="4"/>
  <c r="C25" i="4" s="1"/>
  <c r="F20" i="4"/>
  <c r="C27" i="4" s="1"/>
  <c r="E20" i="4"/>
  <c r="C28" i="4" s="1"/>
  <c r="C20" i="4"/>
  <c r="H13" i="4"/>
  <c r="J13" i="4" s="1"/>
  <c r="D13" i="5" s="1"/>
  <c r="H13" i="5" s="1"/>
  <c r="J13" i="5" s="1"/>
  <c r="D13" i="6" s="1"/>
  <c r="H13" i="6" s="1"/>
  <c r="J13" i="6" s="1"/>
  <c r="D13" i="7" s="1"/>
  <c r="H13" i="7" s="1"/>
  <c r="J13" i="7" s="1"/>
  <c r="D13" i="8" s="1"/>
  <c r="H13" i="8" s="1"/>
  <c r="J13" i="8" s="1"/>
  <c r="D13" i="9" s="1"/>
  <c r="H13" i="9" s="1"/>
  <c r="J13" i="9" s="1"/>
  <c r="D13" i="10" s="1"/>
  <c r="H13" i="10" s="1"/>
  <c r="J13" i="10" s="1"/>
  <c r="D13" i="11" s="1"/>
  <c r="H13" i="11" s="1"/>
  <c r="J13" i="11" s="1"/>
  <c r="D13" i="12" s="1"/>
  <c r="H13" i="12" s="1"/>
  <c r="J13" i="12" s="1"/>
  <c r="I20" i="4"/>
  <c r="I25" i="4" s="1"/>
  <c r="D13" i="13" l="1"/>
  <c r="H13" i="13" s="1"/>
  <c r="J13" i="13" s="1"/>
  <c r="D13" i="14"/>
  <c r="H13" i="14" s="1"/>
  <c r="J13" i="14" s="1"/>
  <c r="K31" i="4"/>
  <c r="F31" i="4"/>
  <c r="H19" i="6" l="1"/>
  <c r="I9" i="3"/>
  <c r="J19" i="6" l="1"/>
  <c r="I19" i="3"/>
  <c r="D19" i="7" l="1"/>
  <c r="H19" i="7" s="1"/>
  <c r="J19" i="7" s="1"/>
  <c r="D19" i="8" s="1"/>
  <c r="H19" i="8" s="1"/>
  <c r="J19" i="8" s="1"/>
  <c r="I11" i="3"/>
  <c r="I14" i="3" l="1"/>
  <c r="I13" i="3"/>
  <c r="K36" i="3" l="1"/>
  <c r="F36" i="3"/>
  <c r="K20" i="3"/>
  <c r="C29" i="3" s="1"/>
  <c r="G20" i="3"/>
  <c r="C25" i="3" s="1"/>
  <c r="F20" i="3"/>
  <c r="C27" i="3" s="1"/>
  <c r="E20" i="3"/>
  <c r="C28" i="3" s="1"/>
  <c r="C20" i="3"/>
  <c r="C30" i="3" s="1"/>
  <c r="I20" i="3"/>
  <c r="I25" i="3" s="1"/>
  <c r="I18" i="2"/>
  <c r="K31" i="3" l="1"/>
  <c r="F31" i="3"/>
  <c r="I6" i="2"/>
  <c r="I17" i="2" l="1"/>
  <c r="I11" i="2"/>
  <c r="I9" i="2"/>
  <c r="G41" i="2" l="1"/>
  <c r="K20" i="2"/>
  <c r="D29" i="2" s="1"/>
  <c r="G20" i="2"/>
  <c r="D25" i="2" s="1"/>
  <c r="F20" i="2"/>
  <c r="D27" i="2" s="1"/>
  <c r="E20" i="2"/>
  <c r="C20" i="2"/>
  <c r="D30" i="2" s="1"/>
  <c r="H19" i="2"/>
  <c r="J19" i="2" s="1"/>
  <c r="D19" i="3" s="1"/>
  <c r="H19" i="3" s="1"/>
  <c r="J19" i="3" s="1"/>
  <c r="D19" i="4" s="1"/>
  <c r="H19" i="4" s="1"/>
  <c r="J19" i="4" s="1"/>
  <c r="D19" i="5" s="1"/>
  <c r="H19" i="5" s="1"/>
  <c r="J19" i="5" s="1"/>
  <c r="I20" i="2"/>
  <c r="J25" i="2" s="1"/>
  <c r="L41" i="2" l="1"/>
  <c r="D28" i="2"/>
  <c r="G31" i="2"/>
  <c r="L31" i="2"/>
  <c r="I12" i="1"/>
  <c r="I14" i="1" l="1"/>
  <c r="I9" i="1" l="1"/>
  <c r="G20" i="1"/>
  <c r="I8" i="1" l="1"/>
  <c r="G41" i="1" l="1"/>
  <c r="I13" i="1" l="1"/>
  <c r="K20" i="1" l="1"/>
  <c r="D29" i="1" s="1"/>
  <c r="I18" i="1"/>
  <c r="H18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9" i="1"/>
  <c r="J19" i="1" s="1"/>
  <c r="H20" i="1" l="1"/>
  <c r="I16" i="1" l="1"/>
  <c r="E20" i="1" l="1"/>
  <c r="L33" i="1" s="1"/>
  <c r="D20" i="1" l="1"/>
  <c r="C20" i="1"/>
  <c r="D30" i="1" s="1"/>
  <c r="F20" i="1"/>
  <c r="D27" i="1" s="1"/>
  <c r="L41" i="1"/>
  <c r="I20" i="1"/>
  <c r="J25" i="1" s="1"/>
  <c r="J7" i="1"/>
  <c r="D7" i="2" s="1"/>
  <c r="H7" i="2" s="1"/>
  <c r="J7" i="2" s="1"/>
  <c r="D7" i="3" s="1"/>
  <c r="H7" i="3" s="1"/>
  <c r="J7" i="3" s="1"/>
  <c r="D7" i="4" s="1"/>
  <c r="H7" i="4" s="1"/>
  <c r="J7" i="4" s="1"/>
  <c r="D7" i="5" s="1"/>
  <c r="H7" i="5" s="1"/>
  <c r="J7" i="5" s="1"/>
  <c r="D7" i="6" s="1"/>
  <c r="H7" i="6" s="1"/>
  <c r="J7" i="6" s="1"/>
  <c r="D7" i="7" s="1"/>
  <c r="H7" i="7" s="1"/>
  <c r="J7" i="7" s="1"/>
  <c r="D7" i="8" s="1"/>
  <c r="H7" i="8" s="1"/>
  <c r="J7" i="8" s="1"/>
  <c r="D7" i="9" s="1"/>
  <c r="H7" i="9" s="1"/>
  <c r="J7" i="9" s="1"/>
  <c r="D7" i="10" s="1"/>
  <c r="H7" i="10" s="1"/>
  <c r="J7" i="10" s="1"/>
  <c r="D7" i="11" s="1"/>
  <c r="H7" i="11" s="1"/>
  <c r="J7" i="11" s="1"/>
  <c r="D7" i="12" s="1"/>
  <c r="H7" i="12" s="1"/>
  <c r="J7" i="12" s="1"/>
  <c r="J9" i="1"/>
  <c r="D9" i="2" s="1"/>
  <c r="H9" i="2" s="1"/>
  <c r="J9" i="2" s="1"/>
  <c r="J11" i="1"/>
  <c r="D11" i="2" s="1"/>
  <c r="H11" i="2" s="1"/>
  <c r="J11" i="2" s="1"/>
  <c r="D11" i="3" s="1"/>
  <c r="J13" i="1"/>
  <c r="D13" i="2" s="1"/>
  <c r="H13" i="2" s="1"/>
  <c r="J13" i="2" s="1"/>
  <c r="D13" i="3" s="1"/>
  <c r="H13" i="3" s="1"/>
  <c r="J13" i="3" s="1"/>
  <c r="J15" i="1"/>
  <c r="D15" i="2" s="1"/>
  <c r="H15" i="2" s="1"/>
  <c r="J15" i="2" s="1"/>
  <c r="D15" i="3" s="1"/>
  <c r="H15" i="3" s="1"/>
  <c r="J15" i="3" s="1"/>
  <c r="D15" i="4" s="1"/>
  <c r="H15" i="4" s="1"/>
  <c r="J15" i="4" s="1"/>
  <c r="D15" i="5" s="1"/>
  <c r="H15" i="5" s="1"/>
  <c r="J15" i="5" s="1"/>
  <c r="D15" i="6" s="1"/>
  <c r="H15" i="6" s="1"/>
  <c r="J15" i="6" s="1"/>
  <c r="D15" i="7" s="1"/>
  <c r="H15" i="7" s="1"/>
  <c r="J15" i="7" s="1"/>
  <c r="D15" i="8" s="1"/>
  <c r="H15" i="8" s="1"/>
  <c r="J15" i="8" s="1"/>
  <c r="D15" i="9" s="1"/>
  <c r="H15" i="9" s="1"/>
  <c r="J15" i="9" s="1"/>
  <c r="D15" i="10" s="1"/>
  <c r="H15" i="10" s="1"/>
  <c r="J15" i="10" s="1"/>
  <c r="D15" i="11" s="1"/>
  <c r="H15" i="11" s="1"/>
  <c r="J15" i="11" s="1"/>
  <c r="D15" i="12" s="1"/>
  <c r="H15" i="12" s="1"/>
  <c r="J15" i="12" s="1"/>
  <c r="J16" i="1"/>
  <c r="D16" i="2" s="1"/>
  <c r="H16" i="2" s="1"/>
  <c r="J16" i="2" s="1"/>
  <c r="D16" i="3" s="1"/>
  <c r="H16" i="3" s="1"/>
  <c r="J16" i="3" s="1"/>
  <c r="D16" i="4" s="1"/>
  <c r="H16" i="4" s="1"/>
  <c r="J16" i="4" s="1"/>
  <c r="D16" i="5" s="1"/>
  <c r="H16" i="5" s="1"/>
  <c r="J16" i="5" s="1"/>
  <c r="J17" i="1"/>
  <c r="D17" i="2" s="1"/>
  <c r="H17" i="2" s="1"/>
  <c r="J17" i="2" s="1"/>
  <c r="D17" i="3" s="1"/>
  <c r="H17" i="3" s="1"/>
  <c r="J17" i="3" s="1"/>
  <c r="D17" i="4" s="1"/>
  <c r="H17" i="4" s="1"/>
  <c r="J17" i="4" s="1"/>
  <c r="D17" i="5" s="1"/>
  <c r="H17" i="5" s="1"/>
  <c r="J17" i="5" s="1"/>
  <c r="J18" i="1"/>
  <c r="D18" i="2" s="1"/>
  <c r="H18" i="2" s="1"/>
  <c r="J18" i="2" s="1"/>
  <c r="D18" i="3" s="1"/>
  <c r="H18" i="3" s="1"/>
  <c r="J18" i="3" s="1"/>
  <c r="D18" i="4" s="1"/>
  <c r="H18" i="4" s="1"/>
  <c r="J18" i="4" s="1"/>
  <c r="D18" i="5" s="1"/>
  <c r="H18" i="5" s="1"/>
  <c r="J18" i="5" s="1"/>
  <c r="D18" i="6" s="1"/>
  <c r="H18" i="6" s="1"/>
  <c r="J18" i="6" s="1"/>
  <c r="D18" i="7" s="1"/>
  <c r="H18" i="7" s="1"/>
  <c r="J18" i="7" s="1"/>
  <c r="D18" i="8" s="1"/>
  <c r="H18" i="8" s="1"/>
  <c r="J18" i="8" s="1"/>
  <c r="D18" i="9" s="1"/>
  <c r="H18" i="9" s="1"/>
  <c r="J18" i="9" s="1"/>
  <c r="D18" i="10" s="1"/>
  <c r="H18" i="10" s="1"/>
  <c r="J18" i="10" s="1"/>
  <c r="D18" i="11" s="1"/>
  <c r="H18" i="11" s="1"/>
  <c r="J18" i="11" s="1"/>
  <c r="D18" i="12" s="1"/>
  <c r="H18" i="12" s="1"/>
  <c r="J18" i="12" s="1"/>
  <c r="J14" i="1"/>
  <c r="D14" i="2" s="1"/>
  <c r="H14" i="2" s="1"/>
  <c r="J14" i="2" s="1"/>
  <c r="D14" i="3" s="1"/>
  <c r="H14" i="3" s="1"/>
  <c r="J14" i="3" s="1"/>
  <c r="D14" i="4" s="1"/>
  <c r="H14" i="4" s="1"/>
  <c r="J14" i="4" s="1"/>
  <c r="D14" i="5" s="1"/>
  <c r="H14" i="5" s="1"/>
  <c r="J14" i="5" s="1"/>
  <c r="D14" i="6" s="1"/>
  <c r="H14" i="6" s="1"/>
  <c r="J14" i="6" s="1"/>
  <c r="D14" i="7" s="1"/>
  <c r="H14" i="7" s="1"/>
  <c r="J14" i="7" s="1"/>
  <c r="D14" i="8" s="1"/>
  <c r="H14" i="8" s="1"/>
  <c r="J14" i="8" s="1"/>
  <c r="D14" i="9" s="1"/>
  <c r="H14" i="9" s="1"/>
  <c r="J14" i="9" s="1"/>
  <c r="D14" i="10" s="1"/>
  <c r="H14" i="10" s="1"/>
  <c r="J14" i="10" s="1"/>
  <c r="D14" i="11" s="1"/>
  <c r="H14" i="11" s="1"/>
  <c r="J14" i="11" s="1"/>
  <c r="D14" i="12" s="1"/>
  <c r="H14" i="12" s="1"/>
  <c r="J14" i="12" s="1"/>
  <c r="J12" i="1"/>
  <c r="D12" i="2" s="1"/>
  <c r="H12" i="2" s="1"/>
  <c r="J12" i="2" s="1"/>
  <c r="D12" i="3" s="1"/>
  <c r="H12" i="3" s="1"/>
  <c r="J12" i="3" s="1"/>
  <c r="D12" i="4" s="1"/>
  <c r="H12" i="4" s="1"/>
  <c r="J12" i="4" s="1"/>
  <c r="D12" i="5" s="1"/>
  <c r="H12" i="5" s="1"/>
  <c r="J12" i="5" s="1"/>
  <c r="D12" i="6" s="1"/>
  <c r="H12" i="6" s="1"/>
  <c r="J12" i="6" s="1"/>
  <c r="D12" i="7" s="1"/>
  <c r="H12" i="7" s="1"/>
  <c r="J12" i="7" s="1"/>
  <c r="D12" i="8" s="1"/>
  <c r="H12" i="8" s="1"/>
  <c r="J12" i="8" s="1"/>
  <c r="D12" i="9" s="1"/>
  <c r="H12" i="9" s="1"/>
  <c r="J12" i="9" s="1"/>
  <c r="D12" i="10" s="1"/>
  <c r="H12" i="10" s="1"/>
  <c r="J10" i="1"/>
  <c r="D10" i="2" s="1"/>
  <c r="H10" i="2" s="1"/>
  <c r="J10" i="2" s="1"/>
  <c r="D10" i="3" s="1"/>
  <c r="H10" i="3" s="1"/>
  <c r="J10" i="3" s="1"/>
  <c r="D10" i="4" s="1"/>
  <c r="H10" i="4" s="1"/>
  <c r="J10" i="4" s="1"/>
  <c r="D10" i="5" s="1"/>
  <c r="H10" i="5" s="1"/>
  <c r="J10" i="5" s="1"/>
  <c r="D10" i="6" s="1"/>
  <c r="H10" i="6" s="1"/>
  <c r="J10" i="6" s="1"/>
  <c r="D10" i="7" s="1"/>
  <c r="H10" i="7" s="1"/>
  <c r="J10" i="7" s="1"/>
  <c r="D10" i="8" s="1"/>
  <c r="H10" i="8" s="1"/>
  <c r="J10" i="8" s="1"/>
  <c r="D10" i="9" s="1"/>
  <c r="H10" i="9" s="1"/>
  <c r="J10" i="9" s="1"/>
  <c r="D10" i="10" s="1"/>
  <c r="H10" i="10" s="1"/>
  <c r="J10" i="10" s="1"/>
  <c r="D10" i="11" s="1"/>
  <c r="H10" i="11" s="1"/>
  <c r="J10" i="11" s="1"/>
  <c r="D10" i="12" s="1"/>
  <c r="H10" i="12" s="1"/>
  <c r="J10" i="12" s="1"/>
  <c r="J8" i="1"/>
  <c r="D8" i="2" s="1"/>
  <c r="H8" i="2" s="1"/>
  <c r="J8" i="2" s="1"/>
  <c r="D8" i="3" s="1"/>
  <c r="H8" i="3" s="1"/>
  <c r="J8" i="3" s="1"/>
  <c r="D8" i="4" s="1"/>
  <c r="H8" i="4" s="1"/>
  <c r="J8" i="4" s="1"/>
  <c r="D8" i="5" s="1"/>
  <c r="H8" i="5" s="1"/>
  <c r="J8" i="5" s="1"/>
  <c r="D8" i="6" s="1"/>
  <c r="H8" i="6" s="1"/>
  <c r="J8" i="6" s="1"/>
  <c r="J6" i="1"/>
  <c r="D6" i="2" s="1"/>
  <c r="H6" i="2" s="1"/>
  <c r="J6" i="2" s="1"/>
  <c r="D6" i="3" s="1"/>
  <c r="H6" i="3" s="1"/>
  <c r="J6" i="3" s="1"/>
  <c r="D6" i="4" s="1"/>
  <c r="H6" i="4" s="1"/>
  <c r="J6" i="4" s="1"/>
  <c r="D6" i="5" s="1"/>
  <c r="H6" i="5" s="1"/>
  <c r="J6" i="5" s="1"/>
  <c r="D6" i="6" s="1"/>
  <c r="H6" i="6" s="1"/>
  <c r="J6" i="6" s="1"/>
  <c r="D6" i="7" s="1"/>
  <c r="H6" i="7" s="1"/>
  <c r="J6" i="7" s="1"/>
  <c r="D6" i="8" s="1"/>
  <c r="H6" i="8" s="1"/>
  <c r="J6" i="8" s="1"/>
  <c r="D6" i="9" s="1"/>
  <c r="H6" i="9" s="1"/>
  <c r="J6" i="9" s="1"/>
  <c r="D6" i="10" s="1"/>
  <c r="H6" i="10" s="1"/>
  <c r="J6" i="10" s="1"/>
  <c r="D6" i="11" s="1"/>
  <c r="H6" i="11" s="1"/>
  <c r="J6" i="11" s="1"/>
  <c r="D6" i="12" s="1"/>
  <c r="H6" i="12" s="1"/>
  <c r="J6" i="12" s="1"/>
  <c r="D6" i="13" l="1"/>
  <c r="H6" i="13" s="1"/>
  <c r="J6" i="13" s="1"/>
  <c r="D6" i="14"/>
  <c r="H6" i="14" s="1"/>
  <c r="J6" i="14" s="1"/>
  <c r="D10" i="13"/>
  <c r="H10" i="13" s="1"/>
  <c r="J10" i="13" s="1"/>
  <c r="D10" i="14"/>
  <c r="H10" i="14" s="1"/>
  <c r="J10" i="14" s="1"/>
  <c r="D14" i="13"/>
  <c r="H14" i="13" s="1"/>
  <c r="J14" i="13" s="1"/>
  <c r="D14" i="14"/>
  <c r="H14" i="14" s="1"/>
  <c r="J14" i="14" s="1"/>
  <c r="H15" i="13"/>
  <c r="J15" i="13" s="1"/>
  <c r="D15" i="14"/>
  <c r="H15" i="14" s="1"/>
  <c r="J15" i="14" s="1"/>
  <c r="D7" i="13"/>
  <c r="H7" i="13" s="1"/>
  <c r="J7" i="13" s="1"/>
  <c r="D7" i="14"/>
  <c r="H7" i="14" s="1"/>
  <c r="J7" i="14" s="1"/>
  <c r="D18" i="13"/>
  <c r="H18" i="13" s="1"/>
  <c r="J18" i="13" s="1"/>
  <c r="D18" i="14"/>
  <c r="H18" i="14" s="1"/>
  <c r="J18" i="14" s="1"/>
  <c r="D17" i="6"/>
  <c r="H17" i="6" s="1"/>
  <c r="H11" i="3"/>
  <c r="J11" i="3" s="1"/>
  <c r="D11" i="4" s="1"/>
  <c r="H11" i="4" s="1"/>
  <c r="J11" i="4" s="1"/>
  <c r="D11" i="5" s="1"/>
  <c r="H11" i="5" s="1"/>
  <c r="J11" i="5" s="1"/>
  <c r="D11" i="6" s="1"/>
  <c r="H11" i="6" s="1"/>
  <c r="J11" i="6" s="1"/>
  <c r="D11" i="7" s="1"/>
  <c r="H11" i="7" s="1"/>
  <c r="J11" i="7" s="1"/>
  <c r="D8" i="7"/>
  <c r="H8" i="7" s="1"/>
  <c r="J8" i="7" s="1"/>
  <c r="D16" i="6"/>
  <c r="H16" i="6" s="1"/>
  <c r="J16" i="6" s="1"/>
  <c r="D16" i="7" s="1"/>
  <c r="H16" i="7" s="1"/>
  <c r="J16" i="7" s="1"/>
  <c r="D16" i="8" s="1"/>
  <c r="H16" i="8" s="1"/>
  <c r="J16" i="8" s="1"/>
  <c r="D16" i="9" s="1"/>
  <c r="H16" i="9" s="1"/>
  <c r="J16" i="9" s="1"/>
  <c r="D16" i="10" s="1"/>
  <c r="H16" i="10" s="1"/>
  <c r="J16" i="10" s="1"/>
  <c r="D16" i="11" s="1"/>
  <c r="H16" i="11" s="1"/>
  <c r="J16" i="11" s="1"/>
  <c r="D16" i="12" s="1"/>
  <c r="H16" i="12" s="1"/>
  <c r="J16" i="12" s="1"/>
  <c r="D9" i="3"/>
  <c r="H9" i="3" s="1"/>
  <c r="J9" i="3" s="1"/>
  <c r="K22" i="2"/>
  <c r="N19" i="2" s="1"/>
  <c r="N20" i="2" s="1"/>
  <c r="D25" i="1"/>
  <c r="J5" i="1"/>
  <c r="D16" i="13" l="1"/>
  <c r="H16" i="13" s="1"/>
  <c r="J16" i="13" s="1"/>
  <c r="D16" i="14"/>
  <c r="H16" i="14" s="1"/>
  <c r="J16" i="14" s="1"/>
  <c r="D9" i="4"/>
  <c r="H9" i="4" s="1"/>
  <c r="J9" i="4" s="1"/>
  <c r="D9" i="5" s="1"/>
  <c r="H9" i="5" s="1"/>
  <c r="J9" i="5" s="1"/>
  <c r="L21" i="3"/>
  <c r="L22" i="3"/>
  <c r="D8" i="8"/>
  <c r="H8" i="8" s="1"/>
  <c r="J8" i="8" s="1"/>
  <c r="N15" i="3"/>
  <c r="H46" i="1"/>
  <c r="I46" i="1"/>
  <c r="J20" i="1"/>
  <c r="D5" i="2"/>
  <c r="G31" i="1"/>
  <c r="F45" i="1" s="1"/>
  <c r="F46" i="1" s="1"/>
  <c r="F47" i="1" s="1"/>
  <c r="L31" i="1"/>
  <c r="N31" i="3" l="1"/>
  <c r="D8" i="9"/>
  <c r="H8" i="9" s="1"/>
  <c r="J8" i="9" s="1"/>
  <c r="D9" i="6"/>
  <c r="H9" i="6" s="1"/>
  <c r="J9" i="6" s="1"/>
  <c r="J21" i="5"/>
  <c r="H48" i="1"/>
  <c r="D20" i="2"/>
  <c r="H5" i="2"/>
  <c r="D41" i="1"/>
  <c r="I47" i="1"/>
  <c r="K47" i="1" s="1"/>
  <c r="K48" i="1" s="1"/>
  <c r="K49" i="1" s="1"/>
  <c r="J41" i="1"/>
  <c r="M41" i="1" s="1"/>
  <c r="J30" i="2" s="1"/>
  <c r="J41" i="2" s="1"/>
  <c r="M41" i="2" s="1"/>
  <c r="D9" i="7" l="1"/>
  <c r="H9" i="7" s="1"/>
  <c r="J9" i="7" s="1"/>
  <c r="J21" i="6"/>
  <c r="D8" i="10"/>
  <c r="H8" i="10" s="1"/>
  <c r="J8" i="10" s="1"/>
  <c r="D8" i="11" s="1"/>
  <c r="H8" i="11" s="1"/>
  <c r="J8" i="11" s="1"/>
  <c r="D8" i="12" s="1"/>
  <c r="H8" i="12" s="1"/>
  <c r="J8" i="12" s="1"/>
  <c r="I30" i="3"/>
  <c r="J5" i="2"/>
  <c r="H20" i="2"/>
  <c r="F50" i="1"/>
  <c r="H41" i="1"/>
  <c r="D26" i="2" s="1"/>
  <c r="D8" i="13" l="1"/>
  <c r="H8" i="13" s="1"/>
  <c r="J8" i="13" s="1"/>
  <c r="D8" i="14"/>
  <c r="H8" i="14" s="1"/>
  <c r="J8" i="14" s="1"/>
  <c r="D41" i="2"/>
  <c r="H41" i="2" s="1"/>
  <c r="C26" i="3" s="1"/>
  <c r="C36" i="3" s="1"/>
  <c r="G36" i="3" s="1"/>
  <c r="C26" i="4" s="1"/>
  <c r="D9" i="8"/>
  <c r="H9" i="8" s="1"/>
  <c r="J9" i="8" s="1"/>
  <c r="J21" i="7"/>
  <c r="D21" i="8" s="1"/>
  <c r="I36" i="3"/>
  <c r="L36" i="3" s="1"/>
  <c r="I30" i="4" s="1"/>
  <c r="I36" i="4" s="1"/>
  <c r="L36" i="4" s="1"/>
  <c r="G30" i="5" s="1"/>
  <c r="J20" i="2"/>
  <c r="D5" i="3"/>
  <c r="C36" i="4" l="1"/>
  <c r="G36" i="4" s="1"/>
  <c r="C26" i="5" s="1"/>
  <c r="C36" i="5" s="1"/>
  <c r="E36" i="5" s="1"/>
  <c r="C26" i="6" s="1"/>
  <c r="C37" i="6" s="1"/>
  <c r="E37" i="6" s="1"/>
  <c r="C26" i="7" s="1"/>
  <c r="C37" i="7" s="1"/>
  <c r="E37" i="7" s="1"/>
  <c r="C26" i="8" s="1"/>
  <c r="C37" i="8" s="1"/>
  <c r="E37" i="8" s="1"/>
  <c r="C26" i="9" s="1"/>
  <c r="C37" i="9" s="1"/>
  <c r="E37" i="9" s="1"/>
  <c r="G36" i="5"/>
  <c r="J36" i="5" s="1"/>
  <c r="D9" i="9"/>
  <c r="H9" i="9" s="1"/>
  <c r="J9" i="9" s="1"/>
  <c r="J21" i="8"/>
  <c r="D20" i="3"/>
  <c r="H5" i="3"/>
  <c r="G26" i="6" l="1"/>
  <c r="G37" i="6" s="1"/>
  <c r="J37" i="6" s="1"/>
  <c r="G26" i="7" s="1"/>
  <c r="G37" i="7" s="1"/>
  <c r="J37" i="7" s="1"/>
  <c r="G26" i="8" s="1"/>
  <c r="G37" i="8" s="1"/>
  <c r="J37" i="8" s="1"/>
  <c r="G26" i="9" s="1"/>
  <c r="G37" i="9" s="1"/>
  <c r="J37" i="9" s="1"/>
  <c r="G26" i="10" s="1"/>
  <c r="C26" i="11"/>
  <c r="C37" i="11" s="1"/>
  <c r="E37" i="11" s="1"/>
  <c r="C26" i="12" s="1"/>
  <c r="C37" i="12" s="1"/>
  <c r="E37" i="12" s="1"/>
  <c r="C26" i="10"/>
  <c r="C37" i="10" s="1"/>
  <c r="E37" i="10" s="1"/>
  <c r="D21" i="11"/>
  <c r="D21" i="10"/>
  <c r="D21" i="9"/>
  <c r="D9" i="10"/>
  <c r="H9" i="10" s="1"/>
  <c r="J9" i="10" s="1"/>
  <c r="J21" i="9"/>
  <c r="H20" i="3"/>
  <c r="J5" i="3"/>
  <c r="J12" i="10"/>
  <c r="D12" i="11" s="1"/>
  <c r="H12" i="11" s="1"/>
  <c r="J12" i="11" s="1"/>
  <c r="D12" i="12" s="1"/>
  <c r="H12" i="12" s="1"/>
  <c r="J12" i="12" s="1"/>
  <c r="I20" i="10"/>
  <c r="G25" i="10" s="1"/>
  <c r="D12" i="13" l="1"/>
  <c r="H12" i="13" s="1"/>
  <c r="J12" i="13" s="1"/>
  <c r="D12" i="14"/>
  <c r="H12" i="14" s="1"/>
  <c r="J12" i="14" s="1"/>
  <c r="C26" i="13"/>
  <c r="C35" i="13" s="1"/>
  <c r="E35" i="13" s="1"/>
  <c r="C26" i="14"/>
  <c r="C35" i="14" s="1"/>
  <c r="E35" i="14" s="1"/>
  <c r="G37" i="10"/>
  <c r="J37" i="10" s="1"/>
  <c r="J20" i="3"/>
  <c r="D5" i="4"/>
  <c r="H5" i="4" l="1"/>
  <c r="D20" i="4"/>
  <c r="G26" i="11"/>
  <c r="G37" i="11" s="1"/>
  <c r="J37" i="11" s="1"/>
  <c r="G26" i="12" s="1"/>
  <c r="G37" i="12" s="1"/>
  <c r="J37" i="12" s="1"/>
  <c r="L26" i="10"/>
  <c r="G26" i="13" l="1"/>
  <c r="G35" i="13" s="1"/>
  <c r="J35" i="13" s="1"/>
  <c r="G26" i="14"/>
  <c r="G35" i="14" s="1"/>
  <c r="J35" i="14" s="1"/>
  <c r="J5" i="4"/>
  <c r="H20" i="4"/>
  <c r="D5" i="5" l="1"/>
  <c r="J20" i="4"/>
  <c r="H5" i="5" l="1"/>
  <c r="D20" i="5"/>
  <c r="J5" i="5" l="1"/>
  <c r="H20" i="5"/>
  <c r="D5" i="6" l="1"/>
  <c r="J20" i="5"/>
  <c r="H5" i="6" l="1"/>
  <c r="D20" i="6"/>
  <c r="J5" i="6" l="1"/>
  <c r="H20" i="6"/>
  <c r="D5" i="7" l="1"/>
  <c r="J20" i="6"/>
  <c r="D20" i="7" l="1"/>
  <c r="H5" i="7"/>
  <c r="H20" i="7" l="1"/>
  <c r="J5" i="7"/>
  <c r="J20" i="7" l="1"/>
  <c r="D5" i="8"/>
  <c r="D20" i="8" l="1"/>
  <c r="H5" i="8"/>
  <c r="J5" i="8" l="1"/>
  <c r="H20" i="8"/>
  <c r="D5" i="9" l="1"/>
  <c r="J20" i="8"/>
  <c r="D20" i="9" l="1"/>
  <c r="H5" i="9"/>
  <c r="J5" i="9" l="1"/>
  <c r="H20" i="9"/>
  <c r="J20" i="9" l="1"/>
  <c r="D5" i="10"/>
  <c r="D20" i="10" l="1"/>
  <c r="H5" i="10"/>
  <c r="J5" i="10" l="1"/>
  <c r="H20" i="10"/>
  <c r="D5" i="11" l="1"/>
  <c r="J20" i="10"/>
  <c r="H5" i="11" l="1"/>
  <c r="D20" i="11"/>
  <c r="J5" i="11" l="1"/>
  <c r="H20" i="11"/>
  <c r="D5" i="12" l="1"/>
  <c r="H5" i="12" s="1"/>
  <c r="J20" i="11"/>
  <c r="D20" i="12" l="1"/>
  <c r="D20" i="13"/>
  <c r="J5" i="12"/>
  <c r="D5" i="14" s="1"/>
  <c r="H20" i="12"/>
  <c r="D20" i="14" l="1"/>
  <c r="H5" i="14"/>
  <c r="J20" i="12"/>
  <c r="D5" i="13"/>
  <c r="H5" i="13" s="1"/>
  <c r="J5" i="14" l="1"/>
  <c r="J20" i="14" s="1"/>
  <c r="H20" i="14"/>
  <c r="J5" i="13"/>
  <c r="J20" i="13" s="1"/>
  <c r="H20" i="13"/>
</calcChain>
</file>

<file path=xl/sharedStrings.xml><?xml version="1.0" encoding="utf-8"?>
<sst xmlns="http://schemas.openxmlformats.org/spreadsheetml/2006/main" count="1123" uniqueCount="136">
  <si>
    <t xml:space="preserve">RENT STATEMENT </t>
  </si>
  <si>
    <t>FOR THE MONTH OF NOVEMBER 2020</t>
  </si>
  <si>
    <t>+</t>
  </si>
  <si>
    <t xml:space="preserve">NO. </t>
  </si>
  <si>
    <t>NAME</t>
  </si>
  <si>
    <t>DEPOSIT</t>
  </si>
  <si>
    <t>BF</t>
  </si>
  <si>
    <t>RENT</t>
  </si>
  <si>
    <t>TOTAL DUE</t>
  </si>
  <si>
    <t xml:space="preserve">PAID </t>
  </si>
  <si>
    <t>BAL</t>
  </si>
  <si>
    <t>VACCANT</t>
  </si>
  <si>
    <t>TOTAL</t>
  </si>
  <si>
    <t xml:space="preserve"> </t>
  </si>
  <si>
    <t xml:space="preserve">  </t>
  </si>
  <si>
    <t>SUMMARY</t>
  </si>
  <si>
    <t>EXPECTED</t>
  </si>
  <si>
    <t>PAID</t>
  </si>
  <si>
    <t xml:space="preserve">DETAILS </t>
  </si>
  <si>
    <t xml:space="preserve">CR </t>
  </si>
  <si>
    <t>DR</t>
  </si>
  <si>
    <t>BL</t>
  </si>
  <si>
    <t>NOVEMBER</t>
  </si>
  <si>
    <t>COMM</t>
  </si>
  <si>
    <t>PAYMENTS</t>
  </si>
  <si>
    <t xml:space="preserve">PREPARED BY </t>
  </si>
  <si>
    <t>APPROVED BY</t>
  </si>
  <si>
    <t xml:space="preserve">RECEIVED BY </t>
  </si>
  <si>
    <t>FLORENCE</t>
  </si>
  <si>
    <t>GRACE</t>
  </si>
  <si>
    <t>WATER</t>
  </si>
  <si>
    <t>NYERERE</t>
  </si>
  <si>
    <t>A1</t>
  </si>
  <si>
    <t>A2</t>
  </si>
  <si>
    <t>A3</t>
  </si>
  <si>
    <t>B4</t>
  </si>
  <si>
    <t>B5</t>
  </si>
  <si>
    <t>B6</t>
  </si>
  <si>
    <t xml:space="preserve">C7 </t>
  </si>
  <si>
    <t>C8</t>
  </si>
  <si>
    <t>C9</t>
  </si>
  <si>
    <t>D10</t>
  </si>
  <si>
    <t>D11</t>
  </si>
  <si>
    <t>D12</t>
  </si>
  <si>
    <t>E13</t>
  </si>
  <si>
    <t>E14</t>
  </si>
  <si>
    <t>E15</t>
  </si>
  <si>
    <t>LL</t>
  </si>
  <si>
    <t>DECOASTER ADONGO</t>
  </si>
  <si>
    <t>SAMMY KARAGU</t>
  </si>
  <si>
    <t>NEKESA ANNA</t>
  </si>
  <si>
    <t>ALICE OSONGO</t>
  </si>
  <si>
    <t>DENIS NJAGI</t>
  </si>
  <si>
    <t>STELLA WANJIKU</t>
  </si>
  <si>
    <t>LYDAH AKINYI</t>
  </si>
  <si>
    <t>RAPHAEL WANJALA</t>
  </si>
  <si>
    <t>WILFRED MUGA</t>
  </si>
  <si>
    <t>JAIRUS WAMACHO</t>
  </si>
  <si>
    <t>FAITH NGOZI</t>
  </si>
  <si>
    <t>BONIFACE RUBIA</t>
  </si>
  <si>
    <t>GARBAGE</t>
  </si>
  <si>
    <t>ARREARS PAID</t>
  </si>
  <si>
    <t>ARREARS</t>
  </si>
  <si>
    <t>JAIRUS PAID LL</t>
  </si>
  <si>
    <t>PAID ON 12/11</t>
  </si>
  <si>
    <t>JAIRUS E13 PAID LL</t>
  </si>
  <si>
    <t>IWANITA ADHIAMBO</t>
  </si>
  <si>
    <t>FOR THE MONTH OF DECEMBER 2020</t>
  </si>
  <si>
    <t>DECEMBER</t>
  </si>
  <si>
    <t>ESTHER MBONDO</t>
  </si>
  <si>
    <t>ALICE OSODO</t>
  </si>
  <si>
    <t>FAITH  E15 WATER BAL</t>
  </si>
  <si>
    <t>IYWANITA ADHIAMBO</t>
  </si>
  <si>
    <t>SCOLLAR</t>
  </si>
  <si>
    <t>PAID ON 11/12</t>
  </si>
  <si>
    <t>JANUARY</t>
  </si>
  <si>
    <t>FOR THE MONTH OF JANUARY 2021</t>
  </si>
  <si>
    <t>vaccant</t>
  </si>
  <si>
    <t>PAID ON 13/1/2021</t>
  </si>
  <si>
    <t>LYDIAH C9 VACCATED</t>
  </si>
  <si>
    <t>FEBRUARY</t>
  </si>
  <si>
    <t>BONFACE</t>
  </si>
  <si>
    <t>WILFRED</t>
  </si>
  <si>
    <t>.</t>
  </si>
  <si>
    <t>PAID ON 11/2</t>
  </si>
  <si>
    <t>FOR THE MONTH OF FEBRUARY  2021</t>
  </si>
  <si>
    <t>MARCH</t>
  </si>
  <si>
    <t>FOR THE MONTH OF MARCH  2021</t>
  </si>
  <si>
    <t>RAHAB</t>
  </si>
  <si>
    <t>SOFA</t>
  </si>
  <si>
    <t>PAID ON 12/3</t>
  </si>
  <si>
    <t>W</t>
  </si>
  <si>
    <t>DEPOSIT WATER</t>
  </si>
  <si>
    <t xml:space="preserve">                                                                                                                                      A</t>
  </si>
  <si>
    <t>APRIL</t>
  </si>
  <si>
    <t>FOR THE MONTH OF APRIL  2021</t>
  </si>
  <si>
    <t>NEW</t>
  </si>
  <si>
    <t>SCOLAR VACCATED</t>
  </si>
  <si>
    <t>ROSE AKOTH</t>
  </si>
  <si>
    <t>VACCATED</t>
  </si>
  <si>
    <t xml:space="preserve">ESTHER VACCATED </t>
  </si>
  <si>
    <t>BONIFACE</t>
  </si>
  <si>
    <t>PAID ON 12/4</t>
  </si>
  <si>
    <t>PAID ON 19/4</t>
  </si>
  <si>
    <t>ARRERS PAID</t>
  </si>
  <si>
    <t>FOR THE MONTH OF MAY  2021</t>
  </si>
  <si>
    <t>MAY</t>
  </si>
  <si>
    <t>PAID ON 11/5</t>
  </si>
  <si>
    <t>NAMELESS</t>
  </si>
  <si>
    <t>SHEILA</t>
  </si>
  <si>
    <t>JUNE</t>
  </si>
  <si>
    <t>FOR THE MONTH OF JUNE  2021</t>
  </si>
  <si>
    <t>WISDON KENNA</t>
  </si>
  <si>
    <t xml:space="preserve">SAMUEL </t>
  </si>
  <si>
    <t>KEVIN MAKANGA</t>
  </si>
  <si>
    <t>PAID ON 14/6</t>
  </si>
  <si>
    <t>GADOFUS SIBO</t>
  </si>
  <si>
    <t>FOR THE MONTH OF JULY  2021</t>
  </si>
  <si>
    <t>JULY</t>
  </si>
  <si>
    <t>CAROLINE</t>
  </si>
  <si>
    <t>PAID ON 12/7</t>
  </si>
  <si>
    <t>FOR THE MONTH OF AUGUST  2021</t>
  </si>
  <si>
    <t>AUGUST</t>
  </si>
  <si>
    <t>SAMUEL E15 VACCATED</t>
  </si>
  <si>
    <t>PAID ON 11/8</t>
  </si>
  <si>
    <t>FOR THE MONTH OF SEPTEMBER  2021</t>
  </si>
  <si>
    <t>SEPTEMBER</t>
  </si>
  <si>
    <t>PAID ON 14/9</t>
  </si>
  <si>
    <t>FOR THE MONTH OF OCTOBER  2021</t>
  </si>
  <si>
    <t>OCTOBER</t>
  </si>
  <si>
    <t>NASHON OKUMU</t>
  </si>
  <si>
    <t>[PAID ON 13/10</t>
  </si>
  <si>
    <t>NOV</t>
  </si>
  <si>
    <t>PETORA CHEBET</t>
  </si>
  <si>
    <t>FOR THE MONTH OF NOVEMBER  2021</t>
  </si>
  <si>
    <t>FOR THE MONTH OF DECEMBER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</si>
</sst>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;\-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2" fillId="0" borderId="1" xfId="0" applyFont="1" applyBorder="1"/>
    <xf numFmtId="18" fontId="0" fillId="0" borderId="1" xfId="0" applyNumberFormat="1" applyBorder="1"/>
    <xf numFmtId="0" fontId="0" fillId="0" borderId="1" xfId="0" applyFill="1" applyBorder="1"/>
    <xf numFmtId="0" fontId="0" fillId="0" borderId="0" xfId="0" applyBorder="1"/>
    <xf numFmtId="0" fontId="0" fillId="0" borderId="0" xfId="0" applyFont="1"/>
    <xf numFmtId="0" fontId="3" fillId="0" borderId="0" xfId="0" applyFont="1" applyBorder="1"/>
    <xf numFmtId="0" fontId="4" fillId="0" borderId="0" xfId="0" applyFont="1"/>
    <xf numFmtId="49" fontId="5" fillId="0" borderId="0" xfId="1" applyNumberFormat="1" applyFont="1" applyBorder="1" applyAlignment="1">
      <alignment horizontal="right"/>
    </xf>
    <xf numFmtId="49" fontId="5" fillId="0" borderId="0" xfId="0" applyNumberFormat="1" applyFont="1" applyBorder="1" applyAlignment="1">
      <alignment horizontal="right"/>
    </xf>
    <xf numFmtId="0" fontId="6" fillId="0" borderId="0" xfId="0" applyFont="1" applyBorder="1"/>
    <xf numFmtId="4" fontId="6" fillId="0" borderId="0" xfId="0" applyNumberFormat="1" applyFont="1" applyBorder="1"/>
    <xf numFmtId="164" fontId="5" fillId="0" borderId="0" xfId="0" applyNumberFormat="1" applyFont="1" applyBorder="1"/>
    <xf numFmtId="0" fontId="6" fillId="0" borderId="0" xfId="0" applyFont="1"/>
    <xf numFmtId="0" fontId="6" fillId="0" borderId="2" xfId="0" applyFont="1" applyBorder="1"/>
    <xf numFmtId="0" fontId="6" fillId="0" borderId="1" xfId="0" applyFont="1" applyBorder="1"/>
    <xf numFmtId="0" fontId="4" fillId="0" borderId="1" xfId="0" applyFont="1" applyBorder="1"/>
    <xf numFmtId="3" fontId="4" fillId="0" borderId="1" xfId="0" applyNumberFormat="1" applyFont="1" applyBorder="1"/>
    <xf numFmtId="9" fontId="4" fillId="0" borderId="1" xfId="0" applyNumberFormat="1" applyFont="1" applyBorder="1"/>
    <xf numFmtId="3" fontId="6" fillId="0" borderId="1" xfId="0" applyNumberFormat="1" applyFont="1" applyBorder="1"/>
    <xf numFmtId="14" fontId="4" fillId="0" borderId="1" xfId="0" applyNumberFormat="1" applyFont="1" applyFill="1" applyBorder="1"/>
    <xf numFmtId="14" fontId="4" fillId="0" borderId="1" xfId="0" applyNumberFormat="1" applyFont="1" applyBorder="1"/>
    <xf numFmtId="0" fontId="4" fillId="0" borderId="1" xfId="0" applyFont="1" applyFill="1" applyBorder="1"/>
    <xf numFmtId="3" fontId="0" fillId="0" borderId="0" xfId="0" applyNumberFormat="1"/>
    <xf numFmtId="164" fontId="0" fillId="0" borderId="0" xfId="0" applyNumberFormat="1"/>
    <xf numFmtId="164" fontId="4" fillId="0" borderId="0" xfId="0" applyNumberFormat="1" applyFont="1"/>
    <xf numFmtId="0" fontId="0" fillId="0" borderId="3" xfId="0" applyFill="1" applyBorder="1"/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7" fillId="0" borderId="0" xfId="0" applyFont="1"/>
    <xf numFmtId="0" fontId="8" fillId="0" borderId="0" xfId="0" applyFont="1"/>
    <xf numFmtId="0" fontId="7" fillId="0" borderId="1" xfId="0" applyFont="1" applyBorder="1" applyAlignment="1">
      <alignment wrapText="1"/>
    </xf>
    <xf numFmtId="0" fontId="8" fillId="0" borderId="0" xfId="0" applyFont="1" applyAlignment="1">
      <alignment wrapText="1"/>
    </xf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9" fillId="0" borderId="1" xfId="0" applyFont="1" applyBorder="1"/>
    <xf numFmtId="0" fontId="10" fillId="0" borderId="1" xfId="0" applyFont="1" applyBorder="1" applyAlignment="1">
      <alignment wrapText="1"/>
    </xf>
    <xf numFmtId="0" fontId="10" fillId="0" borderId="1" xfId="0" applyFont="1" applyBorder="1"/>
    <xf numFmtId="18" fontId="8" fillId="0" borderId="1" xfId="0" applyNumberFormat="1" applyFont="1" applyBorder="1"/>
    <xf numFmtId="0" fontId="8" fillId="0" borderId="1" xfId="0" applyFont="1" applyFill="1" applyBorder="1" applyAlignment="1">
      <alignment wrapText="1"/>
    </xf>
    <xf numFmtId="0" fontId="8" fillId="0" borderId="1" xfId="0" applyFont="1" applyFill="1" applyBorder="1"/>
    <xf numFmtId="0" fontId="9" fillId="0" borderId="1" xfId="0" applyFont="1" applyBorder="1" applyAlignment="1">
      <alignment wrapText="1"/>
    </xf>
    <xf numFmtId="0" fontId="7" fillId="0" borderId="1" xfId="0" applyFont="1" applyBorder="1"/>
    <xf numFmtId="0" fontId="11" fillId="0" borderId="1" xfId="0" applyFont="1" applyBorder="1"/>
    <xf numFmtId="0" fontId="8" fillId="0" borderId="0" xfId="0" applyFont="1" applyBorder="1"/>
    <xf numFmtId="0" fontId="7" fillId="0" borderId="0" xfId="0" applyFont="1" applyBorder="1"/>
    <xf numFmtId="0" fontId="8" fillId="0" borderId="3" xfId="0" applyFont="1" applyFill="1" applyBorder="1"/>
    <xf numFmtId="0" fontId="9" fillId="0" borderId="0" xfId="0" applyFont="1"/>
    <xf numFmtId="49" fontId="12" fillId="0" borderId="0" xfId="1" applyNumberFormat="1" applyFont="1" applyBorder="1" applyAlignment="1">
      <alignment horizontal="right"/>
    </xf>
    <xf numFmtId="0" fontId="11" fillId="0" borderId="0" xfId="0" applyFont="1" applyBorder="1"/>
    <xf numFmtId="4" fontId="11" fillId="0" borderId="0" xfId="0" applyNumberFormat="1" applyFont="1" applyBorder="1"/>
    <xf numFmtId="164" fontId="12" fillId="0" borderId="0" xfId="0" applyNumberFormat="1" applyFont="1" applyBorder="1"/>
    <xf numFmtId="0" fontId="11" fillId="0" borderId="0" xfId="0" applyFont="1"/>
    <xf numFmtId="49" fontId="12" fillId="0" borderId="0" xfId="0" applyNumberFormat="1" applyFont="1" applyBorder="1" applyAlignment="1">
      <alignment horizontal="right"/>
    </xf>
    <xf numFmtId="3" fontId="9" fillId="0" borderId="1" xfId="0" applyNumberFormat="1" applyFont="1" applyBorder="1"/>
    <xf numFmtId="3" fontId="8" fillId="0" borderId="0" xfId="0" applyNumberFormat="1" applyFont="1"/>
    <xf numFmtId="9" fontId="9" fillId="0" borderId="1" xfId="0" applyNumberFormat="1" applyFont="1" applyBorder="1"/>
    <xf numFmtId="3" fontId="11" fillId="0" borderId="1" xfId="0" applyNumberFormat="1" applyFont="1" applyBorder="1"/>
    <xf numFmtId="14" fontId="9" fillId="0" borderId="1" xfId="0" applyNumberFormat="1" applyFont="1" applyFill="1" applyBorder="1"/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opLeftCell="A4" workbookViewId="0">
      <selection activeCell="J26" sqref="J26"/>
    </sheetView>
  </sheetViews>
  <sheetFormatPr defaultRowHeight="15" x14ac:dyDescent="0.25"/>
  <cols>
    <col min="1" max="1" width="4.140625" customWidth="1"/>
    <col min="2" max="2" width="11.140625" customWidth="1"/>
    <col min="3" max="3" width="7.5703125" customWidth="1"/>
    <col min="4" max="4" width="8" customWidth="1"/>
    <col min="5" max="5" width="5.7109375" customWidth="1"/>
    <col min="6" max="6" width="11.140625" customWidth="1"/>
    <col min="8" max="8" width="8" customWidth="1"/>
    <col min="9" max="9" width="7.28515625" customWidth="1"/>
  </cols>
  <sheetData>
    <row r="1" spans="1:13" x14ac:dyDescent="0.25">
      <c r="A1" s="1"/>
      <c r="D1" s="1" t="s">
        <v>31</v>
      </c>
      <c r="E1" s="1"/>
      <c r="F1" s="1"/>
      <c r="G1" s="1"/>
      <c r="H1" s="1"/>
      <c r="I1" s="1"/>
      <c r="J1" s="1"/>
      <c r="K1" s="1"/>
    </row>
    <row r="2" spans="1:13" x14ac:dyDescent="0.25">
      <c r="A2" s="1"/>
      <c r="D2" s="1" t="s">
        <v>0</v>
      </c>
      <c r="E2" s="1"/>
      <c r="F2" s="1"/>
      <c r="G2" s="1"/>
      <c r="H2" s="1"/>
      <c r="I2" s="1"/>
      <c r="J2" s="1"/>
      <c r="K2" s="1"/>
    </row>
    <row r="3" spans="1:13" x14ac:dyDescent="0.25">
      <c r="A3" s="1"/>
      <c r="C3" s="1"/>
      <c r="D3" s="1" t="s">
        <v>1</v>
      </c>
      <c r="E3" s="1"/>
      <c r="F3" s="1"/>
      <c r="G3" s="1"/>
      <c r="H3" s="1"/>
      <c r="I3" s="1"/>
      <c r="J3" s="1"/>
      <c r="K3" s="1"/>
      <c r="M3" t="s">
        <v>2</v>
      </c>
    </row>
    <row r="4" spans="1:13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60</v>
      </c>
      <c r="F4" s="2" t="s">
        <v>30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61</v>
      </c>
      <c r="L4" s="7"/>
    </row>
    <row r="5" spans="1:13" x14ac:dyDescent="0.25">
      <c r="A5" s="3" t="s">
        <v>32</v>
      </c>
      <c r="B5" s="3" t="s">
        <v>47</v>
      </c>
      <c r="C5" s="3"/>
      <c r="D5" s="3"/>
      <c r="E5" s="3"/>
      <c r="F5" s="3"/>
      <c r="G5" s="3"/>
      <c r="H5" s="3">
        <f>D5+G5+C5+F5+E5</f>
        <v>0</v>
      </c>
      <c r="I5" s="19"/>
      <c r="J5" s="3">
        <f t="shared" ref="J5:J18" si="0">H5-I5</f>
        <v>0</v>
      </c>
      <c r="K5" s="3"/>
      <c r="L5" s="7"/>
    </row>
    <row r="6" spans="1:13" x14ac:dyDescent="0.25">
      <c r="A6" s="3" t="s">
        <v>33</v>
      </c>
      <c r="B6" s="3" t="s">
        <v>48</v>
      </c>
      <c r="C6" s="3"/>
      <c r="D6" s="3"/>
      <c r="E6" s="3">
        <v>200</v>
      </c>
      <c r="F6" s="3">
        <v>520</v>
      </c>
      <c r="G6" s="3">
        <v>8000</v>
      </c>
      <c r="H6" s="3">
        <f t="shared" ref="H6:H19" si="1">D6+G6+C6+F6+E6</f>
        <v>8720</v>
      </c>
      <c r="I6" s="19">
        <v>8720</v>
      </c>
      <c r="J6" s="3">
        <f t="shared" si="0"/>
        <v>0</v>
      </c>
      <c r="K6" s="3"/>
      <c r="L6" s="7"/>
    </row>
    <row r="7" spans="1:13" x14ac:dyDescent="0.25">
      <c r="A7" s="3" t="s">
        <v>34</v>
      </c>
      <c r="B7" s="3" t="s">
        <v>51</v>
      </c>
      <c r="C7" s="3"/>
      <c r="D7" s="3"/>
      <c r="E7" s="3">
        <v>200</v>
      </c>
      <c r="F7" s="3">
        <v>200</v>
      </c>
      <c r="G7" s="3">
        <v>7000</v>
      </c>
      <c r="H7" s="3">
        <f t="shared" si="1"/>
        <v>7400</v>
      </c>
      <c r="I7" s="19">
        <v>7400</v>
      </c>
      <c r="J7" s="3">
        <f t="shared" si="0"/>
        <v>0</v>
      </c>
      <c r="K7" s="3"/>
      <c r="L7" s="7"/>
    </row>
    <row r="8" spans="1:13" x14ac:dyDescent="0.25">
      <c r="A8" s="3" t="s">
        <v>35</v>
      </c>
      <c r="B8" s="3" t="s">
        <v>49</v>
      </c>
      <c r="C8" s="3"/>
      <c r="D8" s="3"/>
      <c r="E8" s="3">
        <v>200</v>
      </c>
      <c r="F8" s="3">
        <v>740</v>
      </c>
      <c r="G8" s="3">
        <v>9000</v>
      </c>
      <c r="H8" s="3">
        <f t="shared" si="1"/>
        <v>9940</v>
      </c>
      <c r="I8" s="19">
        <f>9740+200</f>
        <v>9940</v>
      </c>
      <c r="J8" s="3">
        <f t="shared" si="0"/>
        <v>0</v>
      </c>
      <c r="K8" s="3"/>
      <c r="L8" s="7"/>
    </row>
    <row r="9" spans="1:13" x14ac:dyDescent="0.25">
      <c r="A9" s="5" t="s">
        <v>36</v>
      </c>
      <c r="B9" s="4" t="s">
        <v>57</v>
      </c>
      <c r="C9" s="3"/>
      <c r="D9" s="3"/>
      <c r="E9" s="3">
        <v>200</v>
      </c>
      <c r="F9" s="3">
        <v>1400</v>
      </c>
      <c r="G9" s="3">
        <v>9000</v>
      </c>
      <c r="H9" s="3">
        <f t="shared" si="1"/>
        <v>10600</v>
      </c>
      <c r="I9" s="19">
        <f>6000+3000</f>
        <v>9000</v>
      </c>
      <c r="J9" s="3">
        <f t="shared" si="0"/>
        <v>1600</v>
      </c>
      <c r="K9" s="3"/>
      <c r="L9" s="7"/>
    </row>
    <row r="10" spans="1:13" x14ac:dyDescent="0.25">
      <c r="A10" s="3" t="s">
        <v>37</v>
      </c>
      <c r="B10" s="3" t="s">
        <v>50</v>
      </c>
      <c r="C10" s="3"/>
      <c r="D10" s="3"/>
      <c r="E10" s="3">
        <v>200</v>
      </c>
      <c r="F10" s="3"/>
      <c r="G10" s="3">
        <v>12000</v>
      </c>
      <c r="H10" s="3">
        <f t="shared" si="1"/>
        <v>12200</v>
      </c>
      <c r="I10" s="19">
        <v>12200</v>
      </c>
      <c r="J10" s="3">
        <f t="shared" si="0"/>
        <v>0</v>
      </c>
      <c r="K10" s="3"/>
      <c r="L10" s="7"/>
    </row>
    <row r="11" spans="1:13" x14ac:dyDescent="0.25">
      <c r="A11" s="3" t="s">
        <v>38</v>
      </c>
      <c r="B11" s="6" t="s">
        <v>52</v>
      </c>
      <c r="C11" s="6"/>
      <c r="D11" s="3">
        <v>2580</v>
      </c>
      <c r="E11" s="3"/>
      <c r="F11" s="3">
        <v>1780</v>
      </c>
      <c r="G11" s="3">
        <v>11000</v>
      </c>
      <c r="H11" s="3">
        <f t="shared" si="1"/>
        <v>15360</v>
      </c>
      <c r="I11" s="19">
        <v>12780</v>
      </c>
      <c r="J11" s="3">
        <f t="shared" si="0"/>
        <v>2580</v>
      </c>
      <c r="K11" s="3"/>
      <c r="L11" s="7"/>
    </row>
    <row r="12" spans="1:13" x14ac:dyDescent="0.25">
      <c r="A12" s="3" t="s">
        <v>39</v>
      </c>
      <c r="B12" s="3" t="s">
        <v>53</v>
      </c>
      <c r="C12" s="3"/>
      <c r="D12" s="3"/>
      <c r="E12" s="3">
        <v>200</v>
      </c>
      <c r="F12" s="3">
        <v>1200</v>
      </c>
      <c r="G12" s="3">
        <v>8000</v>
      </c>
      <c r="H12" s="3">
        <f t="shared" si="1"/>
        <v>9400</v>
      </c>
      <c r="I12" s="19">
        <f>9200+200</f>
        <v>9400</v>
      </c>
      <c r="J12" s="3">
        <f t="shared" si="0"/>
        <v>0</v>
      </c>
      <c r="K12" s="3"/>
      <c r="L12" s="7"/>
    </row>
    <row r="13" spans="1:13" x14ac:dyDescent="0.25">
      <c r="A13" s="3" t="s">
        <v>40</v>
      </c>
      <c r="B13" s="3" t="s">
        <v>54</v>
      </c>
      <c r="C13" s="3"/>
      <c r="D13" s="3"/>
      <c r="E13" s="3">
        <v>200</v>
      </c>
      <c r="F13" s="3">
        <v>600</v>
      </c>
      <c r="G13" s="3">
        <v>8000</v>
      </c>
      <c r="H13" s="3">
        <f t="shared" si="1"/>
        <v>8800</v>
      </c>
      <c r="I13" s="19">
        <f>8600</f>
        <v>8600</v>
      </c>
      <c r="J13" s="3">
        <f t="shared" si="0"/>
        <v>200</v>
      </c>
      <c r="K13" s="3"/>
      <c r="L13" s="7"/>
    </row>
    <row r="14" spans="1:13" x14ac:dyDescent="0.25">
      <c r="A14" s="3" t="s">
        <v>41</v>
      </c>
      <c r="B14" s="3" t="s">
        <v>55</v>
      </c>
      <c r="C14" s="3"/>
      <c r="D14" s="3">
        <v>4000</v>
      </c>
      <c r="E14" s="3">
        <v>200</v>
      </c>
      <c r="F14" s="3">
        <v>620</v>
      </c>
      <c r="G14" s="3">
        <v>8000</v>
      </c>
      <c r="H14" s="3">
        <f t="shared" si="1"/>
        <v>12820</v>
      </c>
      <c r="I14" s="19">
        <f>8820</f>
        <v>8820</v>
      </c>
      <c r="J14" s="3">
        <f t="shared" si="0"/>
        <v>4000</v>
      </c>
      <c r="K14" s="3"/>
      <c r="L14" s="7"/>
    </row>
    <row r="15" spans="1:13" x14ac:dyDescent="0.25">
      <c r="A15" s="3" t="s">
        <v>42</v>
      </c>
      <c r="B15" s="19" t="s">
        <v>72</v>
      </c>
      <c r="C15" s="3"/>
      <c r="D15" s="3"/>
      <c r="E15" s="3"/>
      <c r="F15" s="3"/>
      <c r="G15" s="3">
        <v>9000</v>
      </c>
      <c r="H15" s="3">
        <f t="shared" si="1"/>
        <v>9000</v>
      </c>
      <c r="I15" s="19">
        <v>9000</v>
      </c>
      <c r="J15" s="3">
        <f t="shared" si="0"/>
        <v>0</v>
      </c>
      <c r="K15" s="3"/>
      <c r="L15" s="7"/>
    </row>
    <row r="16" spans="1:13" x14ac:dyDescent="0.25">
      <c r="A16" s="3" t="s">
        <v>43</v>
      </c>
      <c r="B16" s="3" t="s">
        <v>56</v>
      </c>
      <c r="C16" s="3"/>
      <c r="D16" s="3"/>
      <c r="E16" s="3">
        <v>200</v>
      </c>
      <c r="F16" s="3">
        <v>540</v>
      </c>
      <c r="G16" s="3">
        <v>11000</v>
      </c>
      <c r="H16" s="3">
        <f t="shared" si="1"/>
        <v>11740</v>
      </c>
      <c r="I16" s="19">
        <f>12000</f>
        <v>12000</v>
      </c>
      <c r="J16" s="3">
        <f t="shared" si="0"/>
        <v>-260</v>
      </c>
      <c r="K16" s="3"/>
      <c r="L16" s="7"/>
    </row>
    <row r="17" spans="1:13" x14ac:dyDescent="0.25">
      <c r="A17" s="3" t="s">
        <v>44</v>
      </c>
      <c r="B17" s="3" t="s">
        <v>11</v>
      </c>
      <c r="C17" s="3"/>
      <c r="D17" s="3"/>
      <c r="E17" s="3"/>
      <c r="F17" s="3"/>
      <c r="G17" s="3"/>
      <c r="H17" s="3">
        <f t="shared" si="1"/>
        <v>0</v>
      </c>
      <c r="I17" s="19"/>
      <c r="J17" s="3">
        <f t="shared" si="0"/>
        <v>0</v>
      </c>
      <c r="K17" s="3"/>
      <c r="L17" s="7"/>
    </row>
    <row r="18" spans="1:13" x14ac:dyDescent="0.25">
      <c r="A18" s="3" t="s">
        <v>45</v>
      </c>
      <c r="B18" s="3" t="s">
        <v>59</v>
      </c>
      <c r="C18" s="3"/>
      <c r="D18" s="3">
        <v>4660</v>
      </c>
      <c r="E18" s="3">
        <v>200</v>
      </c>
      <c r="F18" s="3">
        <v>720</v>
      </c>
      <c r="G18" s="3">
        <v>8000</v>
      </c>
      <c r="H18" s="3">
        <f>D18+G18+C18+F18+E18</f>
        <v>13580</v>
      </c>
      <c r="I18" s="19">
        <f>8920+4600</f>
        <v>13520</v>
      </c>
      <c r="J18" s="3">
        <f t="shared" si="0"/>
        <v>60</v>
      </c>
      <c r="K18" s="3">
        <v>4600</v>
      </c>
      <c r="L18" s="7"/>
    </row>
    <row r="19" spans="1:13" x14ac:dyDescent="0.25">
      <c r="A19" s="3" t="s">
        <v>46</v>
      </c>
      <c r="B19" s="3" t="s">
        <v>58</v>
      </c>
      <c r="C19" s="3"/>
      <c r="D19" s="3">
        <v>16920</v>
      </c>
      <c r="E19" s="3">
        <v>200</v>
      </c>
      <c r="F19" s="3">
        <v>1880</v>
      </c>
      <c r="G19" s="3">
        <v>8000</v>
      </c>
      <c r="H19" s="3">
        <f t="shared" si="1"/>
        <v>27000</v>
      </c>
      <c r="I19" s="19">
        <v>10000</v>
      </c>
      <c r="J19" s="3">
        <f>H19-D19-I19</f>
        <v>80</v>
      </c>
      <c r="K19" s="3"/>
      <c r="L19" s="7"/>
      <c r="M19" s="8"/>
    </row>
    <row r="20" spans="1:13" x14ac:dyDescent="0.25">
      <c r="A20" s="3"/>
      <c r="B20" s="2" t="s">
        <v>12</v>
      </c>
      <c r="C20" s="2">
        <f t="shared" ref="C20:J20" si="2">SUM(C5:C19)</f>
        <v>0</v>
      </c>
      <c r="D20" s="3">
        <f t="shared" si="2"/>
        <v>28160</v>
      </c>
      <c r="E20" s="3">
        <f>SUM(E5:E19)</f>
        <v>2200</v>
      </c>
      <c r="F20" s="3">
        <f t="shared" si="2"/>
        <v>10200</v>
      </c>
      <c r="G20" s="2">
        <f>SUM(G5:G19)</f>
        <v>116000</v>
      </c>
      <c r="H20" s="3">
        <f>SUM(H5:H19)</f>
        <v>156560</v>
      </c>
      <c r="I20" s="18">
        <f t="shared" si="2"/>
        <v>131380</v>
      </c>
      <c r="J20" s="2">
        <f t="shared" si="2"/>
        <v>8260</v>
      </c>
      <c r="K20" s="3">
        <f>SUM(K5:K19)</f>
        <v>4600</v>
      </c>
      <c r="L20" s="7"/>
      <c r="M20" t="s">
        <v>13</v>
      </c>
    </row>
    <row r="21" spans="1:13" x14ac:dyDescent="0.25">
      <c r="A21" s="7"/>
      <c r="B21" s="9"/>
      <c r="C21" s="9"/>
      <c r="D21" s="9"/>
      <c r="E21" s="9"/>
      <c r="F21" s="9"/>
      <c r="G21" s="9" t="s">
        <v>14</v>
      </c>
      <c r="H21" s="9"/>
      <c r="I21" s="9"/>
      <c r="J21" s="7"/>
      <c r="K21" s="7"/>
      <c r="M21" s="8"/>
    </row>
    <row r="22" spans="1:13" x14ac:dyDescent="0.25">
      <c r="B22" s="10" t="s">
        <v>15</v>
      </c>
      <c r="C22" s="10"/>
      <c r="D22" s="11"/>
      <c r="E22" s="11"/>
      <c r="F22" s="11"/>
      <c r="G22" s="12"/>
      <c r="H22" s="13"/>
      <c r="I22" s="14"/>
      <c r="J22" s="15"/>
      <c r="K22" s="15"/>
      <c r="L22" s="14"/>
      <c r="M22" s="10"/>
    </row>
    <row r="23" spans="1:13" x14ac:dyDescent="0.25">
      <c r="B23" s="16" t="s">
        <v>16</v>
      </c>
      <c r="C23" s="16"/>
      <c r="D23" s="16"/>
      <c r="E23" s="16"/>
      <c r="F23" s="16"/>
      <c r="G23" s="16"/>
      <c r="H23" s="17"/>
      <c r="I23" s="16" t="s">
        <v>17</v>
      </c>
      <c r="J23" s="10"/>
      <c r="K23" s="10"/>
      <c r="L23" s="10"/>
      <c r="M23" s="10"/>
    </row>
    <row r="24" spans="1:13" x14ac:dyDescent="0.25">
      <c r="B24" s="18" t="s">
        <v>18</v>
      </c>
      <c r="C24" s="18"/>
      <c r="D24" s="18" t="s">
        <v>19</v>
      </c>
      <c r="E24" s="18"/>
      <c r="F24" s="18"/>
      <c r="G24" s="18" t="s">
        <v>20</v>
      </c>
      <c r="H24" s="18" t="s">
        <v>21</v>
      </c>
      <c r="I24" s="18" t="s">
        <v>18</v>
      </c>
      <c r="J24" s="18" t="s">
        <v>19</v>
      </c>
      <c r="K24" s="18"/>
      <c r="L24" s="18" t="s">
        <v>20</v>
      </c>
      <c r="M24" s="18" t="s">
        <v>21</v>
      </c>
    </row>
    <row r="25" spans="1:13" x14ac:dyDescent="0.25">
      <c r="B25" s="19" t="s">
        <v>22</v>
      </c>
      <c r="C25" s="19"/>
      <c r="D25" s="20">
        <f>G20</f>
        <v>116000</v>
      </c>
      <c r="E25" s="20"/>
      <c r="F25" s="20"/>
      <c r="G25" s="19"/>
      <c r="H25" s="19"/>
      <c r="I25" s="19" t="s">
        <v>22</v>
      </c>
      <c r="J25" s="20">
        <f>I20</f>
        <v>131380</v>
      </c>
      <c r="K25" s="20"/>
      <c r="L25" s="19"/>
      <c r="M25" s="19"/>
    </row>
    <row r="26" spans="1:13" x14ac:dyDescent="0.25">
      <c r="B26" s="19" t="s">
        <v>6</v>
      </c>
      <c r="C26" s="19"/>
      <c r="D26" s="20">
        <v>0</v>
      </c>
      <c r="E26" s="20"/>
      <c r="F26" s="20"/>
      <c r="G26" s="19"/>
      <c r="H26" s="19"/>
      <c r="I26" s="19"/>
      <c r="J26" s="20"/>
      <c r="K26" s="20"/>
      <c r="L26" s="19"/>
      <c r="M26" s="19"/>
    </row>
    <row r="27" spans="1:13" x14ac:dyDescent="0.25">
      <c r="B27" s="19" t="s">
        <v>30</v>
      </c>
      <c r="C27" s="19"/>
      <c r="D27" s="20">
        <f>F20</f>
        <v>10200</v>
      </c>
      <c r="E27" s="20"/>
      <c r="F27" s="20"/>
      <c r="G27" s="19"/>
      <c r="H27" s="19"/>
      <c r="I27" s="19"/>
      <c r="J27" s="20"/>
      <c r="K27" s="20"/>
      <c r="L27" s="19"/>
      <c r="M27" s="19"/>
    </row>
    <row r="28" spans="1:13" x14ac:dyDescent="0.25">
      <c r="B28" s="19" t="s">
        <v>60</v>
      </c>
      <c r="C28" s="19"/>
      <c r="D28" s="20"/>
      <c r="E28" s="20"/>
      <c r="F28" s="20"/>
      <c r="G28" s="19"/>
      <c r="H28" s="19"/>
      <c r="I28" s="19"/>
      <c r="J28" s="20"/>
      <c r="K28" s="20"/>
      <c r="L28" s="19"/>
      <c r="M28" s="19"/>
    </row>
    <row r="29" spans="1:13" x14ac:dyDescent="0.25">
      <c r="B29" s="19" t="s">
        <v>62</v>
      </c>
      <c r="C29" s="19"/>
      <c r="D29" s="20">
        <f>K20</f>
        <v>4600</v>
      </c>
      <c r="E29" s="20"/>
      <c r="F29" s="20"/>
      <c r="G29" s="19"/>
      <c r="H29" s="19"/>
      <c r="I29" s="19"/>
      <c r="J29" s="20"/>
      <c r="K29" s="20"/>
      <c r="L29" s="19"/>
      <c r="M29" s="19"/>
    </row>
    <row r="30" spans="1:13" x14ac:dyDescent="0.25">
      <c r="B30" s="19" t="s">
        <v>5</v>
      </c>
      <c r="C30" s="19"/>
      <c r="D30" s="20">
        <f>C20</f>
        <v>0</v>
      </c>
      <c r="E30" s="20"/>
      <c r="F30" s="20"/>
      <c r="G30" s="19"/>
      <c r="H30" s="19"/>
      <c r="I30" s="19" t="s">
        <v>6</v>
      </c>
      <c r="J30" s="20"/>
      <c r="K30" s="20"/>
      <c r="L30" s="19"/>
      <c r="M30" s="19"/>
    </row>
    <row r="31" spans="1:13" x14ac:dyDescent="0.25">
      <c r="B31" s="19" t="s">
        <v>23</v>
      </c>
      <c r="C31" s="19"/>
      <c r="D31" s="21">
        <v>7.0000000000000007E-2</v>
      </c>
      <c r="E31" s="21"/>
      <c r="F31" s="21"/>
      <c r="G31" s="20">
        <f>D31*D25</f>
        <v>8120.0000000000009</v>
      </c>
      <c r="H31" s="19"/>
      <c r="I31" s="19" t="s">
        <v>23</v>
      </c>
      <c r="J31" s="21">
        <v>7.0000000000000007E-2</v>
      </c>
      <c r="K31" s="21"/>
      <c r="L31" s="20">
        <f>J31*D25</f>
        <v>8120.0000000000009</v>
      </c>
      <c r="M31" s="19"/>
    </row>
    <row r="32" spans="1:13" x14ac:dyDescent="0.25">
      <c r="B32" s="18" t="s">
        <v>24</v>
      </c>
      <c r="C32" s="18"/>
      <c r="D32" s="22"/>
      <c r="E32" s="22"/>
      <c r="F32" s="22"/>
      <c r="G32" s="18"/>
      <c r="H32" s="18"/>
      <c r="I32" s="18" t="s">
        <v>24</v>
      </c>
      <c r="J32" s="22"/>
      <c r="K32" s="22"/>
      <c r="L32" s="18"/>
      <c r="M32" s="18"/>
    </row>
    <row r="33" spans="2:16" x14ac:dyDescent="0.25">
      <c r="B33" s="19"/>
      <c r="C33" s="18"/>
      <c r="D33" s="22"/>
      <c r="E33" s="22"/>
      <c r="F33" s="22"/>
      <c r="G33" s="19"/>
      <c r="H33" s="18"/>
      <c r="I33" s="19" t="s">
        <v>60</v>
      </c>
      <c r="J33" s="18"/>
      <c r="K33" s="18"/>
      <c r="L33" s="22">
        <f>E20</f>
        <v>2200</v>
      </c>
      <c r="M33" s="19"/>
    </row>
    <row r="34" spans="2:16" x14ac:dyDescent="0.25">
      <c r="B34" s="19" t="s">
        <v>65</v>
      </c>
      <c r="C34" s="19"/>
      <c r="D34" s="20"/>
      <c r="E34" s="20"/>
      <c r="F34" s="20"/>
      <c r="G34" s="19">
        <v>3000</v>
      </c>
      <c r="H34" s="19"/>
      <c r="I34" s="19" t="s">
        <v>63</v>
      </c>
      <c r="J34" s="19"/>
      <c r="K34" s="20"/>
      <c r="L34" s="20">
        <v>3000</v>
      </c>
      <c r="M34" s="20"/>
      <c r="N34" s="19"/>
    </row>
    <row r="35" spans="2:16" x14ac:dyDescent="0.25">
      <c r="B35" s="23" t="s">
        <v>64</v>
      </c>
      <c r="C35" s="23"/>
      <c r="D35" s="19"/>
      <c r="E35" s="19"/>
      <c r="F35" s="19"/>
      <c r="G35" s="19">
        <v>115030</v>
      </c>
      <c r="H35" s="19"/>
      <c r="I35" s="23" t="s">
        <v>64</v>
      </c>
      <c r="J35" s="23"/>
      <c r="K35" s="19"/>
      <c r="L35" s="19">
        <v>115030</v>
      </c>
      <c r="M35" s="19"/>
      <c r="N35" s="19"/>
    </row>
    <row r="36" spans="2:16" x14ac:dyDescent="0.25">
      <c r="B36" s="23" t="s">
        <v>64</v>
      </c>
      <c r="C36" s="23"/>
      <c r="D36" s="19"/>
      <c r="E36" s="19"/>
      <c r="F36" s="19"/>
      <c r="G36" s="19">
        <v>5580</v>
      </c>
      <c r="H36" s="19"/>
      <c r="I36" s="23" t="s">
        <v>64</v>
      </c>
      <c r="J36" s="23"/>
      <c r="K36" s="19"/>
      <c r="L36" s="19">
        <v>5580</v>
      </c>
      <c r="M36" s="19"/>
      <c r="N36" s="19"/>
    </row>
    <row r="37" spans="2:16" x14ac:dyDescent="0.25">
      <c r="B37" s="23" t="s">
        <v>71</v>
      </c>
      <c r="C37" s="23"/>
      <c r="D37" s="19"/>
      <c r="E37" s="19"/>
      <c r="F37" s="19"/>
      <c r="G37" s="19">
        <v>80</v>
      </c>
      <c r="H37" s="19"/>
      <c r="I37" s="23"/>
      <c r="J37" s="23"/>
      <c r="K37" s="19"/>
      <c r="L37" s="19"/>
      <c r="M37" s="19"/>
      <c r="N37" s="19"/>
      <c r="P37" s="26"/>
    </row>
    <row r="38" spans="2:16" x14ac:dyDescent="0.25">
      <c r="B38" s="24"/>
      <c r="C38" s="24"/>
      <c r="D38" s="19"/>
      <c r="E38" s="19"/>
      <c r="F38" s="19"/>
      <c r="G38" s="25"/>
      <c r="H38" s="19"/>
      <c r="I38" s="24"/>
      <c r="J38" s="24"/>
      <c r="K38" s="24"/>
      <c r="L38" s="19"/>
      <c r="M38" s="25"/>
      <c r="P38" s="26"/>
    </row>
    <row r="39" spans="2:16" x14ac:dyDescent="0.25">
      <c r="B39" s="24"/>
      <c r="C39" s="24"/>
      <c r="D39" s="19"/>
      <c r="E39" s="19"/>
      <c r="F39" s="19"/>
      <c r="G39" s="25"/>
      <c r="H39" s="19"/>
      <c r="I39" s="24"/>
      <c r="J39" s="19"/>
      <c r="K39" s="19"/>
      <c r="L39" s="25"/>
      <c r="M39" s="25"/>
      <c r="P39" s="26"/>
    </row>
    <row r="40" spans="2:16" x14ac:dyDescent="0.25">
      <c r="B40" s="24"/>
      <c r="C40" s="24"/>
      <c r="D40" s="19"/>
      <c r="E40" s="19"/>
      <c r="F40" s="19"/>
      <c r="G40" s="25"/>
      <c r="H40" s="19"/>
      <c r="I40" s="24"/>
      <c r="J40" s="19"/>
      <c r="K40" s="19"/>
      <c r="L40" s="25"/>
      <c r="M40" s="19"/>
    </row>
    <row r="41" spans="2:16" x14ac:dyDescent="0.25">
      <c r="B41" s="18" t="s">
        <v>12</v>
      </c>
      <c r="C41" s="18"/>
      <c r="D41" s="22">
        <f>D25+D26+D27+D28+D29+D30-G31</f>
        <v>122680</v>
      </c>
      <c r="E41" s="22"/>
      <c r="F41" s="22"/>
      <c r="G41" s="22">
        <f>SUM(G33:G40)</f>
        <v>123690</v>
      </c>
      <c r="H41" s="22">
        <f>D41-G41</f>
        <v>-1010</v>
      </c>
      <c r="I41" s="18" t="s">
        <v>12</v>
      </c>
      <c r="J41" s="22">
        <f>J25+J30+J26-L31</f>
        <v>123260</v>
      </c>
      <c r="K41" s="22"/>
      <c r="L41" s="22">
        <f>SUM(L33:L40)</f>
        <v>125810</v>
      </c>
      <c r="M41" s="22">
        <f>J41-L41</f>
        <v>-2550</v>
      </c>
    </row>
    <row r="43" spans="2:16" x14ac:dyDescent="0.25">
      <c r="B43" t="s">
        <v>25</v>
      </c>
      <c r="G43" t="s">
        <v>26</v>
      </c>
      <c r="J43" t="s">
        <v>27</v>
      </c>
    </row>
    <row r="44" spans="2:16" x14ac:dyDescent="0.25">
      <c r="B44" t="s">
        <v>28</v>
      </c>
      <c r="G44" t="s">
        <v>29</v>
      </c>
      <c r="J44" t="s">
        <v>31</v>
      </c>
    </row>
    <row r="45" spans="2:16" x14ac:dyDescent="0.25">
      <c r="F45" s="26">
        <f>D25-G31</f>
        <v>107880</v>
      </c>
    </row>
    <row r="46" spans="2:16" x14ac:dyDescent="0.25">
      <c r="F46" s="26">
        <f>F45+D27</f>
        <v>118080</v>
      </c>
      <c r="H46" s="26">
        <f>D25+D27+D29</f>
        <v>130800</v>
      </c>
      <c r="I46" s="26">
        <f>D25+D29</f>
        <v>120600</v>
      </c>
    </row>
    <row r="47" spans="2:16" x14ac:dyDescent="0.25">
      <c r="F47" s="26">
        <f>F46+D29</f>
        <v>122680</v>
      </c>
      <c r="I47" s="26">
        <f>I46-G31</f>
        <v>112480</v>
      </c>
      <c r="K47" s="26">
        <f>I47-3000</f>
        <v>109480</v>
      </c>
    </row>
    <row r="48" spans="2:16" x14ac:dyDescent="0.25">
      <c r="H48" s="26">
        <f>H46-G31</f>
        <v>122680</v>
      </c>
      <c r="K48" s="26">
        <f>K47+10200</f>
        <v>119680</v>
      </c>
    </row>
    <row r="49" spans="6:11" x14ac:dyDescent="0.25">
      <c r="K49" s="26">
        <f>K48-115030</f>
        <v>4650</v>
      </c>
    </row>
    <row r="50" spans="6:11" x14ac:dyDescent="0.25">
      <c r="F50" s="26">
        <f>D41-G35</f>
        <v>7650</v>
      </c>
    </row>
  </sheetData>
  <pageMargins left="0" right="0" top="0" bottom="0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10" workbookViewId="0">
      <selection activeCell="J37" sqref="J37"/>
    </sheetView>
  </sheetViews>
  <sheetFormatPr defaultRowHeight="15" x14ac:dyDescent="0.25"/>
  <cols>
    <col min="2" max="2" width="19.5703125" customWidth="1"/>
  </cols>
  <sheetData>
    <row r="1" spans="1:12" x14ac:dyDescent="0.25">
      <c r="A1" s="1"/>
      <c r="D1" s="1" t="s">
        <v>31</v>
      </c>
      <c r="E1" s="1"/>
      <c r="F1" s="1"/>
      <c r="G1" s="1"/>
      <c r="H1" s="1"/>
      <c r="I1" s="1"/>
      <c r="J1" s="1"/>
      <c r="K1" s="1"/>
    </row>
    <row r="2" spans="1:12" x14ac:dyDescent="0.25">
      <c r="A2" s="1"/>
      <c r="D2" s="1" t="s">
        <v>0</v>
      </c>
      <c r="E2" s="1"/>
      <c r="F2" s="1"/>
      <c r="G2" s="1"/>
      <c r="H2" s="1"/>
      <c r="I2" s="1"/>
      <c r="J2" s="1"/>
      <c r="K2" s="1"/>
    </row>
    <row r="3" spans="1:12" x14ac:dyDescent="0.25">
      <c r="A3" s="1"/>
      <c r="C3" s="1"/>
      <c r="D3" s="1" t="s">
        <v>121</v>
      </c>
      <c r="E3" s="1"/>
      <c r="F3" s="1"/>
      <c r="G3" s="1"/>
      <c r="H3" s="1"/>
      <c r="I3" s="1"/>
      <c r="J3" s="1"/>
      <c r="K3" s="1"/>
    </row>
    <row r="4" spans="1:12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60</v>
      </c>
      <c r="F4" s="2" t="s">
        <v>30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61</v>
      </c>
      <c r="L4" s="7"/>
    </row>
    <row r="5" spans="1:12" x14ac:dyDescent="0.25">
      <c r="A5" s="3" t="s">
        <v>32</v>
      </c>
      <c r="B5" s="3" t="s">
        <v>47</v>
      </c>
      <c r="C5" s="3"/>
      <c r="D5" s="3">
        <f>JULY21!J5:J19</f>
        <v>0</v>
      </c>
      <c r="E5" s="3"/>
      <c r="F5" s="3"/>
      <c r="G5" s="3"/>
      <c r="H5" s="3">
        <f>D5+G5+C5+F5+E5</f>
        <v>0</v>
      </c>
      <c r="I5" s="19"/>
      <c r="J5" s="3">
        <f t="shared" ref="J5:J18" si="0">H5-I5</f>
        <v>0</v>
      </c>
      <c r="K5" s="3"/>
      <c r="L5" s="7"/>
    </row>
    <row r="6" spans="1:12" x14ac:dyDescent="0.25">
      <c r="A6" s="3" t="s">
        <v>33</v>
      </c>
      <c r="B6" s="3" t="s">
        <v>48</v>
      </c>
      <c r="C6" s="3"/>
      <c r="D6" s="3">
        <f>JULY21!J6:J20</f>
        <v>0</v>
      </c>
      <c r="E6" s="3">
        <v>250</v>
      </c>
      <c r="F6" s="3">
        <v>660</v>
      </c>
      <c r="G6" s="3">
        <v>8000</v>
      </c>
      <c r="H6" s="3">
        <f t="shared" ref="H6:H19" si="1">D6+G6+C6+F6+E6</f>
        <v>8910</v>
      </c>
      <c r="I6" s="19">
        <v>8910</v>
      </c>
      <c r="J6" s="3">
        <f t="shared" si="0"/>
        <v>0</v>
      </c>
      <c r="K6" s="3"/>
      <c r="L6" s="7"/>
    </row>
    <row r="7" spans="1:12" x14ac:dyDescent="0.25">
      <c r="A7" s="3" t="s">
        <v>34</v>
      </c>
      <c r="B7" s="3" t="s">
        <v>70</v>
      </c>
      <c r="C7" s="3"/>
      <c r="D7" s="3">
        <f>JULY21!J7:J21</f>
        <v>0</v>
      </c>
      <c r="E7" s="3">
        <v>250</v>
      </c>
      <c r="F7" s="3">
        <v>180</v>
      </c>
      <c r="G7" s="3">
        <v>7000</v>
      </c>
      <c r="H7" s="3">
        <f t="shared" si="1"/>
        <v>7430</v>
      </c>
      <c r="I7" s="19">
        <f>7380+50</f>
        <v>7430</v>
      </c>
      <c r="J7" s="3">
        <f t="shared" si="0"/>
        <v>0</v>
      </c>
      <c r="K7" s="3"/>
      <c r="L7" s="7"/>
    </row>
    <row r="8" spans="1:12" x14ac:dyDescent="0.25">
      <c r="A8" s="3" t="s">
        <v>35</v>
      </c>
      <c r="B8" s="4" t="s">
        <v>11</v>
      </c>
      <c r="C8" s="4"/>
      <c r="D8" s="3">
        <f>JULY21!J8:J22</f>
        <v>0</v>
      </c>
      <c r="E8" s="3"/>
      <c r="F8" s="3"/>
      <c r="G8" s="3"/>
      <c r="H8" s="3">
        <f>D8+G8+C8+F8+E8</f>
        <v>0</v>
      </c>
      <c r="I8" s="19"/>
      <c r="J8" s="3">
        <f t="shared" si="0"/>
        <v>0</v>
      </c>
      <c r="K8" s="3"/>
      <c r="L8" s="7"/>
    </row>
    <row r="9" spans="1:12" x14ac:dyDescent="0.25">
      <c r="A9" s="5" t="s">
        <v>36</v>
      </c>
      <c r="B9" s="19" t="s">
        <v>57</v>
      </c>
      <c r="C9" s="19"/>
      <c r="D9" s="3">
        <f>JULY21!J9:J23</f>
        <v>0</v>
      </c>
      <c r="E9" s="3">
        <v>250</v>
      </c>
      <c r="F9" s="3">
        <v>1060</v>
      </c>
      <c r="G9" s="3">
        <v>9000</v>
      </c>
      <c r="H9" s="3">
        <f t="shared" si="1"/>
        <v>10310</v>
      </c>
      <c r="I9" s="19">
        <f>10290+20</f>
        <v>10310</v>
      </c>
      <c r="J9" s="3">
        <f t="shared" si="0"/>
        <v>0</v>
      </c>
      <c r="K9" s="3"/>
      <c r="L9" s="7"/>
    </row>
    <row r="10" spans="1:12" x14ac:dyDescent="0.25">
      <c r="A10" s="3" t="s">
        <v>37</v>
      </c>
      <c r="B10" s="3" t="s">
        <v>50</v>
      </c>
      <c r="C10" s="3"/>
      <c r="D10" s="3">
        <f>JULY21!J10:J24</f>
        <v>-2132</v>
      </c>
      <c r="E10" s="3">
        <v>250</v>
      </c>
      <c r="F10" s="3">
        <v>180</v>
      </c>
      <c r="G10" s="3">
        <v>12000</v>
      </c>
      <c r="H10" s="3">
        <f t="shared" si="1"/>
        <v>10298</v>
      </c>
      <c r="I10" s="19">
        <v>10298</v>
      </c>
      <c r="J10" s="3">
        <f t="shared" si="0"/>
        <v>0</v>
      </c>
      <c r="K10" s="3"/>
      <c r="L10" s="7"/>
    </row>
    <row r="11" spans="1:12" x14ac:dyDescent="0.25">
      <c r="A11" s="3" t="s">
        <v>38</v>
      </c>
      <c r="B11" s="6" t="s">
        <v>53</v>
      </c>
      <c r="C11" s="6"/>
      <c r="D11" s="3">
        <f>JULY21!J11:J25</f>
        <v>40</v>
      </c>
      <c r="E11" s="3">
        <v>250</v>
      </c>
      <c r="F11" s="3">
        <v>1540</v>
      </c>
      <c r="G11" s="3">
        <v>12000</v>
      </c>
      <c r="H11" s="3">
        <f t="shared" si="1"/>
        <v>13830</v>
      </c>
      <c r="I11" s="19">
        <f>13500</f>
        <v>13500</v>
      </c>
      <c r="J11" s="3">
        <f t="shared" si="0"/>
        <v>330</v>
      </c>
      <c r="K11" s="3"/>
      <c r="L11" s="7"/>
    </row>
    <row r="12" spans="1:12" x14ac:dyDescent="0.25">
      <c r="A12" s="3" t="s">
        <v>39</v>
      </c>
      <c r="B12" s="19" t="s">
        <v>119</v>
      </c>
      <c r="C12" s="3"/>
      <c r="D12" s="3">
        <f>JULY21!J12:J26</f>
        <v>0</v>
      </c>
      <c r="E12" s="3">
        <v>250</v>
      </c>
      <c r="F12" s="3">
        <v>600</v>
      </c>
      <c r="G12" s="3">
        <v>9000</v>
      </c>
      <c r="H12" s="3">
        <f t="shared" si="1"/>
        <v>9850</v>
      </c>
      <c r="I12" s="19">
        <v>9650</v>
      </c>
      <c r="J12" s="3">
        <f t="shared" si="0"/>
        <v>200</v>
      </c>
      <c r="K12" s="3"/>
      <c r="L12" s="7"/>
    </row>
    <row r="13" spans="1:12" x14ac:dyDescent="0.25">
      <c r="A13" s="3" t="s">
        <v>40</v>
      </c>
      <c r="B13" s="19" t="s">
        <v>98</v>
      </c>
      <c r="C13" s="3"/>
      <c r="D13" s="3">
        <f>JULY21!J13:J27</f>
        <v>0</v>
      </c>
      <c r="E13" s="3">
        <v>250</v>
      </c>
      <c r="F13" s="3">
        <v>820</v>
      </c>
      <c r="G13" s="3">
        <v>9000</v>
      </c>
      <c r="H13" s="3">
        <f t="shared" si="1"/>
        <v>10070</v>
      </c>
      <c r="I13" s="19">
        <f>10020</f>
        <v>10020</v>
      </c>
      <c r="J13" s="3">
        <f t="shared" si="0"/>
        <v>50</v>
      </c>
      <c r="K13" s="3"/>
      <c r="L13" s="7"/>
    </row>
    <row r="14" spans="1:12" x14ac:dyDescent="0.25">
      <c r="A14" s="3" t="s">
        <v>41</v>
      </c>
      <c r="B14" s="3" t="s">
        <v>55</v>
      </c>
      <c r="C14" s="3"/>
      <c r="D14" s="3">
        <f>JULY21!J14:J28</f>
        <v>4840</v>
      </c>
      <c r="E14" s="3">
        <v>250</v>
      </c>
      <c r="F14" s="3">
        <v>1040</v>
      </c>
      <c r="G14" s="3">
        <v>8000</v>
      </c>
      <c r="H14" s="3">
        <f t="shared" si="1"/>
        <v>14130</v>
      </c>
      <c r="I14" s="19">
        <f>10080+50</f>
        <v>10130</v>
      </c>
      <c r="J14" s="3">
        <f t="shared" si="0"/>
        <v>4000</v>
      </c>
      <c r="K14" s="3"/>
      <c r="L14" s="7"/>
    </row>
    <row r="15" spans="1:12" x14ac:dyDescent="0.25">
      <c r="A15" s="3" t="s">
        <v>42</v>
      </c>
      <c r="B15" s="19" t="s">
        <v>66</v>
      </c>
      <c r="C15" s="19"/>
      <c r="D15" s="3">
        <f>JULY21!J15:J29</f>
        <v>-20</v>
      </c>
      <c r="E15" s="3">
        <v>250</v>
      </c>
      <c r="F15" s="3">
        <v>160</v>
      </c>
      <c r="G15" s="3">
        <v>9000</v>
      </c>
      <c r="H15" s="3">
        <f t="shared" si="1"/>
        <v>9390</v>
      </c>
      <c r="I15" s="19">
        <v>9360</v>
      </c>
      <c r="J15" s="3">
        <f t="shared" si="0"/>
        <v>30</v>
      </c>
      <c r="K15" s="3"/>
      <c r="L15" s="7"/>
    </row>
    <row r="16" spans="1:12" x14ac:dyDescent="0.25">
      <c r="A16" s="3" t="s">
        <v>43</v>
      </c>
      <c r="B16" s="19" t="s">
        <v>114</v>
      </c>
      <c r="C16" s="3"/>
      <c r="D16" s="3">
        <f>JULY21!J16:J30</f>
        <v>0</v>
      </c>
      <c r="E16" s="3">
        <v>250</v>
      </c>
      <c r="F16" s="3">
        <v>200</v>
      </c>
      <c r="G16" s="3">
        <v>12000</v>
      </c>
      <c r="H16" s="3">
        <f t="shared" si="1"/>
        <v>12450</v>
      </c>
      <c r="I16" s="19">
        <v>12400</v>
      </c>
      <c r="J16" s="3">
        <f t="shared" si="0"/>
        <v>50</v>
      </c>
      <c r="K16" s="3"/>
      <c r="L16" s="7"/>
    </row>
    <row r="17" spans="1:12" x14ac:dyDescent="0.25">
      <c r="A17" s="3" t="s">
        <v>44</v>
      </c>
      <c r="B17" s="4" t="s">
        <v>11</v>
      </c>
      <c r="C17" s="4"/>
      <c r="D17" s="3">
        <f>JULY21!J17:J31</f>
        <v>0</v>
      </c>
      <c r="E17" s="3"/>
      <c r="F17" s="3"/>
      <c r="G17" s="3"/>
      <c r="H17" s="3">
        <f t="shared" si="1"/>
        <v>0</v>
      </c>
      <c r="I17" s="19"/>
      <c r="J17" s="3">
        <f t="shared" si="0"/>
        <v>0</v>
      </c>
      <c r="K17" s="3"/>
      <c r="L17" s="7"/>
    </row>
    <row r="18" spans="1:12" x14ac:dyDescent="0.25">
      <c r="A18" s="3" t="s">
        <v>45</v>
      </c>
      <c r="B18" s="19" t="s">
        <v>112</v>
      </c>
      <c r="C18" s="3"/>
      <c r="D18" s="3">
        <f>JULY21!J18:J32</f>
        <v>200</v>
      </c>
      <c r="E18" s="3">
        <v>250</v>
      </c>
      <c r="F18" s="3">
        <v>5340</v>
      </c>
      <c r="G18" s="3">
        <v>9000</v>
      </c>
      <c r="H18" s="3">
        <f>D18+G18+C18+F18+E18</f>
        <v>14790</v>
      </c>
      <c r="I18" s="19">
        <f>14590</f>
        <v>14590</v>
      </c>
      <c r="J18" s="3">
        <f t="shared" si="0"/>
        <v>200</v>
      </c>
      <c r="K18" s="3"/>
      <c r="L18" s="7"/>
    </row>
    <row r="19" spans="1:12" x14ac:dyDescent="0.25">
      <c r="A19" s="3" t="s">
        <v>46</v>
      </c>
      <c r="B19" s="4" t="s">
        <v>113</v>
      </c>
      <c r="C19" s="4"/>
      <c r="D19" s="4">
        <f>JULY21!J19:J33</f>
        <v>9000</v>
      </c>
      <c r="E19" s="3"/>
      <c r="F19" s="3"/>
      <c r="G19" s="3"/>
      <c r="H19" s="4">
        <f t="shared" si="1"/>
        <v>9000</v>
      </c>
      <c r="I19" s="4"/>
      <c r="J19" s="4"/>
      <c r="K19" s="3"/>
      <c r="L19" s="7"/>
    </row>
    <row r="20" spans="1:12" x14ac:dyDescent="0.25">
      <c r="A20" s="3"/>
      <c r="B20" s="2" t="s">
        <v>12</v>
      </c>
      <c r="C20" s="2">
        <f>SUM(C5:C19)</f>
        <v>0</v>
      </c>
      <c r="D20" s="3">
        <f>SUM(D5:D19)</f>
        <v>11928</v>
      </c>
      <c r="E20" s="3">
        <f t="shared" ref="E20:K20" si="2">SUM(E5:E19)</f>
        <v>2750</v>
      </c>
      <c r="F20" s="3">
        <f t="shared" si="2"/>
        <v>11780</v>
      </c>
      <c r="G20" s="2">
        <f t="shared" si="2"/>
        <v>104000</v>
      </c>
      <c r="H20" s="3">
        <f t="shared" si="2"/>
        <v>130458</v>
      </c>
      <c r="I20" s="18">
        <f t="shared" si="2"/>
        <v>116598</v>
      </c>
      <c r="J20" s="2">
        <f t="shared" si="2"/>
        <v>4860</v>
      </c>
      <c r="K20" s="3">
        <f t="shared" si="2"/>
        <v>0</v>
      </c>
      <c r="L20" s="7"/>
    </row>
    <row r="21" spans="1:12" x14ac:dyDescent="0.25">
      <c r="A21" s="7"/>
      <c r="B21" s="9"/>
      <c r="C21" s="9"/>
      <c r="D21" s="3">
        <f>'JUNE 21'!J21:J37</f>
        <v>3320</v>
      </c>
      <c r="E21" s="9"/>
      <c r="G21" s="9" t="s">
        <v>14</v>
      </c>
      <c r="H21" s="9"/>
      <c r="I21" s="9"/>
      <c r="J21" s="29"/>
      <c r="K21" s="7"/>
    </row>
    <row r="22" spans="1:12" x14ac:dyDescent="0.25">
      <c r="A22" s="10" t="s">
        <v>15</v>
      </c>
      <c r="B22" s="10"/>
      <c r="C22" s="11"/>
      <c r="D22" s="9"/>
      <c r="E22" s="13"/>
      <c r="F22" s="14"/>
      <c r="G22" s="15"/>
      <c r="H22" s="15"/>
      <c r="I22" s="14"/>
      <c r="J22" s="10"/>
    </row>
    <row r="23" spans="1:12" x14ac:dyDescent="0.25">
      <c r="A23" s="16" t="s">
        <v>16</v>
      </c>
      <c r="B23" s="16"/>
      <c r="C23" s="16"/>
      <c r="D23" s="16"/>
      <c r="E23" s="12"/>
      <c r="F23" s="16" t="s">
        <v>17</v>
      </c>
      <c r="G23" s="10"/>
      <c r="H23" s="10"/>
      <c r="I23" s="10"/>
      <c r="J23" s="10"/>
    </row>
    <row r="24" spans="1:12" x14ac:dyDescent="0.25">
      <c r="A24" s="18" t="s">
        <v>18</v>
      </c>
      <c r="B24" s="18"/>
      <c r="C24" s="18" t="s">
        <v>19</v>
      </c>
      <c r="D24" s="18" t="s">
        <v>20</v>
      </c>
      <c r="E24" s="18" t="s">
        <v>21</v>
      </c>
      <c r="F24" s="18" t="s">
        <v>18</v>
      </c>
      <c r="G24" s="18" t="s">
        <v>19</v>
      </c>
      <c r="H24" s="18"/>
      <c r="I24" s="18" t="s">
        <v>20</v>
      </c>
      <c r="J24" s="18" t="s">
        <v>21</v>
      </c>
    </row>
    <row r="25" spans="1:12" x14ac:dyDescent="0.25">
      <c r="A25" s="19" t="s">
        <v>122</v>
      </c>
      <c r="B25" s="19"/>
      <c r="C25" s="20">
        <f>G20</f>
        <v>104000</v>
      </c>
      <c r="D25" s="19"/>
      <c r="F25" s="19" t="s">
        <v>122</v>
      </c>
      <c r="G25" s="20">
        <f>I20</f>
        <v>116598</v>
      </c>
      <c r="H25" s="20"/>
      <c r="I25" s="19"/>
      <c r="J25" s="19"/>
      <c r="K25" s="26"/>
    </row>
    <row r="26" spans="1:12" x14ac:dyDescent="0.25">
      <c r="A26" s="19" t="s">
        <v>6</v>
      </c>
      <c r="B26" s="19"/>
      <c r="C26" s="20">
        <f>JULY21!E37</f>
        <v>0</v>
      </c>
      <c r="D26" s="19"/>
      <c r="E26" s="19"/>
      <c r="F26" t="s">
        <v>6</v>
      </c>
      <c r="G26" s="20">
        <f>JULY21!J37</f>
        <v>-8208</v>
      </c>
      <c r="H26" s="20"/>
      <c r="I26" s="19"/>
      <c r="J26" s="19"/>
      <c r="L26" s="26">
        <f>J37+860</f>
        <v>270</v>
      </c>
    </row>
    <row r="27" spans="1:12" x14ac:dyDescent="0.25">
      <c r="A27" s="19" t="s">
        <v>30</v>
      </c>
      <c r="B27" s="19"/>
      <c r="C27" s="20">
        <f>F20</f>
        <v>11780</v>
      </c>
      <c r="D27" s="19"/>
      <c r="E27" s="19"/>
      <c r="F27" s="19"/>
      <c r="G27" s="20"/>
      <c r="H27" s="20"/>
      <c r="I27" s="19"/>
      <c r="J27" s="19"/>
    </row>
    <row r="28" spans="1:12" x14ac:dyDescent="0.25">
      <c r="A28" s="19" t="s">
        <v>60</v>
      </c>
      <c r="B28" s="19"/>
      <c r="C28" s="20">
        <f>E20</f>
        <v>2750</v>
      </c>
      <c r="D28" s="19"/>
      <c r="E28" s="19"/>
      <c r="F28" s="19"/>
      <c r="G28" s="19"/>
      <c r="H28" s="20"/>
      <c r="I28" s="19"/>
      <c r="J28" s="19"/>
    </row>
    <row r="29" spans="1:12" x14ac:dyDescent="0.25">
      <c r="A29" s="19" t="s">
        <v>104</v>
      </c>
      <c r="B29" s="19"/>
      <c r="C29" s="20">
        <f>K20</f>
        <v>0</v>
      </c>
      <c r="D29" s="19"/>
      <c r="E29" s="19"/>
      <c r="F29" s="19"/>
      <c r="G29" s="19"/>
      <c r="H29" s="20"/>
      <c r="I29" s="19"/>
      <c r="J29" s="19"/>
    </row>
    <row r="30" spans="1:12" x14ac:dyDescent="0.25">
      <c r="A30" s="19" t="s">
        <v>5</v>
      </c>
      <c r="B30" s="19"/>
      <c r="C30" s="20"/>
      <c r="D30" s="19"/>
      <c r="E30" s="19"/>
      <c r="F30" s="19"/>
      <c r="G30" s="20"/>
      <c r="H30" s="20"/>
      <c r="I30" s="19"/>
      <c r="J30" s="19"/>
    </row>
    <row r="31" spans="1:12" x14ac:dyDescent="0.25">
      <c r="A31" s="19" t="s">
        <v>23</v>
      </c>
      <c r="B31" s="19"/>
      <c r="C31" s="21">
        <v>7.0000000000000007E-2</v>
      </c>
      <c r="D31" s="20">
        <f>C31*C25</f>
        <v>7280.0000000000009</v>
      </c>
      <c r="E31" s="19"/>
      <c r="F31" s="19" t="s">
        <v>23</v>
      </c>
      <c r="G31" s="21">
        <v>7.0000000000000007E-2</v>
      </c>
      <c r="H31" s="21"/>
      <c r="I31" s="20">
        <f>G31*C25</f>
        <v>7280.0000000000009</v>
      </c>
      <c r="J31" s="19"/>
    </row>
    <row r="32" spans="1:12" x14ac:dyDescent="0.25">
      <c r="A32" s="18" t="s">
        <v>24</v>
      </c>
      <c r="B32" s="18"/>
      <c r="C32" s="22"/>
      <c r="D32" s="18"/>
      <c r="E32" s="18"/>
      <c r="F32" s="18" t="s">
        <v>24</v>
      </c>
      <c r="G32" s="22"/>
      <c r="H32" s="22"/>
      <c r="I32" s="18"/>
      <c r="J32" s="18"/>
    </row>
    <row r="33" spans="1:11" x14ac:dyDescent="0.25">
      <c r="A33" s="19" t="s">
        <v>123</v>
      </c>
      <c r="B33" s="18"/>
      <c r="C33" s="22"/>
      <c r="D33" s="19">
        <v>9000</v>
      </c>
      <c r="E33" s="18"/>
      <c r="F33" s="19"/>
      <c r="G33" s="18"/>
      <c r="H33" s="22"/>
      <c r="I33" s="19"/>
      <c r="J33" s="18"/>
    </row>
    <row r="34" spans="1:11" x14ac:dyDescent="0.25">
      <c r="A34" s="19" t="s">
        <v>124</v>
      </c>
      <c r="B34" s="19"/>
      <c r="C34" s="20"/>
      <c r="D34" s="19">
        <v>101700</v>
      </c>
      <c r="E34" s="19"/>
      <c r="F34" s="19" t="s">
        <v>124</v>
      </c>
      <c r="G34" s="19"/>
      <c r="H34" s="20"/>
      <c r="I34" s="19">
        <v>101700</v>
      </c>
      <c r="J34" s="20"/>
      <c r="K34" s="19"/>
    </row>
    <row r="35" spans="1:11" x14ac:dyDescent="0.25">
      <c r="A35" s="23"/>
      <c r="B35" s="23"/>
      <c r="C35" s="19"/>
      <c r="D35" s="19"/>
      <c r="E35" s="19"/>
      <c r="F35" s="23"/>
      <c r="G35" s="23"/>
      <c r="H35" s="19"/>
      <c r="I35" s="19"/>
      <c r="J35" s="20"/>
      <c r="K35" s="19"/>
    </row>
    <row r="36" spans="1:11" x14ac:dyDescent="0.25">
      <c r="A36" s="23"/>
      <c r="B36" s="23"/>
      <c r="C36" s="19"/>
      <c r="D36" s="19"/>
      <c r="E36" s="19"/>
      <c r="F36" s="23"/>
      <c r="G36" s="23"/>
      <c r="H36" s="19"/>
      <c r="I36" s="19"/>
      <c r="J36" s="19"/>
      <c r="K36" s="19"/>
    </row>
    <row r="37" spans="1:11" x14ac:dyDescent="0.25">
      <c r="A37" s="18" t="s">
        <v>12</v>
      </c>
      <c r="B37" s="18"/>
      <c r="C37" s="22">
        <f>C25+C26+C27+C28+C29+C30-D31</f>
        <v>111250</v>
      </c>
      <c r="D37" s="22">
        <f>SUM(D33:D36)</f>
        <v>110700</v>
      </c>
      <c r="E37" s="22">
        <f>C37-D37</f>
        <v>550</v>
      </c>
      <c r="F37" s="18" t="s">
        <v>12</v>
      </c>
      <c r="G37" s="22">
        <f>G25+G30+G29+G26-I31</f>
        <v>101110</v>
      </c>
      <c r="H37" s="22"/>
      <c r="I37" s="22">
        <f>SUM(I33:I36)</f>
        <v>101700</v>
      </c>
      <c r="J37" s="22">
        <f>G37-I37</f>
        <v>-590</v>
      </c>
    </row>
    <row r="39" spans="1:11" x14ac:dyDescent="0.25">
      <c r="A39" t="s">
        <v>25</v>
      </c>
      <c r="D39" t="s">
        <v>26</v>
      </c>
      <c r="G39" t="s">
        <v>27</v>
      </c>
    </row>
    <row r="40" spans="1:11" x14ac:dyDescent="0.25">
      <c r="A40" t="s">
        <v>28</v>
      </c>
      <c r="D40" t="s">
        <v>29</v>
      </c>
      <c r="G40" t="s">
        <v>31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22" workbookViewId="0">
      <selection activeCell="N25" sqref="N24:N25"/>
    </sheetView>
  </sheetViews>
  <sheetFormatPr defaultRowHeight="15" x14ac:dyDescent="0.25"/>
  <cols>
    <col min="3" max="3" width="10.85546875" customWidth="1"/>
  </cols>
  <sheetData>
    <row r="1" spans="1:12" x14ac:dyDescent="0.25">
      <c r="A1" s="1"/>
      <c r="D1" s="1" t="s">
        <v>31</v>
      </c>
      <c r="E1" s="1"/>
      <c r="F1" s="1"/>
      <c r="G1" s="1"/>
      <c r="H1" s="1"/>
      <c r="I1" s="1"/>
      <c r="J1" s="1"/>
      <c r="K1" s="1"/>
    </row>
    <row r="2" spans="1:12" x14ac:dyDescent="0.25">
      <c r="A2" s="1"/>
      <c r="D2" s="1" t="s">
        <v>0</v>
      </c>
      <c r="E2" s="1"/>
      <c r="F2" s="1"/>
      <c r="G2" s="1"/>
      <c r="H2" s="1"/>
      <c r="I2" s="1"/>
      <c r="J2" s="1"/>
      <c r="K2" s="1"/>
    </row>
    <row r="3" spans="1:12" x14ac:dyDescent="0.25">
      <c r="A3" s="1"/>
      <c r="C3" s="1"/>
      <c r="D3" s="1" t="s">
        <v>125</v>
      </c>
      <c r="E3" s="1"/>
      <c r="F3" s="1"/>
      <c r="G3" s="1"/>
      <c r="H3" s="1"/>
      <c r="I3" s="1"/>
      <c r="J3" s="1"/>
      <c r="K3" s="1"/>
    </row>
    <row r="4" spans="1:12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60</v>
      </c>
      <c r="F4" s="2" t="s">
        <v>30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61</v>
      </c>
      <c r="L4" s="7"/>
    </row>
    <row r="5" spans="1:12" x14ac:dyDescent="0.25">
      <c r="A5" s="3" t="s">
        <v>32</v>
      </c>
      <c r="B5" s="3" t="s">
        <v>47</v>
      </c>
      <c r="C5" s="3"/>
      <c r="D5" s="3">
        <f>'AUGUST 21'!J5:J18</f>
        <v>0</v>
      </c>
      <c r="E5" s="3"/>
      <c r="F5" s="3"/>
      <c r="G5" s="3"/>
      <c r="H5" s="3">
        <f>D5+G5+C5+F5+E5</f>
        <v>0</v>
      </c>
      <c r="I5" s="19"/>
      <c r="J5" s="3">
        <f t="shared" ref="J5:J18" si="0">H5-I5</f>
        <v>0</v>
      </c>
      <c r="K5" s="3"/>
      <c r="L5" s="7"/>
    </row>
    <row r="6" spans="1:12" x14ac:dyDescent="0.25">
      <c r="A6" s="3" t="s">
        <v>33</v>
      </c>
      <c r="B6" s="3" t="s">
        <v>48</v>
      </c>
      <c r="C6" s="3"/>
      <c r="D6" s="3">
        <f>'AUGUST 21'!J6:J19</f>
        <v>0</v>
      </c>
      <c r="E6" s="3">
        <v>250</v>
      </c>
      <c r="F6" s="3">
        <v>1080</v>
      </c>
      <c r="G6" s="3">
        <v>8000</v>
      </c>
      <c r="H6" s="3">
        <f t="shared" ref="H6:H19" si="1">D6+G6+C6+F6+E6</f>
        <v>9330</v>
      </c>
      <c r="I6" s="19">
        <v>9330</v>
      </c>
      <c r="J6" s="3">
        <f t="shared" si="0"/>
        <v>0</v>
      </c>
      <c r="K6" s="3"/>
      <c r="L6" s="7"/>
    </row>
    <row r="7" spans="1:12" x14ac:dyDescent="0.25">
      <c r="A7" s="3" t="s">
        <v>34</v>
      </c>
      <c r="B7" s="3" t="s">
        <v>70</v>
      </c>
      <c r="C7" s="3"/>
      <c r="D7" s="3">
        <f>'AUGUST 21'!J7:J20</f>
        <v>0</v>
      </c>
      <c r="E7" s="3">
        <v>250</v>
      </c>
      <c r="F7" s="3"/>
      <c r="G7" s="3">
        <v>7000</v>
      </c>
      <c r="H7" s="3">
        <f t="shared" si="1"/>
        <v>7250</v>
      </c>
      <c r="I7" s="19">
        <v>7250</v>
      </c>
      <c r="J7" s="3">
        <f t="shared" si="0"/>
        <v>0</v>
      </c>
      <c r="K7" s="3"/>
      <c r="L7" s="7"/>
    </row>
    <row r="8" spans="1:12" x14ac:dyDescent="0.25">
      <c r="A8" s="3" t="s">
        <v>35</v>
      </c>
      <c r="B8" s="4" t="s">
        <v>11</v>
      </c>
      <c r="C8" s="4"/>
      <c r="D8" s="3">
        <f>'AUGUST 21'!J8:J21</f>
        <v>0</v>
      </c>
      <c r="E8" s="3"/>
      <c r="F8" s="3"/>
      <c r="G8" s="3"/>
      <c r="H8" s="3">
        <f>D8+G8+C8+F8+E8</f>
        <v>0</v>
      </c>
      <c r="I8" s="19"/>
      <c r="J8" s="3">
        <f t="shared" si="0"/>
        <v>0</v>
      </c>
      <c r="K8" s="3"/>
      <c r="L8" s="7"/>
    </row>
    <row r="9" spans="1:12" x14ac:dyDescent="0.25">
      <c r="A9" s="5" t="s">
        <v>36</v>
      </c>
      <c r="B9" s="4" t="s">
        <v>11</v>
      </c>
      <c r="C9" s="19"/>
      <c r="D9" s="3"/>
      <c r="E9" s="3"/>
      <c r="F9" s="3"/>
      <c r="G9" s="3"/>
      <c r="H9" s="3">
        <f t="shared" si="1"/>
        <v>0</v>
      </c>
      <c r="I9" s="19"/>
      <c r="J9" s="3">
        <f t="shared" si="0"/>
        <v>0</v>
      </c>
      <c r="K9" s="3"/>
      <c r="L9" s="7"/>
    </row>
    <row r="10" spans="1:12" x14ac:dyDescent="0.25">
      <c r="A10" s="3" t="s">
        <v>37</v>
      </c>
      <c r="B10" s="3" t="s">
        <v>50</v>
      </c>
      <c r="C10" s="3"/>
      <c r="D10" s="3">
        <f>'AUGUST 21'!J10:J23</f>
        <v>0</v>
      </c>
      <c r="E10" s="3">
        <v>250</v>
      </c>
      <c r="F10" s="3">
        <v>180</v>
      </c>
      <c r="G10" s="3">
        <v>12000</v>
      </c>
      <c r="H10" s="3">
        <f t="shared" si="1"/>
        <v>12430</v>
      </c>
      <c r="I10" s="19">
        <v>12430</v>
      </c>
      <c r="J10" s="3">
        <f t="shared" si="0"/>
        <v>0</v>
      </c>
      <c r="K10" s="3"/>
      <c r="L10" s="7"/>
    </row>
    <row r="11" spans="1:12" x14ac:dyDescent="0.25">
      <c r="A11" s="3" t="s">
        <v>38</v>
      </c>
      <c r="B11" s="6" t="s">
        <v>53</v>
      </c>
      <c r="C11" s="6"/>
      <c r="D11" s="3">
        <f>'AUGUST 21'!J11:J24</f>
        <v>330</v>
      </c>
      <c r="E11" s="3">
        <v>250</v>
      </c>
      <c r="F11" s="3">
        <v>1980</v>
      </c>
      <c r="G11" s="3">
        <v>12000</v>
      </c>
      <c r="H11" s="3">
        <f t="shared" si="1"/>
        <v>14560</v>
      </c>
      <c r="I11" s="19">
        <f>9000+4980</f>
        <v>13980</v>
      </c>
      <c r="J11" s="3">
        <f t="shared" si="0"/>
        <v>580</v>
      </c>
      <c r="K11" s="3"/>
      <c r="L11" s="7"/>
    </row>
    <row r="12" spans="1:12" x14ac:dyDescent="0.25">
      <c r="A12" s="3" t="s">
        <v>39</v>
      </c>
      <c r="B12" s="19" t="s">
        <v>119</v>
      </c>
      <c r="C12" s="3"/>
      <c r="D12" s="3">
        <f>'AUGUST 21'!J12:J25</f>
        <v>200</v>
      </c>
      <c r="E12" s="3">
        <v>250</v>
      </c>
      <c r="F12" s="3">
        <v>600</v>
      </c>
      <c r="G12" s="3">
        <v>9000</v>
      </c>
      <c r="H12" s="3">
        <f t="shared" si="1"/>
        <v>10050</v>
      </c>
      <c r="I12" s="19">
        <v>10050</v>
      </c>
      <c r="J12" s="3">
        <f t="shared" si="0"/>
        <v>0</v>
      </c>
      <c r="K12" s="3"/>
      <c r="L12" s="7"/>
    </row>
    <row r="13" spans="1:12" x14ac:dyDescent="0.25">
      <c r="A13" s="3" t="s">
        <v>40</v>
      </c>
      <c r="B13" s="19" t="s">
        <v>98</v>
      </c>
      <c r="C13" s="3"/>
      <c r="D13" s="3">
        <f>'AUGUST 21'!J13:J26</f>
        <v>50</v>
      </c>
      <c r="E13" s="3">
        <v>250</v>
      </c>
      <c r="F13" s="3">
        <v>1240</v>
      </c>
      <c r="G13" s="3">
        <v>9000</v>
      </c>
      <c r="H13" s="3">
        <f t="shared" si="1"/>
        <v>10540</v>
      </c>
      <c r="I13" s="19">
        <f>10240</f>
        <v>10240</v>
      </c>
      <c r="J13" s="3">
        <f t="shared" si="0"/>
        <v>300</v>
      </c>
      <c r="K13" s="3"/>
      <c r="L13" s="7"/>
    </row>
    <row r="14" spans="1:12" x14ac:dyDescent="0.25">
      <c r="A14" s="3" t="s">
        <v>41</v>
      </c>
      <c r="B14" s="3" t="s">
        <v>55</v>
      </c>
      <c r="C14" s="3"/>
      <c r="D14" s="3">
        <f>'AUGUST 21'!J14:J27</f>
        <v>4000</v>
      </c>
      <c r="E14" s="3">
        <v>250</v>
      </c>
      <c r="F14" s="3">
        <v>960</v>
      </c>
      <c r="G14" s="3">
        <v>8000</v>
      </c>
      <c r="H14" s="3">
        <f t="shared" si="1"/>
        <v>13210</v>
      </c>
      <c r="I14" s="19">
        <f>9210+4000</f>
        <v>13210</v>
      </c>
      <c r="J14" s="3">
        <f t="shared" si="0"/>
        <v>0</v>
      </c>
      <c r="K14" s="3"/>
      <c r="L14" s="7"/>
    </row>
    <row r="15" spans="1:12" x14ac:dyDescent="0.25">
      <c r="A15" s="3" t="s">
        <v>42</v>
      </c>
      <c r="B15" s="19" t="s">
        <v>66</v>
      </c>
      <c r="C15" s="19"/>
      <c r="D15" s="3">
        <f>'AUGUST 21'!J15:J28</f>
        <v>30</v>
      </c>
      <c r="E15" s="3">
        <v>250</v>
      </c>
      <c r="F15" s="3">
        <v>220</v>
      </c>
      <c r="G15" s="3">
        <v>9000</v>
      </c>
      <c r="H15" s="3">
        <f t="shared" si="1"/>
        <v>9500</v>
      </c>
      <c r="I15" s="19">
        <f>470+9000</f>
        <v>9470</v>
      </c>
      <c r="J15" s="3">
        <f t="shared" si="0"/>
        <v>30</v>
      </c>
      <c r="K15" s="3"/>
      <c r="L15" s="7"/>
    </row>
    <row r="16" spans="1:12" x14ac:dyDescent="0.25">
      <c r="A16" s="3" t="s">
        <v>43</v>
      </c>
      <c r="B16" s="19" t="s">
        <v>114</v>
      </c>
      <c r="C16" s="3"/>
      <c r="D16" s="3">
        <f>'AUGUST 21'!J16:J29</f>
        <v>50</v>
      </c>
      <c r="E16" s="3">
        <v>250</v>
      </c>
      <c r="F16" s="3">
        <v>1400</v>
      </c>
      <c r="G16" s="3">
        <v>12000</v>
      </c>
      <c r="H16" s="3">
        <f t="shared" si="1"/>
        <v>13700</v>
      </c>
      <c r="I16" s="19">
        <f>13000</f>
        <v>13000</v>
      </c>
      <c r="J16" s="3">
        <f t="shared" si="0"/>
        <v>700</v>
      </c>
      <c r="K16" s="3"/>
      <c r="L16" s="7"/>
    </row>
    <row r="17" spans="1:12" x14ac:dyDescent="0.25">
      <c r="A17" s="3" t="s">
        <v>44</v>
      </c>
      <c r="B17" s="4" t="s">
        <v>11</v>
      </c>
      <c r="C17" s="4"/>
      <c r="D17" s="3">
        <f>'AUGUST 21'!J17:J30</f>
        <v>0</v>
      </c>
      <c r="E17" s="3"/>
      <c r="F17" s="3"/>
      <c r="G17" s="3"/>
      <c r="H17" s="3">
        <f t="shared" si="1"/>
        <v>0</v>
      </c>
      <c r="I17" s="19"/>
      <c r="J17" s="3">
        <f t="shared" si="0"/>
        <v>0</v>
      </c>
      <c r="K17" s="3"/>
      <c r="L17" s="7"/>
    </row>
    <row r="18" spans="1:12" x14ac:dyDescent="0.25">
      <c r="A18" s="3" t="s">
        <v>45</v>
      </c>
      <c r="B18" s="19" t="s">
        <v>112</v>
      </c>
      <c r="C18" s="3"/>
      <c r="D18" s="3">
        <f>'AUGUST 21'!J18:J31</f>
        <v>200</v>
      </c>
      <c r="E18" s="3">
        <v>250</v>
      </c>
      <c r="F18" s="3">
        <v>2000</v>
      </c>
      <c r="G18" s="3">
        <v>9000</v>
      </c>
      <c r="H18" s="3">
        <f>D18+G18+C18+F18+E18</f>
        <v>11450</v>
      </c>
      <c r="I18" s="19">
        <v>11450</v>
      </c>
      <c r="J18" s="3">
        <f t="shared" si="0"/>
        <v>0</v>
      </c>
      <c r="K18" s="3"/>
      <c r="L18" s="7"/>
    </row>
    <row r="19" spans="1:12" x14ac:dyDescent="0.25">
      <c r="A19" s="3" t="s">
        <v>46</v>
      </c>
      <c r="B19" s="4" t="s">
        <v>11</v>
      </c>
      <c r="C19" s="4"/>
      <c r="D19" s="3">
        <f>'AUGUST 21'!J19:J32</f>
        <v>0</v>
      </c>
      <c r="E19" s="3"/>
      <c r="F19" s="3"/>
      <c r="G19" s="3"/>
      <c r="H19" s="4">
        <f t="shared" si="1"/>
        <v>0</v>
      </c>
      <c r="I19" s="4"/>
      <c r="J19" s="4"/>
      <c r="K19" s="3"/>
      <c r="L19" s="7"/>
    </row>
    <row r="20" spans="1:12" x14ac:dyDescent="0.25">
      <c r="A20" s="3"/>
      <c r="B20" s="2" t="s">
        <v>12</v>
      </c>
      <c r="C20" s="2">
        <f>SUM(C5:C19)</f>
        <v>0</v>
      </c>
      <c r="D20" s="3">
        <f>SUM(D5:D19)</f>
        <v>4860</v>
      </c>
      <c r="E20" s="3">
        <f t="shared" ref="E20:K20" si="2">SUM(E5:E19)</f>
        <v>2500</v>
      </c>
      <c r="F20" s="3">
        <f t="shared" si="2"/>
        <v>9660</v>
      </c>
      <c r="G20" s="2">
        <f t="shared" si="2"/>
        <v>95000</v>
      </c>
      <c r="H20" s="3">
        <f t="shared" si="2"/>
        <v>112020</v>
      </c>
      <c r="I20" s="18">
        <f t="shared" si="2"/>
        <v>110410</v>
      </c>
      <c r="J20" s="2">
        <f t="shared" si="2"/>
        <v>1610</v>
      </c>
      <c r="K20" s="3">
        <f t="shared" si="2"/>
        <v>0</v>
      </c>
      <c r="L20" s="7"/>
    </row>
    <row r="21" spans="1:12" x14ac:dyDescent="0.25">
      <c r="A21" s="7"/>
      <c r="B21" s="9"/>
      <c r="C21" s="9"/>
      <c r="D21" s="3">
        <f>'JUNE 21'!J21:J37</f>
        <v>3320</v>
      </c>
      <c r="E21" s="9"/>
      <c r="G21" s="9" t="s">
        <v>14</v>
      </c>
      <c r="H21" s="9"/>
      <c r="I21" s="9"/>
      <c r="J21" s="29"/>
      <c r="K21" s="7"/>
    </row>
    <row r="22" spans="1:12" x14ac:dyDescent="0.25">
      <c r="A22" s="10" t="s">
        <v>15</v>
      </c>
      <c r="B22" s="10"/>
      <c r="C22" s="11"/>
      <c r="D22" s="9"/>
      <c r="E22" s="13"/>
      <c r="F22" s="14"/>
      <c r="G22" s="15"/>
      <c r="H22" s="15"/>
      <c r="I22" s="14"/>
      <c r="J22" s="10"/>
    </row>
    <row r="23" spans="1:12" x14ac:dyDescent="0.25">
      <c r="A23" s="16" t="s">
        <v>16</v>
      </c>
      <c r="B23" s="16"/>
      <c r="C23" s="16"/>
      <c r="D23" s="16"/>
      <c r="E23" s="12"/>
      <c r="F23" s="16" t="s">
        <v>17</v>
      </c>
      <c r="G23" s="10"/>
      <c r="H23" s="10"/>
      <c r="I23" s="10"/>
      <c r="J23" s="10"/>
    </row>
    <row r="24" spans="1:12" x14ac:dyDescent="0.25">
      <c r="A24" s="18" t="s">
        <v>18</v>
      </c>
      <c r="B24" s="18"/>
      <c r="C24" s="18" t="s">
        <v>19</v>
      </c>
      <c r="D24" s="18" t="s">
        <v>20</v>
      </c>
      <c r="E24" s="18" t="s">
        <v>21</v>
      </c>
      <c r="F24" s="18" t="s">
        <v>18</v>
      </c>
      <c r="G24" s="18" t="s">
        <v>19</v>
      </c>
      <c r="H24" s="18"/>
      <c r="I24" s="18" t="s">
        <v>20</v>
      </c>
      <c r="J24" s="18" t="s">
        <v>21</v>
      </c>
    </row>
    <row r="25" spans="1:12" x14ac:dyDescent="0.25">
      <c r="A25" s="19" t="s">
        <v>126</v>
      </c>
      <c r="B25" s="19"/>
      <c r="C25" s="20">
        <f>G20</f>
        <v>95000</v>
      </c>
      <c r="D25" s="19"/>
      <c r="F25" s="19" t="s">
        <v>126</v>
      </c>
      <c r="G25" s="20">
        <f>I20</f>
        <v>110410</v>
      </c>
      <c r="H25" s="20"/>
      <c r="I25" s="19"/>
      <c r="J25" s="19"/>
      <c r="K25" s="26"/>
    </row>
    <row r="26" spans="1:12" x14ac:dyDescent="0.25">
      <c r="A26" s="19" t="s">
        <v>6</v>
      </c>
      <c r="B26" s="19"/>
      <c r="C26" s="20">
        <f>JULY21!E37</f>
        <v>0</v>
      </c>
      <c r="D26" s="19"/>
      <c r="E26" s="19"/>
      <c r="F26" t="s">
        <v>6</v>
      </c>
      <c r="G26" s="20">
        <f>'AUGUST 21'!J37</f>
        <v>-590</v>
      </c>
      <c r="H26" s="20"/>
      <c r="I26" s="19"/>
      <c r="J26" s="19"/>
    </row>
    <row r="27" spans="1:12" x14ac:dyDescent="0.25">
      <c r="A27" s="19" t="s">
        <v>30</v>
      </c>
      <c r="B27" s="19"/>
      <c r="C27" s="20">
        <f>F20</f>
        <v>9660</v>
      </c>
      <c r="D27" s="19"/>
      <c r="E27" s="19"/>
      <c r="F27" s="19"/>
      <c r="G27" s="20"/>
      <c r="H27" s="20"/>
      <c r="I27" s="19"/>
      <c r="J27" s="19"/>
    </row>
    <row r="28" spans="1:12" x14ac:dyDescent="0.25">
      <c r="A28" s="19" t="s">
        <v>60</v>
      </c>
      <c r="B28" s="19"/>
      <c r="C28" s="20">
        <f>E20</f>
        <v>2500</v>
      </c>
      <c r="D28" s="19"/>
      <c r="E28" s="19"/>
      <c r="F28" s="19"/>
      <c r="G28" s="19"/>
      <c r="H28" s="20"/>
      <c r="I28" s="19"/>
      <c r="J28" s="19"/>
    </row>
    <row r="29" spans="1:12" x14ac:dyDescent="0.25">
      <c r="A29" s="19" t="s">
        <v>104</v>
      </c>
      <c r="B29" s="19"/>
      <c r="C29" s="20">
        <f>K20</f>
        <v>0</v>
      </c>
      <c r="D29" s="19"/>
      <c r="E29" s="19"/>
      <c r="F29" s="19"/>
      <c r="G29" s="19"/>
      <c r="H29" s="20"/>
      <c r="I29" s="19"/>
      <c r="J29" s="19"/>
    </row>
    <row r="30" spans="1:12" x14ac:dyDescent="0.25">
      <c r="A30" s="19" t="s">
        <v>5</v>
      </c>
      <c r="B30" s="19"/>
      <c r="C30" s="20"/>
      <c r="D30" s="19"/>
      <c r="E30" s="19"/>
      <c r="F30" s="19"/>
      <c r="G30" s="20"/>
      <c r="H30" s="20"/>
      <c r="I30" s="19"/>
      <c r="J30" s="19"/>
    </row>
    <row r="31" spans="1:12" x14ac:dyDescent="0.25">
      <c r="A31" s="19" t="s">
        <v>23</v>
      </c>
      <c r="B31" s="19"/>
      <c r="C31" s="21">
        <v>7.0000000000000007E-2</v>
      </c>
      <c r="D31" s="20">
        <f>C31*C25</f>
        <v>6650.0000000000009</v>
      </c>
      <c r="E31" s="19"/>
      <c r="F31" s="19" t="s">
        <v>23</v>
      </c>
      <c r="G31" s="21">
        <v>7.0000000000000007E-2</v>
      </c>
      <c r="H31" s="21"/>
      <c r="I31" s="20">
        <f>G31*C25</f>
        <v>6650.0000000000009</v>
      </c>
      <c r="J31" s="19"/>
    </row>
    <row r="32" spans="1:12" x14ac:dyDescent="0.25">
      <c r="A32" s="18" t="s">
        <v>24</v>
      </c>
      <c r="B32" s="18"/>
      <c r="C32" s="22"/>
      <c r="D32" s="18"/>
      <c r="E32" s="18"/>
      <c r="F32" s="18" t="s">
        <v>24</v>
      </c>
      <c r="G32" s="22"/>
      <c r="H32" s="22"/>
      <c r="I32" s="18"/>
      <c r="J32" s="18"/>
    </row>
    <row r="33" spans="1:11" x14ac:dyDescent="0.25">
      <c r="A33" s="19"/>
      <c r="B33" s="18"/>
      <c r="C33" s="22"/>
      <c r="D33" s="19"/>
      <c r="E33" s="18"/>
      <c r="F33" s="19"/>
      <c r="G33" s="18"/>
      <c r="H33" s="22"/>
      <c r="I33" s="19"/>
      <c r="J33" s="18"/>
    </row>
    <row r="34" spans="1:11" x14ac:dyDescent="0.25">
      <c r="A34" s="19" t="s">
        <v>127</v>
      </c>
      <c r="B34" s="19"/>
      <c r="C34" s="20"/>
      <c r="D34" s="19">
        <v>100510</v>
      </c>
      <c r="E34" s="19"/>
      <c r="F34" s="19" t="s">
        <v>127</v>
      </c>
      <c r="G34" s="19"/>
      <c r="H34" s="20"/>
      <c r="I34" s="19">
        <v>100510</v>
      </c>
      <c r="J34" s="20"/>
      <c r="K34" s="19"/>
    </row>
    <row r="35" spans="1:11" x14ac:dyDescent="0.25">
      <c r="A35" s="23"/>
      <c r="B35" s="23"/>
      <c r="C35" s="19"/>
      <c r="D35" s="19"/>
      <c r="E35" s="19"/>
      <c r="F35" s="23"/>
      <c r="G35" s="23"/>
      <c r="H35" s="19"/>
      <c r="I35" s="19"/>
      <c r="J35" s="20"/>
      <c r="K35" s="19"/>
    </row>
    <row r="36" spans="1:11" x14ac:dyDescent="0.25">
      <c r="A36" s="23"/>
      <c r="B36" s="23"/>
      <c r="C36" s="19"/>
      <c r="D36" s="19"/>
      <c r="E36" s="19"/>
      <c r="F36" s="23"/>
      <c r="G36" s="23"/>
      <c r="H36" s="19"/>
      <c r="I36" s="19"/>
      <c r="J36" s="19"/>
      <c r="K36" s="19"/>
    </row>
    <row r="37" spans="1:11" x14ac:dyDescent="0.25">
      <c r="A37" s="18" t="s">
        <v>12</v>
      </c>
      <c r="B37" s="18"/>
      <c r="C37" s="22">
        <f>C25+C26+C27+C28+C29+C30-D31</f>
        <v>100510</v>
      </c>
      <c r="D37" s="22">
        <f>SUM(D33:D36)</f>
        <v>100510</v>
      </c>
      <c r="E37" s="22">
        <f>C37-D37</f>
        <v>0</v>
      </c>
      <c r="F37" s="18" t="s">
        <v>12</v>
      </c>
      <c r="G37" s="22">
        <f>G25+G30+G29+G26-I31</f>
        <v>103170</v>
      </c>
      <c r="H37" s="22"/>
      <c r="I37" s="22">
        <f>SUM(I33:I36)</f>
        <v>100510</v>
      </c>
      <c r="J37" s="22">
        <f>G37-I37</f>
        <v>2660</v>
      </c>
    </row>
    <row r="39" spans="1:11" x14ac:dyDescent="0.25">
      <c r="A39" t="s">
        <v>25</v>
      </c>
      <c r="D39" t="s">
        <v>26</v>
      </c>
      <c r="G39" t="s">
        <v>27</v>
      </c>
    </row>
    <row r="40" spans="1:11" x14ac:dyDescent="0.25">
      <c r="A40" t="s">
        <v>28</v>
      </c>
      <c r="D40" t="s">
        <v>29</v>
      </c>
      <c r="G40" t="s">
        <v>31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G18" sqref="G18"/>
    </sheetView>
  </sheetViews>
  <sheetFormatPr defaultRowHeight="15" x14ac:dyDescent="0.25"/>
  <cols>
    <col min="2" max="2" width="15.85546875" customWidth="1"/>
    <col min="5" max="5" width="11.42578125" customWidth="1"/>
  </cols>
  <sheetData>
    <row r="1" spans="1:11" ht="22.5" customHeight="1" x14ac:dyDescent="0.25">
      <c r="A1" s="1"/>
      <c r="D1" s="66" t="s">
        <v>31</v>
      </c>
      <c r="E1" s="66"/>
      <c r="F1" s="1"/>
      <c r="G1" s="1"/>
      <c r="H1" s="1"/>
      <c r="I1" s="1"/>
      <c r="J1" s="1"/>
      <c r="K1" s="1"/>
    </row>
    <row r="2" spans="1:11" ht="24.75" customHeight="1" x14ac:dyDescent="0.25">
      <c r="A2" s="1"/>
      <c r="D2" s="66" t="s">
        <v>0</v>
      </c>
      <c r="E2" s="66"/>
      <c r="F2" s="1"/>
      <c r="G2" s="1"/>
      <c r="H2" s="1"/>
      <c r="I2" s="1"/>
      <c r="J2" s="1"/>
      <c r="K2" s="1"/>
    </row>
    <row r="3" spans="1:11" ht="25.5" customHeight="1" x14ac:dyDescent="0.25">
      <c r="A3" s="1"/>
      <c r="C3" s="67" t="s">
        <v>128</v>
      </c>
      <c r="D3" s="67"/>
      <c r="E3" s="67"/>
      <c r="F3" s="67"/>
      <c r="G3" s="1"/>
      <c r="H3" s="1"/>
      <c r="I3" s="1"/>
      <c r="J3" s="1"/>
      <c r="K3" s="1"/>
    </row>
    <row r="4" spans="1:11" s="31" customFormat="1" ht="30" x14ac:dyDescent="0.25">
      <c r="A4" s="30" t="s">
        <v>3</v>
      </c>
      <c r="B4" s="30" t="s">
        <v>4</v>
      </c>
      <c r="C4" s="30" t="s">
        <v>5</v>
      </c>
      <c r="D4" s="30" t="s">
        <v>6</v>
      </c>
      <c r="E4" s="30" t="s">
        <v>60</v>
      </c>
      <c r="F4" s="30" t="s">
        <v>30</v>
      </c>
      <c r="G4" s="30" t="s">
        <v>7</v>
      </c>
      <c r="H4" s="30" t="s">
        <v>8</v>
      </c>
      <c r="I4" s="30" t="s">
        <v>9</v>
      </c>
      <c r="J4" s="30" t="s">
        <v>10</v>
      </c>
      <c r="K4" s="30" t="s">
        <v>61</v>
      </c>
    </row>
    <row r="5" spans="1:11" x14ac:dyDescent="0.25">
      <c r="A5" s="3" t="s">
        <v>32</v>
      </c>
      <c r="B5" s="32" t="s">
        <v>47</v>
      </c>
      <c r="C5" s="3"/>
      <c r="D5" s="3">
        <f>'SEPTEMBER 21'!J5:J20</f>
        <v>0</v>
      </c>
      <c r="E5" s="3"/>
      <c r="F5" s="3"/>
      <c r="G5" s="3"/>
      <c r="H5" s="3">
        <f>D5+G5+C5+F5+E5</f>
        <v>0</v>
      </c>
      <c r="I5" s="19"/>
      <c r="J5" s="3">
        <f t="shared" ref="J5:J19" si="0">H5-I5</f>
        <v>0</v>
      </c>
      <c r="K5" s="3"/>
    </row>
    <row r="6" spans="1:11" ht="30" x14ac:dyDescent="0.25">
      <c r="A6" s="3" t="s">
        <v>33</v>
      </c>
      <c r="B6" s="32" t="s">
        <v>48</v>
      </c>
      <c r="C6" s="3"/>
      <c r="D6" s="3">
        <f>'SEPTEMBER 21'!J6:J21</f>
        <v>0</v>
      </c>
      <c r="E6" s="3">
        <v>250</v>
      </c>
      <c r="F6" s="3">
        <v>820</v>
      </c>
      <c r="G6" s="3">
        <v>8000</v>
      </c>
      <c r="H6" s="3">
        <f t="shared" ref="H6:H19" si="1">D6+G6+C6+F6+E6</f>
        <v>9070</v>
      </c>
      <c r="I6" s="19">
        <v>9070</v>
      </c>
      <c r="J6" s="3">
        <f t="shared" si="0"/>
        <v>0</v>
      </c>
      <c r="K6" s="3"/>
    </row>
    <row r="7" spans="1:11" x14ac:dyDescent="0.25">
      <c r="A7" s="3" t="s">
        <v>34</v>
      </c>
      <c r="B7" s="32" t="s">
        <v>70</v>
      </c>
      <c r="C7" s="3"/>
      <c r="D7" s="3">
        <f>'SEPTEMBER 21'!J7:J22</f>
        <v>0</v>
      </c>
      <c r="E7" s="3">
        <v>250</v>
      </c>
      <c r="F7" s="3"/>
      <c r="G7" s="3">
        <v>7000</v>
      </c>
      <c r="H7" s="3">
        <f t="shared" si="1"/>
        <v>7250</v>
      </c>
      <c r="I7" s="19">
        <v>7250</v>
      </c>
      <c r="J7" s="3">
        <f t="shared" si="0"/>
        <v>0</v>
      </c>
      <c r="K7" s="3"/>
    </row>
    <row r="8" spans="1:11" x14ac:dyDescent="0.25">
      <c r="A8" s="3" t="s">
        <v>35</v>
      </c>
      <c r="B8" s="33" t="s">
        <v>11</v>
      </c>
      <c r="C8" s="4"/>
      <c r="D8" s="3">
        <f>'SEPTEMBER 21'!J8:J23</f>
        <v>0</v>
      </c>
      <c r="E8" s="3"/>
      <c r="F8" s="3"/>
      <c r="G8" s="3"/>
      <c r="H8" s="3">
        <f>D8+G8+C8+F8+E8</f>
        <v>0</v>
      </c>
      <c r="I8" s="19"/>
      <c r="J8" s="3">
        <f t="shared" si="0"/>
        <v>0</v>
      </c>
      <c r="K8" s="3"/>
    </row>
    <row r="9" spans="1:11" x14ac:dyDescent="0.25">
      <c r="A9" s="5" t="s">
        <v>36</v>
      </c>
      <c r="B9" s="33" t="s">
        <v>11</v>
      </c>
      <c r="C9" s="19"/>
      <c r="D9" s="3">
        <f>'SEPTEMBER 21'!J9:J24</f>
        <v>0</v>
      </c>
      <c r="E9" s="3"/>
      <c r="F9" s="3"/>
      <c r="G9" s="3"/>
      <c r="H9" s="3">
        <f t="shared" si="1"/>
        <v>0</v>
      </c>
      <c r="I9" s="19"/>
      <c r="J9" s="3">
        <f t="shared" si="0"/>
        <v>0</v>
      </c>
      <c r="K9" s="3"/>
    </row>
    <row r="10" spans="1:11" x14ac:dyDescent="0.25">
      <c r="A10" s="3" t="s">
        <v>37</v>
      </c>
      <c r="B10" s="32" t="s">
        <v>50</v>
      </c>
      <c r="C10" s="3"/>
      <c r="D10" s="3">
        <f>'SEPTEMBER 21'!J10:J25</f>
        <v>0</v>
      </c>
      <c r="E10" s="3">
        <v>250</v>
      </c>
      <c r="F10" s="3">
        <v>160</v>
      </c>
      <c r="G10" s="3">
        <v>12000</v>
      </c>
      <c r="H10" s="3">
        <f t="shared" si="1"/>
        <v>12410</v>
      </c>
      <c r="I10" s="19">
        <v>12410</v>
      </c>
      <c r="J10" s="3">
        <f t="shared" si="0"/>
        <v>0</v>
      </c>
      <c r="K10" s="3"/>
    </row>
    <row r="11" spans="1:11" x14ac:dyDescent="0.25">
      <c r="A11" s="3" t="s">
        <v>38</v>
      </c>
      <c r="B11" s="34" t="s">
        <v>53</v>
      </c>
      <c r="C11" s="6"/>
      <c r="D11" s="3">
        <f>'SEPTEMBER 21'!J11:J26</f>
        <v>580</v>
      </c>
      <c r="E11" s="3">
        <v>250</v>
      </c>
      <c r="F11" s="3">
        <v>1280</v>
      </c>
      <c r="G11" s="3">
        <v>12000</v>
      </c>
      <c r="H11" s="3">
        <f t="shared" si="1"/>
        <v>14110</v>
      </c>
      <c r="I11" s="19"/>
      <c r="J11" s="3">
        <f t="shared" si="0"/>
        <v>14110</v>
      </c>
      <c r="K11" s="3"/>
    </row>
    <row r="12" spans="1:11" x14ac:dyDescent="0.25">
      <c r="A12" s="3" t="s">
        <v>39</v>
      </c>
      <c r="B12" s="35" t="s">
        <v>119</v>
      </c>
      <c r="C12" s="3"/>
      <c r="D12" s="3">
        <f>'SEPTEMBER 21'!J12:J27</f>
        <v>0</v>
      </c>
      <c r="E12" s="3">
        <v>250</v>
      </c>
      <c r="F12" s="3">
        <v>400</v>
      </c>
      <c r="G12" s="3">
        <v>9000</v>
      </c>
      <c r="H12" s="3">
        <f t="shared" si="1"/>
        <v>9650</v>
      </c>
      <c r="I12" s="19">
        <v>9650</v>
      </c>
      <c r="J12" s="3">
        <f t="shared" si="0"/>
        <v>0</v>
      </c>
      <c r="K12" s="3"/>
    </row>
    <row r="13" spans="1:11" x14ac:dyDescent="0.25">
      <c r="A13" s="3" t="s">
        <v>40</v>
      </c>
      <c r="B13" s="35" t="s">
        <v>98</v>
      </c>
      <c r="C13" s="3"/>
      <c r="D13" s="3">
        <f>'SEPTEMBER 21'!J13:J28</f>
        <v>300</v>
      </c>
      <c r="E13" s="3">
        <v>250</v>
      </c>
      <c r="F13" s="3">
        <v>1420</v>
      </c>
      <c r="G13" s="3">
        <v>9000</v>
      </c>
      <c r="H13" s="3">
        <f t="shared" si="1"/>
        <v>10970</v>
      </c>
      <c r="I13" s="19">
        <v>10970</v>
      </c>
      <c r="J13" s="3">
        <f t="shared" si="0"/>
        <v>0</v>
      </c>
      <c r="K13" s="3"/>
    </row>
    <row r="14" spans="1:11" ht="30" x14ac:dyDescent="0.25">
      <c r="A14" s="3" t="s">
        <v>41</v>
      </c>
      <c r="B14" s="32" t="s">
        <v>55</v>
      </c>
      <c r="C14" s="3"/>
      <c r="D14" s="3">
        <f>'SEPTEMBER 21'!J14:J29</f>
        <v>0</v>
      </c>
      <c r="E14" s="3">
        <v>250</v>
      </c>
      <c r="F14" s="3">
        <v>660</v>
      </c>
      <c r="G14" s="3">
        <v>8000</v>
      </c>
      <c r="H14" s="3">
        <f t="shared" si="1"/>
        <v>8910</v>
      </c>
      <c r="I14" s="19">
        <v>8910</v>
      </c>
      <c r="J14" s="3">
        <f t="shared" si="0"/>
        <v>0</v>
      </c>
      <c r="K14" s="3"/>
    </row>
    <row r="15" spans="1:11" ht="30" x14ac:dyDescent="0.25">
      <c r="A15" s="3" t="s">
        <v>42</v>
      </c>
      <c r="B15" s="35" t="s">
        <v>66</v>
      </c>
      <c r="C15" s="19"/>
      <c r="D15" s="3">
        <f>'SEPTEMBER 21'!J15:J30</f>
        <v>30</v>
      </c>
      <c r="E15" s="3">
        <v>250</v>
      </c>
      <c r="F15" s="3">
        <v>180</v>
      </c>
      <c r="G15" s="3">
        <v>9000</v>
      </c>
      <c r="H15" s="3">
        <f t="shared" si="1"/>
        <v>9460</v>
      </c>
      <c r="I15" s="19">
        <v>9430</v>
      </c>
      <c r="J15" s="3">
        <f t="shared" si="0"/>
        <v>30</v>
      </c>
      <c r="K15" s="3"/>
    </row>
    <row r="16" spans="1:11" ht="30" x14ac:dyDescent="0.25">
      <c r="A16" s="3" t="s">
        <v>43</v>
      </c>
      <c r="B16" s="35" t="s">
        <v>114</v>
      </c>
      <c r="C16" s="3"/>
      <c r="D16" s="3">
        <f>'SEPTEMBER 21'!J16:J31</f>
        <v>700</v>
      </c>
      <c r="E16" s="3">
        <v>250</v>
      </c>
      <c r="F16" s="3">
        <v>1360</v>
      </c>
      <c r="G16" s="3">
        <v>12000</v>
      </c>
      <c r="H16" s="3">
        <f t="shared" si="1"/>
        <v>14310</v>
      </c>
      <c r="I16" s="19">
        <v>13000</v>
      </c>
      <c r="J16" s="3">
        <f t="shared" si="0"/>
        <v>1310</v>
      </c>
      <c r="K16" s="3"/>
    </row>
    <row r="17" spans="1:11" x14ac:dyDescent="0.25">
      <c r="A17" s="3" t="s">
        <v>44</v>
      </c>
      <c r="B17" s="33" t="s">
        <v>11</v>
      </c>
      <c r="C17" s="4"/>
      <c r="D17" s="3">
        <f>'SEPTEMBER 21'!J17:J32</f>
        <v>0</v>
      </c>
      <c r="E17" s="3"/>
      <c r="F17" s="3"/>
      <c r="G17" s="3"/>
      <c r="H17" s="3">
        <f t="shared" si="1"/>
        <v>0</v>
      </c>
      <c r="I17" s="19"/>
      <c r="J17" s="3">
        <f t="shared" si="0"/>
        <v>0</v>
      </c>
      <c r="K17" s="3"/>
    </row>
    <row r="18" spans="1:11" x14ac:dyDescent="0.25">
      <c r="A18" s="3" t="s">
        <v>45</v>
      </c>
      <c r="B18" s="35" t="s">
        <v>112</v>
      </c>
      <c r="C18" s="3"/>
      <c r="D18" s="3">
        <f>'SEPTEMBER 21'!J18:J33</f>
        <v>0</v>
      </c>
      <c r="E18" s="3">
        <v>250</v>
      </c>
      <c r="F18" s="3">
        <v>2560</v>
      </c>
      <c r="G18" s="3">
        <v>9000</v>
      </c>
      <c r="H18" s="3">
        <f>D18+G18+C18+F18+E18</f>
        <v>11810</v>
      </c>
      <c r="I18" s="19">
        <v>11810</v>
      </c>
      <c r="J18" s="3">
        <f t="shared" si="0"/>
        <v>0</v>
      </c>
      <c r="K18" s="3"/>
    </row>
    <row r="19" spans="1:11" ht="30" x14ac:dyDescent="0.25">
      <c r="A19" s="3" t="s">
        <v>46</v>
      </c>
      <c r="B19" s="35" t="s">
        <v>130</v>
      </c>
      <c r="C19" s="19"/>
      <c r="D19" s="3">
        <f>'SEPTEMBER 21'!J19:J34</f>
        <v>0</v>
      </c>
      <c r="E19" s="3"/>
      <c r="F19" s="3"/>
      <c r="G19" s="3">
        <v>9000</v>
      </c>
      <c r="H19" s="19">
        <f t="shared" si="1"/>
        <v>9000</v>
      </c>
      <c r="I19" s="19">
        <v>9000</v>
      </c>
      <c r="J19" s="4">
        <f t="shared" si="0"/>
        <v>0</v>
      </c>
      <c r="K19" s="3"/>
    </row>
    <row r="20" spans="1:11" x14ac:dyDescent="0.25">
      <c r="A20" s="3"/>
      <c r="B20" s="2" t="s">
        <v>12</v>
      </c>
      <c r="C20" s="2">
        <f>SUM(C5:C19)</f>
        <v>0</v>
      </c>
      <c r="D20" s="3">
        <f>'SEPTEMBER 21'!J20:J35</f>
        <v>1610</v>
      </c>
      <c r="E20" s="3">
        <f t="shared" ref="E20:K20" si="2">SUM(E5:E19)</f>
        <v>2500</v>
      </c>
      <c r="F20" s="3">
        <f t="shared" si="2"/>
        <v>8840</v>
      </c>
      <c r="G20" s="2">
        <f t="shared" si="2"/>
        <v>104000</v>
      </c>
      <c r="H20" s="3">
        <f t="shared" si="2"/>
        <v>116950</v>
      </c>
      <c r="I20" s="18">
        <f t="shared" si="2"/>
        <v>101500</v>
      </c>
      <c r="J20" s="2">
        <f t="shared" si="2"/>
        <v>15450</v>
      </c>
      <c r="K20" s="3">
        <f t="shared" si="2"/>
        <v>0</v>
      </c>
    </row>
    <row r="21" spans="1:11" x14ac:dyDescent="0.25">
      <c r="A21" s="7"/>
      <c r="B21" s="9"/>
      <c r="C21" s="9"/>
      <c r="D21" s="3">
        <f>'SEPTEMBER 21'!J21:J36</f>
        <v>0</v>
      </c>
      <c r="E21" s="9"/>
      <c r="G21" s="9" t="s">
        <v>14</v>
      </c>
      <c r="H21" s="9"/>
      <c r="I21" s="9"/>
      <c r="J21" s="29"/>
      <c r="K21" s="7"/>
    </row>
    <row r="22" spans="1:11" x14ac:dyDescent="0.25">
      <c r="A22" s="10" t="s">
        <v>15</v>
      </c>
      <c r="B22" s="10"/>
      <c r="C22" s="11"/>
      <c r="D22" s="9"/>
      <c r="E22" s="13"/>
      <c r="F22" s="14"/>
      <c r="G22" s="15"/>
      <c r="H22" s="15"/>
      <c r="I22" s="14"/>
      <c r="J22" s="10"/>
    </row>
    <row r="23" spans="1:11" x14ac:dyDescent="0.25">
      <c r="A23" s="16" t="s">
        <v>16</v>
      </c>
      <c r="B23" s="16"/>
      <c r="C23" s="16"/>
      <c r="D23" s="16"/>
      <c r="E23" s="12"/>
      <c r="F23" s="16" t="s">
        <v>17</v>
      </c>
      <c r="G23" s="10"/>
      <c r="H23" s="10"/>
      <c r="I23" s="10"/>
      <c r="J23" s="10"/>
    </row>
    <row r="24" spans="1:11" x14ac:dyDescent="0.25">
      <c r="A24" s="18" t="s">
        <v>18</v>
      </c>
      <c r="B24" s="18"/>
      <c r="C24" s="18" t="s">
        <v>19</v>
      </c>
      <c r="D24" s="18" t="s">
        <v>20</v>
      </c>
      <c r="E24" s="18" t="s">
        <v>21</v>
      </c>
      <c r="F24" s="18" t="s">
        <v>18</v>
      </c>
      <c r="G24" s="18" t="s">
        <v>19</v>
      </c>
      <c r="H24" s="18"/>
      <c r="I24" s="18" t="s">
        <v>20</v>
      </c>
      <c r="J24" s="18" t="s">
        <v>21</v>
      </c>
    </row>
    <row r="25" spans="1:11" x14ac:dyDescent="0.25">
      <c r="A25" s="19" t="s">
        <v>129</v>
      </c>
      <c r="B25" s="19"/>
      <c r="C25" s="20">
        <f>G20</f>
        <v>104000</v>
      </c>
      <c r="D25" s="19"/>
      <c r="F25" s="19" t="s">
        <v>129</v>
      </c>
      <c r="G25" s="20">
        <f>I20</f>
        <v>101500</v>
      </c>
      <c r="H25" s="20"/>
      <c r="I25" s="19"/>
      <c r="J25" s="19"/>
      <c r="K25" s="26"/>
    </row>
    <row r="26" spans="1:11" x14ac:dyDescent="0.25">
      <c r="A26" s="19" t="s">
        <v>6</v>
      </c>
      <c r="B26" s="19"/>
      <c r="C26" s="20">
        <f>'SEPTEMBER 21'!E37</f>
        <v>0</v>
      </c>
      <c r="D26" s="19"/>
      <c r="E26" s="19"/>
      <c r="F26" t="s">
        <v>6</v>
      </c>
      <c r="G26" s="20">
        <f>'SEPTEMBER 21'!J37</f>
        <v>2660</v>
      </c>
      <c r="H26" s="20"/>
      <c r="I26" s="19"/>
      <c r="J26" s="19"/>
    </row>
    <row r="27" spans="1:11" x14ac:dyDescent="0.25">
      <c r="A27" s="19" t="s">
        <v>30</v>
      </c>
      <c r="B27" s="19"/>
      <c r="C27" s="20">
        <f>F20</f>
        <v>8840</v>
      </c>
      <c r="D27" s="19"/>
      <c r="E27" s="19"/>
      <c r="F27" s="19"/>
      <c r="G27" s="20"/>
      <c r="H27" s="20"/>
      <c r="I27" s="19"/>
      <c r="J27" s="19"/>
    </row>
    <row r="28" spans="1:11" x14ac:dyDescent="0.25">
      <c r="A28" s="19" t="s">
        <v>60</v>
      </c>
      <c r="B28" s="19"/>
      <c r="C28" s="20">
        <f>E20</f>
        <v>2500</v>
      </c>
      <c r="D28" s="19"/>
      <c r="E28" s="19"/>
      <c r="F28" s="19"/>
      <c r="G28" s="19"/>
      <c r="H28" s="20"/>
      <c r="I28" s="19"/>
      <c r="J28" s="19"/>
    </row>
    <row r="29" spans="1:11" x14ac:dyDescent="0.25">
      <c r="A29" s="19" t="s">
        <v>104</v>
      </c>
      <c r="B29" s="19"/>
      <c r="C29" s="20">
        <f>K20</f>
        <v>0</v>
      </c>
      <c r="D29" s="19"/>
      <c r="E29" s="19"/>
      <c r="F29" s="19"/>
      <c r="G29" s="19"/>
      <c r="H29" s="20"/>
      <c r="I29" s="19"/>
      <c r="J29" s="19"/>
    </row>
    <row r="30" spans="1:11" x14ac:dyDescent="0.25">
      <c r="A30" s="19" t="s">
        <v>5</v>
      </c>
      <c r="B30" s="19"/>
      <c r="C30" s="20"/>
      <c r="D30" s="19"/>
      <c r="E30" s="19"/>
      <c r="F30" s="19"/>
      <c r="G30" s="20"/>
      <c r="H30" s="20"/>
      <c r="I30" s="19"/>
      <c r="J30" s="19"/>
    </row>
    <row r="31" spans="1:11" x14ac:dyDescent="0.25">
      <c r="A31" s="19" t="s">
        <v>23</v>
      </c>
      <c r="B31" s="19"/>
      <c r="C31" s="21">
        <v>7.0000000000000007E-2</v>
      </c>
      <c r="D31" s="20">
        <f>C31*C25</f>
        <v>7280.0000000000009</v>
      </c>
      <c r="E31" s="19"/>
      <c r="F31" s="19" t="s">
        <v>23</v>
      </c>
      <c r="G31" s="21">
        <v>7.0000000000000007E-2</v>
      </c>
      <c r="H31" s="21"/>
      <c r="I31" s="20">
        <f>G31*C25</f>
        <v>7280.0000000000009</v>
      </c>
      <c r="J31" s="19"/>
    </row>
    <row r="32" spans="1:11" x14ac:dyDescent="0.25">
      <c r="A32" s="18" t="s">
        <v>24</v>
      </c>
      <c r="B32" s="18"/>
      <c r="C32" s="22"/>
      <c r="D32" s="18"/>
      <c r="E32" s="18"/>
      <c r="F32" s="18" t="s">
        <v>24</v>
      </c>
      <c r="G32" s="22"/>
      <c r="H32" s="22"/>
      <c r="I32" s="18"/>
      <c r="J32" s="18"/>
    </row>
    <row r="33" spans="1:11" x14ac:dyDescent="0.25">
      <c r="A33" s="19" t="s">
        <v>131</v>
      </c>
      <c r="B33" s="18"/>
      <c r="C33" s="22"/>
      <c r="D33" s="19">
        <v>108060</v>
      </c>
      <c r="E33" s="18"/>
      <c r="F33" s="19" t="s">
        <v>131</v>
      </c>
      <c r="G33" s="18"/>
      <c r="H33" s="22"/>
      <c r="I33" s="19">
        <v>108060</v>
      </c>
      <c r="J33" s="18"/>
    </row>
    <row r="34" spans="1:11" x14ac:dyDescent="0.25">
      <c r="A34" s="19"/>
      <c r="B34" s="19"/>
      <c r="C34" s="20"/>
      <c r="D34" s="19"/>
      <c r="E34" s="19"/>
      <c r="F34" s="19"/>
      <c r="G34" s="19"/>
      <c r="H34" s="20"/>
      <c r="I34" s="19"/>
      <c r="J34" s="20"/>
      <c r="K34" s="19"/>
    </row>
    <row r="35" spans="1:11" x14ac:dyDescent="0.25">
      <c r="A35" s="23"/>
      <c r="B35" s="23"/>
      <c r="C35" s="19"/>
      <c r="D35" s="19"/>
      <c r="E35" s="19"/>
      <c r="F35" s="23"/>
      <c r="G35" s="23"/>
      <c r="H35" s="19"/>
      <c r="I35" s="19"/>
      <c r="J35" s="20"/>
      <c r="K35" s="19"/>
    </row>
    <row r="36" spans="1:11" x14ac:dyDescent="0.25">
      <c r="A36" s="23"/>
      <c r="B36" s="23"/>
      <c r="C36" s="19"/>
      <c r="D36" s="19"/>
      <c r="E36" s="19"/>
      <c r="F36" s="23"/>
      <c r="G36" s="23"/>
      <c r="H36" s="19"/>
      <c r="I36" s="19"/>
      <c r="J36" s="19"/>
      <c r="K36" s="19"/>
    </row>
    <row r="37" spans="1:11" x14ac:dyDescent="0.25">
      <c r="A37" s="18" t="s">
        <v>12</v>
      </c>
      <c r="B37" s="18"/>
      <c r="C37" s="22">
        <f>C25+C26+C27+C28+C29+C30-D31</f>
        <v>108060</v>
      </c>
      <c r="D37" s="22">
        <f>SUM(D33:D36)</f>
        <v>108060</v>
      </c>
      <c r="E37" s="22">
        <f>C37-D37</f>
        <v>0</v>
      </c>
      <c r="F37" s="18" t="s">
        <v>12</v>
      </c>
      <c r="G37" s="22">
        <f>G25+G30+G29+G26-I31</f>
        <v>96880</v>
      </c>
      <c r="H37" s="22"/>
      <c r="I37" s="22">
        <f>SUM(I33:I36)</f>
        <v>108060</v>
      </c>
      <c r="J37" s="22">
        <f>G37-I37</f>
        <v>-11180</v>
      </c>
    </row>
    <row r="39" spans="1:11" x14ac:dyDescent="0.25">
      <c r="A39" t="s">
        <v>25</v>
      </c>
      <c r="D39" t="s">
        <v>26</v>
      </c>
      <c r="G39" t="s">
        <v>27</v>
      </c>
    </row>
    <row r="40" spans="1:11" x14ac:dyDescent="0.25">
      <c r="A40" t="s">
        <v>28</v>
      </c>
      <c r="D40" t="s">
        <v>29</v>
      </c>
      <c r="G40" t="s">
        <v>31</v>
      </c>
    </row>
  </sheetData>
  <mergeCells count="3">
    <mergeCell ref="D1:E1"/>
    <mergeCell ref="D2:E2"/>
    <mergeCell ref="C3:F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80" zoomScaleNormal="80" workbookViewId="0">
      <selection activeCell="I7" sqref="I7"/>
    </sheetView>
  </sheetViews>
  <sheetFormatPr defaultRowHeight="15" x14ac:dyDescent="0.25"/>
  <cols>
    <col min="2" max="2" width="15.85546875" customWidth="1"/>
    <col min="3" max="4" width="10.5703125" bestFit="1" customWidth="1"/>
    <col min="5" max="5" width="13.42578125" customWidth="1"/>
    <col min="6" max="6" width="9.28515625" bestFit="1" customWidth="1"/>
    <col min="7" max="7" width="10.5703125" bestFit="1" customWidth="1"/>
    <col min="8" max="8" width="9.85546875" bestFit="1" customWidth="1"/>
    <col min="9" max="9" width="10.5703125" bestFit="1" customWidth="1"/>
    <col min="10" max="11" width="9.28515625" bestFit="1" customWidth="1"/>
  </cols>
  <sheetData>
    <row r="1" spans="1:12" ht="22.5" customHeight="1" x14ac:dyDescent="0.25">
      <c r="A1" s="36"/>
      <c r="B1" s="37"/>
      <c r="C1" s="37"/>
      <c r="D1" s="68" t="s">
        <v>31</v>
      </c>
      <c r="E1" s="68"/>
      <c r="F1" s="36"/>
      <c r="G1" s="36"/>
      <c r="H1" s="36"/>
      <c r="I1" s="36"/>
      <c r="J1" s="36"/>
      <c r="K1" s="36"/>
      <c r="L1" s="37"/>
    </row>
    <row r="2" spans="1:12" ht="24.75" customHeight="1" x14ac:dyDescent="0.25">
      <c r="A2" s="36"/>
      <c r="B2" s="37"/>
      <c r="C2" s="37"/>
      <c r="D2" s="68" t="s">
        <v>0</v>
      </c>
      <c r="E2" s="68"/>
      <c r="F2" s="36"/>
      <c r="G2" s="36"/>
      <c r="H2" s="36"/>
      <c r="I2" s="36"/>
      <c r="J2" s="36"/>
      <c r="K2" s="36"/>
      <c r="L2" s="37"/>
    </row>
    <row r="3" spans="1:12" ht="25.5" customHeight="1" x14ac:dyDescent="0.25">
      <c r="A3" s="36"/>
      <c r="B3" s="37"/>
      <c r="C3" s="69" t="s">
        <v>134</v>
      </c>
      <c r="D3" s="69"/>
      <c r="E3" s="69"/>
      <c r="F3" s="69"/>
      <c r="G3" s="36"/>
      <c r="H3" s="36"/>
      <c r="I3" s="36"/>
      <c r="J3" s="36"/>
      <c r="K3" s="36"/>
      <c r="L3" s="37"/>
    </row>
    <row r="4" spans="1:12" s="31" customFormat="1" ht="31.5" x14ac:dyDescent="0.25">
      <c r="A4" s="38" t="s">
        <v>3</v>
      </c>
      <c r="B4" s="38" t="s">
        <v>4</v>
      </c>
      <c r="C4" s="38" t="s">
        <v>5</v>
      </c>
      <c r="D4" s="38" t="s">
        <v>6</v>
      </c>
      <c r="E4" s="38" t="s">
        <v>60</v>
      </c>
      <c r="F4" s="38" t="s">
        <v>30</v>
      </c>
      <c r="G4" s="38" t="s">
        <v>7</v>
      </c>
      <c r="H4" s="38" t="s">
        <v>8</v>
      </c>
      <c r="I4" s="38" t="s">
        <v>9</v>
      </c>
      <c r="J4" s="38" t="s">
        <v>10</v>
      </c>
      <c r="K4" s="38" t="s">
        <v>61</v>
      </c>
      <c r="L4" s="39"/>
    </row>
    <row r="5" spans="1:12" ht="15.75" x14ac:dyDescent="0.25">
      <c r="A5" s="40" t="s">
        <v>32</v>
      </c>
      <c r="B5" s="41" t="s">
        <v>47</v>
      </c>
      <c r="C5" s="40"/>
      <c r="D5" s="40">
        <f>'OCTOBER 21'!J5</f>
        <v>0</v>
      </c>
      <c r="E5" s="40"/>
      <c r="F5" s="40"/>
      <c r="G5" s="40"/>
      <c r="H5" s="40">
        <f>D5+G5+C5+F5+E5</f>
        <v>0</v>
      </c>
      <c r="I5" s="42"/>
      <c r="J5" s="40">
        <f>H5-I5</f>
        <v>0</v>
      </c>
      <c r="K5" s="40"/>
      <c r="L5" s="37"/>
    </row>
    <row r="6" spans="1:12" ht="31.5" x14ac:dyDescent="0.25">
      <c r="A6" s="40" t="s">
        <v>33</v>
      </c>
      <c r="B6" s="41" t="s">
        <v>48</v>
      </c>
      <c r="C6" s="40"/>
      <c r="D6" s="40">
        <f>'OCTOBER 21'!J6</f>
        <v>0</v>
      </c>
      <c r="E6" s="40">
        <v>250</v>
      </c>
      <c r="F6" s="40">
        <v>840</v>
      </c>
      <c r="G6" s="40">
        <v>8000</v>
      </c>
      <c r="H6" s="40">
        <f t="shared" ref="H6:H19" si="0">D6+G6+C6+F6+E6</f>
        <v>9090</v>
      </c>
      <c r="I6" s="42">
        <v>9090</v>
      </c>
      <c r="J6" s="40">
        <f t="shared" ref="J6:J19" si="1">H6-I6</f>
        <v>0</v>
      </c>
      <c r="K6" s="40"/>
      <c r="L6" s="37"/>
    </row>
    <row r="7" spans="1:12" ht="15.75" x14ac:dyDescent="0.25">
      <c r="A7" s="40" t="s">
        <v>34</v>
      </c>
      <c r="B7" s="41" t="s">
        <v>70</v>
      </c>
      <c r="C7" s="40"/>
      <c r="D7" s="40">
        <f>'OCTOBER 21'!J7</f>
        <v>0</v>
      </c>
      <c r="E7" s="40">
        <v>250</v>
      </c>
      <c r="F7" s="40">
        <v>60</v>
      </c>
      <c r="G7" s="40">
        <v>7000</v>
      </c>
      <c r="H7" s="40">
        <f t="shared" si="0"/>
        <v>7310</v>
      </c>
      <c r="I7" s="42">
        <v>7310</v>
      </c>
      <c r="J7" s="40">
        <f t="shared" si="1"/>
        <v>0</v>
      </c>
      <c r="K7" s="40"/>
      <c r="L7" s="37"/>
    </row>
    <row r="8" spans="1:12" ht="31.5" x14ac:dyDescent="0.25">
      <c r="A8" s="40" t="s">
        <v>35</v>
      </c>
      <c r="B8" s="43" t="s">
        <v>133</v>
      </c>
      <c r="C8" s="44"/>
      <c r="D8" s="40">
        <f>'OCTOBER 21'!J8</f>
        <v>0</v>
      </c>
      <c r="E8" s="40"/>
      <c r="F8" s="40"/>
      <c r="G8" s="40">
        <v>9000</v>
      </c>
      <c r="H8" s="40">
        <f>D8+G8+C8+F8+E8</f>
        <v>9000</v>
      </c>
      <c r="I8" s="42">
        <v>9000</v>
      </c>
      <c r="J8" s="40">
        <f t="shared" si="1"/>
        <v>0</v>
      </c>
      <c r="K8" s="40"/>
      <c r="L8" s="37"/>
    </row>
    <row r="9" spans="1:12" ht="15.75" x14ac:dyDescent="0.25">
      <c r="A9" s="45" t="s">
        <v>36</v>
      </c>
      <c r="B9" s="43" t="s">
        <v>11</v>
      </c>
      <c r="C9" s="42"/>
      <c r="D9" s="40">
        <f>'OCTOBER 21'!J9</f>
        <v>0</v>
      </c>
      <c r="E9" s="40"/>
      <c r="F9" s="40"/>
      <c r="G9" s="40"/>
      <c r="H9" s="40">
        <f t="shared" si="0"/>
        <v>0</v>
      </c>
      <c r="I9" s="42"/>
      <c r="J9" s="40">
        <f t="shared" si="1"/>
        <v>0</v>
      </c>
      <c r="K9" s="40"/>
      <c r="L9" s="37"/>
    </row>
    <row r="10" spans="1:12" ht="15.75" x14ac:dyDescent="0.25">
      <c r="A10" s="40" t="s">
        <v>37</v>
      </c>
      <c r="B10" s="41" t="s">
        <v>50</v>
      </c>
      <c r="C10" s="40"/>
      <c r="D10" s="40">
        <f>'OCTOBER 21'!J10</f>
        <v>0</v>
      </c>
      <c r="E10" s="40">
        <v>250</v>
      </c>
      <c r="F10" s="40">
        <v>220</v>
      </c>
      <c r="G10" s="40">
        <v>12000</v>
      </c>
      <c r="H10" s="40">
        <f t="shared" si="0"/>
        <v>12470</v>
      </c>
      <c r="I10" s="42">
        <v>12500</v>
      </c>
      <c r="J10" s="40">
        <f t="shared" si="1"/>
        <v>-30</v>
      </c>
      <c r="K10" s="40"/>
      <c r="L10" s="37"/>
    </row>
    <row r="11" spans="1:12" ht="31.5" x14ac:dyDescent="0.25">
      <c r="A11" s="40" t="s">
        <v>38</v>
      </c>
      <c r="B11" s="46" t="s">
        <v>53</v>
      </c>
      <c r="C11" s="47"/>
      <c r="D11" s="40">
        <f>'OCTOBER 21'!J11</f>
        <v>14110</v>
      </c>
      <c r="E11" s="40">
        <v>250</v>
      </c>
      <c r="F11" s="40">
        <v>1660</v>
      </c>
      <c r="G11" s="40">
        <v>12000</v>
      </c>
      <c r="H11" s="40">
        <f t="shared" si="0"/>
        <v>28020</v>
      </c>
      <c r="I11" s="42">
        <f>10000+10000</f>
        <v>20000</v>
      </c>
      <c r="J11" s="40">
        <f t="shared" si="1"/>
        <v>8020</v>
      </c>
      <c r="K11" s="40"/>
      <c r="L11" s="37"/>
    </row>
    <row r="12" spans="1:12" ht="15.75" x14ac:dyDescent="0.25">
      <c r="A12" s="40" t="s">
        <v>39</v>
      </c>
      <c r="B12" s="48" t="s">
        <v>119</v>
      </c>
      <c r="C12" s="40"/>
      <c r="D12" s="40">
        <f>'OCTOBER 21'!J12</f>
        <v>0</v>
      </c>
      <c r="E12" s="40">
        <v>250</v>
      </c>
      <c r="F12" s="40">
        <v>600</v>
      </c>
      <c r="G12" s="40">
        <v>9000</v>
      </c>
      <c r="H12" s="40">
        <f t="shared" si="0"/>
        <v>9850</v>
      </c>
      <c r="I12" s="42">
        <v>9850</v>
      </c>
      <c r="J12" s="40">
        <f t="shared" si="1"/>
        <v>0</v>
      </c>
      <c r="K12" s="40"/>
      <c r="L12" s="37"/>
    </row>
    <row r="13" spans="1:12" ht="15.75" x14ac:dyDescent="0.25">
      <c r="A13" s="40" t="s">
        <v>40</v>
      </c>
      <c r="B13" s="48" t="s">
        <v>98</v>
      </c>
      <c r="C13" s="40"/>
      <c r="D13" s="40">
        <f>'OCTOBER 21'!J13</f>
        <v>0</v>
      </c>
      <c r="E13" s="40">
        <v>250</v>
      </c>
      <c r="F13" s="40">
        <v>1900</v>
      </c>
      <c r="G13" s="40">
        <v>9000</v>
      </c>
      <c r="H13" s="40">
        <f t="shared" si="0"/>
        <v>11150</v>
      </c>
      <c r="I13" s="42">
        <v>11150</v>
      </c>
      <c r="J13" s="40">
        <f t="shared" si="1"/>
        <v>0</v>
      </c>
      <c r="K13" s="40"/>
      <c r="L13" s="37"/>
    </row>
    <row r="14" spans="1:12" ht="31.5" x14ac:dyDescent="0.25">
      <c r="A14" s="40" t="s">
        <v>41</v>
      </c>
      <c r="B14" s="41" t="s">
        <v>55</v>
      </c>
      <c r="C14" s="40"/>
      <c r="D14" s="40">
        <f>'OCTOBER 21'!J14</f>
        <v>0</v>
      </c>
      <c r="E14" s="40">
        <v>250</v>
      </c>
      <c r="F14" s="40">
        <v>780</v>
      </c>
      <c r="G14" s="40">
        <v>8000</v>
      </c>
      <c r="H14" s="40">
        <f t="shared" si="0"/>
        <v>9030</v>
      </c>
      <c r="I14" s="42">
        <f>8600+430</f>
        <v>9030</v>
      </c>
      <c r="J14" s="40">
        <f t="shared" si="1"/>
        <v>0</v>
      </c>
      <c r="K14" s="40"/>
      <c r="L14" s="37"/>
    </row>
    <row r="15" spans="1:12" ht="15.75" x14ac:dyDescent="0.25">
      <c r="A15" s="40" t="s">
        <v>42</v>
      </c>
      <c r="B15" s="48" t="s">
        <v>11</v>
      </c>
      <c r="C15" s="42"/>
      <c r="D15" s="40"/>
      <c r="E15" s="40"/>
      <c r="F15" s="40"/>
      <c r="G15" s="40"/>
      <c r="H15" s="40">
        <f t="shared" si="0"/>
        <v>0</v>
      </c>
      <c r="I15" s="42"/>
      <c r="J15" s="40">
        <f t="shared" si="1"/>
        <v>0</v>
      </c>
      <c r="K15" s="40"/>
      <c r="L15" s="37"/>
    </row>
    <row r="16" spans="1:12" ht="31.5" x14ac:dyDescent="0.25">
      <c r="A16" s="40" t="s">
        <v>43</v>
      </c>
      <c r="B16" s="48" t="s">
        <v>114</v>
      </c>
      <c r="C16" s="40"/>
      <c r="D16" s="40">
        <f>'OCTOBER 21'!J16</f>
        <v>1310</v>
      </c>
      <c r="E16" s="40">
        <v>250</v>
      </c>
      <c r="F16" s="40">
        <v>1960</v>
      </c>
      <c r="G16" s="40">
        <v>12000</v>
      </c>
      <c r="H16" s="40">
        <f t="shared" si="0"/>
        <v>15520</v>
      </c>
      <c r="I16" s="42">
        <v>14000</v>
      </c>
      <c r="J16" s="40">
        <f t="shared" si="1"/>
        <v>1520</v>
      </c>
      <c r="K16" s="40"/>
      <c r="L16" s="37"/>
    </row>
    <row r="17" spans="1:12" ht="15.75" customHeight="1" x14ac:dyDescent="0.25">
      <c r="A17" s="40" t="s">
        <v>44</v>
      </c>
      <c r="B17" s="48" t="s">
        <v>112</v>
      </c>
      <c r="C17" s="44"/>
      <c r="D17" s="40">
        <f>'OCTOBER 21'!J17</f>
        <v>0</v>
      </c>
      <c r="E17" s="40">
        <v>250</v>
      </c>
      <c r="F17" s="40">
        <v>1980</v>
      </c>
      <c r="G17" s="40">
        <v>12000</v>
      </c>
      <c r="H17" s="40">
        <f t="shared" si="0"/>
        <v>14230</v>
      </c>
      <c r="I17" s="42">
        <f>1980+12000</f>
        <v>13980</v>
      </c>
      <c r="J17" s="40">
        <f t="shared" si="1"/>
        <v>250</v>
      </c>
      <c r="K17" s="40"/>
      <c r="L17" s="37"/>
    </row>
    <row r="18" spans="1:12" ht="15.75" x14ac:dyDescent="0.25">
      <c r="A18" s="40" t="s">
        <v>45</v>
      </c>
      <c r="B18" s="48"/>
      <c r="C18" s="40"/>
      <c r="D18" s="40">
        <f>'OCTOBER 21'!J18</f>
        <v>0</v>
      </c>
      <c r="E18" s="40"/>
      <c r="F18" s="40"/>
      <c r="G18" s="40"/>
      <c r="H18" s="40">
        <f>D18+G18+C18+F18+E18</f>
        <v>0</v>
      </c>
      <c r="I18" s="42"/>
      <c r="J18" s="40">
        <f t="shared" si="1"/>
        <v>0</v>
      </c>
      <c r="K18" s="40"/>
      <c r="L18" s="37"/>
    </row>
    <row r="19" spans="1:12" ht="31.5" x14ac:dyDescent="0.25">
      <c r="A19" s="40" t="s">
        <v>46</v>
      </c>
      <c r="B19" s="48" t="s">
        <v>130</v>
      </c>
      <c r="C19" s="42"/>
      <c r="D19" s="40">
        <f>'OCTOBER 21'!J19</f>
        <v>0</v>
      </c>
      <c r="E19" s="40">
        <v>250</v>
      </c>
      <c r="F19" s="40">
        <v>1340</v>
      </c>
      <c r="G19" s="40">
        <v>9000</v>
      </c>
      <c r="H19" s="42">
        <f t="shared" si="0"/>
        <v>10590</v>
      </c>
      <c r="I19" s="42">
        <f>3000+7800</f>
        <v>10800</v>
      </c>
      <c r="J19" s="44">
        <f t="shared" si="1"/>
        <v>-210</v>
      </c>
      <c r="K19" s="40"/>
      <c r="L19" s="37"/>
    </row>
    <row r="20" spans="1:12" ht="15.75" x14ac:dyDescent="0.25">
      <c r="A20" s="40"/>
      <c r="B20" s="49" t="s">
        <v>12</v>
      </c>
      <c r="C20" s="49">
        <f>SUM(C5:C19)</f>
        <v>0</v>
      </c>
      <c r="D20" s="40">
        <f>'SEPTEMBER 21'!J20:J35</f>
        <v>1610</v>
      </c>
      <c r="E20" s="40">
        <f t="shared" ref="E20:K20" si="2">SUM(E5:E19)</f>
        <v>2500</v>
      </c>
      <c r="F20" s="40">
        <f t="shared" si="2"/>
        <v>11340</v>
      </c>
      <c r="G20" s="49">
        <f t="shared" si="2"/>
        <v>107000</v>
      </c>
      <c r="H20" s="40">
        <f t="shared" si="2"/>
        <v>136260</v>
      </c>
      <c r="I20" s="50">
        <f t="shared" si="2"/>
        <v>126710</v>
      </c>
      <c r="J20" s="49">
        <f t="shared" si="2"/>
        <v>9550</v>
      </c>
      <c r="K20" s="40">
        <f t="shared" si="2"/>
        <v>0</v>
      </c>
      <c r="L20" s="37"/>
    </row>
    <row r="21" spans="1:12" ht="15.75" x14ac:dyDescent="0.25">
      <c r="A21" s="51"/>
      <c r="B21" s="52"/>
      <c r="C21" s="52"/>
      <c r="D21" s="40">
        <f>'SEPTEMBER 21'!J21:J36</f>
        <v>0</v>
      </c>
      <c r="E21" s="52"/>
      <c r="F21" s="37"/>
      <c r="G21" s="52" t="s">
        <v>14</v>
      </c>
      <c r="H21" s="52"/>
      <c r="I21" s="52"/>
      <c r="J21" s="53"/>
      <c r="K21" s="51"/>
      <c r="L21" s="37"/>
    </row>
    <row r="22" spans="1:12" ht="15.75" x14ac:dyDescent="0.25">
      <c r="A22" s="54" t="s">
        <v>15</v>
      </c>
      <c r="B22" s="54"/>
      <c r="C22" s="55"/>
      <c r="D22" s="52"/>
      <c r="E22" s="56"/>
      <c r="F22" s="57"/>
      <c r="G22" s="58"/>
      <c r="H22" s="58"/>
      <c r="I22" s="57"/>
      <c r="J22" s="54"/>
      <c r="K22" s="37"/>
      <c r="L22" s="37"/>
    </row>
    <row r="23" spans="1:12" ht="15.75" x14ac:dyDescent="0.25">
      <c r="A23" s="59" t="s">
        <v>16</v>
      </c>
      <c r="B23" s="59"/>
      <c r="C23" s="59"/>
      <c r="D23" s="59"/>
      <c r="E23" s="60"/>
      <c r="F23" s="59" t="s">
        <v>17</v>
      </c>
      <c r="G23" s="54"/>
      <c r="H23" s="54"/>
      <c r="I23" s="54"/>
      <c r="J23" s="54"/>
      <c r="K23" s="37"/>
      <c r="L23" s="37"/>
    </row>
    <row r="24" spans="1:12" ht="15.75" x14ac:dyDescent="0.25">
      <c r="A24" s="50" t="s">
        <v>18</v>
      </c>
      <c r="B24" s="50"/>
      <c r="C24" s="50" t="s">
        <v>19</v>
      </c>
      <c r="D24" s="50" t="s">
        <v>20</v>
      </c>
      <c r="E24" s="50" t="s">
        <v>21</v>
      </c>
      <c r="F24" s="50" t="s">
        <v>18</v>
      </c>
      <c r="G24" s="50" t="s">
        <v>19</v>
      </c>
      <c r="H24" s="50"/>
      <c r="I24" s="50" t="s">
        <v>20</v>
      </c>
      <c r="J24" s="50" t="s">
        <v>21</v>
      </c>
      <c r="K24" s="37"/>
      <c r="L24" s="37"/>
    </row>
    <row r="25" spans="1:12" ht="15.75" x14ac:dyDescent="0.25">
      <c r="A25" s="42" t="s">
        <v>132</v>
      </c>
      <c r="B25" s="42"/>
      <c r="C25" s="61">
        <f>G20</f>
        <v>107000</v>
      </c>
      <c r="D25" s="42"/>
      <c r="E25" s="37"/>
      <c r="F25" s="42" t="s">
        <v>132</v>
      </c>
      <c r="G25" s="61">
        <f>I20</f>
        <v>126710</v>
      </c>
      <c r="H25" s="61"/>
      <c r="I25" s="42"/>
      <c r="J25" s="42"/>
      <c r="K25" s="62"/>
      <c r="L25" s="37"/>
    </row>
    <row r="26" spans="1:12" ht="15.75" x14ac:dyDescent="0.25">
      <c r="A26" s="42" t="s">
        <v>6</v>
      </c>
      <c r="B26" s="42"/>
      <c r="C26" s="61">
        <f>'OCTOBER 21'!E37</f>
        <v>0</v>
      </c>
      <c r="D26" s="42"/>
      <c r="E26" s="42"/>
      <c r="F26" s="37" t="s">
        <v>6</v>
      </c>
      <c r="G26" s="61">
        <f>'OCTOBER 21'!J37</f>
        <v>-11180</v>
      </c>
      <c r="H26" s="61"/>
      <c r="I26" s="42"/>
      <c r="J26" s="42"/>
      <c r="K26" s="37"/>
      <c r="L26" s="37"/>
    </row>
    <row r="27" spans="1:12" ht="15.75" x14ac:dyDescent="0.25">
      <c r="A27" s="42" t="s">
        <v>30</v>
      </c>
      <c r="B27" s="42"/>
      <c r="C27" s="61">
        <f>F20</f>
        <v>11340</v>
      </c>
      <c r="D27" s="42"/>
      <c r="E27" s="42"/>
      <c r="F27" s="42"/>
      <c r="G27" s="61"/>
      <c r="H27" s="61"/>
      <c r="I27" s="42"/>
      <c r="J27" s="42"/>
      <c r="K27" s="37"/>
      <c r="L27" s="37"/>
    </row>
    <row r="28" spans="1:12" ht="15.75" x14ac:dyDescent="0.25">
      <c r="A28" s="42" t="s">
        <v>60</v>
      </c>
      <c r="B28" s="42"/>
      <c r="C28" s="61">
        <f>E20</f>
        <v>2500</v>
      </c>
      <c r="D28" s="42"/>
      <c r="E28" s="42"/>
      <c r="F28" s="42"/>
      <c r="G28" s="42"/>
      <c r="H28" s="61"/>
      <c r="I28" s="42"/>
      <c r="J28" s="42"/>
      <c r="K28" s="37"/>
      <c r="L28" s="37"/>
    </row>
    <row r="29" spans="1:12" ht="15.75" x14ac:dyDescent="0.25">
      <c r="A29" s="42" t="s">
        <v>104</v>
      </c>
      <c r="B29" s="42"/>
      <c r="C29" s="61">
        <f>K20</f>
        <v>0</v>
      </c>
      <c r="D29" s="42"/>
      <c r="E29" s="42"/>
      <c r="F29" s="42"/>
      <c r="G29" s="42"/>
      <c r="H29" s="61"/>
      <c r="I29" s="42"/>
      <c r="J29" s="42"/>
      <c r="K29" s="37"/>
      <c r="L29" s="37"/>
    </row>
    <row r="30" spans="1:12" ht="15.75" x14ac:dyDescent="0.25">
      <c r="A30" s="42" t="s">
        <v>5</v>
      </c>
      <c r="B30" s="42"/>
      <c r="C30" s="61"/>
      <c r="D30" s="42"/>
      <c r="E30" s="42"/>
      <c r="F30" s="42"/>
      <c r="G30" s="61"/>
      <c r="H30" s="61"/>
      <c r="I30" s="42"/>
      <c r="J30" s="42"/>
      <c r="K30" s="37"/>
      <c r="L30" s="37"/>
    </row>
    <row r="31" spans="1:12" ht="15.75" x14ac:dyDescent="0.25">
      <c r="A31" s="42" t="s">
        <v>23</v>
      </c>
      <c r="B31" s="42"/>
      <c r="C31" s="63">
        <v>7.0000000000000007E-2</v>
      </c>
      <c r="D31" s="61">
        <f>C31*C25</f>
        <v>7490.0000000000009</v>
      </c>
      <c r="E31" s="42"/>
      <c r="F31" s="42" t="s">
        <v>23</v>
      </c>
      <c r="G31" s="63">
        <v>7.0000000000000007E-2</v>
      </c>
      <c r="H31" s="63"/>
      <c r="I31" s="61">
        <f>G31*C25</f>
        <v>7490.0000000000009</v>
      </c>
      <c r="J31" s="42"/>
      <c r="K31" s="37"/>
      <c r="L31" s="37"/>
    </row>
    <row r="32" spans="1:12" ht="15.75" x14ac:dyDescent="0.25">
      <c r="A32" s="50" t="s">
        <v>24</v>
      </c>
      <c r="B32" s="50"/>
      <c r="C32" s="64"/>
      <c r="D32" s="50"/>
      <c r="E32" s="50"/>
      <c r="F32" s="50" t="s">
        <v>24</v>
      </c>
      <c r="G32" s="64"/>
      <c r="H32" s="64"/>
      <c r="I32" s="50"/>
      <c r="J32" s="50"/>
      <c r="K32" s="37"/>
      <c r="L32" s="37"/>
    </row>
    <row r="33" spans="1:12" ht="15.75" x14ac:dyDescent="0.25">
      <c r="A33" s="42" t="s">
        <v>64</v>
      </c>
      <c r="B33" s="50"/>
      <c r="C33" s="64"/>
      <c r="D33" s="42">
        <v>104980</v>
      </c>
      <c r="E33" s="50"/>
      <c r="F33" s="42" t="s">
        <v>64</v>
      </c>
      <c r="G33" s="50"/>
      <c r="H33" s="64"/>
      <c r="I33" s="42">
        <v>104980</v>
      </c>
      <c r="J33" s="50"/>
      <c r="K33" s="37"/>
      <c r="L33" s="37"/>
    </row>
    <row r="34" spans="1:12" ht="15.75" x14ac:dyDescent="0.25">
      <c r="A34" s="65"/>
      <c r="B34" s="65"/>
      <c r="C34" s="42"/>
      <c r="D34" s="42"/>
      <c r="E34" s="42"/>
      <c r="F34" s="65"/>
      <c r="G34" s="65"/>
      <c r="H34" s="42"/>
      <c r="I34" s="42"/>
      <c r="J34" s="42"/>
      <c r="K34" s="42"/>
      <c r="L34" s="37"/>
    </row>
    <row r="35" spans="1:12" ht="15.75" x14ac:dyDescent="0.25">
      <c r="A35" s="50" t="s">
        <v>12</v>
      </c>
      <c r="B35" s="50"/>
      <c r="C35" s="64">
        <f>C25+C26+C27+C28+C29+C30-D31</f>
        <v>113350</v>
      </c>
      <c r="D35" s="64">
        <f>SUM(D33:D34)</f>
        <v>104980</v>
      </c>
      <c r="E35" s="64">
        <f>C35-D35</f>
        <v>8370</v>
      </c>
      <c r="F35" s="50" t="s">
        <v>12</v>
      </c>
      <c r="G35" s="64">
        <f>G25+G30+G29+G26-I31</f>
        <v>108040</v>
      </c>
      <c r="H35" s="64"/>
      <c r="I35" s="64">
        <f>SUM(I33:I34)</f>
        <v>104980</v>
      </c>
      <c r="J35" s="64">
        <f>G35-I35</f>
        <v>3060</v>
      </c>
      <c r="K35" s="37"/>
      <c r="L35" s="37"/>
    </row>
    <row r="36" spans="1:12" ht="15.75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</row>
    <row r="37" spans="1:12" ht="15.75" x14ac:dyDescent="0.25">
      <c r="A37" s="37" t="s">
        <v>25</v>
      </c>
      <c r="B37" s="37"/>
      <c r="C37" s="37"/>
      <c r="D37" s="37" t="s">
        <v>26</v>
      </c>
      <c r="E37" s="37"/>
      <c r="F37" s="37"/>
      <c r="G37" s="37" t="s">
        <v>27</v>
      </c>
      <c r="H37" s="37"/>
      <c r="I37" s="37"/>
      <c r="J37" s="37"/>
      <c r="K37" s="37"/>
      <c r="L37" s="37"/>
    </row>
    <row r="38" spans="1:12" ht="15.75" x14ac:dyDescent="0.25">
      <c r="A38" s="37" t="s">
        <v>28</v>
      </c>
      <c r="B38" s="37"/>
      <c r="C38" s="37"/>
      <c r="D38" s="37" t="s">
        <v>29</v>
      </c>
      <c r="E38" s="37"/>
      <c r="F38" s="37"/>
      <c r="G38" s="37" t="s">
        <v>31</v>
      </c>
      <c r="H38" s="37"/>
      <c r="I38" s="37"/>
      <c r="J38" s="37"/>
      <c r="K38" s="37"/>
      <c r="L38" s="37"/>
    </row>
  </sheetData>
  <mergeCells count="3">
    <mergeCell ref="D1:E1"/>
    <mergeCell ref="D2:E2"/>
    <mergeCell ref="C3:F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topLeftCell="A7" workbookViewId="0">
      <selection activeCell="I13" sqref="I13"/>
    </sheetView>
  </sheetViews>
  <sheetFormatPr defaultRowHeight="15" x14ac:dyDescent="0.25"/>
  <cols>
    <col min="2" max="2" width="9.140625" customWidth="1"/>
  </cols>
  <sheetData>
    <row r="1" spans="1:12" ht="15.75" x14ac:dyDescent="0.25">
      <c r="A1" s="36"/>
      <c r="B1" s="37"/>
      <c r="C1" s="37"/>
      <c r="D1" s="68" t="s">
        <v>31</v>
      </c>
      <c r="E1" s="68"/>
      <c r="F1" s="36"/>
      <c r="G1" s="36"/>
      <c r="H1" s="36"/>
      <c r="I1" s="36"/>
      <c r="J1" s="36"/>
      <c r="K1" s="36"/>
      <c r="L1" s="37"/>
    </row>
    <row r="2" spans="1:12" ht="15.75" x14ac:dyDescent="0.25">
      <c r="A2" s="36"/>
      <c r="B2" s="37"/>
      <c r="C2" s="37"/>
      <c r="D2" s="68" t="s">
        <v>0</v>
      </c>
      <c r="E2" s="68"/>
      <c r="F2" s="36"/>
      <c r="G2" s="36"/>
      <c r="H2" s="36"/>
      <c r="I2" s="36"/>
      <c r="J2" s="36"/>
      <c r="K2" s="36"/>
      <c r="L2" s="37"/>
    </row>
    <row r="3" spans="1:12" ht="15.75" x14ac:dyDescent="0.25">
      <c r="A3" s="36"/>
      <c r="B3" s="37"/>
      <c r="C3" s="69" t="s">
        <v>135</v>
      </c>
      <c r="D3" s="69"/>
      <c r="E3" s="69"/>
      <c r="F3" s="69"/>
      <c r="G3" s="36"/>
      <c r="H3" s="36"/>
      <c r="I3" s="36"/>
      <c r="J3" s="36"/>
      <c r="K3" s="36"/>
      <c r="L3" s="37"/>
    </row>
    <row r="4" spans="1:12" ht="31.5" x14ac:dyDescent="0.25">
      <c r="A4" s="38" t="s">
        <v>3</v>
      </c>
      <c r="B4" s="38" t="s">
        <v>4</v>
      </c>
      <c r="C4" s="38" t="s">
        <v>5</v>
      </c>
      <c r="D4" s="38" t="s">
        <v>6</v>
      </c>
      <c r="E4" s="38" t="s">
        <v>60</v>
      </c>
      <c r="F4" s="38" t="s">
        <v>30</v>
      </c>
      <c r="G4" s="38" t="s">
        <v>7</v>
      </c>
      <c r="H4" s="38" t="s">
        <v>8</v>
      </c>
      <c r="I4" s="38" t="s">
        <v>9</v>
      </c>
      <c r="J4" s="38" t="s">
        <v>10</v>
      </c>
      <c r="K4" s="38" t="s">
        <v>61</v>
      </c>
      <c r="L4" s="39"/>
    </row>
    <row r="5" spans="1:12" ht="15.75" x14ac:dyDescent="0.25">
      <c r="A5" s="40" t="s">
        <v>32</v>
      </c>
      <c r="B5" s="41" t="s">
        <v>47</v>
      </c>
      <c r="C5" s="40"/>
      <c r="D5" s="40">
        <f>'OCTOBER 21'!J5</f>
        <v>0</v>
      </c>
      <c r="E5" s="40"/>
      <c r="F5" s="40"/>
      <c r="G5" s="40"/>
      <c r="H5" s="40">
        <f>D5+G5+C5+F5+E5</f>
        <v>0</v>
      </c>
      <c r="I5" s="42"/>
      <c r="J5" s="40">
        <f>H5-I5</f>
        <v>0</v>
      </c>
      <c r="K5" s="40"/>
      <c r="L5" s="37"/>
    </row>
    <row r="6" spans="1:12" ht="63" x14ac:dyDescent="0.25">
      <c r="A6" s="40" t="s">
        <v>33</v>
      </c>
      <c r="B6" s="41" t="s">
        <v>48</v>
      </c>
      <c r="C6" s="40"/>
      <c r="D6" s="40">
        <f>'OCTOBER 21'!J6</f>
        <v>0</v>
      </c>
      <c r="E6" s="40">
        <v>250</v>
      </c>
      <c r="F6" s="40">
        <v>920</v>
      </c>
      <c r="G6" s="40">
        <v>8000</v>
      </c>
      <c r="H6" s="40">
        <f t="shared" ref="H6:H19" si="0">D6+G6+C6+F6+E6</f>
        <v>9170</v>
      </c>
      <c r="I6" s="42"/>
      <c r="J6" s="40">
        <f t="shared" ref="J6:J19" si="1">H6-I6</f>
        <v>9170</v>
      </c>
      <c r="K6" s="40"/>
      <c r="L6" s="37"/>
    </row>
    <row r="7" spans="1:12" ht="31.5" x14ac:dyDescent="0.25">
      <c r="A7" s="40" t="s">
        <v>34</v>
      </c>
      <c r="B7" s="41" t="s">
        <v>70</v>
      </c>
      <c r="C7" s="40"/>
      <c r="D7" s="40">
        <f>'OCTOBER 21'!J7</f>
        <v>0</v>
      </c>
      <c r="E7" s="40">
        <v>250</v>
      </c>
      <c r="F7" s="40">
        <v>60</v>
      </c>
      <c r="G7" s="40">
        <v>7000</v>
      </c>
      <c r="H7" s="40">
        <f t="shared" si="0"/>
        <v>7310</v>
      </c>
      <c r="I7" s="42">
        <v>7300</v>
      </c>
      <c r="J7" s="40">
        <f t="shared" si="1"/>
        <v>10</v>
      </c>
      <c r="K7" s="40"/>
      <c r="L7" s="37"/>
    </row>
    <row r="8" spans="1:12" ht="31.5" x14ac:dyDescent="0.25">
      <c r="A8" s="40" t="s">
        <v>35</v>
      </c>
      <c r="B8" s="43" t="s">
        <v>133</v>
      </c>
      <c r="C8" s="44"/>
      <c r="D8" s="40">
        <f>'OCTOBER 21'!J8</f>
        <v>0</v>
      </c>
      <c r="E8" s="40"/>
      <c r="F8" s="40">
        <v>340</v>
      </c>
      <c r="G8" s="40">
        <v>9000</v>
      </c>
      <c r="H8" s="40">
        <f>D8+G8+C8+F8+E8</f>
        <v>9340</v>
      </c>
      <c r="I8" s="42"/>
      <c r="J8" s="40">
        <f t="shared" si="1"/>
        <v>9340</v>
      </c>
      <c r="K8" s="40"/>
      <c r="L8" s="37"/>
    </row>
    <row r="9" spans="1:12" ht="31.5" x14ac:dyDescent="0.25">
      <c r="A9" s="45" t="s">
        <v>36</v>
      </c>
      <c r="B9" s="43" t="s">
        <v>11</v>
      </c>
      <c r="C9" s="42"/>
      <c r="D9" s="40">
        <f>'OCTOBER 21'!J9</f>
        <v>0</v>
      </c>
      <c r="E9" s="40"/>
      <c r="F9" s="40"/>
      <c r="G9" s="40"/>
      <c r="H9" s="40">
        <f t="shared" si="0"/>
        <v>0</v>
      </c>
      <c r="I9" s="42"/>
      <c r="J9" s="40">
        <f t="shared" si="1"/>
        <v>0</v>
      </c>
      <c r="K9" s="40"/>
      <c r="L9" s="37"/>
    </row>
    <row r="10" spans="1:12" ht="31.5" x14ac:dyDescent="0.25">
      <c r="A10" s="40" t="s">
        <v>37</v>
      </c>
      <c r="B10" s="41" t="s">
        <v>50</v>
      </c>
      <c r="C10" s="40"/>
      <c r="D10" s="40">
        <f>'OCTOBER 21'!J10</f>
        <v>0</v>
      </c>
      <c r="E10" s="40">
        <v>250</v>
      </c>
      <c r="F10" s="40">
        <v>40</v>
      </c>
      <c r="G10" s="40">
        <v>12000</v>
      </c>
      <c r="H10" s="40">
        <f t="shared" si="0"/>
        <v>12290</v>
      </c>
      <c r="I10" s="42">
        <v>12898</v>
      </c>
      <c r="J10" s="40">
        <f t="shared" si="1"/>
        <v>-608</v>
      </c>
      <c r="K10" s="40"/>
      <c r="L10" s="37"/>
    </row>
    <row r="11" spans="1:12" ht="47.25" x14ac:dyDescent="0.25">
      <c r="A11" s="40" t="s">
        <v>38</v>
      </c>
      <c r="B11" s="46" t="s">
        <v>53</v>
      </c>
      <c r="C11" s="47"/>
      <c r="D11" s="40">
        <f>'OCTOBER 21'!J11</f>
        <v>14110</v>
      </c>
      <c r="E11" s="40">
        <v>250</v>
      </c>
      <c r="F11" s="40">
        <v>1820</v>
      </c>
      <c r="G11" s="40">
        <v>12000</v>
      </c>
      <c r="H11" s="40">
        <f t="shared" si="0"/>
        <v>28180</v>
      </c>
      <c r="I11" s="42">
        <v>7360</v>
      </c>
      <c r="J11" s="40">
        <f t="shared" si="1"/>
        <v>20820</v>
      </c>
      <c r="K11" s="40"/>
      <c r="L11" s="37"/>
    </row>
    <row r="12" spans="1:12" ht="31.5" x14ac:dyDescent="0.25">
      <c r="A12" s="40" t="s">
        <v>39</v>
      </c>
      <c r="B12" s="48" t="s">
        <v>119</v>
      </c>
      <c r="C12" s="40"/>
      <c r="D12" s="40">
        <f>'OCTOBER 21'!J12</f>
        <v>0</v>
      </c>
      <c r="E12" s="40">
        <v>250</v>
      </c>
      <c r="F12" s="40">
        <v>600</v>
      </c>
      <c r="G12" s="40">
        <v>9000</v>
      </c>
      <c r="H12" s="40">
        <f t="shared" si="0"/>
        <v>9850</v>
      </c>
      <c r="I12" s="42">
        <v>9650</v>
      </c>
      <c r="J12" s="40">
        <f t="shared" si="1"/>
        <v>200</v>
      </c>
      <c r="K12" s="40"/>
      <c r="L12" s="37"/>
    </row>
    <row r="13" spans="1:12" ht="31.5" x14ac:dyDescent="0.25">
      <c r="A13" s="40" t="s">
        <v>40</v>
      </c>
      <c r="B13" s="48" t="s">
        <v>98</v>
      </c>
      <c r="C13" s="40"/>
      <c r="D13" s="40">
        <f>'OCTOBER 21'!J13</f>
        <v>0</v>
      </c>
      <c r="E13" s="40">
        <v>250</v>
      </c>
      <c r="F13" s="40">
        <v>1780</v>
      </c>
      <c r="G13" s="40">
        <v>9000</v>
      </c>
      <c r="H13" s="40">
        <f t="shared" si="0"/>
        <v>11030</v>
      </c>
      <c r="I13" s="42">
        <v>11030</v>
      </c>
      <c r="J13" s="40">
        <f t="shared" si="1"/>
        <v>0</v>
      </c>
      <c r="K13" s="40"/>
      <c r="L13" s="37"/>
    </row>
    <row r="14" spans="1:12" ht="63" x14ac:dyDescent="0.25">
      <c r="A14" s="40" t="s">
        <v>41</v>
      </c>
      <c r="B14" s="41" t="s">
        <v>55</v>
      </c>
      <c r="C14" s="40"/>
      <c r="D14" s="40">
        <f>'OCTOBER 21'!J14</f>
        <v>0</v>
      </c>
      <c r="E14" s="40">
        <v>250</v>
      </c>
      <c r="F14" s="40">
        <v>600</v>
      </c>
      <c r="G14" s="40">
        <v>8000</v>
      </c>
      <c r="H14" s="40">
        <f t="shared" si="0"/>
        <v>8850</v>
      </c>
      <c r="I14" s="42">
        <v>8850</v>
      </c>
      <c r="J14" s="40">
        <f t="shared" si="1"/>
        <v>0</v>
      </c>
      <c r="K14" s="40"/>
      <c r="L14" s="37"/>
    </row>
    <row r="15" spans="1:12" ht="31.5" x14ac:dyDescent="0.25">
      <c r="A15" s="40" t="s">
        <v>42</v>
      </c>
      <c r="B15" s="48" t="s">
        <v>11</v>
      </c>
      <c r="C15" s="42"/>
      <c r="D15" s="40">
        <f>'OCTOBER 21'!J15</f>
        <v>30</v>
      </c>
      <c r="E15" s="40"/>
      <c r="F15" s="40"/>
      <c r="G15" s="40"/>
      <c r="H15" s="40">
        <f t="shared" si="0"/>
        <v>30</v>
      </c>
      <c r="I15" s="42"/>
      <c r="J15" s="40">
        <f t="shared" si="1"/>
        <v>30</v>
      </c>
      <c r="K15" s="40"/>
      <c r="L15" s="37"/>
    </row>
    <row r="16" spans="1:12" ht="47.25" x14ac:dyDescent="0.25">
      <c r="A16" s="40" t="s">
        <v>43</v>
      </c>
      <c r="B16" s="48" t="s">
        <v>114</v>
      </c>
      <c r="C16" s="40"/>
      <c r="D16" s="40">
        <f>'OCTOBER 21'!J16</f>
        <v>1310</v>
      </c>
      <c r="E16" s="40">
        <v>250</v>
      </c>
      <c r="F16" s="40">
        <v>1520</v>
      </c>
      <c r="G16" s="40">
        <v>12000</v>
      </c>
      <c r="H16" s="40">
        <f t="shared" si="0"/>
        <v>15080</v>
      </c>
      <c r="I16" s="42">
        <v>12500</v>
      </c>
      <c r="J16" s="40">
        <f t="shared" si="1"/>
        <v>2580</v>
      </c>
      <c r="K16" s="40"/>
      <c r="L16" s="37"/>
    </row>
    <row r="17" spans="1:12" ht="31.5" x14ac:dyDescent="0.25">
      <c r="A17" s="40" t="s">
        <v>44</v>
      </c>
      <c r="B17" s="48" t="s">
        <v>112</v>
      </c>
      <c r="C17" s="44"/>
      <c r="D17" s="40">
        <f>'OCTOBER 21'!J17</f>
        <v>0</v>
      </c>
      <c r="E17" s="40">
        <v>250</v>
      </c>
      <c r="F17" s="40">
        <v>2620</v>
      </c>
      <c r="G17" s="40">
        <v>12000</v>
      </c>
      <c r="H17" s="40">
        <f t="shared" si="0"/>
        <v>14870</v>
      </c>
      <c r="I17" s="42"/>
      <c r="J17" s="40">
        <f t="shared" si="1"/>
        <v>14870</v>
      </c>
      <c r="K17" s="40"/>
      <c r="L17" s="37"/>
    </row>
    <row r="18" spans="1:12" ht="15.75" x14ac:dyDescent="0.25">
      <c r="A18" s="40" t="s">
        <v>45</v>
      </c>
      <c r="B18" s="48"/>
      <c r="C18" s="40"/>
      <c r="D18" s="40">
        <f>'OCTOBER 21'!J18</f>
        <v>0</v>
      </c>
      <c r="E18" s="40"/>
      <c r="F18" s="40"/>
      <c r="G18" s="40"/>
      <c r="H18" s="40">
        <f>D18+G18+C18+F18+E18</f>
        <v>0</v>
      </c>
      <c r="I18" s="42"/>
      <c r="J18" s="40">
        <f t="shared" si="1"/>
        <v>0</v>
      </c>
      <c r="K18" s="40"/>
      <c r="L18" s="37"/>
    </row>
    <row r="19" spans="1:12" ht="31.5" x14ac:dyDescent="0.25">
      <c r="A19" s="40" t="s">
        <v>46</v>
      </c>
      <c r="B19" s="48" t="s">
        <v>130</v>
      </c>
      <c r="C19" s="42"/>
      <c r="D19" s="40">
        <f>'OCTOBER 21'!J19</f>
        <v>0</v>
      </c>
      <c r="E19" s="40">
        <v>250</v>
      </c>
      <c r="F19" s="40">
        <v>1120</v>
      </c>
      <c r="G19" s="40">
        <v>9000</v>
      </c>
      <c r="H19" s="42">
        <f t="shared" si="0"/>
        <v>10370</v>
      </c>
      <c r="I19" s="42">
        <f>7800+2570</f>
        <v>10370</v>
      </c>
      <c r="J19" s="44">
        <f t="shared" si="1"/>
        <v>0</v>
      </c>
      <c r="K19" s="40"/>
      <c r="L19" s="37"/>
    </row>
    <row r="20" spans="1:12" ht="15.75" x14ac:dyDescent="0.25">
      <c r="A20" s="40"/>
      <c r="B20" s="49" t="s">
        <v>12</v>
      </c>
      <c r="C20" s="49">
        <f>SUM(C5:C19)</f>
        <v>0</v>
      </c>
      <c r="D20" s="40">
        <f>SUM(D5:D19)</f>
        <v>15450</v>
      </c>
      <c r="E20" s="40">
        <f t="shared" ref="E20:K20" si="2">SUM(E5:E19)</f>
        <v>2500</v>
      </c>
      <c r="F20" s="40">
        <f t="shared" si="2"/>
        <v>11420</v>
      </c>
      <c r="G20" s="49">
        <f t="shared" si="2"/>
        <v>107000</v>
      </c>
      <c r="H20" s="40">
        <f t="shared" si="2"/>
        <v>136370</v>
      </c>
      <c r="I20" s="50">
        <f t="shared" si="2"/>
        <v>79958</v>
      </c>
      <c r="J20" s="49">
        <f t="shared" si="2"/>
        <v>56412</v>
      </c>
      <c r="K20" s="40">
        <f t="shared" si="2"/>
        <v>0</v>
      </c>
      <c r="L20" s="37"/>
    </row>
    <row r="21" spans="1:12" ht="15.75" x14ac:dyDescent="0.25">
      <c r="A21" s="51"/>
      <c r="B21" s="52"/>
      <c r="C21" s="52"/>
      <c r="D21" s="40">
        <f>'SEPTEMBER 21'!J21:J36</f>
        <v>0</v>
      </c>
      <c r="E21" s="52"/>
      <c r="F21" s="37"/>
      <c r="G21" s="52" t="s">
        <v>14</v>
      </c>
      <c r="H21" s="52"/>
      <c r="I21" s="52"/>
      <c r="J21" s="53"/>
      <c r="K21" s="51"/>
      <c r="L21" s="37"/>
    </row>
    <row r="22" spans="1:12" ht="15.75" x14ac:dyDescent="0.25">
      <c r="A22" s="54" t="s">
        <v>15</v>
      </c>
      <c r="B22" s="54"/>
      <c r="C22" s="55"/>
      <c r="D22" s="52"/>
      <c r="E22" s="56"/>
      <c r="F22" s="57"/>
      <c r="G22" s="58"/>
      <c r="H22" s="58"/>
      <c r="I22" s="57"/>
      <c r="J22" s="54"/>
      <c r="K22" s="37"/>
      <c r="L22" s="37"/>
    </row>
    <row r="23" spans="1:12" ht="15.75" x14ac:dyDescent="0.25">
      <c r="A23" s="59" t="s">
        <v>16</v>
      </c>
      <c r="B23" s="59"/>
      <c r="C23" s="59"/>
      <c r="D23" s="59"/>
      <c r="E23" s="60"/>
      <c r="F23" s="59" t="s">
        <v>17</v>
      </c>
      <c r="G23" s="54"/>
      <c r="H23" s="54"/>
      <c r="I23" s="54"/>
      <c r="J23" s="54"/>
      <c r="K23" s="37"/>
      <c r="L23" s="37"/>
    </row>
    <row r="24" spans="1:12" ht="15.75" x14ac:dyDescent="0.25">
      <c r="A24" s="50" t="s">
        <v>18</v>
      </c>
      <c r="B24" s="50"/>
      <c r="C24" s="50" t="s">
        <v>19</v>
      </c>
      <c r="D24" s="50" t="s">
        <v>20</v>
      </c>
      <c r="E24" s="50" t="s">
        <v>21</v>
      </c>
      <c r="F24" s="50" t="s">
        <v>18</v>
      </c>
      <c r="G24" s="50" t="s">
        <v>19</v>
      </c>
      <c r="H24" s="50"/>
      <c r="I24" s="50" t="s">
        <v>20</v>
      </c>
      <c r="J24" s="50" t="s">
        <v>21</v>
      </c>
      <c r="K24" s="37"/>
      <c r="L24" s="37"/>
    </row>
    <row r="25" spans="1:12" ht="15.75" x14ac:dyDescent="0.25">
      <c r="A25" s="42" t="s">
        <v>132</v>
      </c>
      <c r="B25" s="42"/>
      <c r="C25" s="61">
        <f>G20</f>
        <v>107000</v>
      </c>
      <c r="D25" s="42"/>
      <c r="E25" s="37"/>
      <c r="F25" s="42" t="s">
        <v>132</v>
      </c>
      <c r="G25" s="61">
        <f>I20</f>
        <v>79958</v>
      </c>
      <c r="H25" s="61"/>
      <c r="I25" s="42"/>
      <c r="J25" s="42"/>
      <c r="K25" s="62"/>
      <c r="L25" s="37"/>
    </row>
    <row r="26" spans="1:12" ht="15.75" x14ac:dyDescent="0.25">
      <c r="A26" s="42" t="s">
        <v>6</v>
      </c>
      <c r="B26" s="42"/>
      <c r="C26" s="61">
        <f>'OCTOBER 21'!E37</f>
        <v>0</v>
      </c>
      <c r="D26" s="42"/>
      <c r="E26" s="42"/>
      <c r="F26" s="37" t="s">
        <v>6</v>
      </c>
      <c r="G26" s="61">
        <f>'OCTOBER 21'!J37</f>
        <v>-11180</v>
      </c>
      <c r="H26" s="61"/>
      <c r="I26" s="42"/>
      <c r="J26" s="42"/>
      <c r="K26" s="37"/>
      <c r="L26" s="37"/>
    </row>
    <row r="27" spans="1:12" ht="15.75" x14ac:dyDescent="0.25">
      <c r="A27" s="42" t="s">
        <v>30</v>
      </c>
      <c r="B27" s="42"/>
      <c r="C27" s="61">
        <f>F20</f>
        <v>11420</v>
      </c>
      <c r="D27" s="42"/>
      <c r="E27" s="42"/>
      <c r="F27" s="42"/>
      <c r="G27" s="61"/>
      <c r="H27" s="61"/>
      <c r="I27" s="42"/>
      <c r="J27" s="42"/>
      <c r="K27" s="37"/>
      <c r="L27" s="37"/>
    </row>
    <row r="28" spans="1:12" ht="15.75" x14ac:dyDescent="0.25">
      <c r="A28" s="42" t="s">
        <v>60</v>
      </c>
      <c r="B28" s="42"/>
      <c r="C28" s="61">
        <f>E20</f>
        <v>2500</v>
      </c>
      <c r="D28" s="42"/>
      <c r="E28" s="42"/>
      <c r="F28" s="42"/>
      <c r="G28" s="42"/>
      <c r="H28" s="61"/>
      <c r="I28" s="42"/>
      <c r="J28" s="42"/>
      <c r="K28" s="37"/>
      <c r="L28" s="37"/>
    </row>
    <row r="29" spans="1:12" ht="15.75" x14ac:dyDescent="0.25">
      <c r="A29" s="42" t="s">
        <v>104</v>
      </c>
      <c r="B29" s="42"/>
      <c r="C29" s="61">
        <f>K20</f>
        <v>0</v>
      </c>
      <c r="D29" s="42"/>
      <c r="E29" s="42"/>
      <c r="F29" s="42"/>
      <c r="G29" s="42"/>
      <c r="H29" s="61"/>
      <c r="I29" s="42"/>
      <c r="J29" s="42"/>
      <c r="K29" s="37"/>
      <c r="L29" s="37"/>
    </row>
    <row r="30" spans="1:12" ht="15.75" x14ac:dyDescent="0.25">
      <c r="A30" s="42" t="s">
        <v>5</v>
      </c>
      <c r="B30" s="42"/>
      <c r="C30" s="61"/>
      <c r="D30" s="42"/>
      <c r="E30" s="42"/>
      <c r="F30" s="42"/>
      <c r="G30" s="61"/>
      <c r="H30" s="61"/>
      <c r="I30" s="42"/>
      <c r="J30" s="42"/>
      <c r="K30" s="37"/>
      <c r="L30" s="37"/>
    </row>
    <row r="31" spans="1:12" ht="15.75" x14ac:dyDescent="0.25">
      <c r="A31" s="42" t="s">
        <v>23</v>
      </c>
      <c r="B31" s="42"/>
      <c r="C31" s="63">
        <v>7.0000000000000007E-2</v>
      </c>
      <c r="D31" s="61">
        <f>C31*C25</f>
        <v>7490.0000000000009</v>
      </c>
      <c r="E31" s="42"/>
      <c r="F31" s="42" t="s">
        <v>23</v>
      </c>
      <c r="G31" s="63">
        <v>7.0000000000000007E-2</v>
      </c>
      <c r="H31" s="63"/>
      <c r="I31" s="61">
        <f>G31*C25</f>
        <v>7490.0000000000009</v>
      </c>
      <c r="J31" s="42"/>
      <c r="K31" s="37"/>
      <c r="L31" s="37"/>
    </row>
    <row r="32" spans="1:12" ht="15.75" x14ac:dyDescent="0.25">
      <c r="A32" s="50" t="s">
        <v>24</v>
      </c>
      <c r="B32" s="50"/>
      <c r="C32" s="64"/>
      <c r="D32" s="50"/>
      <c r="E32" s="50"/>
      <c r="F32" s="50" t="s">
        <v>24</v>
      </c>
      <c r="G32" s="64"/>
      <c r="H32" s="64"/>
      <c r="I32" s="50"/>
      <c r="J32" s="50"/>
      <c r="K32" s="37"/>
      <c r="L32" s="37"/>
    </row>
    <row r="33" spans="1:12" ht="15.75" x14ac:dyDescent="0.25">
      <c r="A33" s="42" t="s">
        <v>64</v>
      </c>
      <c r="B33" s="50"/>
      <c r="C33" s="64"/>
      <c r="D33" s="42">
        <v>104980</v>
      </c>
      <c r="E33" s="50"/>
      <c r="F33" s="42" t="s">
        <v>64</v>
      </c>
      <c r="G33" s="50"/>
      <c r="H33" s="64"/>
      <c r="I33" s="42">
        <v>104980</v>
      </c>
      <c r="J33" s="50"/>
      <c r="K33" s="37"/>
      <c r="L33" s="37"/>
    </row>
    <row r="34" spans="1:12" ht="15.75" x14ac:dyDescent="0.25">
      <c r="A34" s="65"/>
      <c r="B34" s="65"/>
      <c r="C34" s="42"/>
      <c r="D34" s="42"/>
      <c r="E34" s="42"/>
      <c r="F34" s="65"/>
      <c r="G34" s="65"/>
      <c r="H34" s="42"/>
      <c r="I34" s="42"/>
      <c r="J34" s="42"/>
      <c r="K34" s="42"/>
      <c r="L34" s="37"/>
    </row>
    <row r="35" spans="1:12" ht="15.75" x14ac:dyDescent="0.25">
      <c r="A35" s="50" t="s">
        <v>12</v>
      </c>
      <c r="B35" s="50"/>
      <c r="C35" s="64">
        <f>C25+C26+C27+C28+C29+C30-D31</f>
        <v>113430</v>
      </c>
      <c r="D35" s="64">
        <f>SUM(D33:D34)</f>
        <v>104980</v>
      </c>
      <c r="E35" s="64">
        <f>C35-D35</f>
        <v>8450</v>
      </c>
      <c r="F35" s="50" t="s">
        <v>12</v>
      </c>
      <c r="G35" s="64">
        <f>G25+G30+G29+G26-I31</f>
        <v>61288</v>
      </c>
      <c r="H35" s="64"/>
      <c r="I35" s="64">
        <f>SUM(I33:I34)</f>
        <v>104980</v>
      </c>
      <c r="J35" s="64">
        <f>G35-I35</f>
        <v>-43692</v>
      </c>
      <c r="K35" s="37"/>
      <c r="L35" s="37"/>
    </row>
    <row r="36" spans="1:12" ht="15.75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</row>
    <row r="37" spans="1:12" ht="15.75" x14ac:dyDescent="0.25">
      <c r="A37" s="37" t="s">
        <v>25</v>
      </c>
      <c r="B37" s="37"/>
      <c r="C37" s="37"/>
      <c r="D37" s="37" t="s">
        <v>26</v>
      </c>
      <c r="E37" s="37"/>
      <c r="F37" s="37"/>
      <c r="G37" s="37" t="s">
        <v>27</v>
      </c>
      <c r="H37" s="37"/>
      <c r="I37" s="37"/>
      <c r="J37" s="37"/>
      <c r="K37" s="37"/>
      <c r="L37" s="37"/>
    </row>
    <row r="38" spans="1:12" ht="15.75" x14ac:dyDescent="0.25">
      <c r="A38" s="37" t="s">
        <v>28</v>
      </c>
      <c r="B38" s="37"/>
      <c r="C38" s="37"/>
      <c r="D38" s="37" t="s">
        <v>29</v>
      </c>
      <c r="E38" s="37"/>
      <c r="F38" s="37"/>
      <c r="G38" s="37" t="s">
        <v>31</v>
      </c>
      <c r="H38" s="37"/>
      <c r="I38" s="37"/>
      <c r="J38" s="37"/>
      <c r="K38" s="37"/>
      <c r="L38" s="37"/>
    </row>
  </sheetData>
  <mergeCells count="3">
    <mergeCell ref="D1:E1"/>
    <mergeCell ref="D2:E2"/>
    <mergeCell ref="C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J26" sqref="J26"/>
    </sheetView>
  </sheetViews>
  <sheetFormatPr defaultRowHeight="15" x14ac:dyDescent="0.25"/>
  <cols>
    <col min="1" max="1" width="3.7109375" customWidth="1"/>
    <col min="4" max="4" width="8.140625" customWidth="1"/>
    <col min="5" max="5" width="8" customWidth="1"/>
    <col min="6" max="6" width="7" customWidth="1"/>
    <col min="9" max="9" width="7.5703125" customWidth="1"/>
    <col min="11" max="11" width="6.85546875" customWidth="1"/>
  </cols>
  <sheetData>
    <row r="1" spans="1:12" x14ac:dyDescent="0.25">
      <c r="A1" s="1"/>
      <c r="D1" s="1" t="s">
        <v>31</v>
      </c>
      <c r="E1" s="1"/>
      <c r="F1" s="1"/>
      <c r="G1" s="1"/>
      <c r="H1" s="1"/>
      <c r="I1" s="1"/>
      <c r="J1" s="1"/>
      <c r="K1" s="1"/>
    </row>
    <row r="2" spans="1:12" x14ac:dyDescent="0.25">
      <c r="A2" s="1"/>
      <c r="D2" s="1" t="s">
        <v>0</v>
      </c>
      <c r="E2" s="1"/>
      <c r="F2" s="1"/>
      <c r="G2" s="1"/>
      <c r="H2" s="1"/>
      <c r="I2" s="1"/>
      <c r="J2" s="1"/>
      <c r="K2" s="1"/>
    </row>
    <row r="3" spans="1:12" x14ac:dyDescent="0.25">
      <c r="A3" s="1"/>
      <c r="C3" s="1"/>
      <c r="D3" s="1" t="s">
        <v>67</v>
      </c>
      <c r="E3" s="1"/>
      <c r="F3" s="1"/>
      <c r="G3" s="1"/>
      <c r="H3" s="1"/>
      <c r="I3" s="1"/>
      <c r="J3" s="1"/>
      <c r="K3" s="1"/>
    </row>
    <row r="4" spans="1:12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60</v>
      </c>
      <c r="F4" s="2" t="s">
        <v>30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61</v>
      </c>
      <c r="L4" s="7"/>
    </row>
    <row r="5" spans="1:12" x14ac:dyDescent="0.25">
      <c r="A5" s="3" t="s">
        <v>32</v>
      </c>
      <c r="B5" s="3" t="s">
        <v>47</v>
      </c>
      <c r="C5" s="3"/>
      <c r="D5" s="3">
        <f>'NOVEMBER 20'!J5:J19</f>
        <v>0</v>
      </c>
      <c r="E5" s="3"/>
      <c r="F5" s="3"/>
      <c r="G5" s="3"/>
      <c r="H5" s="3">
        <f>D5+G5+C5+F5+E5</f>
        <v>0</v>
      </c>
      <c r="I5" s="19"/>
      <c r="J5" s="3">
        <f t="shared" ref="J5:J19" si="0">H5-I5</f>
        <v>0</v>
      </c>
      <c r="K5" s="3"/>
      <c r="L5" s="7"/>
    </row>
    <row r="6" spans="1:12" x14ac:dyDescent="0.25">
      <c r="A6" s="3" t="s">
        <v>33</v>
      </c>
      <c r="B6" s="3" t="s">
        <v>48</v>
      </c>
      <c r="C6" s="3"/>
      <c r="D6" s="3">
        <f>'NOVEMBER 20'!J6:J20</f>
        <v>0</v>
      </c>
      <c r="E6" s="3">
        <v>200</v>
      </c>
      <c r="F6" s="3">
        <v>200</v>
      </c>
      <c r="G6" s="3">
        <v>8000</v>
      </c>
      <c r="H6" s="3">
        <f t="shared" ref="H6:H19" si="1">D6+G6+C6+F6+E6</f>
        <v>8400</v>
      </c>
      <c r="I6" s="19">
        <f>8500</f>
        <v>8500</v>
      </c>
      <c r="J6" s="3">
        <f t="shared" si="0"/>
        <v>-100</v>
      </c>
      <c r="K6" s="3"/>
      <c r="L6" s="7"/>
    </row>
    <row r="7" spans="1:12" x14ac:dyDescent="0.25">
      <c r="A7" s="3" t="s">
        <v>34</v>
      </c>
      <c r="B7" s="3" t="s">
        <v>70</v>
      </c>
      <c r="C7" s="3"/>
      <c r="D7" s="3">
        <f>'NOVEMBER 20'!J7:J21</f>
        <v>0</v>
      </c>
      <c r="E7" s="3">
        <v>200</v>
      </c>
      <c r="F7" s="3">
        <v>240</v>
      </c>
      <c r="G7" s="3">
        <v>7000</v>
      </c>
      <c r="H7" s="3">
        <f t="shared" si="1"/>
        <v>7440</v>
      </c>
      <c r="I7" s="19">
        <v>7440</v>
      </c>
      <c r="J7" s="3">
        <f t="shared" si="0"/>
        <v>0</v>
      </c>
      <c r="K7" s="3"/>
      <c r="L7" s="7"/>
    </row>
    <row r="8" spans="1:12" x14ac:dyDescent="0.25">
      <c r="A8" s="3" t="s">
        <v>35</v>
      </c>
      <c r="B8" s="3" t="s">
        <v>49</v>
      </c>
      <c r="C8" s="3"/>
      <c r="D8" s="3">
        <f>'NOVEMBER 20'!J8:J22</f>
        <v>0</v>
      </c>
      <c r="E8" s="3">
        <v>200</v>
      </c>
      <c r="F8" s="3">
        <v>1080</v>
      </c>
      <c r="G8" s="3">
        <v>9000</v>
      </c>
      <c r="H8" s="3">
        <f t="shared" si="1"/>
        <v>10280</v>
      </c>
      <c r="I8" s="19">
        <v>10280</v>
      </c>
      <c r="J8" s="3">
        <f t="shared" si="0"/>
        <v>0</v>
      </c>
      <c r="K8" s="3"/>
      <c r="L8" s="7"/>
    </row>
    <row r="9" spans="1:12" x14ac:dyDescent="0.25">
      <c r="A9" s="5" t="s">
        <v>36</v>
      </c>
      <c r="B9" s="19" t="s">
        <v>57</v>
      </c>
      <c r="C9" s="19"/>
      <c r="D9" s="3">
        <f>'NOVEMBER 20'!J9:J23</f>
        <v>1600</v>
      </c>
      <c r="E9" s="3">
        <v>200</v>
      </c>
      <c r="F9" s="3">
        <v>1540</v>
      </c>
      <c r="G9" s="3">
        <v>9000</v>
      </c>
      <c r="H9" s="3">
        <f t="shared" si="1"/>
        <v>12340</v>
      </c>
      <c r="I9" s="19">
        <f>11000</f>
        <v>11000</v>
      </c>
      <c r="J9" s="3">
        <f t="shared" si="0"/>
        <v>1340</v>
      </c>
      <c r="K9" s="3"/>
      <c r="L9" s="7"/>
    </row>
    <row r="10" spans="1:12" x14ac:dyDescent="0.25">
      <c r="A10" s="3" t="s">
        <v>37</v>
      </c>
      <c r="B10" s="3" t="s">
        <v>50</v>
      </c>
      <c r="C10" s="3"/>
      <c r="D10" s="3">
        <f>'NOVEMBER 20'!J10:J24</f>
        <v>0</v>
      </c>
      <c r="E10" s="3">
        <v>200</v>
      </c>
      <c r="F10" s="3">
        <v>560</v>
      </c>
      <c r="G10" s="3">
        <v>12000</v>
      </c>
      <c r="H10" s="3">
        <f t="shared" si="1"/>
        <v>12760</v>
      </c>
      <c r="I10" s="19">
        <v>13000</v>
      </c>
      <c r="J10" s="3">
        <f t="shared" si="0"/>
        <v>-240</v>
      </c>
      <c r="K10" s="3"/>
      <c r="L10" s="7"/>
    </row>
    <row r="11" spans="1:12" x14ac:dyDescent="0.25">
      <c r="A11" s="3" t="s">
        <v>38</v>
      </c>
      <c r="B11" s="6" t="s">
        <v>52</v>
      </c>
      <c r="C11" s="6"/>
      <c r="D11" s="3">
        <f>'NOVEMBER 20'!J11:J25</f>
        <v>2580</v>
      </c>
      <c r="E11" s="3">
        <v>200</v>
      </c>
      <c r="F11" s="3">
        <v>1440</v>
      </c>
      <c r="G11" s="3">
        <v>11000</v>
      </c>
      <c r="H11" s="3">
        <f t="shared" si="1"/>
        <v>15220</v>
      </c>
      <c r="I11" s="19">
        <f>12700</f>
        <v>12700</v>
      </c>
      <c r="J11" s="3">
        <f t="shared" si="0"/>
        <v>2520</v>
      </c>
      <c r="K11" s="3">
        <v>60</v>
      </c>
      <c r="L11" s="7"/>
    </row>
    <row r="12" spans="1:12" x14ac:dyDescent="0.25">
      <c r="A12" s="3" t="s">
        <v>39</v>
      </c>
      <c r="B12" s="3" t="s">
        <v>53</v>
      </c>
      <c r="C12" s="3"/>
      <c r="D12" s="3">
        <f>'NOVEMBER 20'!J12:J26</f>
        <v>0</v>
      </c>
      <c r="E12" s="3">
        <v>200</v>
      </c>
      <c r="F12" s="3">
        <v>1200</v>
      </c>
      <c r="G12" s="3">
        <v>8000</v>
      </c>
      <c r="H12" s="3">
        <f t="shared" si="1"/>
        <v>9400</v>
      </c>
      <c r="I12" s="19">
        <v>9400</v>
      </c>
      <c r="J12" s="3">
        <f t="shared" si="0"/>
        <v>0</v>
      </c>
      <c r="K12" s="3"/>
      <c r="L12" s="7"/>
    </row>
    <row r="13" spans="1:12" x14ac:dyDescent="0.25">
      <c r="A13" s="3" t="s">
        <v>40</v>
      </c>
      <c r="B13" s="3" t="s">
        <v>54</v>
      </c>
      <c r="C13" s="3"/>
      <c r="D13" s="3">
        <f>'NOVEMBER 20'!J13:J27</f>
        <v>200</v>
      </c>
      <c r="E13" s="3">
        <v>200</v>
      </c>
      <c r="F13" s="3">
        <v>920</v>
      </c>
      <c r="G13" s="3">
        <v>8000</v>
      </c>
      <c r="H13" s="3">
        <f t="shared" si="1"/>
        <v>9320</v>
      </c>
      <c r="I13" s="19">
        <v>9000</v>
      </c>
      <c r="J13" s="3">
        <f t="shared" si="0"/>
        <v>320</v>
      </c>
      <c r="K13" s="3"/>
      <c r="L13" s="7"/>
    </row>
    <row r="14" spans="1:12" x14ac:dyDescent="0.25">
      <c r="A14" s="3" t="s">
        <v>41</v>
      </c>
      <c r="B14" s="3" t="s">
        <v>55</v>
      </c>
      <c r="C14" s="3"/>
      <c r="D14" s="3">
        <f>'NOVEMBER 20'!J14:J28</f>
        <v>4000</v>
      </c>
      <c r="E14" s="3">
        <v>200</v>
      </c>
      <c r="F14" s="3">
        <v>980</v>
      </c>
      <c r="G14" s="3">
        <v>8000</v>
      </c>
      <c r="H14" s="3">
        <f t="shared" si="1"/>
        <v>13180</v>
      </c>
      <c r="I14" s="19">
        <v>9180</v>
      </c>
      <c r="J14" s="3">
        <f t="shared" si="0"/>
        <v>4000</v>
      </c>
      <c r="K14" s="3"/>
      <c r="L14" s="7"/>
    </row>
    <row r="15" spans="1:12" x14ac:dyDescent="0.25">
      <c r="A15" s="3" t="s">
        <v>42</v>
      </c>
      <c r="B15" s="19" t="s">
        <v>66</v>
      </c>
      <c r="C15" s="19"/>
      <c r="D15" s="3">
        <f>'NOVEMBER 20'!J15:J29</f>
        <v>0</v>
      </c>
      <c r="E15" s="3">
        <v>200</v>
      </c>
      <c r="F15" s="3">
        <v>820</v>
      </c>
      <c r="G15" s="3">
        <v>9000</v>
      </c>
      <c r="H15" s="3">
        <f t="shared" si="1"/>
        <v>10020</v>
      </c>
      <c r="I15" s="19">
        <v>10020</v>
      </c>
      <c r="J15" s="3">
        <f t="shared" si="0"/>
        <v>0</v>
      </c>
      <c r="K15" s="3"/>
      <c r="L15" s="7"/>
    </row>
    <row r="16" spans="1:12" x14ac:dyDescent="0.25">
      <c r="A16" s="3" t="s">
        <v>43</v>
      </c>
      <c r="B16" s="3" t="s">
        <v>56</v>
      </c>
      <c r="C16" s="3"/>
      <c r="D16" s="3">
        <f>'NOVEMBER 20'!J16:J30</f>
        <v>-260</v>
      </c>
      <c r="E16" s="3">
        <v>200</v>
      </c>
      <c r="F16" s="3">
        <v>1380</v>
      </c>
      <c r="G16" s="3">
        <v>11000</v>
      </c>
      <c r="H16" s="3">
        <f t="shared" si="1"/>
        <v>12320</v>
      </c>
      <c r="I16" s="19">
        <v>12300</v>
      </c>
      <c r="J16" s="3">
        <f t="shared" si="0"/>
        <v>20</v>
      </c>
      <c r="K16" s="3"/>
      <c r="L16" s="7"/>
    </row>
    <row r="17" spans="1:15" x14ac:dyDescent="0.25">
      <c r="A17" s="3" t="s">
        <v>44</v>
      </c>
      <c r="B17" s="3" t="s">
        <v>69</v>
      </c>
      <c r="C17" s="3"/>
      <c r="D17" s="3">
        <f>'NOVEMBER 20'!J17:J31</f>
        <v>0</v>
      </c>
      <c r="E17" s="3">
        <v>200</v>
      </c>
      <c r="F17" s="3">
        <v>300</v>
      </c>
      <c r="G17" s="3">
        <v>12000</v>
      </c>
      <c r="H17" s="3">
        <f t="shared" si="1"/>
        <v>12500</v>
      </c>
      <c r="I17" s="19">
        <f>12000+300</f>
        <v>12300</v>
      </c>
      <c r="J17" s="3">
        <f t="shared" si="0"/>
        <v>200</v>
      </c>
      <c r="K17" s="3"/>
      <c r="L17" s="7"/>
    </row>
    <row r="18" spans="1:15" x14ac:dyDescent="0.25">
      <c r="A18" s="3" t="s">
        <v>45</v>
      </c>
      <c r="B18" s="3" t="s">
        <v>59</v>
      </c>
      <c r="C18" s="3"/>
      <c r="D18" s="3">
        <f>'NOVEMBER 20'!J18:J32</f>
        <v>60</v>
      </c>
      <c r="E18" s="3">
        <v>200</v>
      </c>
      <c r="F18" s="3">
        <v>980</v>
      </c>
      <c r="G18" s="3">
        <v>8000</v>
      </c>
      <c r="H18" s="3">
        <f>D18+G18+C18+F18+E18</f>
        <v>9240</v>
      </c>
      <c r="I18" s="19">
        <f>4180+5060</f>
        <v>9240</v>
      </c>
      <c r="J18" s="3">
        <f t="shared" si="0"/>
        <v>0</v>
      </c>
      <c r="K18" s="3">
        <v>60</v>
      </c>
      <c r="L18" s="7"/>
      <c r="N18">
        <f>240+100</f>
        <v>340</v>
      </c>
    </row>
    <row r="19" spans="1:15" x14ac:dyDescent="0.25">
      <c r="A19" s="3" t="s">
        <v>46</v>
      </c>
      <c r="B19" s="3" t="s">
        <v>73</v>
      </c>
      <c r="C19" s="3"/>
      <c r="D19" s="3"/>
      <c r="E19" s="3">
        <v>200</v>
      </c>
      <c r="F19" s="3">
        <v>780</v>
      </c>
      <c r="G19" s="3">
        <v>9000</v>
      </c>
      <c r="H19" s="3">
        <f t="shared" si="1"/>
        <v>9980</v>
      </c>
      <c r="I19" s="19">
        <v>9000</v>
      </c>
      <c r="J19" s="3">
        <f t="shared" si="0"/>
        <v>980</v>
      </c>
      <c r="K19" s="3"/>
      <c r="L19" s="7"/>
      <c r="M19" s="8"/>
      <c r="N19" s="27">
        <f>K22-N18</f>
        <v>2520</v>
      </c>
    </row>
    <row r="20" spans="1:15" x14ac:dyDescent="0.25">
      <c r="A20" s="3"/>
      <c r="B20" s="2" t="s">
        <v>12</v>
      </c>
      <c r="C20" s="2">
        <f t="shared" ref="C20:J20" si="2">SUM(C5:C19)</f>
        <v>0</v>
      </c>
      <c r="D20" s="3">
        <f>SUM(D5:D19)</f>
        <v>8180</v>
      </c>
      <c r="E20" s="3">
        <f>SUM(E5:E19)</f>
        <v>2800</v>
      </c>
      <c r="F20" s="3">
        <f t="shared" si="2"/>
        <v>12420</v>
      </c>
      <c r="G20" s="2">
        <f>SUM(G5:G19)</f>
        <v>129000</v>
      </c>
      <c r="H20" s="3">
        <f>SUM(H5:H19)</f>
        <v>152400</v>
      </c>
      <c r="I20" s="18">
        <f t="shared" si="2"/>
        <v>143360</v>
      </c>
      <c r="J20" s="2">
        <f t="shared" si="2"/>
        <v>9040</v>
      </c>
      <c r="K20" s="3">
        <f>SUM(K5:K19)</f>
        <v>120</v>
      </c>
      <c r="L20" s="7"/>
      <c r="M20" t="s">
        <v>13</v>
      </c>
      <c r="N20" s="27">
        <f>N19-2400</f>
        <v>120</v>
      </c>
    </row>
    <row r="21" spans="1:15" x14ac:dyDescent="0.25">
      <c r="A21" s="7"/>
      <c r="B21" s="9"/>
      <c r="C21" s="9"/>
      <c r="D21" s="9"/>
      <c r="E21" s="9"/>
      <c r="F21" s="9"/>
      <c r="G21" s="9" t="s">
        <v>14</v>
      </c>
      <c r="H21" s="9"/>
      <c r="I21" s="9"/>
      <c r="J21" s="7"/>
      <c r="K21" s="7"/>
      <c r="M21" s="8"/>
    </row>
    <row r="22" spans="1:15" x14ac:dyDescent="0.25">
      <c r="B22" s="10" t="s">
        <v>15</v>
      </c>
      <c r="C22" s="10"/>
      <c r="D22" s="11"/>
      <c r="E22" s="11"/>
      <c r="F22" s="11"/>
      <c r="G22" s="12"/>
      <c r="H22" s="13"/>
      <c r="I22" s="14"/>
      <c r="J22" s="15"/>
      <c r="K22" s="15">
        <f>J9+J13+J16+J17+J19</f>
        <v>2860</v>
      </c>
      <c r="L22" s="14"/>
      <c r="M22" s="10"/>
    </row>
    <row r="23" spans="1:15" x14ac:dyDescent="0.25">
      <c r="B23" s="16" t="s">
        <v>16</v>
      </c>
      <c r="C23" s="16"/>
      <c r="D23" s="16"/>
      <c r="E23" s="16"/>
      <c r="F23" s="16"/>
      <c r="G23" s="16"/>
      <c r="H23" s="17"/>
      <c r="I23" s="16" t="s">
        <v>17</v>
      </c>
      <c r="J23" s="10"/>
      <c r="K23" s="10"/>
      <c r="L23" s="10"/>
      <c r="M23" s="10"/>
    </row>
    <row r="24" spans="1:15" x14ac:dyDescent="0.25">
      <c r="B24" s="18" t="s">
        <v>18</v>
      </c>
      <c r="C24" s="18"/>
      <c r="D24" s="18" t="s">
        <v>19</v>
      </c>
      <c r="E24" s="18"/>
      <c r="F24" s="18"/>
      <c r="G24" s="18" t="s">
        <v>20</v>
      </c>
      <c r="H24" s="18" t="s">
        <v>21</v>
      </c>
      <c r="I24" s="18" t="s">
        <v>18</v>
      </c>
      <c r="J24" s="18" t="s">
        <v>19</v>
      </c>
      <c r="K24" s="18"/>
      <c r="L24" s="18" t="s">
        <v>20</v>
      </c>
      <c r="M24" s="18" t="s">
        <v>21</v>
      </c>
    </row>
    <row r="25" spans="1:15" x14ac:dyDescent="0.25">
      <c r="B25" s="19" t="s">
        <v>68</v>
      </c>
      <c r="C25" s="19"/>
      <c r="D25" s="20">
        <f>G20</f>
        <v>129000</v>
      </c>
      <c r="E25" s="20"/>
      <c r="F25" s="20"/>
      <c r="G25" s="19"/>
      <c r="H25" s="19"/>
      <c r="I25" s="19" t="s">
        <v>68</v>
      </c>
      <c r="J25" s="20">
        <f>I20</f>
        <v>143360</v>
      </c>
      <c r="K25" s="20"/>
      <c r="L25" s="19"/>
      <c r="M25" s="19"/>
    </row>
    <row r="26" spans="1:15" x14ac:dyDescent="0.25">
      <c r="B26" s="19" t="s">
        <v>6</v>
      </c>
      <c r="C26" s="19"/>
      <c r="D26" s="20">
        <f>'NOVEMBER 20'!H41</f>
        <v>-1010</v>
      </c>
      <c r="E26" s="20"/>
      <c r="F26" s="20"/>
      <c r="G26" s="19"/>
      <c r="H26" s="19"/>
      <c r="I26" s="19"/>
      <c r="J26" s="20"/>
      <c r="K26" s="20"/>
      <c r="L26" s="19"/>
      <c r="M26" s="19"/>
    </row>
    <row r="27" spans="1:15" x14ac:dyDescent="0.25">
      <c r="B27" s="19" t="s">
        <v>30</v>
      </c>
      <c r="C27" s="19"/>
      <c r="D27" s="20">
        <f>F20</f>
        <v>12420</v>
      </c>
      <c r="E27" s="20"/>
      <c r="F27" s="20"/>
      <c r="G27" s="19"/>
      <c r="H27" s="19"/>
      <c r="I27" s="19"/>
      <c r="J27" s="20"/>
      <c r="K27" s="20"/>
      <c r="L27" s="19"/>
      <c r="M27" s="19"/>
      <c r="O27" s="26"/>
    </row>
    <row r="28" spans="1:15" x14ac:dyDescent="0.25">
      <c r="B28" s="19" t="s">
        <v>60</v>
      </c>
      <c r="C28" s="19"/>
      <c r="D28" s="20">
        <f>E20</f>
        <v>2800</v>
      </c>
      <c r="E28" s="20"/>
      <c r="F28" s="20"/>
      <c r="G28" s="19"/>
      <c r="H28" s="19"/>
      <c r="I28" s="19"/>
      <c r="J28" s="20"/>
      <c r="K28" s="20"/>
      <c r="L28" s="19"/>
      <c r="M28" s="19"/>
      <c r="O28" s="26"/>
    </row>
    <row r="29" spans="1:15" x14ac:dyDescent="0.25">
      <c r="B29" s="19" t="s">
        <v>62</v>
      </c>
      <c r="C29" s="19"/>
      <c r="D29" s="20">
        <f>K20</f>
        <v>120</v>
      </c>
      <c r="E29" s="20"/>
      <c r="F29" s="20"/>
      <c r="G29" s="19"/>
      <c r="H29" s="19"/>
      <c r="I29" s="19"/>
      <c r="J29" s="20"/>
      <c r="K29" s="20"/>
      <c r="L29" s="19"/>
      <c r="M29" s="19"/>
    </row>
    <row r="30" spans="1:15" x14ac:dyDescent="0.25">
      <c r="B30" s="19" t="s">
        <v>5</v>
      </c>
      <c r="C30" s="19"/>
      <c r="D30" s="20">
        <f>C20</f>
        <v>0</v>
      </c>
      <c r="E30" s="20"/>
      <c r="F30" s="20"/>
      <c r="G30" s="19"/>
      <c r="H30" s="19"/>
      <c r="I30" s="19" t="s">
        <v>6</v>
      </c>
      <c r="J30" s="20">
        <f>'NOVEMBER 20'!M41</f>
        <v>-2550</v>
      </c>
      <c r="K30" s="20"/>
      <c r="L30" s="19"/>
      <c r="M30" s="19"/>
    </row>
    <row r="31" spans="1:15" x14ac:dyDescent="0.25">
      <c r="B31" s="19" t="s">
        <v>23</v>
      </c>
      <c r="C31" s="19"/>
      <c r="D31" s="21">
        <v>7.0000000000000007E-2</v>
      </c>
      <c r="E31" s="21"/>
      <c r="F31" s="21"/>
      <c r="G31" s="20">
        <f>D31*D25</f>
        <v>9030</v>
      </c>
      <c r="H31" s="19"/>
      <c r="I31" s="19" t="s">
        <v>23</v>
      </c>
      <c r="J31" s="21">
        <v>7.0000000000000007E-2</v>
      </c>
      <c r="K31" s="21"/>
      <c r="L31" s="20">
        <f>J31*D25</f>
        <v>9030</v>
      </c>
      <c r="M31" s="19"/>
    </row>
    <row r="32" spans="1:15" x14ac:dyDescent="0.25">
      <c r="B32" s="18" t="s">
        <v>24</v>
      </c>
      <c r="C32" s="18"/>
      <c r="D32" s="22"/>
      <c r="E32" s="22"/>
      <c r="F32" s="22"/>
      <c r="G32" s="18"/>
      <c r="H32" s="18"/>
      <c r="I32" s="18" t="s">
        <v>24</v>
      </c>
      <c r="J32" s="22"/>
      <c r="K32" s="22"/>
      <c r="L32" s="18"/>
      <c r="M32" s="18"/>
    </row>
    <row r="33" spans="2:14" x14ac:dyDescent="0.25">
      <c r="B33" s="19"/>
      <c r="C33" s="18"/>
      <c r="D33" s="22"/>
      <c r="E33" s="22"/>
      <c r="F33" s="22"/>
      <c r="G33" s="19"/>
      <c r="H33" s="18"/>
      <c r="I33" s="19"/>
      <c r="J33" s="18"/>
      <c r="K33" s="18"/>
      <c r="L33" s="22"/>
      <c r="M33" s="19"/>
    </row>
    <row r="34" spans="2:14" x14ac:dyDescent="0.25">
      <c r="B34" s="19" t="s">
        <v>74</v>
      </c>
      <c r="C34" s="19"/>
      <c r="D34" s="20"/>
      <c r="E34" s="20"/>
      <c r="F34" s="20"/>
      <c r="G34" s="19">
        <v>134240</v>
      </c>
      <c r="H34" s="19"/>
      <c r="I34" s="19" t="s">
        <v>74</v>
      </c>
      <c r="J34" s="19"/>
      <c r="K34" s="20"/>
      <c r="L34" s="20">
        <v>134240</v>
      </c>
      <c r="M34" s="20"/>
      <c r="N34" s="19"/>
    </row>
    <row r="35" spans="2:14" x14ac:dyDescent="0.25">
      <c r="B35" s="23"/>
      <c r="C35" s="23"/>
      <c r="D35" s="19"/>
      <c r="E35" s="19"/>
      <c r="F35" s="19"/>
      <c r="G35" s="19"/>
      <c r="H35" s="19"/>
      <c r="I35" s="23"/>
      <c r="J35" s="23"/>
      <c r="K35" s="19"/>
      <c r="L35" s="19"/>
      <c r="M35" s="19"/>
      <c r="N35" s="19"/>
    </row>
    <row r="36" spans="2:14" x14ac:dyDescent="0.25">
      <c r="B36" s="23"/>
      <c r="C36" s="23"/>
      <c r="D36" s="19"/>
      <c r="E36" s="19"/>
      <c r="F36" s="19"/>
      <c r="G36" s="19"/>
      <c r="H36" s="19"/>
      <c r="I36" s="23"/>
      <c r="J36" s="23"/>
      <c r="K36" s="19"/>
      <c r="L36" s="19"/>
      <c r="M36" s="19"/>
      <c r="N36" s="19"/>
    </row>
    <row r="37" spans="2:14" x14ac:dyDescent="0.25">
      <c r="B37" s="23"/>
      <c r="C37" s="23"/>
      <c r="D37" s="19"/>
      <c r="E37" s="19"/>
      <c r="F37" s="19"/>
      <c r="G37" s="19"/>
      <c r="H37" s="19"/>
      <c r="I37" s="23"/>
      <c r="J37" s="23"/>
      <c r="K37" s="23"/>
      <c r="L37" s="19"/>
      <c r="M37" s="19"/>
    </row>
    <row r="38" spans="2:14" x14ac:dyDescent="0.25">
      <c r="B38" s="24"/>
      <c r="C38" s="24"/>
      <c r="D38" s="19"/>
      <c r="E38" s="19"/>
      <c r="F38" s="19"/>
      <c r="G38" s="25"/>
      <c r="H38" s="19"/>
      <c r="I38" s="24"/>
      <c r="J38" s="24"/>
      <c r="K38" s="24"/>
      <c r="L38" s="19"/>
      <c r="M38" s="25"/>
    </row>
    <row r="39" spans="2:14" x14ac:dyDescent="0.25">
      <c r="B39" s="24"/>
      <c r="C39" s="24"/>
      <c r="D39" s="19"/>
      <c r="E39" s="19"/>
      <c r="F39" s="19"/>
      <c r="G39" s="25"/>
      <c r="H39" s="19"/>
      <c r="I39" s="24"/>
      <c r="J39" s="19"/>
      <c r="K39" s="19"/>
      <c r="L39" s="25"/>
      <c r="M39" s="25"/>
    </row>
    <row r="40" spans="2:14" x14ac:dyDescent="0.25">
      <c r="B40" s="24"/>
      <c r="C40" s="24"/>
      <c r="D40" s="19"/>
      <c r="E40" s="19"/>
      <c r="F40" s="19"/>
      <c r="G40" s="25"/>
      <c r="H40" s="19"/>
      <c r="I40" s="24"/>
      <c r="J40" s="19"/>
      <c r="K40" s="19"/>
      <c r="L40" s="25"/>
      <c r="M40" s="19"/>
    </row>
    <row r="41" spans="2:14" x14ac:dyDescent="0.25">
      <c r="B41" s="18" t="s">
        <v>12</v>
      </c>
      <c r="C41" s="18"/>
      <c r="D41" s="22">
        <f>D25+D26+D27+D28+D29+D30-G31</f>
        <v>134300</v>
      </c>
      <c r="E41" s="22"/>
      <c r="F41" s="22"/>
      <c r="G41" s="22">
        <f>SUM(G33:G40)</f>
        <v>134240</v>
      </c>
      <c r="H41" s="22">
        <f>D41-G41</f>
        <v>60</v>
      </c>
      <c r="I41" s="18" t="s">
        <v>12</v>
      </c>
      <c r="J41" s="22">
        <f>J25+J30+J26-L31</f>
        <v>131780</v>
      </c>
      <c r="K41" s="22"/>
      <c r="L41" s="22">
        <f>SUM(L33:L40)</f>
        <v>134240</v>
      </c>
      <c r="M41" s="22">
        <f>J41-L41</f>
        <v>-2460</v>
      </c>
    </row>
    <row r="43" spans="2:14" x14ac:dyDescent="0.25">
      <c r="B43" t="s">
        <v>25</v>
      </c>
      <c r="G43" t="s">
        <v>26</v>
      </c>
      <c r="J43" t="s">
        <v>27</v>
      </c>
    </row>
    <row r="44" spans="2:14" x14ac:dyDescent="0.25">
      <c r="B44" t="s">
        <v>28</v>
      </c>
      <c r="G44" t="s">
        <v>29</v>
      </c>
      <c r="J44" t="s">
        <v>31</v>
      </c>
    </row>
  </sheetData>
  <pageMargins left="0" right="0" top="0" bottom="0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A4" workbookViewId="0">
      <selection activeCell="E33" sqref="E33"/>
    </sheetView>
  </sheetViews>
  <sheetFormatPr defaultRowHeight="15" x14ac:dyDescent="0.25"/>
  <cols>
    <col min="1" max="1" width="4.5703125" customWidth="1"/>
    <col min="7" max="7" width="7" customWidth="1"/>
    <col min="9" max="9" width="9.28515625" customWidth="1"/>
  </cols>
  <sheetData>
    <row r="1" spans="1:14" x14ac:dyDescent="0.25">
      <c r="A1" s="1"/>
      <c r="D1" s="1" t="s">
        <v>31</v>
      </c>
      <c r="E1" s="1"/>
      <c r="F1" s="1"/>
      <c r="G1" s="1"/>
      <c r="H1" s="1"/>
      <c r="I1" s="1"/>
      <c r="J1" s="1"/>
      <c r="K1" s="1"/>
    </row>
    <row r="2" spans="1:14" x14ac:dyDescent="0.25">
      <c r="A2" s="1"/>
      <c r="D2" s="1" t="s">
        <v>0</v>
      </c>
      <c r="E2" s="1"/>
      <c r="F2" s="1"/>
      <c r="G2" s="1"/>
      <c r="H2" s="1"/>
      <c r="I2" s="1"/>
      <c r="J2" s="1"/>
      <c r="K2" s="1"/>
    </row>
    <row r="3" spans="1:14" x14ac:dyDescent="0.25">
      <c r="A3" s="1"/>
      <c r="C3" s="1"/>
      <c r="D3" s="1" t="s">
        <v>76</v>
      </c>
      <c r="E3" s="1"/>
      <c r="F3" s="1"/>
      <c r="G3" s="1"/>
      <c r="H3" s="1"/>
      <c r="I3" s="1"/>
      <c r="J3" s="1"/>
      <c r="K3" s="1"/>
    </row>
    <row r="4" spans="1:14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60</v>
      </c>
      <c r="F4" s="2" t="s">
        <v>30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61</v>
      </c>
      <c r="L4" s="7"/>
    </row>
    <row r="5" spans="1:14" x14ac:dyDescent="0.25">
      <c r="A5" s="3" t="s">
        <v>32</v>
      </c>
      <c r="B5" s="3" t="s">
        <v>47</v>
      </c>
      <c r="C5" s="3"/>
      <c r="D5" s="3">
        <f>'DECEMBER 20'!J5:J19</f>
        <v>0</v>
      </c>
      <c r="E5" s="3"/>
      <c r="F5" s="3">
        <v>0</v>
      </c>
      <c r="G5" s="3"/>
      <c r="H5" s="3">
        <f>D5+G5+C5+F5+E5</f>
        <v>0</v>
      </c>
      <c r="I5" s="19"/>
      <c r="J5" s="3">
        <f t="shared" ref="J5:J19" si="0">H5-I5</f>
        <v>0</v>
      </c>
      <c r="K5" s="3"/>
      <c r="L5" s="7"/>
    </row>
    <row r="6" spans="1:14" x14ac:dyDescent="0.25">
      <c r="A6" s="3" t="s">
        <v>33</v>
      </c>
      <c r="B6" s="3" t="s">
        <v>48</v>
      </c>
      <c r="C6" s="3"/>
      <c r="D6" s="3">
        <f>'DECEMBER 20'!J6:J20</f>
        <v>-100</v>
      </c>
      <c r="E6" s="3">
        <v>200</v>
      </c>
      <c r="F6" s="3">
        <v>800</v>
      </c>
      <c r="G6" s="3">
        <v>8000</v>
      </c>
      <c r="H6" s="3">
        <f t="shared" ref="H6:H19" si="1">D6+G6+C6+F6+E6</f>
        <v>8900</v>
      </c>
      <c r="I6" s="19">
        <v>8900</v>
      </c>
      <c r="J6" s="3">
        <f t="shared" si="0"/>
        <v>0</v>
      </c>
      <c r="K6" s="3"/>
      <c r="L6" s="7"/>
    </row>
    <row r="7" spans="1:14" x14ac:dyDescent="0.25">
      <c r="A7" s="3" t="s">
        <v>34</v>
      </c>
      <c r="B7" s="3" t="s">
        <v>70</v>
      </c>
      <c r="C7" s="3"/>
      <c r="D7" s="3">
        <f>'DECEMBER 20'!J7:J21</f>
        <v>0</v>
      </c>
      <c r="E7" s="3">
        <v>200</v>
      </c>
      <c r="F7" s="3">
        <v>280</v>
      </c>
      <c r="G7" s="3">
        <v>7000</v>
      </c>
      <c r="H7" s="3">
        <f t="shared" si="1"/>
        <v>7480</v>
      </c>
      <c r="I7" s="19">
        <v>7480</v>
      </c>
      <c r="J7" s="3">
        <f t="shared" si="0"/>
        <v>0</v>
      </c>
      <c r="K7" s="3"/>
      <c r="L7" s="7"/>
    </row>
    <row r="8" spans="1:14" x14ac:dyDescent="0.25">
      <c r="A8" s="3" t="s">
        <v>35</v>
      </c>
      <c r="B8" s="3" t="s">
        <v>77</v>
      </c>
      <c r="C8" s="3"/>
      <c r="D8" s="3">
        <f>'DECEMBER 20'!J8:J22</f>
        <v>0</v>
      </c>
      <c r="E8" s="3"/>
      <c r="F8" s="3"/>
      <c r="G8" s="3"/>
      <c r="H8" s="3">
        <f t="shared" si="1"/>
        <v>0</v>
      </c>
      <c r="I8" s="19"/>
      <c r="J8" s="3">
        <f t="shared" si="0"/>
        <v>0</v>
      </c>
      <c r="K8" s="3"/>
      <c r="L8" s="7"/>
    </row>
    <row r="9" spans="1:14" x14ac:dyDescent="0.25">
      <c r="A9" s="5" t="s">
        <v>36</v>
      </c>
      <c r="B9" s="19" t="s">
        <v>57</v>
      </c>
      <c r="C9" s="19"/>
      <c r="D9" s="3">
        <f>'DECEMBER 20'!J9:J23</f>
        <v>1340</v>
      </c>
      <c r="E9" s="3">
        <v>200</v>
      </c>
      <c r="F9" s="3">
        <v>1360</v>
      </c>
      <c r="G9" s="3">
        <v>9000</v>
      </c>
      <c r="H9" s="3">
        <f t="shared" si="1"/>
        <v>11900</v>
      </c>
      <c r="I9" s="19">
        <f>8000</f>
        <v>8000</v>
      </c>
      <c r="J9" s="3">
        <f t="shared" si="0"/>
        <v>3900</v>
      </c>
      <c r="K9" s="3"/>
      <c r="L9" s="7"/>
    </row>
    <row r="10" spans="1:14" x14ac:dyDescent="0.25">
      <c r="A10" s="3" t="s">
        <v>37</v>
      </c>
      <c r="B10" s="3" t="s">
        <v>50</v>
      </c>
      <c r="C10" s="3"/>
      <c r="D10" s="3">
        <f>'DECEMBER 20'!J10:J24</f>
        <v>-240</v>
      </c>
      <c r="E10" s="3">
        <v>200</v>
      </c>
      <c r="F10" s="3">
        <v>480</v>
      </c>
      <c r="G10" s="3">
        <v>12000</v>
      </c>
      <c r="H10" s="3">
        <f t="shared" si="1"/>
        <v>12440</v>
      </c>
      <c r="I10" s="19">
        <v>12440</v>
      </c>
      <c r="J10" s="3">
        <f t="shared" si="0"/>
        <v>0</v>
      </c>
      <c r="K10" s="3"/>
      <c r="L10" s="7"/>
    </row>
    <row r="11" spans="1:14" x14ac:dyDescent="0.25">
      <c r="A11" s="3" t="s">
        <v>38</v>
      </c>
      <c r="B11" s="6" t="s">
        <v>52</v>
      </c>
      <c r="C11" s="6"/>
      <c r="D11" s="3">
        <f>'DECEMBER 20'!J11:J25</f>
        <v>2520</v>
      </c>
      <c r="E11" s="3">
        <v>200</v>
      </c>
      <c r="F11" s="3">
        <v>1720</v>
      </c>
      <c r="G11" s="3">
        <v>11000</v>
      </c>
      <c r="H11" s="3">
        <f t="shared" si="1"/>
        <v>15440</v>
      </c>
      <c r="I11" s="19">
        <f>11000+2000</f>
        <v>13000</v>
      </c>
      <c r="J11" s="3">
        <f t="shared" si="0"/>
        <v>2440</v>
      </c>
      <c r="K11" s="3">
        <v>80</v>
      </c>
      <c r="L11" s="7"/>
    </row>
    <row r="12" spans="1:14" x14ac:dyDescent="0.25">
      <c r="A12" s="3" t="s">
        <v>39</v>
      </c>
      <c r="B12" s="3" t="s">
        <v>53</v>
      </c>
      <c r="C12" s="3"/>
      <c r="D12" s="3">
        <f>'DECEMBER 20'!J12:J26</f>
        <v>0</v>
      </c>
      <c r="E12" s="3">
        <v>200</v>
      </c>
      <c r="F12" s="3">
        <v>1800</v>
      </c>
      <c r="G12" s="3">
        <v>8000</v>
      </c>
      <c r="H12" s="3">
        <f t="shared" si="1"/>
        <v>10000</v>
      </c>
      <c r="I12" s="19">
        <v>10000</v>
      </c>
      <c r="J12" s="3">
        <f t="shared" si="0"/>
        <v>0</v>
      </c>
      <c r="K12" s="3"/>
      <c r="L12" s="7"/>
    </row>
    <row r="13" spans="1:14" x14ac:dyDescent="0.25">
      <c r="A13" s="3" t="s">
        <v>40</v>
      </c>
      <c r="B13" s="3" t="s">
        <v>54</v>
      </c>
      <c r="C13" s="3"/>
      <c r="D13" s="3">
        <f>'DECEMBER 20'!J13:J27</f>
        <v>320</v>
      </c>
      <c r="E13" s="3">
        <v>200</v>
      </c>
      <c r="F13" s="3">
        <v>480</v>
      </c>
      <c r="G13" s="3">
        <v>8000</v>
      </c>
      <c r="H13" s="3">
        <f t="shared" si="1"/>
        <v>9000</v>
      </c>
      <c r="I13" s="19">
        <f>8000</f>
        <v>8000</v>
      </c>
      <c r="J13" s="3">
        <f t="shared" si="0"/>
        <v>1000</v>
      </c>
      <c r="K13" s="3"/>
      <c r="L13" s="7"/>
    </row>
    <row r="14" spans="1:14" x14ac:dyDescent="0.25">
      <c r="A14" s="3" t="s">
        <v>41</v>
      </c>
      <c r="B14" s="3" t="s">
        <v>55</v>
      </c>
      <c r="C14" s="3"/>
      <c r="D14" s="3">
        <f>'DECEMBER 20'!J14:J28</f>
        <v>4000</v>
      </c>
      <c r="E14" s="3">
        <v>200</v>
      </c>
      <c r="F14" s="3">
        <v>1100</v>
      </c>
      <c r="G14" s="3">
        <v>8000</v>
      </c>
      <c r="H14" s="3">
        <f t="shared" si="1"/>
        <v>13300</v>
      </c>
      <c r="I14" s="19">
        <f>8000+1100+200</f>
        <v>9300</v>
      </c>
      <c r="J14" s="3">
        <f t="shared" si="0"/>
        <v>4000</v>
      </c>
      <c r="K14" s="3"/>
      <c r="L14" s="7"/>
    </row>
    <row r="15" spans="1:14" x14ac:dyDescent="0.25">
      <c r="A15" s="3" t="s">
        <v>42</v>
      </c>
      <c r="B15" s="19" t="s">
        <v>66</v>
      </c>
      <c r="C15" s="19"/>
      <c r="D15" s="3">
        <f>'DECEMBER 20'!J15:J29</f>
        <v>0</v>
      </c>
      <c r="E15" s="3">
        <v>200</v>
      </c>
      <c r="F15" s="3">
        <v>240</v>
      </c>
      <c r="G15" s="3">
        <v>9000</v>
      </c>
      <c r="H15" s="3">
        <f t="shared" si="1"/>
        <v>9440</v>
      </c>
      <c r="I15" s="19">
        <v>9440</v>
      </c>
      <c r="J15" s="3">
        <f t="shared" si="0"/>
        <v>0</v>
      </c>
      <c r="K15" s="3"/>
      <c r="L15" s="7"/>
      <c r="N15">
        <f>D11-J11</f>
        <v>80</v>
      </c>
    </row>
    <row r="16" spans="1:14" x14ac:dyDescent="0.25">
      <c r="A16" s="3" t="s">
        <v>43</v>
      </c>
      <c r="B16" s="3" t="s">
        <v>56</v>
      </c>
      <c r="C16" s="3"/>
      <c r="D16" s="3">
        <f>'DECEMBER 20'!J16:J30</f>
        <v>20</v>
      </c>
      <c r="E16" s="3">
        <v>200</v>
      </c>
      <c r="F16" s="3">
        <v>520</v>
      </c>
      <c r="G16" s="3">
        <v>11000</v>
      </c>
      <c r="H16" s="3">
        <f t="shared" si="1"/>
        <v>11740</v>
      </c>
      <c r="I16" s="19">
        <v>11700</v>
      </c>
      <c r="J16" s="3">
        <f t="shared" si="0"/>
        <v>40</v>
      </c>
      <c r="K16" s="3"/>
      <c r="L16" s="7"/>
    </row>
    <row r="17" spans="1:14" x14ac:dyDescent="0.25">
      <c r="A17" s="3" t="s">
        <v>44</v>
      </c>
      <c r="B17" s="3" t="s">
        <v>69</v>
      </c>
      <c r="C17" s="3"/>
      <c r="D17" s="3">
        <f>'DECEMBER 20'!J17:J31</f>
        <v>200</v>
      </c>
      <c r="E17" s="3">
        <v>200</v>
      </c>
      <c r="F17" s="3">
        <v>580</v>
      </c>
      <c r="G17" s="3">
        <v>12000</v>
      </c>
      <c r="H17" s="3">
        <f t="shared" si="1"/>
        <v>12980</v>
      </c>
      <c r="I17" s="19">
        <v>12980</v>
      </c>
      <c r="J17" s="3">
        <f t="shared" si="0"/>
        <v>0</v>
      </c>
      <c r="K17" s="3"/>
      <c r="L17" s="7"/>
    </row>
    <row r="18" spans="1:14" x14ac:dyDescent="0.25">
      <c r="A18" s="3" t="s">
        <v>45</v>
      </c>
      <c r="B18" s="3" t="s">
        <v>11</v>
      </c>
      <c r="C18" s="3"/>
      <c r="D18" s="3">
        <f>'DECEMBER 20'!J18:J32</f>
        <v>0</v>
      </c>
      <c r="E18" s="3"/>
      <c r="F18" s="3"/>
      <c r="G18" s="3"/>
      <c r="H18" s="3">
        <f>D18+G18+C18+F18+E18</f>
        <v>0</v>
      </c>
      <c r="I18" s="19"/>
      <c r="J18" s="3">
        <f t="shared" si="0"/>
        <v>0</v>
      </c>
      <c r="K18" s="3"/>
      <c r="L18" s="7"/>
    </row>
    <row r="19" spans="1:14" x14ac:dyDescent="0.25">
      <c r="A19" s="3" t="s">
        <v>46</v>
      </c>
      <c r="B19" s="3" t="s">
        <v>73</v>
      </c>
      <c r="C19" s="3"/>
      <c r="D19" s="3">
        <f>'DECEMBER 20'!J19:J33</f>
        <v>980</v>
      </c>
      <c r="E19" s="3">
        <v>200</v>
      </c>
      <c r="F19" s="3">
        <v>1400</v>
      </c>
      <c r="G19" s="3">
        <v>9000</v>
      </c>
      <c r="H19" s="3">
        <f t="shared" si="1"/>
        <v>11580</v>
      </c>
      <c r="I19" s="19">
        <f>9980</f>
        <v>9980</v>
      </c>
      <c r="J19" s="3">
        <f t="shared" si="0"/>
        <v>1600</v>
      </c>
      <c r="K19" s="3"/>
      <c r="L19" s="7"/>
      <c r="M19" s="8"/>
    </row>
    <row r="20" spans="1:14" x14ac:dyDescent="0.25">
      <c r="A20" s="3"/>
      <c r="B20" s="2" t="s">
        <v>12</v>
      </c>
      <c r="C20" s="2">
        <f t="shared" ref="C20:J20" si="2">SUM(C5:C19)</f>
        <v>0</v>
      </c>
      <c r="D20" s="3">
        <f>SUM(D5:D19)</f>
        <v>9040</v>
      </c>
      <c r="E20" s="3">
        <f>SUM(E5:E19)</f>
        <v>2400</v>
      </c>
      <c r="F20" s="3">
        <f t="shared" si="2"/>
        <v>10760</v>
      </c>
      <c r="G20" s="2">
        <f>SUM(G5:G19)</f>
        <v>112000</v>
      </c>
      <c r="H20" s="3">
        <f>SUM(H5:H19)</f>
        <v>134200</v>
      </c>
      <c r="I20" s="18">
        <f t="shared" si="2"/>
        <v>121220</v>
      </c>
      <c r="J20" s="2">
        <f t="shared" si="2"/>
        <v>12980</v>
      </c>
      <c r="K20" s="3">
        <f>SUM(K5:K19)</f>
        <v>80</v>
      </c>
      <c r="L20" s="7"/>
      <c r="M20" t="s">
        <v>13</v>
      </c>
    </row>
    <row r="21" spans="1:14" x14ac:dyDescent="0.25">
      <c r="A21" s="7"/>
      <c r="B21" s="9"/>
      <c r="C21" s="9"/>
      <c r="D21" s="9"/>
      <c r="E21" s="9"/>
      <c r="F21" s="9"/>
      <c r="G21" s="9" t="s">
        <v>14</v>
      </c>
      <c r="H21" s="9"/>
      <c r="I21" s="9"/>
      <c r="J21" s="7"/>
      <c r="K21" s="7"/>
      <c r="L21">
        <f>J9+J16+J19</f>
        <v>5540</v>
      </c>
      <c r="M21" s="8"/>
    </row>
    <row r="22" spans="1:14" x14ac:dyDescent="0.25">
      <c r="A22" s="10" t="s">
        <v>15</v>
      </c>
      <c r="B22" s="10"/>
      <c r="C22" s="11"/>
      <c r="D22" s="11"/>
      <c r="E22" s="11"/>
      <c r="F22" s="12"/>
      <c r="G22" s="13"/>
      <c r="H22" s="14"/>
      <c r="I22" s="15"/>
      <c r="J22" s="15"/>
      <c r="K22" s="14"/>
      <c r="L22" s="10">
        <f>J9+J16+J19</f>
        <v>5540</v>
      </c>
    </row>
    <row r="23" spans="1:14" x14ac:dyDescent="0.25">
      <c r="A23" s="16" t="s">
        <v>16</v>
      </c>
      <c r="B23" s="16"/>
      <c r="C23" s="16"/>
      <c r="D23" s="16"/>
      <c r="E23" s="16"/>
      <c r="F23" s="16"/>
      <c r="G23" s="17"/>
      <c r="H23" s="16" t="s">
        <v>17</v>
      </c>
      <c r="I23" s="10"/>
      <c r="J23" s="10"/>
      <c r="K23" s="10"/>
      <c r="L23" s="10"/>
    </row>
    <row r="24" spans="1:14" x14ac:dyDescent="0.25">
      <c r="A24" s="18" t="s">
        <v>18</v>
      </c>
      <c r="B24" s="18"/>
      <c r="C24" s="18" t="s">
        <v>19</v>
      </c>
      <c r="D24" s="18"/>
      <c r="E24" s="18"/>
      <c r="F24" s="18" t="s">
        <v>20</v>
      </c>
      <c r="G24" s="18" t="s">
        <v>21</v>
      </c>
      <c r="H24" s="18" t="s">
        <v>18</v>
      </c>
      <c r="I24" s="18" t="s">
        <v>19</v>
      </c>
      <c r="J24" s="18"/>
      <c r="K24" s="18" t="s">
        <v>20</v>
      </c>
      <c r="L24" s="18" t="s">
        <v>21</v>
      </c>
    </row>
    <row r="25" spans="1:14" x14ac:dyDescent="0.25">
      <c r="A25" s="19" t="s">
        <v>75</v>
      </c>
      <c r="B25" s="19"/>
      <c r="C25" s="20">
        <f>G20</f>
        <v>112000</v>
      </c>
      <c r="D25" s="20"/>
      <c r="E25" s="20"/>
      <c r="F25" s="19"/>
      <c r="G25" s="19"/>
      <c r="H25" s="19" t="s">
        <v>75</v>
      </c>
      <c r="I25" s="20">
        <f>I20</f>
        <v>121220</v>
      </c>
      <c r="J25" s="20"/>
      <c r="K25" s="19"/>
      <c r="L25" s="19"/>
    </row>
    <row r="26" spans="1:14" x14ac:dyDescent="0.25">
      <c r="A26" s="19" t="s">
        <v>6</v>
      </c>
      <c r="B26" s="19"/>
      <c r="C26" s="20">
        <f>'DECEMBER 20'!H41</f>
        <v>60</v>
      </c>
      <c r="D26" s="20"/>
      <c r="E26" s="20"/>
      <c r="F26" s="19"/>
      <c r="G26" s="19"/>
      <c r="H26" s="19"/>
      <c r="I26" s="20"/>
      <c r="J26" s="20"/>
      <c r="K26" s="19"/>
      <c r="L26" s="19"/>
    </row>
    <row r="27" spans="1:14" x14ac:dyDescent="0.25">
      <c r="A27" s="19" t="s">
        <v>30</v>
      </c>
      <c r="B27" s="19"/>
      <c r="C27" s="20">
        <f>F20</f>
        <v>10760</v>
      </c>
      <c r="D27" s="20"/>
      <c r="E27" s="20"/>
      <c r="F27" s="19"/>
      <c r="G27" s="19"/>
      <c r="H27" s="19"/>
      <c r="I27" s="20"/>
      <c r="J27" s="20"/>
      <c r="K27" s="19"/>
      <c r="L27" s="19"/>
    </row>
    <row r="28" spans="1:14" x14ac:dyDescent="0.25">
      <c r="A28" s="19" t="s">
        <v>60</v>
      </c>
      <c r="B28" s="19"/>
      <c r="C28" s="20">
        <f>E20</f>
        <v>2400</v>
      </c>
      <c r="D28" s="20"/>
      <c r="E28" s="20"/>
      <c r="F28" s="19"/>
      <c r="G28" s="19"/>
      <c r="H28" s="19"/>
      <c r="I28" s="20"/>
      <c r="J28" s="20"/>
      <c r="K28" s="19"/>
      <c r="L28" s="19"/>
    </row>
    <row r="29" spans="1:14" x14ac:dyDescent="0.25">
      <c r="A29" s="19" t="s">
        <v>62</v>
      </c>
      <c r="B29" s="19"/>
      <c r="C29" s="20">
        <f>K20</f>
        <v>80</v>
      </c>
      <c r="D29" s="20"/>
      <c r="E29" s="20"/>
      <c r="F29" s="19"/>
      <c r="G29" s="19"/>
      <c r="H29" s="19"/>
      <c r="I29" s="20"/>
      <c r="J29" s="20"/>
      <c r="K29" s="19"/>
      <c r="L29" s="19"/>
    </row>
    <row r="30" spans="1:14" x14ac:dyDescent="0.25">
      <c r="A30" s="19" t="s">
        <v>5</v>
      </c>
      <c r="B30" s="19"/>
      <c r="C30" s="20">
        <f>C20</f>
        <v>0</v>
      </c>
      <c r="D30" s="20"/>
      <c r="E30" s="20"/>
      <c r="F30" s="19"/>
      <c r="G30" s="19"/>
      <c r="H30" s="19" t="s">
        <v>6</v>
      </c>
      <c r="I30" s="20">
        <f>'DECEMBER 20'!M41</f>
        <v>-2460</v>
      </c>
      <c r="J30" s="20"/>
      <c r="K30" s="19"/>
      <c r="L30" s="19"/>
    </row>
    <row r="31" spans="1:14" x14ac:dyDescent="0.25">
      <c r="A31" s="19" t="s">
        <v>23</v>
      </c>
      <c r="B31" s="19"/>
      <c r="C31" s="21">
        <v>7.0000000000000007E-2</v>
      </c>
      <c r="D31" s="21"/>
      <c r="E31" s="21"/>
      <c r="F31" s="20">
        <f>C31*C25</f>
        <v>7840.0000000000009</v>
      </c>
      <c r="G31" s="19"/>
      <c r="H31" s="19" t="s">
        <v>23</v>
      </c>
      <c r="I31" s="21">
        <v>7.0000000000000007E-2</v>
      </c>
      <c r="J31" s="21"/>
      <c r="K31" s="20">
        <f>I31*C25</f>
        <v>7840.0000000000009</v>
      </c>
      <c r="L31" s="19"/>
      <c r="N31" s="26">
        <f>I25+L21</f>
        <v>126760</v>
      </c>
    </row>
    <row r="32" spans="1:14" x14ac:dyDescent="0.25">
      <c r="A32" s="18" t="s">
        <v>24</v>
      </c>
      <c r="B32" s="18"/>
      <c r="C32" s="22"/>
      <c r="D32" s="22"/>
      <c r="E32" s="22"/>
      <c r="F32" s="18"/>
      <c r="G32" s="18"/>
      <c r="H32" s="18" t="s">
        <v>24</v>
      </c>
      <c r="I32" s="22"/>
      <c r="J32" s="22"/>
      <c r="K32" s="18"/>
      <c r="L32" s="18"/>
    </row>
    <row r="33" spans="1:14" x14ac:dyDescent="0.25">
      <c r="A33" s="19"/>
      <c r="B33" s="18"/>
      <c r="C33" s="22"/>
      <c r="D33" s="22"/>
      <c r="E33" s="22"/>
      <c r="F33" s="19"/>
      <c r="G33" s="18"/>
      <c r="H33" s="19"/>
      <c r="I33" s="18"/>
      <c r="J33" s="18"/>
      <c r="K33" s="22"/>
      <c r="L33" s="19"/>
    </row>
    <row r="34" spans="1:14" x14ac:dyDescent="0.25">
      <c r="A34" s="19" t="s">
        <v>78</v>
      </c>
      <c r="B34" s="19"/>
      <c r="C34" s="20"/>
      <c r="D34" s="20"/>
      <c r="E34" s="20"/>
      <c r="F34" s="19">
        <v>117320</v>
      </c>
      <c r="G34" s="19"/>
      <c r="H34" s="19" t="s">
        <v>78</v>
      </c>
      <c r="I34" s="19"/>
      <c r="J34" s="20"/>
      <c r="K34" s="20">
        <v>117320</v>
      </c>
      <c r="L34" s="20"/>
      <c r="M34" s="19"/>
    </row>
    <row r="35" spans="1:14" x14ac:dyDescent="0.25">
      <c r="A35" s="23" t="s">
        <v>79</v>
      </c>
      <c r="B35" s="23"/>
      <c r="C35" s="19"/>
      <c r="D35" s="19"/>
      <c r="E35" s="19"/>
      <c r="F35" s="19">
        <v>1000</v>
      </c>
      <c r="G35" s="19"/>
      <c r="H35" s="23"/>
      <c r="I35" s="23"/>
      <c r="J35" s="19"/>
      <c r="K35" s="19"/>
      <c r="L35" s="19"/>
      <c r="M35" s="19"/>
    </row>
    <row r="36" spans="1:14" x14ac:dyDescent="0.25">
      <c r="A36" s="18" t="s">
        <v>12</v>
      </c>
      <c r="B36" s="18"/>
      <c r="C36" s="22">
        <f>C25+C26+C27+C28+C29+C30-F31</f>
        <v>117460</v>
      </c>
      <c r="D36" s="22"/>
      <c r="E36" s="22"/>
      <c r="F36" s="22">
        <f>SUM(F33:F35)</f>
        <v>118320</v>
      </c>
      <c r="G36" s="22">
        <f>C36-F36</f>
        <v>-860</v>
      </c>
      <c r="H36" s="18" t="s">
        <v>12</v>
      </c>
      <c r="I36" s="22">
        <f>I25+I30+I26-K31</f>
        <v>110920</v>
      </c>
      <c r="J36" s="22"/>
      <c r="K36" s="22">
        <f>SUM(K33:K35)</f>
        <v>117320</v>
      </c>
      <c r="L36" s="22">
        <f>I36-K36</f>
        <v>-6400</v>
      </c>
    </row>
    <row r="38" spans="1:14" x14ac:dyDescent="0.25">
      <c r="A38" t="s">
        <v>25</v>
      </c>
      <c r="F38" t="s">
        <v>26</v>
      </c>
      <c r="I38" t="s">
        <v>27</v>
      </c>
      <c r="M38" s="26"/>
      <c r="N38">
        <f>880+80</f>
        <v>960</v>
      </c>
    </row>
    <row r="39" spans="1:14" x14ac:dyDescent="0.25">
      <c r="A39" t="s">
        <v>28</v>
      </c>
      <c r="F39" t="s">
        <v>29</v>
      </c>
      <c r="I39" t="s">
        <v>31</v>
      </c>
      <c r="M39" s="26"/>
    </row>
  </sheetData>
  <pageMargins left="0" right="0" top="0" bottom="0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E45" sqref="E45"/>
    </sheetView>
  </sheetViews>
  <sheetFormatPr defaultRowHeight="15" x14ac:dyDescent="0.25"/>
  <cols>
    <col min="1" max="1" width="7" customWidth="1"/>
    <col min="2" max="2" width="11.42578125" customWidth="1"/>
    <col min="3" max="3" width="8" customWidth="1"/>
    <col min="4" max="4" width="7.7109375" customWidth="1"/>
    <col min="6" max="6" width="9" customWidth="1"/>
    <col min="7" max="7" width="7.42578125" customWidth="1"/>
    <col min="8" max="8" width="8" customWidth="1"/>
  </cols>
  <sheetData>
    <row r="1" spans="1:12" x14ac:dyDescent="0.25">
      <c r="A1" s="1"/>
      <c r="D1" s="1" t="s">
        <v>31</v>
      </c>
      <c r="E1" s="1"/>
      <c r="F1" s="1"/>
      <c r="G1" s="1"/>
      <c r="H1" s="1"/>
      <c r="I1" s="1"/>
      <c r="J1" s="1"/>
      <c r="K1" s="1"/>
    </row>
    <row r="2" spans="1:12" x14ac:dyDescent="0.25">
      <c r="A2" s="1"/>
      <c r="D2" s="1" t="s">
        <v>0</v>
      </c>
      <c r="E2" s="1"/>
      <c r="F2" s="1"/>
      <c r="G2" s="1"/>
      <c r="H2" s="1"/>
      <c r="I2" s="1"/>
      <c r="J2" s="1"/>
      <c r="K2" s="1"/>
    </row>
    <row r="3" spans="1:12" x14ac:dyDescent="0.25">
      <c r="A3" s="1"/>
      <c r="C3" s="1"/>
      <c r="D3" s="1" t="s">
        <v>85</v>
      </c>
      <c r="E3" s="1"/>
      <c r="F3" s="1"/>
      <c r="G3" s="1"/>
      <c r="H3" s="1"/>
      <c r="I3" s="1"/>
      <c r="J3" s="1"/>
      <c r="K3" s="1"/>
    </row>
    <row r="4" spans="1:12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60</v>
      </c>
      <c r="F4" s="2" t="s">
        <v>30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61</v>
      </c>
      <c r="L4" s="7"/>
    </row>
    <row r="5" spans="1:12" x14ac:dyDescent="0.25">
      <c r="A5" s="3" t="s">
        <v>32</v>
      </c>
      <c r="B5" s="3" t="s">
        <v>47</v>
      </c>
      <c r="C5" s="3"/>
      <c r="D5" s="3">
        <f>'JANUARY 21'!J5:J19</f>
        <v>0</v>
      </c>
      <c r="E5" s="3"/>
      <c r="F5" s="3"/>
      <c r="G5" s="3"/>
      <c r="H5" s="3">
        <f>D5+G5+C5+F5+E5</f>
        <v>0</v>
      </c>
      <c r="I5" s="19"/>
      <c r="J5" s="3">
        <f t="shared" ref="J5:J19" si="0">H5-I5</f>
        <v>0</v>
      </c>
      <c r="K5" s="3"/>
      <c r="L5" s="7"/>
    </row>
    <row r="6" spans="1:12" x14ac:dyDescent="0.25">
      <c r="A6" s="3" t="s">
        <v>33</v>
      </c>
      <c r="B6" s="3" t="s">
        <v>48</v>
      </c>
      <c r="C6" s="3"/>
      <c r="D6" s="3">
        <f>'JANUARY 21'!J6:J20</f>
        <v>0</v>
      </c>
      <c r="E6" s="3">
        <v>200</v>
      </c>
      <c r="F6" s="3">
        <v>820</v>
      </c>
      <c r="G6" s="3">
        <v>8000</v>
      </c>
      <c r="H6" s="3">
        <f t="shared" ref="H6:H19" si="1">D6+G6+C6+F6+E6</f>
        <v>9020</v>
      </c>
      <c r="I6" s="19">
        <v>9020</v>
      </c>
      <c r="J6" s="3">
        <f t="shared" si="0"/>
        <v>0</v>
      </c>
      <c r="K6" s="3"/>
      <c r="L6" s="7"/>
    </row>
    <row r="7" spans="1:12" x14ac:dyDescent="0.25">
      <c r="A7" s="3" t="s">
        <v>34</v>
      </c>
      <c r="B7" s="3" t="s">
        <v>70</v>
      </c>
      <c r="C7" s="3"/>
      <c r="D7" s="3">
        <f>'JANUARY 21'!J7:J21</f>
        <v>0</v>
      </c>
      <c r="E7" s="3">
        <v>200</v>
      </c>
      <c r="F7" s="3">
        <v>300</v>
      </c>
      <c r="G7" s="3">
        <v>7000</v>
      </c>
      <c r="H7" s="3">
        <f t="shared" si="1"/>
        <v>7500</v>
      </c>
      <c r="I7" s="19">
        <v>7500</v>
      </c>
      <c r="J7" s="3">
        <f t="shared" si="0"/>
        <v>0</v>
      </c>
      <c r="K7" s="3"/>
      <c r="L7" s="7"/>
    </row>
    <row r="8" spans="1:12" x14ac:dyDescent="0.25">
      <c r="A8" s="3" t="s">
        <v>35</v>
      </c>
      <c r="B8" s="3" t="s">
        <v>81</v>
      </c>
      <c r="C8" s="3">
        <v>1000</v>
      </c>
      <c r="D8" s="3">
        <f>'JANUARY 21'!J8:J22</f>
        <v>0</v>
      </c>
      <c r="E8" s="3">
        <v>200</v>
      </c>
      <c r="F8" s="3"/>
      <c r="G8" s="3">
        <v>9000</v>
      </c>
      <c r="H8" s="3">
        <f>D8+G8+C8+F8+E8</f>
        <v>10200</v>
      </c>
      <c r="I8" s="19">
        <f>8000</f>
        <v>8000</v>
      </c>
      <c r="J8" s="3">
        <f t="shared" si="0"/>
        <v>2200</v>
      </c>
      <c r="K8" s="3"/>
      <c r="L8" s="7"/>
    </row>
    <row r="9" spans="1:12" x14ac:dyDescent="0.25">
      <c r="A9" s="5" t="s">
        <v>36</v>
      </c>
      <c r="B9" s="19" t="s">
        <v>57</v>
      </c>
      <c r="C9" s="19"/>
      <c r="D9" s="3">
        <f>'JANUARY 21'!J9:J23</f>
        <v>3900</v>
      </c>
      <c r="E9" s="3">
        <v>200</v>
      </c>
      <c r="F9" s="3">
        <v>1080</v>
      </c>
      <c r="G9" s="3">
        <v>9000</v>
      </c>
      <c r="H9" s="3">
        <f t="shared" si="1"/>
        <v>14180</v>
      </c>
      <c r="I9" s="19">
        <f>14100</f>
        <v>14100</v>
      </c>
      <c r="J9" s="3">
        <f t="shared" si="0"/>
        <v>80</v>
      </c>
      <c r="K9" s="3"/>
      <c r="L9" s="7"/>
    </row>
    <row r="10" spans="1:12" x14ac:dyDescent="0.25">
      <c r="A10" s="3" t="s">
        <v>37</v>
      </c>
      <c r="B10" s="3" t="s">
        <v>50</v>
      </c>
      <c r="C10" s="3"/>
      <c r="D10" s="3">
        <f>'JANUARY 21'!J10:J24</f>
        <v>0</v>
      </c>
      <c r="E10" s="3">
        <v>200</v>
      </c>
      <c r="F10" s="3">
        <v>320</v>
      </c>
      <c r="G10" s="3">
        <v>12000</v>
      </c>
      <c r="H10" s="3">
        <f t="shared" si="1"/>
        <v>12520</v>
      </c>
      <c r="I10" s="19">
        <v>12700</v>
      </c>
      <c r="J10" s="3">
        <f t="shared" si="0"/>
        <v>-180</v>
      </c>
      <c r="K10" s="3"/>
      <c r="L10" s="7"/>
    </row>
    <row r="11" spans="1:12" x14ac:dyDescent="0.25">
      <c r="A11" s="3" t="s">
        <v>38</v>
      </c>
      <c r="B11" s="6" t="s">
        <v>52</v>
      </c>
      <c r="C11" s="6"/>
      <c r="D11" s="3">
        <f>'JANUARY 21'!J11:J25</f>
        <v>2440</v>
      </c>
      <c r="E11" s="3">
        <v>200</v>
      </c>
      <c r="F11" s="3">
        <v>2260</v>
      </c>
      <c r="G11" s="3">
        <v>11000</v>
      </c>
      <c r="H11" s="3">
        <f t="shared" si="1"/>
        <v>15900</v>
      </c>
      <c r="I11" s="19">
        <v>13500</v>
      </c>
      <c r="J11" s="3">
        <f t="shared" si="0"/>
        <v>2400</v>
      </c>
      <c r="K11" s="3"/>
      <c r="L11" s="7"/>
    </row>
    <row r="12" spans="1:12" x14ac:dyDescent="0.25">
      <c r="A12" s="3" t="s">
        <v>39</v>
      </c>
      <c r="B12" s="3" t="s">
        <v>53</v>
      </c>
      <c r="C12" s="3"/>
      <c r="D12" s="3">
        <f>'JANUARY 21'!J12:J26</f>
        <v>0</v>
      </c>
      <c r="E12" s="3">
        <v>200</v>
      </c>
      <c r="F12" s="3">
        <v>1000</v>
      </c>
      <c r="G12" s="3">
        <v>8000</v>
      </c>
      <c r="H12" s="3">
        <f t="shared" si="1"/>
        <v>9200</v>
      </c>
      <c r="I12" s="19">
        <v>9200</v>
      </c>
      <c r="J12" s="3">
        <f t="shared" si="0"/>
        <v>0</v>
      </c>
      <c r="K12" s="3"/>
      <c r="L12" s="7"/>
    </row>
    <row r="13" spans="1:12" x14ac:dyDescent="0.25">
      <c r="A13" s="3" t="s">
        <v>40</v>
      </c>
      <c r="B13" s="3"/>
      <c r="C13" s="3"/>
      <c r="D13" s="3"/>
      <c r="E13" s="3"/>
      <c r="F13" s="3"/>
      <c r="G13" s="3"/>
      <c r="H13" s="3">
        <f t="shared" si="1"/>
        <v>0</v>
      </c>
      <c r="I13" s="19"/>
      <c r="J13" s="3">
        <f t="shared" si="0"/>
        <v>0</v>
      </c>
      <c r="K13" s="3"/>
      <c r="L13" s="7"/>
    </row>
    <row r="14" spans="1:12" x14ac:dyDescent="0.25">
      <c r="A14" s="3" t="s">
        <v>41</v>
      </c>
      <c r="B14" s="3" t="s">
        <v>55</v>
      </c>
      <c r="C14" s="3"/>
      <c r="D14" s="3">
        <f>'JANUARY 21'!J14:J28</f>
        <v>4000</v>
      </c>
      <c r="E14" s="3">
        <v>200</v>
      </c>
      <c r="F14" s="3">
        <v>580</v>
      </c>
      <c r="G14" s="3">
        <v>8000</v>
      </c>
      <c r="H14" s="3">
        <f t="shared" si="1"/>
        <v>12780</v>
      </c>
      <c r="I14" s="19">
        <f>8780</f>
        <v>8780</v>
      </c>
      <c r="J14" s="3">
        <f t="shared" si="0"/>
        <v>4000</v>
      </c>
      <c r="K14" s="3"/>
      <c r="L14" s="7"/>
    </row>
    <row r="15" spans="1:12" x14ac:dyDescent="0.25">
      <c r="A15" s="3" t="s">
        <v>42</v>
      </c>
      <c r="B15" s="19" t="s">
        <v>66</v>
      </c>
      <c r="C15" s="19"/>
      <c r="D15" s="3">
        <f>'JANUARY 21'!J15:J29</f>
        <v>0</v>
      </c>
      <c r="E15" s="3">
        <v>200</v>
      </c>
      <c r="F15" s="3">
        <v>200</v>
      </c>
      <c r="G15" s="3">
        <v>9000</v>
      </c>
      <c r="H15" s="3">
        <f t="shared" si="1"/>
        <v>9400</v>
      </c>
      <c r="I15" s="19">
        <f>9400</f>
        <v>9400</v>
      </c>
      <c r="J15" s="3">
        <f t="shared" si="0"/>
        <v>0</v>
      </c>
      <c r="K15" s="3"/>
      <c r="L15" s="7"/>
    </row>
    <row r="16" spans="1:12" x14ac:dyDescent="0.25">
      <c r="A16" s="3" t="s">
        <v>43</v>
      </c>
      <c r="B16" s="3" t="s">
        <v>82</v>
      </c>
      <c r="C16" s="3"/>
      <c r="D16" s="3">
        <f>'JANUARY 21'!J16:J30</f>
        <v>40</v>
      </c>
      <c r="E16" s="3"/>
      <c r="F16" s="3">
        <v>340</v>
      </c>
      <c r="G16" s="3"/>
      <c r="H16" s="3">
        <f t="shared" si="1"/>
        <v>380</v>
      </c>
      <c r="I16" s="19">
        <v>380</v>
      </c>
      <c r="J16" s="3">
        <f t="shared" si="0"/>
        <v>0</v>
      </c>
      <c r="K16" s="3"/>
      <c r="L16" s="7"/>
    </row>
    <row r="17" spans="1:18" x14ac:dyDescent="0.25">
      <c r="A17" s="3" t="s">
        <v>44</v>
      </c>
      <c r="B17" s="3" t="s">
        <v>69</v>
      </c>
      <c r="C17" s="3"/>
      <c r="D17" s="3">
        <f>'JANUARY 21'!J17:J31</f>
        <v>0</v>
      </c>
      <c r="E17" s="3">
        <v>200</v>
      </c>
      <c r="F17" s="3">
        <v>440</v>
      </c>
      <c r="G17" s="3">
        <v>12000</v>
      </c>
      <c r="H17" s="3">
        <f t="shared" si="1"/>
        <v>12640</v>
      </c>
      <c r="I17" s="19">
        <f>12440</f>
        <v>12440</v>
      </c>
      <c r="J17" s="3">
        <f t="shared" si="0"/>
        <v>200</v>
      </c>
      <c r="K17" s="3"/>
      <c r="L17" s="7"/>
    </row>
    <row r="18" spans="1:18" x14ac:dyDescent="0.25">
      <c r="A18" s="3" t="s">
        <v>45</v>
      </c>
      <c r="B18" s="3" t="s">
        <v>11</v>
      </c>
      <c r="C18" s="3"/>
      <c r="D18" s="3">
        <f>'JANUARY 21'!J18:J32</f>
        <v>0</v>
      </c>
      <c r="E18" s="3"/>
      <c r="F18" s="3"/>
      <c r="G18" s="3"/>
      <c r="H18" s="3">
        <f>D18+G18+C18+F18+E18</f>
        <v>0</v>
      </c>
      <c r="I18" s="19"/>
      <c r="J18" s="3">
        <f t="shared" si="0"/>
        <v>0</v>
      </c>
      <c r="K18" s="3"/>
      <c r="L18" s="7"/>
    </row>
    <row r="19" spans="1:18" x14ac:dyDescent="0.25">
      <c r="A19" s="3" t="s">
        <v>46</v>
      </c>
      <c r="B19" s="3" t="s">
        <v>73</v>
      </c>
      <c r="C19" s="3"/>
      <c r="D19" s="3">
        <f>'JANUARY 21'!J19:J33</f>
        <v>1600</v>
      </c>
      <c r="E19" s="3">
        <v>200</v>
      </c>
      <c r="F19" s="3">
        <v>1740</v>
      </c>
      <c r="G19" s="3">
        <v>9000</v>
      </c>
      <c r="H19" s="3">
        <f t="shared" si="1"/>
        <v>12540</v>
      </c>
      <c r="I19" s="19">
        <v>9000</v>
      </c>
      <c r="J19" s="3">
        <f t="shared" si="0"/>
        <v>3540</v>
      </c>
      <c r="K19" s="3"/>
      <c r="L19" s="7"/>
      <c r="M19" s="8"/>
    </row>
    <row r="20" spans="1:18" x14ac:dyDescent="0.25">
      <c r="A20" s="3"/>
      <c r="B20" s="2" t="s">
        <v>12</v>
      </c>
      <c r="C20" s="2">
        <f t="shared" ref="C20:J20" si="2">SUM(C5:C19)</f>
        <v>1000</v>
      </c>
      <c r="D20" s="3">
        <f>SUM(D5:D19)</f>
        <v>11980</v>
      </c>
      <c r="E20" s="3">
        <f>SUM(E5:E19)</f>
        <v>2200</v>
      </c>
      <c r="F20" s="3">
        <f t="shared" si="2"/>
        <v>9080</v>
      </c>
      <c r="G20" s="2">
        <f>SUM(G5:G19)</f>
        <v>102000</v>
      </c>
      <c r="H20" s="3">
        <f>SUM(H5:H19)</f>
        <v>126260</v>
      </c>
      <c r="I20" s="18">
        <f t="shared" si="2"/>
        <v>114020</v>
      </c>
      <c r="J20" s="2">
        <f t="shared" si="2"/>
        <v>12240</v>
      </c>
      <c r="K20" s="3">
        <f>SUM(K5:K19)</f>
        <v>0</v>
      </c>
      <c r="L20" s="7"/>
    </row>
    <row r="21" spans="1:18" x14ac:dyDescent="0.25">
      <c r="A21" s="7"/>
      <c r="B21" s="9"/>
      <c r="C21" s="9"/>
      <c r="D21" s="9"/>
      <c r="E21" s="9"/>
      <c r="F21" s="9"/>
      <c r="G21" s="9" t="s">
        <v>14</v>
      </c>
      <c r="H21" s="9"/>
      <c r="I21" s="9"/>
      <c r="J21" s="7"/>
      <c r="K21" s="7"/>
      <c r="M21" s="8"/>
    </row>
    <row r="22" spans="1:18" x14ac:dyDescent="0.25">
      <c r="A22" s="10" t="s">
        <v>15</v>
      </c>
      <c r="B22" s="10"/>
      <c r="C22" s="11"/>
      <c r="D22" s="11"/>
      <c r="E22" s="11"/>
      <c r="F22" s="12"/>
      <c r="G22" s="13"/>
      <c r="H22" s="14"/>
      <c r="I22" s="15"/>
      <c r="J22" s="15"/>
      <c r="K22" s="14"/>
      <c r="L22" s="10"/>
    </row>
    <row r="23" spans="1:18" x14ac:dyDescent="0.25">
      <c r="A23" s="16" t="s">
        <v>16</v>
      </c>
      <c r="B23" s="16"/>
      <c r="C23" s="16"/>
      <c r="D23" s="16"/>
      <c r="E23" s="16"/>
      <c r="F23" s="16"/>
      <c r="G23" s="17"/>
      <c r="H23" s="16" t="s">
        <v>17</v>
      </c>
      <c r="I23" s="10"/>
      <c r="J23" s="28"/>
      <c r="K23" s="10"/>
      <c r="L23" s="10"/>
    </row>
    <row r="24" spans="1:18" x14ac:dyDescent="0.25">
      <c r="A24" s="18" t="s">
        <v>18</v>
      </c>
      <c r="B24" s="18"/>
      <c r="C24" s="18" t="s">
        <v>19</v>
      </c>
      <c r="D24" s="18"/>
      <c r="E24" s="18"/>
      <c r="F24" s="18" t="s">
        <v>20</v>
      </c>
      <c r="G24" s="18" t="s">
        <v>21</v>
      </c>
      <c r="H24" s="18" t="s">
        <v>18</v>
      </c>
      <c r="I24" s="18" t="s">
        <v>19</v>
      </c>
      <c r="J24" s="18"/>
      <c r="K24" s="18" t="s">
        <v>20</v>
      </c>
      <c r="L24" s="18" t="s">
        <v>21</v>
      </c>
      <c r="N24" s="26"/>
    </row>
    <row r="25" spans="1:18" x14ac:dyDescent="0.25">
      <c r="A25" s="19" t="s">
        <v>80</v>
      </c>
      <c r="B25" s="19"/>
      <c r="C25" s="20">
        <f>G20</f>
        <v>102000</v>
      </c>
      <c r="D25" s="20"/>
      <c r="E25" s="20"/>
      <c r="F25" s="19"/>
      <c r="G25" s="19"/>
      <c r="H25" s="19" t="s">
        <v>80</v>
      </c>
      <c r="I25" s="20">
        <f>I20</f>
        <v>114020</v>
      </c>
      <c r="J25" s="20"/>
      <c r="K25" s="19"/>
      <c r="L25" s="19"/>
      <c r="O25" s="26"/>
    </row>
    <row r="26" spans="1:18" x14ac:dyDescent="0.25">
      <c r="A26" s="19" t="s">
        <v>6</v>
      </c>
      <c r="B26" s="19"/>
      <c r="C26" s="20">
        <f>'JANUARY 21'!G36</f>
        <v>-860</v>
      </c>
      <c r="D26" s="20"/>
      <c r="E26" s="20"/>
      <c r="F26" s="19"/>
      <c r="G26" s="19"/>
      <c r="H26" s="19"/>
      <c r="I26" s="20"/>
      <c r="J26" s="20"/>
      <c r="K26" s="19"/>
      <c r="L26" s="19"/>
      <c r="P26" t="s">
        <v>83</v>
      </c>
    </row>
    <row r="27" spans="1:18" x14ac:dyDescent="0.25">
      <c r="A27" s="19" t="s">
        <v>30</v>
      </c>
      <c r="B27" s="19"/>
      <c r="C27" s="20">
        <f>F20</f>
        <v>9080</v>
      </c>
      <c r="D27" s="20"/>
      <c r="E27" s="20"/>
      <c r="F27" s="19"/>
      <c r="G27" s="19"/>
      <c r="H27" s="19"/>
      <c r="I27" s="20"/>
      <c r="J27" s="20"/>
      <c r="K27" s="19"/>
      <c r="L27" s="19"/>
    </row>
    <row r="28" spans="1:18" x14ac:dyDescent="0.25">
      <c r="A28" s="19" t="s">
        <v>60</v>
      </c>
      <c r="B28" s="19"/>
      <c r="C28" s="20">
        <f>E20</f>
        <v>2200</v>
      </c>
      <c r="D28" s="20"/>
      <c r="E28" s="20"/>
      <c r="F28" s="19"/>
      <c r="G28" s="19"/>
      <c r="H28" s="19"/>
      <c r="I28" s="20"/>
      <c r="J28" s="20"/>
      <c r="K28" s="19"/>
      <c r="L28" s="19"/>
      <c r="R28">
        <f>42350+104940+25720+64000</f>
        <v>237010</v>
      </c>
    </row>
    <row r="29" spans="1:18" x14ac:dyDescent="0.25">
      <c r="A29" s="19" t="s">
        <v>62</v>
      </c>
      <c r="B29" s="19"/>
      <c r="C29" s="20">
        <f>K20</f>
        <v>0</v>
      </c>
      <c r="D29" s="20"/>
      <c r="E29" s="20"/>
      <c r="F29" s="19"/>
      <c r="G29" s="19"/>
      <c r="H29" s="19"/>
      <c r="I29" s="20"/>
      <c r="J29" s="20"/>
      <c r="K29" s="19"/>
      <c r="L29" s="19"/>
    </row>
    <row r="30" spans="1:18" x14ac:dyDescent="0.25">
      <c r="A30" s="19" t="s">
        <v>92</v>
      </c>
      <c r="B30" s="19"/>
      <c r="C30" s="20"/>
      <c r="D30" s="20"/>
      <c r="E30" s="20"/>
      <c r="F30" s="19"/>
      <c r="G30" s="19"/>
      <c r="H30" s="19" t="s">
        <v>6</v>
      </c>
      <c r="I30" s="20">
        <f>'JANUARY 21'!L36</f>
        <v>-6400</v>
      </c>
      <c r="J30" s="20"/>
      <c r="K30" s="19"/>
      <c r="L30" s="19"/>
    </row>
    <row r="31" spans="1:18" x14ac:dyDescent="0.25">
      <c r="A31" s="19" t="s">
        <v>23</v>
      </c>
      <c r="B31" s="19"/>
      <c r="C31" s="21">
        <v>7.0000000000000007E-2</v>
      </c>
      <c r="D31" s="21"/>
      <c r="E31" s="21"/>
      <c r="F31" s="20">
        <f>C31*C25</f>
        <v>7140.0000000000009</v>
      </c>
      <c r="G31" s="19"/>
      <c r="H31" s="19" t="s">
        <v>23</v>
      </c>
      <c r="I31" s="21">
        <v>7.0000000000000007E-2</v>
      </c>
      <c r="J31" s="21"/>
      <c r="K31" s="20">
        <f>I31*C25</f>
        <v>7140.0000000000009</v>
      </c>
      <c r="L31" s="19"/>
    </row>
    <row r="32" spans="1:18" x14ac:dyDescent="0.25">
      <c r="A32" s="18" t="s">
        <v>24</v>
      </c>
      <c r="B32" s="18"/>
      <c r="C32" s="22"/>
      <c r="D32" s="22"/>
      <c r="E32" s="22"/>
      <c r="F32" s="18"/>
      <c r="G32" s="18"/>
      <c r="H32" s="18" t="s">
        <v>24</v>
      </c>
      <c r="I32" s="22"/>
      <c r="J32" s="22"/>
      <c r="K32" s="18"/>
      <c r="L32" s="18"/>
    </row>
    <row r="33" spans="1:13" x14ac:dyDescent="0.25">
      <c r="A33" s="19" t="s">
        <v>84</v>
      </c>
      <c r="B33" s="18"/>
      <c r="C33" s="22"/>
      <c r="D33" s="22"/>
      <c r="E33" s="22"/>
      <c r="F33" s="19">
        <v>104940</v>
      </c>
      <c r="G33" s="18"/>
      <c r="H33" s="19" t="s">
        <v>84</v>
      </c>
      <c r="I33" s="18"/>
      <c r="J33" s="18"/>
      <c r="K33" s="22">
        <v>104940</v>
      </c>
      <c r="L33" s="19"/>
    </row>
    <row r="34" spans="1:13" x14ac:dyDescent="0.25">
      <c r="A34" s="19"/>
      <c r="B34" s="19"/>
      <c r="C34" s="20"/>
      <c r="D34" s="20"/>
      <c r="E34" s="20"/>
      <c r="F34" s="19"/>
      <c r="G34" s="19"/>
      <c r="H34" s="19"/>
      <c r="I34" s="19"/>
      <c r="J34" s="20"/>
      <c r="K34" s="20"/>
      <c r="L34" s="20"/>
      <c r="M34" s="19"/>
    </row>
    <row r="35" spans="1:13" x14ac:dyDescent="0.25">
      <c r="A35" s="23"/>
      <c r="B35" s="23"/>
      <c r="C35" s="19"/>
      <c r="D35" s="19"/>
      <c r="E35" s="19"/>
      <c r="F35" s="19"/>
      <c r="G35" s="19"/>
      <c r="H35" s="23"/>
      <c r="I35" s="23"/>
      <c r="J35" s="19"/>
      <c r="K35" s="19"/>
      <c r="L35" s="19"/>
      <c r="M35" s="19"/>
    </row>
    <row r="36" spans="1:13" x14ac:dyDescent="0.25">
      <c r="A36" s="18" t="s">
        <v>12</v>
      </c>
      <c r="B36" s="18"/>
      <c r="C36" s="22">
        <f>C25+C26+C27+C28+C29+C30-F31</f>
        <v>105280</v>
      </c>
      <c r="D36" s="22"/>
      <c r="E36" s="22"/>
      <c r="F36" s="22">
        <f>SUM(F33:F35)</f>
        <v>104940</v>
      </c>
      <c r="G36" s="22">
        <f>C36-F36</f>
        <v>340</v>
      </c>
      <c r="H36" s="18" t="s">
        <v>12</v>
      </c>
      <c r="I36" s="22">
        <f>I25+I30+I26-K31</f>
        <v>100480</v>
      </c>
      <c r="J36" s="22"/>
      <c r="K36" s="22">
        <f>SUM(K33:K35)</f>
        <v>104940</v>
      </c>
      <c r="L36" s="22">
        <f>I36-K36</f>
        <v>-4460</v>
      </c>
    </row>
    <row r="38" spans="1:13" x14ac:dyDescent="0.25">
      <c r="A38" t="s">
        <v>25</v>
      </c>
      <c r="F38" t="s">
        <v>26</v>
      </c>
      <c r="I38" t="s">
        <v>27</v>
      </c>
    </row>
    <row r="39" spans="1:13" x14ac:dyDescent="0.25">
      <c r="A39" t="s">
        <v>28</v>
      </c>
      <c r="F39" t="s">
        <v>29</v>
      </c>
      <c r="I39" t="s">
        <v>31</v>
      </c>
    </row>
  </sheetData>
  <pageMargins left="0" right="0" top="0" bottom="0" header="0.3" footer="0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F43" sqref="F43"/>
    </sheetView>
  </sheetViews>
  <sheetFormatPr defaultRowHeight="15" x14ac:dyDescent="0.25"/>
  <cols>
    <col min="1" max="1" width="5.5703125" customWidth="1"/>
  </cols>
  <sheetData>
    <row r="1" spans="1:12" x14ac:dyDescent="0.25">
      <c r="A1" s="1"/>
      <c r="D1" s="1" t="s">
        <v>31</v>
      </c>
      <c r="E1" s="1"/>
      <c r="F1" s="1"/>
      <c r="G1" s="1"/>
      <c r="H1" s="1"/>
      <c r="I1" s="1"/>
      <c r="J1" s="1"/>
      <c r="K1" s="1"/>
    </row>
    <row r="2" spans="1:12" x14ac:dyDescent="0.25">
      <c r="A2" s="1"/>
      <c r="D2" s="1" t="s">
        <v>0</v>
      </c>
      <c r="E2" s="1"/>
      <c r="F2" s="1"/>
      <c r="G2" s="1"/>
      <c r="H2" s="1"/>
      <c r="I2" s="1"/>
      <c r="J2" s="1"/>
      <c r="K2" s="1"/>
    </row>
    <row r="3" spans="1:12" x14ac:dyDescent="0.25">
      <c r="A3" s="1"/>
      <c r="C3" s="1"/>
      <c r="D3" s="1" t="s">
        <v>87</v>
      </c>
      <c r="E3" s="1"/>
      <c r="F3" s="1"/>
      <c r="G3" s="1"/>
      <c r="H3" s="1"/>
      <c r="I3" s="1"/>
      <c r="J3" s="1"/>
      <c r="K3" s="1"/>
    </row>
    <row r="4" spans="1:12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60</v>
      </c>
      <c r="F4" s="2" t="s">
        <v>30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61</v>
      </c>
      <c r="L4" s="7"/>
    </row>
    <row r="5" spans="1:12" x14ac:dyDescent="0.25">
      <c r="A5" s="3" t="s">
        <v>32</v>
      </c>
      <c r="B5" s="3" t="s">
        <v>47</v>
      </c>
      <c r="C5" s="3"/>
      <c r="D5" s="3">
        <f>'FEBRUARY 21'!J5:J19</f>
        <v>0</v>
      </c>
      <c r="E5" s="3"/>
      <c r="F5" s="3"/>
      <c r="G5" s="3"/>
      <c r="H5" s="3">
        <f>D5+G5+C5+F5+E5</f>
        <v>0</v>
      </c>
      <c r="I5" s="19"/>
      <c r="J5" s="3">
        <f t="shared" ref="J5:J19" si="0">H5-I5</f>
        <v>0</v>
      </c>
      <c r="K5" s="3"/>
      <c r="L5" s="7"/>
    </row>
    <row r="6" spans="1:12" x14ac:dyDescent="0.25">
      <c r="A6" s="3" t="s">
        <v>33</v>
      </c>
      <c r="B6" s="3" t="s">
        <v>48</v>
      </c>
      <c r="C6" s="3"/>
      <c r="D6" s="3">
        <f>'FEBRUARY 21'!J6:J20</f>
        <v>0</v>
      </c>
      <c r="E6" s="3">
        <v>200</v>
      </c>
      <c r="F6" s="3">
        <v>780</v>
      </c>
      <c r="G6" s="3">
        <v>8000</v>
      </c>
      <c r="H6" s="3">
        <f t="shared" ref="H6:H19" si="1">D6+G6+C6+F6+E6</f>
        <v>8980</v>
      </c>
      <c r="I6" s="19">
        <v>8980</v>
      </c>
      <c r="J6" s="3">
        <f t="shared" si="0"/>
        <v>0</v>
      </c>
      <c r="K6" s="3"/>
      <c r="L6" s="7"/>
    </row>
    <row r="7" spans="1:12" x14ac:dyDescent="0.25">
      <c r="A7" s="3" t="s">
        <v>34</v>
      </c>
      <c r="B7" s="3" t="s">
        <v>70</v>
      </c>
      <c r="C7" s="3"/>
      <c r="D7" s="3">
        <f>'FEBRUARY 21'!J7:J21</f>
        <v>0</v>
      </c>
      <c r="E7" s="3">
        <v>200</v>
      </c>
      <c r="F7" s="3">
        <v>180</v>
      </c>
      <c r="G7" s="3">
        <v>7000</v>
      </c>
      <c r="H7" s="3">
        <f t="shared" si="1"/>
        <v>7380</v>
      </c>
      <c r="I7" s="19">
        <v>7400</v>
      </c>
      <c r="J7" s="3">
        <f t="shared" si="0"/>
        <v>-20</v>
      </c>
      <c r="K7" s="3"/>
      <c r="L7" s="7"/>
    </row>
    <row r="8" spans="1:12" x14ac:dyDescent="0.25">
      <c r="A8" s="3" t="s">
        <v>35</v>
      </c>
      <c r="B8" s="3" t="s">
        <v>81</v>
      </c>
      <c r="C8" s="3"/>
      <c r="D8" s="3">
        <f>'FEBRUARY 21'!J8:J22</f>
        <v>2200</v>
      </c>
      <c r="E8" s="3">
        <v>200</v>
      </c>
      <c r="F8" s="3">
        <v>400</v>
      </c>
      <c r="G8" s="3">
        <v>9000</v>
      </c>
      <c r="H8" s="3">
        <f>D8+G8+C8+F8+E8</f>
        <v>11800</v>
      </c>
      <c r="I8" s="19">
        <f>7500</f>
        <v>7500</v>
      </c>
      <c r="J8" s="3">
        <f t="shared" si="0"/>
        <v>4300</v>
      </c>
      <c r="K8" s="3"/>
      <c r="L8" s="7"/>
    </row>
    <row r="9" spans="1:12" x14ac:dyDescent="0.25">
      <c r="A9" s="5" t="s">
        <v>36</v>
      </c>
      <c r="B9" s="19" t="s">
        <v>57</v>
      </c>
      <c r="C9" s="19"/>
      <c r="D9" s="3">
        <f>'FEBRUARY 21'!J9:J23</f>
        <v>80</v>
      </c>
      <c r="E9" s="3">
        <v>200</v>
      </c>
      <c r="F9" s="3">
        <v>720</v>
      </c>
      <c r="G9" s="3">
        <v>9000</v>
      </c>
      <c r="H9" s="3">
        <f t="shared" si="1"/>
        <v>10000</v>
      </c>
      <c r="I9" s="19">
        <f>9720</f>
        <v>9720</v>
      </c>
      <c r="J9" s="3">
        <f t="shared" si="0"/>
        <v>280</v>
      </c>
      <c r="K9" s="3"/>
      <c r="L9" s="7"/>
    </row>
    <row r="10" spans="1:12" x14ac:dyDescent="0.25">
      <c r="A10" s="3" t="s">
        <v>37</v>
      </c>
      <c r="B10" s="3" t="s">
        <v>50</v>
      </c>
      <c r="C10" s="3"/>
      <c r="D10" s="3">
        <f>'FEBRUARY 21'!J10:J24</f>
        <v>-180</v>
      </c>
      <c r="E10" s="3">
        <v>200</v>
      </c>
      <c r="F10" s="3">
        <v>480</v>
      </c>
      <c r="G10" s="3">
        <v>12000</v>
      </c>
      <c r="H10" s="3">
        <f t="shared" si="1"/>
        <v>12500</v>
      </c>
      <c r="I10" s="19">
        <v>12500</v>
      </c>
      <c r="J10" s="3">
        <f t="shared" si="0"/>
        <v>0</v>
      </c>
      <c r="K10" s="3"/>
      <c r="L10" s="7"/>
    </row>
    <row r="11" spans="1:12" x14ac:dyDescent="0.25">
      <c r="A11" s="3" t="s">
        <v>38</v>
      </c>
      <c r="B11" s="6" t="s">
        <v>52</v>
      </c>
      <c r="C11" s="6"/>
      <c r="D11" s="3">
        <f>'FEBRUARY 21'!J11:J25</f>
        <v>2400</v>
      </c>
      <c r="E11" s="3">
        <v>200</v>
      </c>
      <c r="F11" s="3">
        <v>1800</v>
      </c>
      <c r="G11" s="3">
        <v>11000</v>
      </c>
      <c r="H11" s="3">
        <f t="shared" si="1"/>
        <v>15400</v>
      </c>
      <c r="I11" s="19">
        <f>13000</f>
        <v>13000</v>
      </c>
      <c r="J11" s="3">
        <f t="shared" si="0"/>
        <v>2400</v>
      </c>
      <c r="K11" s="3"/>
      <c r="L11" s="7"/>
    </row>
    <row r="12" spans="1:12" x14ac:dyDescent="0.25">
      <c r="A12" s="3" t="s">
        <v>39</v>
      </c>
      <c r="B12" s="3" t="s">
        <v>53</v>
      </c>
      <c r="C12" s="3"/>
      <c r="D12" s="3">
        <f>'FEBRUARY 21'!J12:J26</f>
        <v>0</v>
      </c>
      <c r="E12" s="3">
        <v>200</v>
      </c>
      <c r="F12" s="3">
        <v>1000</v>
      </c>
      <c r="G12" s="3">
        <v>8000</v>
      </c>
      <c r="H12" s="3">
        <f t="shared" si="1"/>
        <v>9200</v>
      </c>
      <c r="I12" s="19">
        <v>9200</v>
      </c>
      <c r="J12" s="3">
        <f t="shared" si="0"/>
        <v>0</v>
      </c>
      <c r="K12" s="3"/>
      <c r="L12" s="7"/>
    </row>
    <row r="13" spans="1:12" x14ac:dyDescent="0.25">
      <c r="A13" s="3" t="s">
        <v>40</v>
      </c>
      <c r="B13" s="4" t="s">
        <v>88</v>
      </c>
      <c r="C13" s="3"/>
      <c r="D13" s="3">
        <f>'FEBRUARY 21'!J13:J27</f>
        <v>0</v>
      </c>
      <c r="E13" s="3">
        <v>350</v>
      </c>
      <c r="F13" s="3"/>
      <c r="G13" s="3">
        <v>9000</v>
      </c>
      <c r="H13" s="3">
        <f t="shared" si="1"/>
        <v>9350</v>
      </c>
      <c r="I13" s="19">
        <v>9350</v>
      </c>
      <c r="J13" s="3">
        <f t="shared" si="0"/>
        <v>0</v>
      </c>
      <c r="K13" s="3"/>
      <c r="L13" s="7"/>
    </row>
    <row r="14" spans="1:12" x14ac:dyDescent="0.25">
      <c r="A14" s="3" t="s">
        <v>41</v>
      </c>
      <c r="B14" s="3" t="s">
        <v>55</v>
      </c>
      <c r="C14" s="3"/>
      <c r="D14" s="3">
        <f>'FEBRUARY 21'!J14:J28</f>
        <v>4000</v>
      </c>
      <c r="E14" s="3">
        <v>200</v>
      </c>
      <c r="F14" s="3">
        <v>980</v>
      </c>
      <c r="G14" s="3">
        <v>8000</v>
      </c>
      <c r="H14" s="3">
        <f t="shared" si="1"/>
        <v>13180</v>
      </c>
      <c r="I14" s="19">
        <v>9180</v>
      </c>
      <c r="J14" s="3">
        <f t="shared" si="0"/>
        <v>4000</v>
      </c>
      <c r="K14" s="3"/>
      <c r="L14" s="7"/>
    </row>
    <row r="15" spans="1:12" x14ac:dyDescent="0.25">
      <c r="A15" s="3" t="s">
        <v>42</v>
      </c>
      <c r="B15" s="19" t="s">
        <v>66</v>
      </c>
      <c r="C15" s="19"/>
      <c r="D15" s="3">
        <f>'FEBRUARY 21'!J15:J29</f>
        <v>0</v>
      </c>
      <c r="E15" s="3">
        <v>200</v>
      </c>
      <c r="F15" s="3">
        <v>120</v>
      </c>
      <c r="G15" s="3">
        <v>9000</v>
      </c>
      <c r="H15" s="3">
        <f t="shared" si="1"/>
        <v>9320</v>
      </c>
      <c r="I15" s="19">
        <f>9320</f>
        <v>9320</v>
      </c>
      <c r="J15" s="3">
        <f t="shared" si="0"/>
        <v>0</v>
      </c>
      <c r="K15" s="3"/>
      <c r="L15" s="7"/>
    </row>
    <row r="16" spans="1:12" x14ac:dyDescent="0.25">
      <c r="A16" s="3" t="s">
        <v>43</v>
      </c>
      <c r="B16" s="4" t="s">
        <v>11</v>
      </c>
      <c r="C16" s="3"/>
      <c r="D16" s="3">
        <f>'FEBRUARY 21'!J16:J30</f>
        <v>0</v>
      </c>
      <c r="E16" s="3"/>
      <c r="F16" s="3"/>
      <c r="G16" s="3"/>
      <c r="H16" s="3">
        <f t="shared" si="1"/>
        <v>0</v>
      </c>
      <c r="I16" s="19"/>
      <c r="J16" s="3">
        <f t="shared" si="0"/>
        <v>0</v>
      </c>
      <c r="K16" s="3"/>
      <c r="L16" s="7"/>
    </row>
    <row r="17" spans="1:17" x14ac:dyDescent="0.25">
      <c r="A17" s="3" t="s">
        <v>44</v>
      </c>
      <c r="B17" s="3" t="s">
        <v>69</v>
      </c>
      <c r="C17" s="3"/>
      <c r="D17" s="3">
        <f>'FEBRUARY 21'!J17:J31</f>
        <v>200</v>
      </c>
      <c r="E17" s="3">
        <v>200</v>
      </c>
      <c r="F17" s="3">
        <v>240</v>
      </c>
      <c r="G17" s="3">
        <v>12000</v>
      </c>
      <c r="H17" s="3">
        <f t="shared" si="1"/>
        <v>12640</v>
      </c>
      <c r="I17" s="19">
        <v>12000</v>
      </c>
      <c r="J17" s="3">
        <f t="shared" si="0"/>
        <v>640</v>
      </c>
      <c r="K17" s="3"/>
      <c r="L17" s="7"/>
    </row>
    <row r="18" spans="1:17" x14ac:dyDescent="0.25">
      <c r="A18" s="3" t="s">
        <v>45</v>
      </c>
      <c r="B18" s="4" t="s">
        <v>11</v>
      </c>
      <c r="C18" s="3"/>
      <c r="D18" s="3">
        <f>'FEBRUARY 21'!J18:J32</f>
        <v>0</v>
      </c>
      <c r="E18" s="3"/>
      <c r="F18" s="3"/>
      <c r="G18" s="3"/>
      <c r="H18" s="3">
        <f>D18+G18+C18+F18+E18</f>
        <v>0</v>
      </c>
      <c r="I18" s="19"/>
      <c r="J18" s="3">
        <f t="shared" si="0"/>
        <v>0</v>
      </c>
      <c r="K18" s="3"/>
      <c r="L18" s="7"/>
    </row>
    <row r="19" spans="1:17" x14ac:dyDescent="0.25">
      <c r="A19" s="3" t="s">
        <v>46</v>
      </c>
      <c r="B19" s="3" t="s">
        <v>73</v>
      </c>
      <c r="C19" s="3"/>
      <c r="D19" s="3">
        <f>'FEBRUARY 21'!J19:J33</f>
        <v>3540</v>
      </c>
      <c r="E19" s="3">
        <v>200</v>
      </c>
      <c r="F19" s="3">
        <v>400</v>
      </c>
      <c r="G19" s="3">
        <v>9000</v>
      </c>
      <c r="H19" s="3">
        <f t="shared" si="1"/>
        <v>13140</v>
      </c>
      <c r="I19" s="19">
        <f>10000</f>
        <v>10000</v>
      </c>
      <c r="J19" s="3">
        <f t="shared" si="0"/>
        <v>3140</v>
      </c>
      <c r="K19" s="3"/>
      <c r="L19" s="7"/>
      <c r="M19" s="8"/>
    </row>
    <row r="20" spans="1:17" x14ac:dyDescent="0.25">
      <c r="A20" s="3"/>
      <c r="B20" s="2" t="s">
        <v>12</v>
      </c>
      <c r="C20" s="2">
        <f t="shared" ref="C20:J20" si="2">SUM(C5:C19)</f>
        <v>0</v>
      </c>
      <c r="D20" s="3">
        <f>SUM(D5:D19)</f>
        <v>12240</v>
      </c>
      <c r="E20" s="3">
        <f>SUM(E5:E19)</f>
        <v>2550</v>
      </c>
      <c r="F20" s="3">
        <f t="shared" si="2"/>
        <v>7100</v>
      </c>
      <c r="G20" s="2">
        <f>SUM(G5:G19)</f>
        <v>111000</v>
      </c>
      <c r="H20" s="3">
        <f>SUM(H5:H19)</f>
        <v>132890</v>
      </c>
      <c r="I20" s="18">
        <f t="shared" si="2"/>
        <v>118150</v>
      </c>
      <c r="J20" s="2">
        <f t="shared" si="2"/>
        <v>14740</v>
      </c>
      <c r="K20" s="3">
        <f>SUM(K5:K19)</f>
        <v>0</v>
      </c>
      <c r="L20" s="7"/>
      <c r="M20" t="s">
        <v>13</v>
      </c>
    </row>
    <row r="21" spans="1:17" x14ac:dyDescent="0.25">
      <c r="A21" s="7"/>
      <c r="B21" s="9"/>
      <c r="C21" s="9"/>
      <c r="D21" s="9"/>
      <c r="E21" s="9"/>
      <c r="G21" s="9" t="s">
        <v>14</v>
      </c>
      <c r="H21" s="9"/>
      <c r="I21" s="9"/>
      <c r="J21" s="29">
        <f>J19+J17+J9+3300+J7</f>
        <v>7340</v>
      </c>
      <c r="K21" s="7"/>
      <c r="M21" s="8"/>
      <c r="N21" t="s">
        <v>93</v>
      </c>
    </row>
    <row r="22" spans="1:17" x14ac:dyDescent="0.25">
      <c r="A22" s="10" t="s">
        <v>15</v>
      </c>
      <c r="B22" s="10"/>
      <c r="C22" s="11"/>
      <c r="D22" s="9"/>
      <c r="E22" s="13"/>
      <c r="F22" s="14"/>
      <c r="G22" s="15"/>
      <c r="H22" s="15"/>
      <c r="I22" s="14"/>
      <c r="J22" s="10"/>
    </row>
    <row r="23" spans="1:17" x14ac:dyDescent="0.25">
      <c r="A23" s="16" t="s">
        <v>16</v>
      </c>
      <c r="B23" s="16"/>
      <c r="C23" s="16"/>
      <c r="D23" s="16"/>
      <c r="E23" s="12"/>
      <c r="F23" s="16" t="s">
        <v>17</v>
      </c>
      <c r="G23" s="10"/>
      <c r="H23" s="10"/>
      <c r="I23" s="10"/>
      <c r="J23" s="10"/>
    </row>
    <row r="24" spans="1:17" x14ac:dyDescent="0.25">
      <c r="A24" s="18" t="s">
        <v>18</v>
      </c>
      <c r="B24" s="18"/>
      <c r="C24" s="18" t="s">
        <v>19</v>
      </c>
      <c r="D24" s="18" t="s">
        <v>20</v>
      </c>
      <c r="E24" s="18" t="s">
        <v>21</v>
      </c>
      <c r="F24" s="18" t="s">
        <v>18</v>
      </c>
      <c r="G24" s="18" t="s">
        <v>19</v>
      </c>
      <c r="H24" s="18"/>
      <c r="I24" s="18" t="s">
        <v>20</v>
      </c>
      <c r="J24" s="18" t="s">
        <v>21</v>
      </c>
    </row>
    <row r="25" spans="1:17" x14ac:dyDescent="0.25">
      <c r="A25" s="19" t="s">
        <v>86</v>
      </c>
      <c r="B25" s="19"/>
      <c r="C25" s="20">
        <f>G20</f>
        <v>111000</v>
      </c>
      <c r="D25" s="19"/>
      <c r="F25" s="19" t="s">
        <v>86</v>
      </c>
      <c r="G25" s="20">
        <f>I20</f>
        <v>118150</v>
      </c>
      <c r="H25" s="20"/>
      <c r="I25" s="19"/>
      <c r="J25" s="19"/>
    </row>
    <row r="26" spans="1:17" x14ac:dyDescent="0.25">
      <c r="A26" s="19" t="s">
        <v>6</v>
      </c>
      <c r="B26" s="19"/>
      <c r="C26" s="20">
        <f>'FEBRUARY 21'!G36</f>
        <v>340</v>
      </c>
      <c r="D26" s="19"/>
      <c r="E26" s="19"/>
      <c r="G26" s="20"/>
      <c r="H26" s="20"/>
      <c r="I26" s="19"/>
      <c r="J26" s="19"/>
    </row>
    <row r="27" spans="1:17" x14ac:dyDescent="0.25">
      <c r="A27" s="19" t="s">
        <v>30</v>
      </c>
      <c r="B27" s="19"/>
      <c r="C27" s="20">
        <f>F20</f>
        <v>7100</v>
      </c>
      <c r="D27" s="19"/>
      <c r="E27" s="19"/>
      <c r="F27" s="19"/>
      <c r="G27" s="20"/>
      <c r="H27" s="20"/>
      <c r="I27" s="19"/>
      <c r="J27" s="19"/>
    </row>
    <row r="28" spans="1:17" x14ac:dyDescent="0.25">
      <c r="A28" s="19" t="s">
        <v>60</v>
      </c>
      <c r="B28" s="19"/>
      <c r="C28" s="20">
        <f>E20</f>
        <v>2550</v>
      </c>
      <c r="D28" s="19"/>
      <c r="E28" s="19"/>
      <c r="F28" s="19"/>
      <c r="G28" s="19"/>
      <c r="H28" s="20"/>
      <c r="I28" s="19"/>
      <c r="J28" s="19"/>
    </row>
    <row r="29" spans="1:17" x14ac:dyDescent="0.25">
      <c r="A29" s="19" t="s">
        <v>89</v>
      </c>
      <c r="B29" s="19"/>
      <c r="C29" s="20">
        <v>5000</v>
      </c>
      <c r="D29" s="19"/>
      <c r="E29" s="19"/>
      <c r="F29" s="19" t="s">
        <v>89</v>
      </c>
      <c r="G29" s="19">
        <v>5000</v>
      </c>
      <c r="H29" s="20"/>
      <c r="I29" s="19"/>
      <c r="J29" s="19"/>
      <c r="Q29" t="s">
        <v>91</v>
      </c>
    </row>
    <row r="30" spans="1:17" x14ac:dyDescent="0.25">
      <c r="A30" s="19" t="s">
        <v>5</v>
      </c>
      <c r="B30" s="19"/>
      <c r="C30" s="20">
        <f>C20</f>
        <v>0</v>
      </c>
      <c r="D30" s="19"/>
      <c r="E30" s="19"/>
      <c r="F30" s="19" t="s">
        <v>6</v>
      </c>
      <c r="G30" s="20">
        <f>'FEBRUARY 21'!L36</f>
        <v>-4460</v>
      </c>
      <c r="H30" s="20"/>
      <c r="I30" s="19"/>
      <c r="J30" s="19"/>
    </row>
    <row r="31" spans="1:17" x14ac:dyDescent="0.25">
      <c r="A31" s="19" t="s">
        <v>23</v>
      </c>
      <c r="B31" s="19"/>
      <c r="C31" s="21">
        <v>7.0000000000000007E-2</v>
      </c>
      <c r="D31" s="20">
        <f>C31*C25</f>
        <v>7770.0000000000009</v>
      </c>
      <c r="E31" s="19"/>
      <c r="F31" s="19" t="s">
        <v>23</v>
      </c>
      <c r="G31" s="21">
        <v>7.0000000000000007E-2</v>
      </c>
      <c r="H31" s="21"/>
      <c r="I31" s="20">
        <f>G31*C25</f>
        <v>7770.0000000000009</v>
      </c>
      <c r="J31" s="19"/>
    </row>
    <row r="32" spans="1:17" x14ac:dyDescent="0.25">
      <c r="A32" s="18" t="s">
        <v>24</v>
      </c>
      <c r="B32" s="18"/>
      <c r="C32" s="22"/>
      <c r="D32" s="18"/>
      <c r="E32" s="18"/>
      <c r="F32" s="18" t="s">
        <v>24</v>
      </c>
      <c r="G32" s="22"/>
      <c r="H32" s="22"/>
      <c r="I32" s="18"/>
      <c r="J32" s="18"/>
    </row>
    <row r="33" spans="1:11" x14ac:dyDescent="0.25">
      <c r="A33" s="19" t="s">
        <v>90</v>
      </c>
      <c r="B33" s="18"/>
      <c r="C33" s="22"/>
      <c r="D33" s="19">
        <v>119080</v>
      </c>
      <c r="E33" s="18"/>
      <c r="F33" s="19" t="s">
        <v>90</v>
      </c>
      <c r="G33" s="18"/>
      <c r="H33" s="18"/>
      <c r="I33" s="22">
        <v>119080</v>
      </c>
      <c r="J33" s="19"/>
    </row>
    <row r="34" spans="1:11" x14ac:dyDescent="0.25">
      <c r="A34" s="19"/>
      <c r="B34" s="18"/>
      <c r="C34" s="22"/>
      <c r="D34" s="19"/>
      <c r="E34" s="19"/>
      <c r="F34" s="19"/>
      <c r="G34" s="19"/>
      <c r="H34" s="20"/>
      <c r="I34" s="20"/>
      <c r="J34" s="20"/>
      <c r="K34" s="19"/>
    </row>
    <row r="35" spans="1:11" x14ac:dyDescent="0.25">
      <c r="A35" s="23"/>
      <c r="B35" s="23"/>
      <c r="C35" s="19"/>
      <c r="D35" s="19"/>
      <c r="E35" s="19"/>
      <c r="F35" s="23"/>
      <c r="G35" s="23"/>
      <c r="H35" s="19"/>
      <c r="I35" s="19"/>
      <c r="J35" s="19"/>
      <c r="K35" s="19"/>
    </row>
    <row r="36" spans="1:11" x14ac:dyDescent="0.25">
      <c r="A36" s="18" t="s">
        <v>12</v>
      </c>
      <c r="B36" s="18"/>
      <c r="C36" s="22">
        <f>C25+C26+C27+C28+C29+C30-D31</f>
        <v>118220</v>
      </c>
      <c r="D36" s="22">
        <f>SUM(D33:D35)</f>
        <v>119080</v>
      </c>
      <c r="E36" s="22">
        <f>C36-D36</f>
        <v>-860</v>
      </c>
      <c r="F36" s="18" t="s">
        <v>12</v>
      </c>
      <c r="G36" s="22">
        <f>G25+G30+G29+G26-I31</f>
        <v>110920</v>
      </c>
      <c r="H36" s="22"/>
      <c r="I36" s="22">
        <f>SUM(I33:I35)</f>
        <v>119080</v>
      </c>
      <c r="J36" s="22">
        <f>G36-I36</f>
        <v>-8160</v>
      </c>
    </row>
    <row r="38" spans="1:11" x14ac:dyDescent="0.25">
      <c r="A38" t="s">
        <v>25</v>
      </c>
      <c r="D38" t="s">
        <v>26</v>
      </c>
      <c r="G38" t="s">
        <v>27</v>
      </c>
    </row>
    <row r="39" spans="1:11" x14ac:dyDescent="0.25">
      <c r="A39" t="s">
        <v>28</v>
      </c>
      <c r="D39" t="s">
        <v>29</v>
      </c>
      <c r="G39" t="s">
        <v>31</v>
      </c>
    </row>
  </sheetData>
  <pageMargins left="0" right="0" top="0" bottom="0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10" workbookViewId="0">
      <selection activeCell="G26" sqref="G26"/>
    </sheetView>
  </sheetViews>
  <sheetFormatPr defaultRowHeight="15" x14ac:dyDescent="0.25"/>
  <cols>
    <col min="1" max="1" width="5.5703125" customWidth="1"/>
    <col min="2" max="2" width="7.140625" customWidth="1"/>
    <col min="3" max="3" width="10.28515625" customWidth="1"/>
  </cols>
  <sheetData>
    <row r="1" spans="1:12" x14ac:dyDescent="0.25">
      <c r="A1" s="1"/>
      <c r="D1" s="1" t="s">
        <v>31</v>
      </c>
      <c r="E1" s="1"/>
      <c r="F1" s="1"/>
      <c r="G1" s="1"/>
      <c r="H1" s="1"/>
      <c r="I1" s="1"/>
      <c r="J1" s="1"/>
      <c r="K1" s="1"/>
    </row>
    <row r="2" spans="1:12" x14ac:dyDescent="0.25">
      <c r="A2" s="1"/>
      <c r="D2" s="1" t="s">
        <v>0</v>
      </c>
      <c r="E2" s="1"/>
      <c r="F2" s="1"/>
      <c r="G2" s="1"/>
      <c r="H2" s="1"/>
      <c r="I2" s="1"/>
      <c r="J2" s="1"/>
      <c r="K2" s="1"/>
    </row>
    <row r="3" spans="1:12" x14ac:dyDescent="0.25">
      <c r="A3" s="1"/>
      <c r="C3" s="1"/>
      <c r="D3" s="1" t="s">
        <v>95</v>
      </c>
      <c r="E3" s="1"/>
      <c r="F3" s="1"/>
      <c r="G3" s="1"/>
      <c r="H3" s="1"/>
      <c r="I3" s="1"/>
      <c r="J3" s="1"/>
      <c r="K3" s="1"/>
    </row>
    <row r="4" spans="1:12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60</v>
      </c>
      <c r="F4" s="2" t="s">
        <v>30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61</v>
      </c>
      <c r="L4" s="7"/>
    </row>
    <row r="5" spans="1:12" x14ac:dyDescent="0.25">
      <c r="A5" s="3" t="s">
        <v>32</v>
      </c>
      <c r="B5" s="3" t="s">
        <v>47</v>
      </c>
      <c r="C5" s="3"/>
      <c r="D5" s="3">
        <f>'MARCH 21'!J5:J20</f>
        <v>0</v>
      </c>
      <c r="E5" s="3"/>
      <c r="F5" s="3"/>
      <c r="G5" s="3"/>
      <c r="H5" s="3">
        <f>D5+G5+C5+F5+E5</f>
        <v>0</v>
      </c>
      <c r="I5" s="19"/>
      <c r="J5" s="3">
        <f t="shared" ref="J5:J19" si="0">H5-I5</f>
        <v>0</v>
      </c>
      <c r="K5" s="3"/>
      <c r="L5" s="7"/>
    </row>
    <row r="6" spans="1:12" x14ac:dyDescent="0.25">
      <c r="A6" s="3" t="s">
        <v>33</v>
      </c>
      <c r="B6" s="3" t="s">
        <v>48</v>
      </c>
      <c r="C6" s="3"/>
      <c r="D6" s="3">
        <f>'MARCH 21'!J6:J21</f>
        <v>0</v>
      </c>
      <c r="E6" s="3">
        <v>200</v>
      </c>
      <c r="F6" s="3">
        <v>960</v>
      </c>
      <c r="G6" s="3">
        <v>8000</v>
      </c>
      <c r="H6" s="3">
        <f t="shared" ref="H6:H19" si="1">D6+G6+C6+F6+E6</f>
        <v>9160</v>
      </c>
      <c r="I6" s="19">
        <v>9160</v>
      </c>
      <c r="J6" s="3">
        <f t="shared" si="0"/>
        <v>0</v>
      </c>
      <c r="K6" s="3"/>
      <c r="L6" s="7"/>
    </row>
    <row r="7" spans="1:12" x14ac:dyDescent="0.25">
      <c r="A7" s="3" t="s">
        <v>34</v>
      </c>
      <c r="B7" s="3" t="s">
        <v>70</v>
      </c>
      <c r="C7" s="3"/>
      <c r="D7" s="3">
        <f>'MARCH 21'!J7:J22</f>
        <v>-20</v>
      </c>
      <c r="E7" s="3">
        <v>200</v>
      </c>
      <c r="F7" s="3">
        <v>340</v>
      </c>
      <c r="G7" s="3">
        <v>7000</v>
      </c>
      <c r="H7" s="3">
        <f t="shared" si="1"/>
        <v>7520</v>
      </c>
      <c r="I7" s="19">
        <v>7600</v>
      </c>
      <c r="J7" s="3">
        <f t="shared" si="0"/>
        <v>-80</v>
      </c>
      <c r="K7" s="3"/>
      <c r="L7" s="7"/>
    </row>
    <row r="8" spans="1:12" x14ac:dyDescent="0.25">
      <c r="A8" s="3" t="s">
        <v>35</v>
      </c>
      <c r="B8" s="3" t="s">
        <v>101</v>
      </c>
      <c r="C8" s="3"/>
      <c r="D8" s="3">
        <f>'MARCH 21'!J8:J23</f>
        <v>4300</v>
      </c>
      <c r="E8" s="3">
        <v>200</v>
      </c>
      <c r="F8" s="3">
        <v>1180</v>
      </c>
      <c r="G8" s="3">
        <v>9000</v>
      </c>
      <c r="H8" s="3">
        <f>D8+G8+C8+F8+E8</f>
        <v>14680</v>
      </c>
      <c r="I8" s="19"/>
      <c r="J8" s="3">
        <f t="shared" si="0"/>
        <v>14680</v>
      </c>
      <c r="K8" s="3"/>
      <c r="L8" s="7"/>
    </row>
    <row r="9" spans="1:12" x14ac:dyDescent="0.25">
      <c r="A9" s="5" t="s">
        <v>36</v>
      </c>
      <c r="B9" s="19" t="s">
        <v>57</v>
      </c>
      <c r="C9" s="19"/>
      <c r="D9" s="3">
        <f>'MARCH 21'!J9:J24</f>
        <v>280</v>
      </c>
      <c r="E9" s="3">
        <v>200</v>
      </c>
      <c r="F9" s="3">
        <v>1040</v>
      </c>
      <c r="G9" s="3">
        <v>9000</v>
      </c>
      <c r="H9" s="3">
        <f t="shared" si="1"/>
        <v>10520</v>
      </c>
      <c r="I9" s="19">
        <f>9280</f>
        <v>9280</v>
      </c>
      <c r="J9" s="3">
        <f t="shared" si="0"/>
        <v>1240</v>
      </c>
      <c r="K9" s="3"/>
      <c r="L9" s="7"/>
    </row>
    <row r="10" spans="1:12" x14ac:dyDescent="0.25">
      <c r="A10" s="3" t="s">
        <v>37</v>
      </c>
      <c r="B10" s="3" t="s">
        <v>50</v>
      </c>
      <c r="C10" s="3"/>
      <c r="D10" s="3">
        <f>'MARCH 21'!J10:J25</f>
        <v>0</v>
      </c>
      <c r="E10" s="3">
        <v>200</v>
      </c>
      <c r="F10" s="3">
        <v>140</v>
      </c>
      <c r="G10" s="3">
        <v>12000</v>
      </c>
      <c r="H10" s="3">
        <f t="shared" si="1"/>
        <v>12340</v>
      </c>
      <c r="I10" s="19">
        <v>12600</v>
      </c>
      <c r="J10" s="3">
        <f t="shared" si="0"/>
        <v>-260</v>
      </c>
      <c r="K10" s="3"/>
      <c r="L10" s="7"/>
    </row>
    <row r="11" spans="1:12" x14ac:dyDescent="0.25">
      <c r="A11" s="3" t="s">
        <v>38</v>
      </c>
      <c r="B11" s="6" t="s">
        <v>52</v>
      </c>
      <c r="C11" s="6"/>
      <c r="D11" s="3">
        <f>'MARCH 21'!J11:J26</f>
        <v>2400</v>
      </c>
      <c r="E11" s="3">
        <v>200</v>
      </c>
      <c r="F11" s="3">
        <v>2720</v>
      </c>
      <c r="G11" s="3">
        <v>11000</v>
      </c>
      <c r="H11" s="3">
        <f t="shared" si="1"/>
        <v>16320</v>
      </c>
      <c r="I11" s="19">
        <f>13920</f>
        <v>13920</v>
      </c>
      <c r="J11" s="3">
        <f t="shared" si="0"/>
        <v>2400</v>
      </c>
      <c r="K11" s="3"/>
      <c r="L11" s="7"/>
    </row>
    <row r="12" spans="1:12" x14ac:dyDescent="0.25">
      <c r="A12" s="3" t="s">
        <v>39</v>
      </c>
      <c r="B12" s="3" t="s">
        <v>53</v>
      </c>
      <c r="C12" s="3"/>
      <c r="D12" s="3">
        <f>'MARCH 21'!J12:J27</f>
        <v>0</v>
      </c>
      <c r="E12" s="3">
        <v>200</v>
      </c>
      <c r="F12" s="3">
        <v>1600</v>
      </c>
      <c r="G12" s="3">
        <v>8000</v>
      </c>
      <c r="H12" s="3">
        <f t="shared" si="1"/>
        <v>9800</v>
      </c>
      <c r="I12" s="19">
        <v>9800</v>
      </c>
      <c r="J12" s="3">
        <f t="shared" si="0"/>
        <v>0</v>
      </c>
      <c r="K12" s="3"/>
      <c r="L12" s="7"/>
    </row>
    <row r="13" spans="1:12" x14ac:dyDescent="0.25">
      <c r="A13" s="3" t="s">
        <v>40</v>
      </c>
      <c r="B13" s="19" t="s">
        <v>98</v>
      </c>
      <c r="C13" s="3"/>
      <c r="D13" s="3">
        <f>'MARCH 21'!J13:J28</f>
        <v>0</v>
      </c>
      <c r="E13" s="3">
        <v>200</v>
      </c>
      <c r="F13" s="3">
        <v>2160</v>
      </c>
      <c r="G13" s="3">
        <v>9000</v>
      </c>
      <c r="H13" s="3">
        <f t="shared" si="1"/>
        <v>11360</v>
      </c>
      <c r="I13" s="19">
        <v>11360</v>
      </c>
      <c r="J13" s="3">
        <f t="shared" si="0"/>
        <v>0</v>
      </c>
      <c r="K13" s="3"/>
      <c r="L13" s="7"/>
    </row>
    <row r="14" spans="1:12" x14ac:dyDescent="0.25">
      <c r="A14" s="3" t="s">
        <v>41</v>
      </c>
      <c r="B14" s="3" t="s">
        <v>55</v>
      </c>
      <c r="C14" s="3"/>
      <c r="D14" s="3">
        <f>'MARCH 21'!J14:J29</f>
        <v>4000</v>
      </c>
      <c r="E14" s="3">
        <v>200</v>
      </c>
      <c r="F14" s="3">
        <v>1240</v>
      </c>
      <c r="G14" s="3">
        <v>8000</v>
      </c>
      <c r="H14" s="3">
        <f t="shared" si="1"/>
        <v>13440</v>
      </c>
      <c r="I14" s="19">
        <f>9440</f>
        <v>9440</v>
      </c>
      <c r="J14" s="3">
        <f t="shared" si="0"/>
        <v>4000</v>
      </c>
      <c r="K14" s="3"/>
      <c r="L14" s="7"/>
    </row>
    <row r="15" spans="1:12" x14ac:dyDescent="0.25">
      <c r="A15" s="3" t="s">
        <v>42</v>
      </c>
      <c r="B15" s="19" t="s">
        <v>66</v>
      </c>
      <c r="C15" s="19"/>
      <c r="D15" s="3">
        <f>'MARCH 21'!J15:J30</f>
        <v>0</v>
      </c>
      <c r="E15" s="3">
        <v>200</v>
      </c>
      <c r="F15" s="3">
        <v>240</v>
      </c>
      <c r="G15" s="3">
        <v>9000</v>
      </c>
      <c r="H15" s="3">
        <f t="shared" si="1"/>
        <v>9440</v>
      </c>
      <c r="I15" s="19">
        <f>9440</f>
        <v>9440</v>
      </c>
      <c r="J15" s="3">
        <f t="shared" si="0"/>
        <v>0</v>
      </c>
      <c r="K15" s="3"/>
      <c r="L15" s="7"/>
    </row>
    <row r="16" spans="1:12" x14ac:dyDescent="0.25">
      <c r="A16" s="3" t="s">
        <v>43</v>
      </c>
      <c r="B16" s="4" t="s">
        <v>96</v>
      </c>
      <c r="C16" s="3"/>
      <c r="D16" s="3">
        <f>'MARCH 21'!J16:J31</f>
        <v>0</v>
      </c>
      <c r="E16" s="3">
        <v>200</v>
      </c>
      <c r="F16" s="3"/>
      <c r="G16" s="3">
        <v>12000</v>
      </c>
      <c r="H16" s="3">
        <f t="shared" si="1"/>
        <v>12200</v>
      </c>
      <c r="I16" s="19">
        <v>12200</v>
      </c>
      <c r="J16" s="3">
        <f t="shared" si="0"/>
        <v>0</v>
      </c>
      <c r="K16" s="3"/>
      <c r="L16" s="7"/>
    </row>
    <row r="17" spans="1:12" x14ac:dyDescent="0.25">
      <c r="A17" s="3" t="s">
        <v>44</v>
      </c>
      <c r="B17" s="4" t="s">
        <v>69</v>
      </c>
      <c r="C17" s="4"/>
      <c r="D17" s="4">
        <f>'MARCH 21'!J17:J32</f>
        <v>640</v>
      </c>
      <c r="E17" s="3"/>
      <c r="F17" s="3"/>
      <c r="G17" s="3"/>
      <c r="H17" s="3">
        <f t="shared" si="1"/>
        <v>640</v>
      </c>
      <c r="I17" s="19"/>
      <c r="J17" s="3"/>
      <c r="K17" s="3"/>
      <c r="L17" s="7" t="s">
        <v>99</v>
      </c>
    </row>
    <row r="18" spans="1:12" x14ac:dyDescent="0.25">
      <c r="A18" s="3" t="s">
        <v>45</v>
      </c>
      <c r="B18" s="19" t="s">
        <v>96</v>
      </c>
      <c r="C18" s="3"/>
      <c r="D18" s="3">
        <f>'MARCH 21'!J18:J33</f>
        <v>0</v>
      </c>
      <c r="E18" s="3">
        <v>200</v>
      </c>
      <c r="F18" s="3"/>
      <c r="G18" s="3">
        <v>9000</v>
      </c>
      <c r="H18" s="3">
        <f>D18+G18+C18+F18+E18</f>
        <v>9200</v>
      </c>
      <c r="I18" s="19">
        <v>9200</v>
      </c>
      <c r="J18" s="3">
        <f t="shared" si="0"/>
        <v>0</v>
      </c>
      <c r="K18" s="3"/>
      <c r="L18" s="7"/>
    </row>
    <row r="19" spans="1:12" x14ac:dyDescent="0.25">
      <c r="A19" s="3" t="s">
        <v>46</v>
      </c>
      <c r="B19" s="4"/>
      <c r="C19" s="3"/>
      <c r="D19" s="4"/>
      <c r="E19" s="3"/>
      <c r="F19" s="3"/>
      <c r="G19" s="3"/>
      <c r="H19" s="3">
        <f t="shared" si="1"/>
        <v>0</v>
      </c>
      <c r="I19" s="19"/>
      <c r="J19" s="3">
        <f t="shared" si="0"/>
        <v>0</v>
      </c>
      <c r="K19" s="3"/>
      <c r="L19" s="7"/>
    </row>
    <row r="20" spans="1:12" x14ac:dyDescent="0.25">
      <c r="A20" s="3"/>
      <c r="B20" s="2" t="s">
        <v>12</v>
      </c>
      <c r="C20" s="2">
        <f t="shared" ref="C20:K20" si="2">SUM(C5:C19)</f>
        <v>0</v>
      </c>
      <c r="D20" s="3">
        <f t="shared" si="2"/>
        <v>11600</v>
      </c>
      <c r="E20" s="3">
        <f t="shared" si="2"/>
        <v>2400</v>
      </c>
      <c r="F20" s="3">
        <f t="shared" si="2"/>
        <v>11620</v>
      </c>
      <c r="G20" s="2">
        <f t="shared" si="2"/>
        <v>111000</v>
      </c>
      <c r="H20" s="3">
        <f t="shared" si="2"/>
        <v>136620</v>
      </c>
      <c r="I20" s="18">
        <f t="shared" si="2"/>
        <v>114000</v>
      </c>
      <c r="J20" s="2">
        <f t="shared" si="2"/>
        <v>21980</v>
      </c>
      <c r="K20" s="3">
        <f t="shared" si="2"/>
        <v>0</v>
      </c>
      <c r="L20" s="7"/>
    </row>
    <row r="21" spans="1:12" x14ac:dyDescent="0.25">
      <c r="A21" s="7"/>
      <c r="B21" s="9"/>
      <c r="C21" s="9"/>
      <c r="D21" s="9"/>
      <c r="E21" s="9"/>
      <c r="G21" s="9" t="s">
        <v>14</v>
      </c>
      <c r="H21" s="9"/>
      <c r="I21" s="9"/>
      <c r="J21" s="29">
        <f>J8+J9-1000</f>
        <v>14920</v>
      </c>
      <c r="K21" s="7"/>
    </row>
    <row r="22" spans="1:12" x14ac:dyDescent="0.25">
      <c r="A22" s="10" t="s">
        <v>15</v>
      </c>
      <c r="B22" s="10"/>
      <c r="C22" s="11"/>
      <c r="D22" s="9"/>
      <c r="E22" s="13"/>
      <c r="F22" s="14"/>
      <c r="G22" s="15"/>
      <c r="H22" s="15"/>
      <c r="I22" s="14"/>
      <c r="J22" s="10"/>
    </row>
    <row r="23" spans="1:12" x14ac:dyDescent="0.25">
      <c r="A23" s="16" t="s">
        <v>16</v>
      </c>
      <c r="B23" s="16"/>
      <c r="C23" s="16"/>
      <c r="D23" s="16"/>
      <c r="E23" s="12"/>
      <c r="F23" s="16" t="s">
        <v>17</v>
      </c>
      <c r="G23" s="10"/>
      <c r="H23" s="10"/>
      <c r="I23" s="10"/>
      <c r="J23" s="10"/>
    </row>
    <row r="24" spans="1:12" x14ac:dyDescent="0.25">
      <c r="A24" s="18" t="s">
        <v>18</v>
      </c>
      <c r="B24" s="18"/>
      <c r="C24" s="18" t="s">
        <v>19</v>
      </c>
      <c r="D24" s="18" t="s">
        <v>20</v>
      </c>
      <c r="E24" s="18" t="s">
        <v>21</v>
      </c>
      <c r="F24" s="18" t="s">
        <v>18</v>
      </c>
      <c r="G24" s="18" t="s">
        <v>19</v>
      </c>
      <c r="H24" s="18"/>
      <c r="I24" s="18" t="s">
        <v>20</v>
      </c>
      <c r="J24" s="18" t="s">
        <v>21</v>
      </c>
    </row>
    <row r="25" spans="1:12" x14ac:dyDescent="0.25">
      <c r="A25" s="19" t="s">
        <v>94</v>
      </c>
      <c r="B25" s="19"/>
      <c r="C25" s="20">
        <f>G20</f>
        <v>111000</v>
      </c>
      <c r="D25" s="19"/>
      <c r="F25" s="19" t="s">
        <v>94</v>
      </c>
      <c r="G25" s="20">
        <f>I20</f>
        <v>114000</v>
      </c>
      <c r="H25" s="20"/>
      <c r="I25" s="19"/>
      <c r="J25" s="19"/>
      <c r="K25" s="26"/>
    </row>
    <row r="26" spans="1:12" x14ac:dyDescent="0.25">
      <c r="A26" s="19" t="s">
        <v>6</v>
      </c>
      <c r="B26" s="19"/>
      <c r="C26" s="20">
        <f>'MARCH 21'!E36</f>
        <v>-860</v>
      </c>
      <c r="D26" s="19"/>
      <c r="E26" s="19"/>
      <c r="F26" t="s">
        <v>6</v>
      </c>
      <c r="G26" s="20">
        <f>'MARCH 21'!J36</f>
        <v>-8160</v>
      </c>
      <c r="H26" s="20"/>
      <c r="I26" s="19"/>
      <c r="J26" s="19"/>
    </row>
    <row r="27" spans="1:12" x14ac:dyDescent="0.25">
      <c r="A27" s="19" t="s">
        <v>30</v>
      </c>
      <c r="B27" s="19"/>
      <c r="C27" s="20">
        <f>F20</f>
        <v>11620</v>
      </c>
      <c r="D27" s="19"/>
      <c r="E27" s="19"/>
      <c r="F27" s="19"/>
      <c r="G27" s="20"/>
      <c r="H27" s="20"/>
      <c r="I27" s="19"/>
      <c r="J27" s="19"/>
    </row>
    <row r="28" spans="1:12" x14ac:dyDescent="0.25">
      <c r="A28" s="19" t="s">
        <v>60</v>
      </c>
      <c r="B28" s="19"/>
      <c r="C28" s="20">
        <f>E20</f>
        <v>2400</v>
      </c>
      <c r="D28" s="19"/>
      <c r="E28" s="19"/>
      <c r="F28" s="19"/>
      <c r="G28" s="19"/>
      <c r="H28" s="20"/>
      <c r="I28" s="19"/>
      <c r="J28" s="19"/>
    </row>
    <row r="29" spans="1:12" x14ac:dyDescent="0.25">
      <c r="A29" s="19" t="s">
        <v>104</v>
      </c>
      <c r="B29" s="19"/>
      <c r="C29" s="20">
        <f>K20</f>
        <v>0</v>
      </c>
      <c r="D29" s="19"/>
      <c r="E29" s="19"/>
      <c r="F29" s="19"/>
      <c r="G29" s="19"/>
      <c r="H29" s="20"/>
      <c r="I29" s="19"/>
      <c r="J29" s="19"/>
    </row>
    <row r="30" spans="1:12" x14ac:dyDescent="0.25">
      <c r="A30" s="19" t="s">
        <v>5</v>
      </c>
      <c r="B30" s="19"/>
      <c r="C30" s="20">
        <f>C20</f>
        <v>0</v>
      </c>
      <c r="D30" s="19"/>
      <c r="E30" s="19"/>
      <c r="F30" s="19"/>
      <c r="G30" s="20"/>
      <c r="H30" s="20"/>
      <c r="I30" s="19"/>
      <c r="J30" s="19"/>
    </row>
    <row r="31" spans="1:12" x14ac:dyDescent="0.25">
      <c r="A31" s="19" t="s">
        <v>23</v>
      </c>
      <c r="B31" s="19"/>
      <c r="C31" s="21">
        <v>7.0000000000000007E-2</v>
      </c>
      <c r="D31" s="20">
        <f>C31*C25</f>
        <v>7770.0000000000009</v>
      </c>
      <c r="E31" s="19"/>
      <c r="F31" s="19" t="s">
        <v>23</v>
      </c>
      <c r="G31" s="21">
        <v>7.0000000000000007E-2</v>
      </c>
      <c r="H31" s="21"/>
      <c r="I31" s="20">
        <f>G31*C25</f>
        <v>7770.0000000000009</v>
      </c>
      <c r="J31" s="19"/>
    </row>
    <row r="32" spans="1:12" x14ac:dyDescent="0.25">
      <c r="A32" s="18" t="s">
        <v>24</v>
      </c>
      <c r="B32" s="18"/>
      <c r="C32" s="22"/>
      <c r="D32" s="18"/>
      <c r="E32" s="18"/>
      <c r="F32" s="18" t="s">
        <v>24</v>
      </c>
      <c r="G32" s="22"/>
      <c r="H32" s="22"/>
      <c r="I32" s="18"/>
      <c r="J32" s="18"/>
    </row>
    <row r="33" spans="1:11" x14ac:dyDescent="0.25">
      <c r="A33" s="19" t="s">
        <v>97</v>
      </c>
      <c r="B33" s="18"/>
      <c r="C33" s="22"/>
      <c r="D33" s="19">
        <v>2140</v>
      </c>
      <c r="E33" s="18"/>
      <c r="F33" s="19"/>
      <c r="G33" s="18"/>
      <c r="H33" s="18"/>
      <c r="I33" s="22"/>
      <c r="J33" s="19"/>
    </row>
    <row r="34" spans="1:11" x14ac:dyDescent="0.25">
      <c r="A34" s="19" t="s">
        <v>100</v>
      </c>
      <c r="B34" s="19"/>
      <c r="C34" s="20"/>
      <c r="D34" s="19">
        <v>640</v>
      </c>
      <c r="E34" s="19"/>
      <c r="F34" s="19"/>
      <c r="G34" s="19"/>
      <c r="H34" s="20"/>
      <c r="I34" s="20"/>
      <c r="J34" s="20"/>
      <c r="K34" s="19"/>
    </row>
    <row r="35" spans="1:11" x14ac:dyDescent="0.25">
      <c r="A35" s="23" t="s">
        <v>102</v>
      </c>
      <c r="B35" s="23"/>
      <c r="C35" s="19"/>
      <c r="D35" s="19">
        <v>102250</v>
      </c>
      <c r="E35" s="19"/>
      <c r="F35" s="23" t="s">
        <v>102</v>
      </c>
      <c r="G35" s="23"/>
      <c r="H35" s="19"/>
      <c r="I35" s="19">
        <v>102250</v>
      </c>
      <c r="J35" s="20"/>
      <c r="K35" s="19"/>
    </row>
    <row r="36" spans="1:11" x14ac:dyDescent="0.25">
      <c r="A36" s="23" t="s">
        <v>103</v>
      </c>
      <c r="B36" s="23"/>
      <c r="C36" s="19"/>
      <c r="D36" s="19">
        <v>11360</v>
      </c>
      <c r="E36" s="19"/>
      <c r="F36" s="23" t="s">
        <v>103</v>
      </c>
      <c r="G36" s="23"/>
      <c r="H36" s="19"/>
      <c r="I36" s="19">
        <v>11360</v>
      </c>
      <c r="J36" s="19"/>
      <c r="K36" s="19"/>
    </row>
    <row r="37" spans="1:11" x14ac:dyDescent="0.25">
      <c r="A37" s="18" t="s">
        <v>12</v>
      </c>
      <c r="B37" s="18"/>
      <c r="C37" s="22">
        <f>C25+C26+C27+C28+C29+C30-D31</f>
        <v>116390</v>
      </c>
      <c r="D37" s="22">
        <f>SUM(D33:D36)</f>
        <v>116390</v>
      </c>
      <c r="E37" s="22">
        <f>C37-D37</f>
        <v>0</v>
      </c>
      <c r="F37" s="18" t="s">
        <v>12</v>
      </c>
      <c r="G37" s="22">
        <f>G25+G30+G29+G26-I31</f>
        <v>98070</v>
      </c>
      <c r="H37" s="22"/>
      <c r="I37" s="22">
        <f>SUM(I33:I36)</f>
        <v>113610</v>
      </c>
      <c r="J37" s="22">
        <f>G37-I37</f>
        <v>-15540</v>
      </c>
    </row>
    <row r="39" spans="1:11" x14ac:dyDescent="0.25">
      <c r="A39" t="s">
        <v>25</v>
      </c>
      <c r="D39" t="s">
        <v>26</v>
      </c>
      <c r="G39" t="s">
        <v>27</v>
      </c>
    </row>
    <row r="40" spans="1:11" x14ac:dyDescent="0.25">
      <c r="A40" t="s">
        <v>28</v>
      </c>
      <c r="D40" t="s">
        <v>29</v>
      </c>
      <c r="G40" t="s">
        <v>31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M1" sqref="M1"/>
    </sheetView>
  </sheetViews>
  <sheetFormatPr defaultRowHeight="15" x14ac:dyDescent="0.25"/>
  <cols>
    <col min="12" max="12" width="10" bestFit="1" customWidth="1"/>
  </cols>
  <sheetData>
    <row r="1" spans="1:12" x14ac:dyDescent="0.25">
      <c r="A1" s="1"/>
      <c r="D1" s="1" t="s">
        <v>31</v>
      </c>
      <c r="E1" s="1"/>
      <c r="F1" s="1"/>
      <c r="G1" s="1"/>
      <c r="H1" s="1"/>
      <c r="I1" s="1"/>
      <c r="J1" s="1"/>
      <c r="K1" s="1"/>
    </row>
    <row r="2" spans="1:12" x14ac:dyDescent="0.25">
      <c r="A2" s="1"/>
      <c r="D2" s="1" t="s">
        <v>0</v>
      </c>
      <c r="E2" s="1"/>
      <c r="F2" s="1"/>
      <c r="G2" s="1"/>
      <c r="H2" s="1"/>
      <c r="I2" s="1"/>
      <c r="J2" s="1"/>
      <c r="K2" s="1"/>
    </row>
    <row r="3" spans="1:12" x14ac:dyDescent="0.25">
      <c r="A3" s="1"/>
      <c r="C3" s="1"/>
      <c r="D3" s="1" t="s">
        <v>105</v>
      </c>
      <c r="E3" s="1"/>
      <c r="F3" s="1"/>
      <c r="G3" s="1"/>
      <c r="H3" s="1"/>
      <c r="I3" s="1"/>
      <c r="J3" s="1"/>
      <c r="K3" s="1"/>
    </row>
    <row r="4" spans="1:12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60</v>
      </c>
      <c r="F4" s="2" t="s">
        <v>30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61</v>
      </c>
      <c r="L4" s="7"/>
    </row>
    <row r="5" spans="1:12" x14ac:dyDescent="0.25">
      <c r="A5" s="3" t="s">
        <v>32</v>
      </c>
      <c r="B5" s="3" t="s">
        <v>47</v>
      </c>
      <c r="C5" s="3"/>
      <c r="D5" s="3">
        <f>APRIL21!J5:J19</f>
        <v>0</v>
      </c>
      <c r="E5" s="3"/>
      <c r="F5" s="3"/>
      <c r="G5" s="3"/>
      <c r="H5" s="3">
        <f>D5+G5+C5+F5+E5</f>
        <v>0</v>
      </c>
      <c r="I5" s="19"/>
      <c r="J5" s="3">
        <f t="shared" ref="J5:J19" si="0">H5-I5</f>
        <v>0</v>
      </c>
      <c r="K5" s="3"/>
      <c r="L5" s="7"/>
    </row>
    <row r="6" spans="1:12" x14ac:dyDescent="0.25">
      <c r="A6" s="3" t="s">
        <v>33</v>
      </c>
      <c r="B6" s="3" t="s">
        <v>48</v>
      </c>
      <c r="C6" s="3"/>
      <c r="D6" s="3">
        <f>APRIL21!J6:J20</f>
        <v>0</v>
      </c>
      <c r="E6" s="3">
        <v>200</v>
      </c>
      <c r="F6" s="3">
        <v>720</v>
      </c>
      <c r="G6" s="3">
        <v>8000</v>
      </c>
      <c r="H6" s="3">
        <f t="shared" ref="H6:H19" si="1">D6+G6+C6+F6+E6</f>
        <v>8920</v>
      </c>
      <c r="I6" s="19">
        <v>8920</v>
      </c>
      <c r="J6" s="3">
        <f t="shared" si="0"/>
        <v>0</v>
      </c>
      <c r="K6" s="3"/>
      <c r="L6" s="7"/>
    </row>
    <row r="7" spans="1:12" x14ac:dyDescent="0.25">
      <c r="A7" s="3" t="s">
        <v>34</v>
      </c>
      <c r="B7" s="3" t="s">
        <v>70</v>
      </c>
      <c r="C7" s="3"/>
      <c r="D7" s="3">
        <f>APRIL21!J7:J21</f>
        <v>-80</v>
      </c>
      <c r="E7" s="3">
        <v>200</v>
      </c>
      <c r="F7" s="3">
        <v>100</v>
      </c>
      <c r="G7" s="3">
        <v>7000</v>
      </c>
      <c r="H7" s="3">
        <f t="shared" si="1"/>
        <v>7220</v>
      </c>
      <c r="I7" s="19">
        <v>7500</v>
      </c>
      <c r="J7" s="3">
        <f t="shared" si="0"/>
        <v>-280</v>
      </c>
      <c r="K7" s="3"/>
      <c r="L7" s="7"/>
    </row>
    <row r="8" spans="1:12" x14ac:dyDescent="0.25">
      <c r="A8" s="3" t="s">
        <v>35</v>
      </c>
      <c r="B8" s="4" t="s">
        <v>101</v>
      </c>
      <c r="C8" s="4"/>
      <c r="D8" s="4">
        <f>APRIL21!J8:J22</f>
        <v>14680</v>
      </c>
      <c r="E8" s="3">
        <v>200</v>
      </c>
      <c r="F8" s="3">
        <v>1220</v>
      </c>
      <c r="G8" s="3">
        <v>9000</v>
      </c>
      <c r="H8" s="3">
        <f>D8+G8+C8+F8+E8</f>
        <v>25100</v>
      </c>
      <c r="I8" s="19">
        <f>9900+7000</f>
        <v>16900</v>
      </c>
      <c r="J8" s="3">
        <f t="shared" si="0"/>
        <v>8200</v>
      </c>
      <c r="K8" s="3"/>
      <c r="L8" s="7"/>
    </row>
    <row r="9" spans="1:12" x14ac:dyDescent="0.25">
      <c r="A9" s="5" t="s">
        <v>36</v>
      </c>
      <c r="B9" s="19" t="s">
        <v>57</v>
      </c>
      <c r="C9" s="19"/>
      <c r="D9" s="19">
        <f>APRIL21!J9:J23</f>
        <v>1240</v>
      </c>
      <c r="E9" s="3">
        <v>200</v>
      </c>
      <c r="F9" s="3"/>
      <c r="G9" s="3">
        <v>9000</v>
      </c>
      <c r="H9" s="3">
        <f t="shared" si="1"/>
        <v>10440</v>
      </c>
      <c r="I9" s="19">
        <f>9400</f>
        <v>9400</v>
      </c>
      <c r="J9" s="3">
        <f t="shared" si="0"/>
        <v>1040</v>
      </c>
      <c r="K9" s="3"/>
      <c r="L9" s="7"/>
    </row>
    <row r="10" spans="1:12" x14ac:dyDescent="0.25">
      <c r="A10" s="3" t="s">
        <v>37</v>
      </c>
      <c r="B10" s="3" t="s">
        <v>50</v>
      </c>
      <c r="C10" s="3"/>
      <c r="D10" s="3">
        <f>APRIL21!J10:J24</f>
        <v>-260</v>
      </c>
      <c r="E10" s="3">
        <v>200</v>
      </c>
      <c r="F10" s="3">
        <v>0</v>
      </c>
      <c r="G10" s="3">
        <v>12000</v>
      </c>
      <c r="H10" s="3">
        <f t="shared" si="1"/>
        <v>11940</v>
      </c>
      <c r="I10" s="19">
        <v>13000</v>
      </c>
      <c r="J10" s="3">
        <f t="shared" si="0"/>
        <v>-1060</v>
      </c>
      <c r="K10" s="3"/>
      <c r="L10" s="7"/>
    </row>
    <row r="11" spans="1:12" x14ac:dyDescent="0.25">
      <c r="A11" s="3" t="s">
        <v>38</v>
      </c>
      <c r="B11" s="6" t="s">
        <v>52</v>
      </c>
      <c r="C11" s="6"/>
      <c r="D11" s="3">
        <f>APRIL21!J11:J25</f>
        <v>2400</v>
      </c>
      <c r="E11" s="3">
        <v>200</v>
      </c>
      <c r="F11" s="3">
        <v>2120</v>
      </c>
      <c r="G11" s="3">
        <v>11000</v>
      </c>
      <c r="H11" s="3">
        <f t="shared" si="1"/>
        <v>15720</v>
      </c>
      <c r="I11" s="19">
        <f>13000</f>
        <v>13000</v>
      </c>
      <c r="J11" s="3">
        <f t="shared" si="0"/>
        <v>2720</v>
      </c>
      <c r="K11" s="3"/>
      <c r="L11" s="7"/>
    </row>
    <row r="12" spans="1:12" x14ac:dyDescent="0.25">
      <c r="A12" s="3" t="s">
        <v>39</v>
      </c>
      <c r="B12" s="3" t="s">
        <v>53</v>
      </c>
      <c r="C12" s="3"/>
      <c r="D12" s="3">
        <f>APRIL21!J12:J26</f>
        <v>0</v>
      </c>
      <c r="E12" s="3">
        <v>200</v>
      </c>
      <c r="F12" s="3">
        <v>1600</v>
      </c>
      <c r="G12" s="3">
        <v>8000</v>
      </c>
      <c r="H12" s="3">
        <f t="shared" si="1"/>
        <v>9800</v>
      </c>
      <c r="I12" s="19">
        <f>8000+1800</f>
        <v>9800</v>
      </c>
      <c r="J12" s="3">
        <f t="shared" si="0"/>
        <v>0</v>
      </c>
      <c r="K12" s="3"/>
      <c r="L12" s="7"/>
    </row>
    <row r="13" spans="1:12" x14ac:dyDescent="0.25">
      <c r="A13" s="3" t="s">
        <v>40</v>
      </c>
      <c r="B13" s="19" t="s">
        <v>98</v>
      </c>
      <c r="C13" s="3"/>
      <c r="D13" s="3">
        <f>APRIL21!J13:J27</f>
        <v>0</v>
      </c>
      <c r="E13" s="3">
        <v>200</v>
      </c>
      <c r="F13" s="3">
        <v>1460</v>
      </c>
      <c r="G13" s="3">
        <v>9000</v>
      </c>
      <c r="H13" s="3">
        <f t="shared" si="1"/>
        <v>10660</v>
      </c>
      <c r="I13" s="19">
        <v>10660</v>
      </c>
      <c r="J13" s="3">
        <f t="shared" si="0"/>
        <v>0</v>
      </c>
      <c r="K13" s="3"/>
      <c r="L13" s="7"/>
    </row>
    <row r="14" spans="1:12" x14ac:dyDescent="0.25">
      <c r="A14" s="3" t="s">
        <v>41</v>
      </c>
      <c r="B14" s="3" t="s">
        <v>55</v>
      </c>
      <c r="C14" s="3"/>
      <c r="D14" s="3">
        <f>APRIL21!J14:J28</f>
        <v>4000</v>
      </c>
      <c r="E14" s="3">
        <v>200</v>
      </c>
      <c r="F14" s="3">
        <v>1140</v>
      </c>
      <c r="G14" s="3">
        <v>8000</v>
      </c>
      <c r="H14" s="3">
        <f t="shared" si="1"/>
        <v>13340</v>
      </c>
      <c r="I14" s="19">
        <v>9340</v>
      </c>
      <c r="J14" s="3">
        <f t="shared" si="0"/>
        <v>4000</v>
      </c>
      <c r="K14" s="3"/>
      <c r="L14" s="7"/>
    </row>
    <row r="15" spans="1:12" x14ac:dyDescent="0.25">
      <c r="A15" s="3" t="s">
        <v>42</v>
      </c>
      <c r="B15" s="19" t="s">
        <v>66</v>
      </c>
      <c r="C15" s="19"/>
      <c r="D15" s="3">
        <f>APRIL21!J15:J29</f>
        <v>0</v>
      </c>
      <c r="E15" s="3">
        <v>200</v>
      </c>
      <c r="F15" s="3">
        <v>240</v>
      </c>
      <c r="G15" s="3">
        <v>9000</v>
      </c>
      <c r="H15" s="3">
        <f t="shared" si="1"/>
        <v>9440</v>
      </c>
      <c r="I15" s="19">
        <v>9440</v>
      </c>
      <c r="J15" s="3">
        <f t="shared" si="0"/>
        <v>0</v>
      </c>
      <c r="K15" s="3"/>
      <c r="L15" s="7"/>
    </row>
    <row r="16" spans="1:12" x14ac:dyDescent="0.25">
      <c r="A16" s="3" t="s">
        <v>43</v>
      </c>
      <c r="B16" s="19" t="s">
        <v>109</v>
      </c>
      <c r="C16" s="3"/>
      <c r="D16" s="3">
        <f>APRIL21!J16:J30</f>
        <v>0</v>
      </c>
      <c r="E16" s="3">
        <v>200</v>
      </c>
      <c r="F16" s="3">
        <v>1060</v>
      </c>
      <c r="G16" s="3">
        <v>12000</v>
      </c>
      <c r="H16" s="3">
        <f t="shared" si="1"/>
        <v>13260</v>
      </c>
      <c r="I16" s="19">
        <f>7500</f>
        <v>7500</v>
      </c>
      <c r="J16" s="3">
        <f t="shared" si="0"/>
        <v>5760</v>
      </c>
      <c r="K16" s="3"/>
      <c r="L16" s="7">
        <v>207862222</v>
      </c>
    </row>
    <row r="17" spans="1:15" x14ac:dyDescent="0.25">
      <c r="A17" s="3" t="s">
        <v>44</v>
      </c>
      <c r="B17" s="4"/>
      <c r="C17" s="4"/>
      <c r="D17" s="3"/>
      <c r="E17" s="3"/>
      <c r="F17" s="3"/>
      <c r="G17" s="3"/>
      <c r="H17" s="3">
        <f t="shared" si="1"/>
        <v>0</v>
      </c>
      <c r="I17" s="19"/>
      <c r="J17" s="3">
        <f t="shared" si="0"/>
        <v>0</v>
      </c>
      <c r="K17" s="3"/>
      <c r="L17" s="7"/>
    </row>
    <row r="18" spans="1:15" x14ac:dyDescent="0.25">
      <c r="A18" s="3" t="s">
        <v>45</v>
      </c>
      <c r="B18" s="19" t="s">
        <v>108</v>
      </c>
      <c r="C18" s="3"/>
      <c r="D18" s="3">
        <f>APRIL21!J18:J32</f>
        <v>0</v>
      </c>
      <c r="E18" s="3">
        <v>200</v>
      </c>
      <c r="F18" s="3">
        <v>1940</v>
      </c>
      <c r="G18" s="3">
        <v>9000</v>
      </c>
      <c r="H18" s="3">
        <f>D18+G18+C18+F18+E18</f>
        <v>11140</v>
      </c>
      <c r="I18" s="19">
        <v>10940</v>
      </c>
      <c r="J18" s="3">
        <f t="shared" si="0"/>
        <v>200</v>
      </c>
      <c r="K18" s="3"/>
      <c r="L18" s="7"/>
    </row>
    <row r="19" spans="1:15" x14ac:dyDescent="0.25">
      <c r="A19" s="3" t="s">
        <v>46</v>
      </c>
      <c r="B19" s="19" t="s">
        <v>96</v>
      </c>
      <c r="C19" s="3"/>
      <c r="D19" s="3">
        <f>APRIL21!J19:J33</f>
        <v>0</v>
      </c>
      <c r="E19" s="3"/>
      <c r="F19" s="3">
        <v>0</v>
      </c>
      <c r="G19" s="3">
        <v>9000</v>
      </c>
      <c r="H19" s="3">
        <f t="shared" si="1"/>
        <v>9000</v>
      </c>
      <c r="I19" s="19">
        <v>9000</v>
      </c>
      <c r="J19" s="3">
        <f t="shared" si="0"/>
        <v>0</v>
      </c>
      <c r="K19" s="3"/>
      <c r="L19" s="7"/>
      <c r="N19">
        <f>E8+F8+G8+'JUNE 21'!E8+'JUNE 21'!F8+'JUNE 21'!G8</f>
        <v>20780</v>
      </c>
      <c r="O19">
        <f>E8+F8+G8</f>
        <v>10420</v>
      </c>
    </row>
    <row r="20" spans="1:15" x14ac:dyDescent="0.25">
      <c r="A20" s="3"/>
      <c r="B20" s="2" t="s">
        <v>12</v>
      </c>
      <c r="C20" s="2">
        <f t="shared" ref="C20:K20" si="2">SUM(C5:C19)</f>
        <v>0</v>
      </c>
      <c r="D20" s="3">
        <f t="shared" si="2"/>
        <v>21980</v>
      </c>
      <c r="E20" s="3">
        <f t="shared" si="2"/>
        <v>2400</v>
      </c>
      <c r="F20" s="3">
        <f t="shared" si="2"/>
        <v>11600</v>
      </c>
      <c r="G20" s="2">
        <f t="shared" si="2"/>
        <v>120000</v>
      </c>
      <c r="H20" s="3">
        <f t="shared" si="2"/>
        <v>155980</v>
      </c>
      <c r="I20" s="18">
        <f t="shared" si="2"/>
        <v>135400</v>
      </c>
      <c r="J20" s="2">
        <f t="shared" si="2"/>
        <v>20580</v>
      </c>
      <c r="K20" s="3">
        <f t="shared" si="2"/>
        <v>0</v>
      </c>
      <c r="L20" s="7"/>
      <c r="N20">
        <f>G31*18000</f>
        <v>1260.0000000000002</v>
      </c>
      <c r="O20">
        <f>G31*G8</f>
        <v>630.00000000000011</v>
      </c>
    </row>
    <row r="21" spans="1:15" x14ac:dyDescent="0.25">
      <c r="A21" s="7"/>
      <c r="B21" s="9"/>
      <c r="C21" s="9"/>
      <c r="D21" s="9"/>
      <c r="E21" s="9"/>
      <c r="G21" s="9" t="s">
        <v>14</v>
      </c>
      <c r="H21" s="9"/>
      <c r="I21" s="9"/>
      <c r="J21" s="29">
        <f>J8+J9</f>
        <v>9240</v>
      </c>
      <c r="K21" s="7"/>
      <c r="N21">
        <f>N19-N20</f>
        <v>19520</v>
      </c>
      <c r="O21">
        <f>O19-O20</f>
        <v>9790</v>
      </c>
    </row>
    <row r="22" spans="1:15" x14ac:dyDescent="0.25">
      <c r="A22" s="10" t="s">
        <v>15</v>
      </c>
      <c r="B22" s="10"/>
      <c r="C22" s="11"/>
      <c r="D22" s="9"/>
      <c r="E22" s="13"/>
      <c r="F22" s="14"/>
      <c r="G22" s="15"/>
      <c r="H22" s="15"/>
      <c r="I22" s="14"/>
      <c r="J22" s="10"/>
    </row>
    <row r="23" spans="1:15" x14ac:dyDescent="0.25">
      <c r="A23" s="16" t="s">
        <v>16</v>
      </c>
      <c r="B23" s="16"/>
      <c r="C23" s="16"/>
      <c r="D23" s="16"/>
      <c r="E23" s="12"/>
      <c r="F23" s="16" t="s">
        <v>17</v>
      </c>
      <c r="G23" s="10"/>
      <c r="H23" s="10"/>
      <c r="I23" s="10"/>
      <c r="J23" s="10"/>
    </row>
    <row r="24" spans="1:15" x14ac:dyDescent="0.25">
      <c r="A24" s="18" t="s">
        <v>18</v>
      </c>
      <c r="B24" s="18"/>
      <c r="C24" s="18" t="s">
        <v>19</v>
      </c>
      <c r="D24" s="18" t="s">
        <v>20</v>
      </c>
      <c r="E24" s="18" t="s">
        <v>21</v>
      </c>
      <c r="F24" s="18" t="s">
        <v>18</v>
      </c>
      <c r="G24" s="18" t="s">
        <v>19</v>
      </c>
      <c r="H24" s="18"/>
      <c r="I24" s="18" t="s">
        <v>20</v>
      </c>
      <c r="J24" s="18" t="s">
        <v>21</v>
      </c>
    </row>
    <row r="25" spans="1:15" x14ac:dyDescent="0.25">
      <c r="A25" s="19" t="s">
        <v>106</v>
      </c>
      <c r="B25" s="19"/>
      <c r="C25" s="20">
        <f>G20</f>
        <v>120000</v>
      </c>
      <c r="D25" s="19"/>
      <c r="F25" s="19" t="s">
        <v>106</v>
      </c>
      <c r="G25" s="20">
        <f>I20</f>
        <v>135400</v>
      </c>
      <c r="H25" s="20"/>
      <c r="I25" s="19"/>
      <c r="J25" s="19"/>
      <c r="K25" s="26"/>
    </row>
    <row r="26" spans="1:15" x14ac:dyDescent="0.25">
      <c r="A26" s="19" t="s">
        <v>6</v>
      </c>
      <c r="B26" s="19"/>
      <c r="C26" s="20">
        <f>APRIL21!E37</f>
        <v>0</v>
      </c>
      <c r="D26" s="19"/>
      <c r="E26" s="19"/>
      <c r="F26" t="s">
        <v>6</v>
      </c>
      <c r="G26" s="20">
        <f>APRIL21!J37</f>
        <v>-15540</v>
      </c>
      <c r="H26" s="20"/>
      <c r="I26" s="19"/>
      <c r="J26" s="19"/>
    </row>
    <row r="27" spans="1:15" x14ac:dyDescent="0.25">
      <c r="A27" s="19" t="s">
        <v>30</v>
      </c>
      <c r="B27" s="19"/>
      <c r="C27" s="20">
        <f>F20</f>
        <v>11600</v>
      </c>
      <c r="D27" s="19"/>
      <c r="E27" s="19"/>
      <c r="F27" s="19"/>
      <c r="G27" s="20"/>
      <c r="H27" s="20"/>
      <c r="I27" s="19"/>
      <c r="J27" s="19"/>
    </row>
    <row r="28" spans="1:15" x14ac:dyDescent="0.25">
      <c r="A28" s="19" t="s">
        <v>60</v>
      </c>
      <c r="B28" s="19"/>
      <c r="C28" s="20">
        <f>E20</f>
        <v>2400</v>
      </c>
      <c r="D28" s="19"/>
      <c r="E28" s="19"/>
      <c r="F28" s="19"/>
      <c r="G28" s="19"/>
      <c r="H28" s="20"/>
      <c r="I28" s="19"/>
      <c r="J28" s="19"/>
    </row>
    <row r="29" spans="1:15" x14ac:dyDescent="0.25">
      <c r="A29" s="19" t="s">
        <v>104</v>
      </c>
      <c r="B29" s="19"/>
      <c r="C29" s="20">
        <f>K20</f>
        <v>0</v>
      </c>
      <c r="D29" s="19"/>
      <c r="E29" s="19"/>
      <c r="F29" s="19"/>
      <c r="G29" s="19"/>
      <c r="H29" s="20"/>
      <c r="I29" s="19"/>
      <c r="J29" s="19"/>
    </row>
    <row r="30" spans="1:15" x14ac:dyDescent="0.25">
      <c r="A30" s="19" t="s">
        <v>5</v>
      </c>
      <c r="B30" s="19"/>
      <c r="C30" s="20">
        <f>C20</f>
        <v>0</v>
      </c>
      <c r="D30" s="19"/>
      <c r="E30" s="19"/>
      <c r="F30" s="19"/>
      <c r="G30" s="20"/>
      <c r="H30" s="20"/>
      <c r="I30" s="19"/>
      <c r="J30" s="19"/>
    </row>
    <row r="31" spans="1:15" x14ac:dyDescent="0.25">
      <c r="A31" s="19" t="s">
        <v>23</v>
      </c>
      <c r="B31" s="19"/>
      <c r="C31" s="21">
        <v>7.0000000000000007E-2</v>
      </c>
      <c r="D31" s="20">
        <f>C31*C25</f>
        <v>8400</v>
      </c>
      <c r="E31" s="19"/>
      <c r="F31" s="19" t="s">
        <v>23</v>
      </c>
      <c r="G31" s="21">
        <v>7.0000000000000007E-2</v>
      </c>
      <c r="H31" s="21"/>
      <c r="I31" s="20">
        <f>G31*C25</f>
        <v>8400</v>
      </c>
      <c r="J31" s="19"/>
    </row>
    <row r="32" spans="1:15" x14ac:dyDescent="0.25">
      <c r="A32" s="18" t="s">
        <v>24</v>
      </c>
      <c r="B32" s="18"/>
      <c r="C32" s="22"/>
      <c r="D32" s="18"/>
      <c r="E32" s="18"/>
      <c r="F32" s="18" t="s">
        <v>24</v>
      </c>
      <c r="G32" s="22"/>
      <c r="H32" s="22"/>
      <c r="I32" s="18"/>
      <c r="J32" s="18"/>
    </row>
    <row r="33" spans="1:11" x14ac:dyDescent="0.25">
      <c r="A33" s="19" t="s">
        <v>107</v>
      </c>
      <c r="B33" s="18"/>
      <c r="C33" s="22"/>
      <c r="D33" s="19">
        <v>115810</v>
      </c>
      <c r="E33" s="18"/>
      <c r="F33" s="19" t="s">
        <v>107</v>
      </c>
      <c r="G33" s="18"/>
      <c r="H33" s="22"/>
      <c r="I33" s="19">
        <v>115810</v>
      </c>
      <c r="J33" s="19"/>
    </row>
    <row r="34" spans="1:11" x14ac:dyDescent="0.25">
      <c r="A34" s="19"/>
      <c r="B34" s="19"/>
      <c r="C34" s="20"/>
      <c r="D34" s="19"/>
      <c r="E34" s="19"/>
      <c r="F34" s="19"/>
      <c r="G34" s="19"/>
      <c r="H34" s="20"/>
      <c r="I34" s="20"/>
      <c r="J34" s="20"/>
      <c r="K34" s="19"/>
    </row>
    <row r="35" spans="1:11" x14ac:dyDescent="0.25">
      <c r="A35" s="23"/>
      <c r="B35" s="23"/>
      <c r="C35" s="19"/>
      <c r="D35" s="19"/>
      <c r="E35" s="19"/>
      <c r="F35" s="23"/>
      <c r="G35" s="23"/>
      <c r="H35" s="19"/>
      <c r="I35" s="19"/>
      <c r="J35" s="20"/>
      <c r="K35" s="19"/>
    </row>
    <row r="36" spans="1:11" x14ac:dyDescent="0.25">
      <c r="A36" s="23"/>
      <c r="B36" s="23"/>
      <c r="C36" s="19"/>
      <c r="D36" s="19"/>
      <c r="E36" s="19"/>
      <c r="F36" s="23"/>
      <c r="G36" s="23"/>
      <c r="H36" s="19"/>
      <c r="I36" s="19"/>
      <c r="J36" s="19"/>
      <c r="K36" s="19"/>
    </row>
    <row r="37" spans="1:11" x14ac:dyDescent="0.25">
      <c r="A37" s="18" t="s">
        <v>12</v>
      </c>
      <c r="B37" s="18"/>
      <c r="C37" s="22">
        <f>C25+C26+C27+C28+C29+C30-D31</f>
        <v>125600</v>
      </c>
      <c r="D37" s="22">
        <f>SUM(D33:D36)</f>
        <v>115810</v>
      </c>
      <c r="E37" s="22">
        <f>C37-D37</f>
        <v>9790</v>
      </c>
      <c r="F37" s="18" t="s">
        <v>12</v>
      </c>
      <c r="G37" s="22">
        <f>G25+G30+G29+G26-I31</f>
        <v>111460</v>
      </c>
      <c r="H37" s="22"/>
      <c r="I37" s="22">
        <f>SUM(I33:I36)</f>
        <v>115810</v>
      </c>
      <c r="J37" s="22">
        <f>G37-I37</f>
        <v>-4350</v>
      </c>
    </row>
    <row r="39" spans="1:11" x14ac:dyDescent="0.25">
      <c r="A39" t="s">
        <v>25</v>
      </c>
      <c r="D39" t="s">
        <v>26</v>
      </c>
      <c r="G39" t="s">
        <v>27</v>
      </c>
    </row>
    <row r="40" spans="1:11" x14ac:dyDescent="0.25">
      <c r="A40" t="s">
        <v>28</v>
      </c>
      <c r="D40" t="s">
        <v>29</v>
      </c>
      <c r="G40" t="s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7" workbookViewId="0">
      <selection sqref="A1:L41"/>
    </sheetView>
  </sheetViews>
  <sheetFormatPr defaultRowHeight="15" x14ac:dyDescent="0.25"/>
  <cols>
    <col min="2" max="2" width="21.5703125" customWidth="1"/>
  </cols>
  <sheetData>
    <row r="1" spans="1:12" x14ac:dyDescent="0.25">
      <c r="A1" s="1"/>
      <c r="D1" s="1" t="s">
        <v>31</v>
      </c>
      <c r="E1" s="1"/>
      <c r="F1" s="1"/>
      <c r="G1" s="1"/>
      <c r="H1" s="1"/>
      <c r="I1" s="1"/>
      <c r="J1" s="1"/>
      <c r="K1" s="1"/>
    </row>
    <row r="2" spans="1:12" x14ac:dyDescent="0.25">
      <c r="A2" s="1"/>
      <c r="D2" s="1" t="s">
        <v>0</v>
      </c>
      <c r="E2" s="1"/>
      <c r="F2" s="1"/>
      <c r="G2" s="1"/>
      <c r="H2" s="1"/>
      <c r="I2" s="1"/>
      <c r="J2" s="1"/>
      <c r="K2" s="1"/>
    </row>
    <row r="3" spans="1:12" x14ac:dyDescent="0.25">
      <c r="A3" s="1"/>
      <c r="C3" s="1"/>
      <c r="D3" s="1" t="s">
        <v>111</v>
      </c>
      <c r="E3" s="1"/>
      <c r="F3" s="1"/>
      <c r="G3" s="1"/>
      <c r="H3" s="1"/>
      <c r="I3" s="1"/>
      <c r="J3" s="1"/>
      <c r="K3" s="1"/>
    </row>
    <row r="4" spans="1:12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60</v>
      </c>
      <c r="F4" s="2" t="s">
        <v>30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61</v>
      </c>
      <c r="L4" s="7"/>
    </row>
    <row r="5" spans="1:12" x14ac:dyDescent="0.25">
      <c r="A5" s="3" t="s">
        <v>32</v>
      </c>
      <c r="B5" s="3" t="s">
        <v>47</v>
      </c>
      <c r="C5" s="3"/>
      <c r="D5" s="3">
        <f>'MAY 21'!J5:J21</f>
        <v>0</v>
      </c>
      <c r="E5" s="3"/>
      <c r="F5" s="3"/>
      <c r="G5" s="3"/>
      <c r="H5" s="3">
        <f>D5+G5+C5+F5+E5</f>
        <v>0</v>
      </c>
      <c r="I5" s="19"/>
      <c r="J5" s="3">
        <f t="shared" ref="J5:J19" si="0">H5-I5</f>
        <v>0</v>
      </c>
      <c r="K5" s="3"/>
      <c r="L5" s="7"/>
    </row>
    <row r="6" spans="1:12" x14ac:dyDescent="0.25">
      <c r="A6" s="3" t="s">
        <v>33</v>
      </c>
      <c r="B6" s="3" t="s">
        <v>48</v>
      </c>
      <c r="C6" s="3"/>
      <c r="D6" s="3">
        <f>'MAY 21'!J6:J22</f>
        <v>0</v>
      </c>
      <c r="E6" s="3">
        <v>200</v>
      </c>
      <c r="F6" s="3">
        <v>620</v>
      </c>
      <c r="G6" s="3">
        <v>8000</v>
      </c>
      <c r="H6" s="3">
        <f t="shared" ref="H6:H19" si="1">D6+G6+C6+F6+E6</f>
        <v>8820</v>
      </c>
      <c r="I6" s="19">
        <v>8820</v>
      </c>
      <c r="J6" s="3">
        <f t="shared" si="0"/>
        <v>0</v>
      </c>
      <c r="K6" s="3"/>
      <c r="L6" s="7"/>
    </row>
    <row r="7" spans="1:12" x14ac:dyDescent="0.25">
      <c r="A7" s="3" t="s">
        <v>34</v>
      </c>
      <c r="B7" s="3" t="s">
        <v>70</v>
      </c>
      <c r="C7" s="3"/>
      <c r="D7" s="3">
        <f>'MAY 21'!J7:J23</f>
        <v>-280</v>
      </c>
      <c r="E7" s="3">
        <v>200</v>
      </c>
      <c r="F7" s="3"/>
      <c r="G7" s="3">
        <v>7000</v>
      </c>
      <c r="H7" s="3">
        <f t="shared" si="1"/>
        <v>6920</v>
      </c>
      <c r="I7" s="19">
        <v>6920</v>
      </c>
      <c r="J7" s="3">
        <f t="shared" si="0"/>
        <v>0</v>
      </c>
      <c r="K7" s="3"/>
      <c r="L7" s="7"/>
    </row>
    <row r="8" spans="1:12" x14ac:dyDescent="0.25">
      <c r="A8" s="3" t="s">
        <v>35</v>
      </c>
      <c r="B8" s="19" t="s">
        <v>116</v>
      </c>
      <c r="C8" s="4"/>
      <c r="D8" s="3">
        <f>'MAY 21'!J8:J24</f>
        <v>8200</v>
      </c>
      <c r="E8" s="3">
        <v>200</v>
      </c>
      <c r="F8" s="3">
        <v>1160</v>
      </c>
      <c r="G8" s="3">
        <v>9000</v>
      </c>
      <c r="H8" s="3">
        <f>D8+G8+C8+F8+E8</f>
        <v>18560</v>
      </c>
      <c r="I8" s="19">
        <f>10000+3000+2000+2000</f>
        <v>17000</v>
      </c>
      <c r="J8" s="3">
        <f t="shared" si="0"/>
        <v>1560</v>
      </c>
      <c r="K8" s="3"/>
      <c r="L8" s="7"/>
    </row>
    <row r="9" spans="1:12" x14ac:dyDescent="0.25">
      <c r="A9" s="5" t="s">
        <v>36</v>
      </c>
      <c r="B9" s="19" t="s">
        <v>57</v>
      </c>
      <c r="C9" s="19"/>
      <c r="D9" s="3">
        <f>'MAY 21'!J9:J25</f>
        <v>1040</v>
      </c>
      <c r="E9" s="3">
        <v>200</v>
      </c>
      <c r="F9" s="3">
        <v>920</v>
      </c>
      <c r="G9" s="3">
        <v>9000</v>
      </c>
      <c r="H9" s="3">
        <f t="shared" si="1"/>
        <v>11160</v>
      </c>
      <c r="I9" s="19">
        <f>9400</f>
        <v>9400</v>
      </c>
      <c r="J9" s="3">
        <f t="shared" si="0"/>
        <v>1760</v>
      </c>
      <c r="K9" s="3"/>
      <c r="L9" s="7"/>
    </row>
    <row r="10" spans="1:12" x14ac:dyDescent="0.25">
      <c r="A10" s="3" t="s">
        <v>37</v>
      </c>
      <c r="B10" s="3" t="s">
        <v>50</v>
      </c>
      <c r="C10" s="3"/>
      <c r="D10" s="3">
        <f>'MAY 21'!J10:J26</f>
        <v>-1060</v>
      </c>
      <c r="E10" s="3">
        <v>200</v>
      </c>
      <c r="F10" s="3">
        <v>60</v>
      </c>
      <c r="G10" s="3">
        <v>12000</v>
      </c>
      <c r="H10" s="3">
        <f t="shared" si="1"/>
        <v>11200</v>
      </c>
      <c r="I10" s="19">
        <f>13000</f>
        <v>13000</v>
      </c>
      <c r="J10" s="3">
        <f t="shared" si="0"/>
        <v>-1800</v>
      </c>
      <c r="K10" s="3"/>
      <c r="L10" s="7"/>
    </row>
    <row r="11" spans="1:12" x14ac:dyDescent="0.25">
      <c r="A11" s="3" t="s">
        <v>38</v>
      </c>
      <c r="B11" s="6" t="s">
        <v>53</v>
      </c>
      <c r="C11" s="6"/>
      <c r="D11" s="3"/>
      <c r="E11" s="3">
        <v>200</v>
      </c>
      <c r="F11" s="3">
        <v>1200</v>
      </c>
      <c r="G11" s="3">
        <v>12000</v>
      </c>
      <c r="H11" s="3">
        <f t="shared" si="1"/>
        <v>13400</v>
      </c>
      <c r="I11" s="19">
        <v>13400</v>
      </c>
      <c r="J11" s="3">
        <f t="shared" si="0"/>
        <v>0</v>
      </c>
      <c r="K11" s="3"/>
      <c r="L11" s="7"/>
    </row>
    <row r="12" spans="1:12" x14ac:dyDescent="0.25">
      <c r="A12" s="3" t="s">
        <v>39</v>
      </c>
      <c r="B12" s="4" t="s">
        <v>11</v>
      </c>
      <c r="C12" s="3"/>
      <c r="D12" s="3">
        <f>'MAY 21'!J12:J28</f>
        <v>0</v>
      </c>
      <c r="E12" s="3"/>
      <c r="F12" s="3"/>
      <c r="G12" s="3"/>
      <c r="H12" s="3">
        <f t="shared" si="1"/>
        <v>0</v>
      </c>
      <c r="I12" s="19"/>
      <c r="J12" s="3">
        <f t="shared" si="0"/>
        <v>0</v>
      </c>
      <c r="K12" s="3"/>
      <c r="L12" s="7"/>
    </row>
    <row r="13" spans="1:12" x14ac:dyDescent="0.25">
      <c r="A13" s="3" t="s">
        <v>40</v>
      </c>
      <c r="B13" s="19" t="s">
        <v>98</v>
      </c>
      <c r="C13" s="3"/>
      <c r="D13" s="3">
        <f>'MAY 21'!J13:J29</f>
        <v>0</v>
      </c>
      <c r="E13" s="3">
        <v>200</v>
      </c>
      <c r="F13" s="3">
        <v>1100</v>
      </c>
      <c r="G13" s="3">
        <v>9000</v>
      </c>
      <c r="H13" s="3">
        <f t="shared" si="1"/>
        <v>10300</v>
      </c>
      <c r="I13" s="19">
        <f>10300</f>
        <v>10300</v>
      </c>
      <c r="J13" s="3">
        <f t="shared" si="0"/>
        <v>0</v>
      </c>
      <c r="K13" s="3"/>
      <c r="L13" s="7"/>
    </row>
    <row r="14" spans="1:12" x14ac:dyDescent="0.25">
      <c r="A14" s="3" t="s">
        <v>41</v>
      </c>
      <c r="B14" s="3" t="s">
        <v>55</v>
      </c>
      <c r="C14" s="3"/>
      <c r="D14" s="3">
        <f>'MAY 21'!J14:J30</f>
        <v>4000</v>
      </c>
      <c r="E14" s="3">
        <v>200</v>
      </c>
      <c r="F14" s="3">
        <v>1340</v>
      </c>
      <c r="G14" s="3">
        <v>8000</v>
      </c>
      <c r="H14" s="3">
        <f t="shared" si="1"/>
        <v>13540</v>
      </c>
      <c r="I14" s="19">
        <f>9300</f>
        <v>9300</v>
      </c>
      <c r="J14" s="3">
        <f t="shared" si="0"/>
        <v>4240</v>
      </c>
      <c r="K14" s="3"/>
      <c r="L14" s="7"/>
    </row>
    <row r="15" spans="1:12" x14ac:dyDescent="0.25">
      <c r="A15" s="3" t="s">
        <v>42</v>
      </c>
      <c r="B15" s="19" t="s">
        <v>66</v>
      </c>
      <c r="C15" s="19"/>
      <c r="D15" s="3">
        <f>'MAY 21'!J15:J31</f>
        <v>0</v>
      </c>
      <c r="E15" s="3">
        <v>200</v>
      </c>
      <c r="F15" s="3">
        <v>180</v>
      </c>
      <c r="G15" s="3">
        <v>9000</v>
      </c>
      <c r="H15" s="3">
        <f t="shared" si="1"/>
        <v>9380</v>
      </c>
      <c r="I15" s="19">
        <f>30+9350</f>
        <v>9380</v>
      </c>
      <c r="J15" s="3">
        <f t="shared" si="0"/>
        <v>0</v>
      </c>
      <c r="K15" s="3"/>
      <c r="L15" s="7"/>
    </row>
    <row r="16" spans="1:12" x14ac:dyDescent="0.25">
      <c r="A16" s="3" t="s">
        <v>43</v>
      </c>
      <c r="B16" s="19" t="s">
        <v>114</v>
      </c>
      <c r="C16" s="3"/>
      <c r="D16" s="3">
        <f>'MAY 21'!J16:J32</f>
        <v>5760</v>
      </c>
      <c r="E16" s="3">
        <v>200</v>
      </c>
      <c r="F16" s="3">
        <v>740</v>
      </c>
      <c r="G16" s="3">
        <v>12000</v>
      </c>
      <c r="H16" s="3">
        <f t="shared" si="1"/>
        <v>18700</v>
      </c>
      <c r="I16" s="19">
        <f>12000</f>
        <v>12000</v>
      </c>
      <c r="J16" s="3">
        <f t="shared" si="0"/>
        <v>6700</v>
      </c>
      <c r="K16" s="3"/>
      <c r="L16" s="7"/>
    </row>
    <row r="17" spans="1:13" x14ac:dyDescent="0.25">
      <c r="A17" s="3" t="s">
        <v>44</v>
      </c>
      <c r="B17" s="4" t="s">
        <v>11</v>
      </c>
      <c r="C17" s="4"/>
      <c r="D17" s="3">
        <f>'MAY 21'!J17:J33</f>
        <v>0</v>
      </c>
      <c r="E17" s="3"/>
      <c r="F17" s="3"/>
      <c r="G17" s="3"/>
      <c r="H17" s="3">
        <f t="shared" si="1"/>
        <v>0</v>
      </c>
      <c r="I17" s="19"/>
      <c r="J17" s="3">
        <f t="shared" si="0"/>
        <v>0</v>
      </c>
      <c r="K17" s="3"/>
      <c r="L17" s="7"/>
    </row>
    <row r="18" spans="1:13" x14ac:dyDescent="0.25">
      <c r="A18" s="3" t="s">
        <v>45</v>
      </c>
      <c r="B18" s="19" t="s">
        <v>112</v>
      </c>
      <c r="C18" s="3"/>
      <c r="D18" s="3">
        <f>'MAY 21'!J18:J34</f>
        <v>200</v>
      </c>
      <c r="E18" s="3">
        <v>200</v>
      </c>
      <c r="F18" s="3">
        <v>1960</v>
      </c>
      <c r="G18" s="3">
        <v>9000</v>
      </c>
      <c r="H18" s="3">
        <f>D18+G18+C18+F18+E18</f>
        <v>11360</v>
      </c>
      <c r="I18" s="19">
        <v>11160</v>
      </c>
      <c r="J18" s="3">
        <f t="shared" si="0"/>
        <v>200</v>
      </c>
      <c r="K18" s="3"/>
      <c r="L18" s="7"/>
    </row>
    <row r="19" spans="1:13" x14ac:dyDescent="0.25">
      <c r="A19" s="3" t="s">
        <v>46</v>
      </c>
      <c r="B19" s="19" t="s">
        <v>113</v>
      </c>
      <c r="C19" s="3">
        <v>3000</v>
      </c>
      <c r="D19" s="3">
        <f>'MAY 21'!J19:J35</f>
        <v>0</v>
      </c>
      <c r="E19" s="3"/>
      <c r="F19" s="3"/>
      <c r="G19" s="3">
        <v>9000</v>
      </c>
      <c r="H19" s="3">
        <f t="shared" si="1"/>
        <v>12000</v>
      </c>
      <c r="I19" s="19"/>
      <c r="J19" s="3">
        <f t="shared" si="0"/>
        <v>12000</v>
      </c>
      <c r="K19" s="3"/>
      <c r="L19" s="7"/>
    </row>
    <row r="20" spans="1:13" x14ac:dyDescent="0.25">
      <c r="A20" s="3"/>
      <c r="B20" s="2" t="s">
        <v>12</v>
      </c>
      <c r="C20" s="2">
        <f t="shared" ref="C20:K20" si="2">SUM(C5:C19)</f>
        <v>3000</v>
      </c>
      <c r="D20" s="3">
        <f t="shared" si="2"/>
        <v>17860</v>
      </c>
      <c r="E20" s="3">
        <f t="shared" si="2"/>
        <v>2200</v>
      </c>
      <c r="F20" s="3">
        <f t="shared" si="2"/>
        <v>9280</v>
      </c>
      <c r="G20" s="2">
        <f t="shared" si="2"/>
        <v>113000</v>
      </c>
      <c r="H20" s="3">
        <f t="shared" si="2"/>
        <v>145340</v>
      </c>
      <c r="I20" s="18">
        <f t="shared" si="2"/>
        <v>120680</v>
      </c>
      <c r="J20" s="2">
        <f t="shared" si="2"/>
        <v>24660</v>
      </c>
      <c r="K20" s="3">
        <f t="shared" si="2"/>
        <v>0</v>
      </c>
      <c r="L20" s="7"/>
    </row>
    <row r="21" spans="1:13" x14ac:dyDescent="0.25">
      <c r="A21" s="7"/>
      <c r="B21" s="9"/>
      <c r="C21" s="9"/>
      <c r="D21" s="3">
        <f>'MAY 21'!J21:J37</f>
        <v>9240</v>
      </c>
      <c r="E21" s="9"/>
      <c r="G21" s="9" t="s">
        <v>14</v>
      </c>
      <c r="H21" s="9"/>
      <c r="I21" s="9"/>
      <c r="J21" s="29">
        <f>J8+J9</f>
        <v>3320</v>
      </c>
      <c r="K21" s="7"/>
    </row>
    <row r="22" spans="1:13" x14ac:dyDescent="0.25">
      <c r="A22" s="10" t="s">
        <v>15</v>
      </c>
      <c r="B22" s="10"/>
      <c r="C22" s="11"/>
      <c r="D22" s="9"/>
      <c r="E22" s="13"/>
      <c r="F22" s="14"/>
      <c r="G22" s="15"/>
      <c r="H22" s="15"/>
      <c r="I22" s="14"/>
      <c r="J22" s="10"/>
    </row>
    <row r="23" spans="1:13" x14ac:dyDescent="0.25">
      <c r="A23" s="16" t="s">
        <v>16</v>
      </c>
      <c r="B23" s="16"/>
      <c r="C23" s="16"/>
      <c r="D23" s="16"/>
      <c r="E23" s="12"/>
      <c r="F23" s="16" t="s">
        <v>17</v>
      </c>
      <c r="G23" s="10"/>
      <c r="H23" s="10"/>
      <c r="I23" s="10"/>
      <c r="J23" s="10"/>
      <c r="M23">
        <f>7560-2000</f>
        <v>5560</v>
      </c>
    </row>
    <row r="24" spans="1:13" x14ac:dyDescent="0.25">
      <c r="A24" s="18" t="s">
        <v>18</v>
      </c>
      <c r="B24" s="18"/>
      <c r="C24" s="18" t="s">
        <v>19</v>
      </c>
      <c r="D24" s="18" t="s">
        <v>20</v>
      </c>
      <c r="E24" s="18" t="s">
        <v>21</v>
      </c>
      <c r="F24" s="18" t="s">
        <v>18</v>
      </c>
      <c r="G24" s="18" t="s">
        <v>19</v>
      </c>
      <c r="H24" s="18"/>
      <c r="I24" s="18" t="s">
        <v>20</v>
      </c>
      <c r="J24" s="18" t="s">
        <v>21</v>
      </c>
      <c r="M24">
        <f>M23-2000</f>
        <v>3560</v>
      </c>
    </row>
    <row r="25" spans="1:13" x14ac:dyDescent="0.25">
      <c r="A25" s="19" t="s">
        <v>110</v>
      </c>
      <c r="B25" s="19"/>
      <c r="C25" s="20">
        <f>G20</f>
        <v>113000</v>
      </c>
      <c r="D25" s="19"/>
      <c r="F25" s="19" t="s">
        <v>110</v>
      </c>
      <c r="G25" s="20">
        <f>I20</f>
        <v>120680</v>
      </c>
      <c r="H25" s="20"/>
      <c r="I25" s="19"/>
      <c r="J25" s="19"/>
      <c r="K25" s="26"/>
      <c r="M25">
        <f>M24-1800</f>
        <v>1760</v>
      </c>
    </row>
    <row r="26" spans="1:13" x14ac:dyDescent="0.25">
      <c r="A26" s="19" t="s">
        <v>6</v>
      </c>
      <c r="B26" s="19"/>
      <c r="C26" s="20">
        <f>'MAY 21'!E37</f>
        <v>9790</v>
      </c>
      <c r="D26" s="19"/>
      <c r="E26" s="19"/>
      <c r="F26" t="s">
        <v>6</v>
      </c>
      <c r="G26" s="20">
        <f>'MAY 21'!J37</f>
        <v>-4350</v>
      </c>
      <c r="H26" s="20"/>
      <c r="I26" s="19"/>
      <c r="J26" s="19"/>
    </row>
    <row r="27" spans="1:13" x14ac:dyDescent="0.25">
      <c r="A27" s="19" t="s">
        <v>30</v>
      </c>
      <c r="B27" s="19"/>
      <c r="C27" s="20">
        <f>F20</f>
        <v>9280</v>
      </c>
      <c r="D27" s="19"/>
      <c r="E27" s="19"/>
      <c r="F27" s="19"/>
      <c r="G27" s="20"/>
      <c r="H27" s="20"/>
      <c r="I27" s="19"/>
      <c r="J27" s="19"/>
    </row>
    <row r="28" spans="1:13" x14ac:dyDescent="0.25">
      <c r="A28" s="19" t="s">
        <v>60</v>
      </c>
      <c r="B28" s="19"/>
      <c r="C28" s="20">
        <f>E20</f>
        <v>2200</v>
      </c>
      <c r="D28" s="19"/>
      <c r="E28" s="19"/>
      <c r="F28" s="19"/>
      <c r="G28" s="19"/>
      <c r="H28" s="20"/>
      <c r="I28" s="19"/>
      <c r="J28" s="19"/>
    </row>
    <row r="29" spans="1:13" x14ac:dyDescent="0.25">
      <c r="A29" s="19" t="s">
        <v>104</v>
      </c>
      <c r="B29" s="19"/>
      <c r="C29" s="20">
        <f>K20</f>
        <v>0</v>
      </c>
      <c r="D29" s="19"/>
      <c r="E29" s="19"/>
      <c r="F29" s="19"/>
      <c r="G29" s="19"/>
      <c r="H29" s="20"/>
      <c r="I29" s="19"/>
      <c r="J29" s="19"/>
    </row>
    <row r="30" spans="1:13" x14ac:dyDescent="0.25">
      <c r="A30" s="19" t="s">
        <v>5</v>
      </c>
      <c r="B30" s="19"/>
      <c r="C30" s="20"/>
      <c r="D30" s="19"/>
      <c r="E30" s="19"/>
      <c r="F30" s="19"/>
      <c r="G30" s="20"/>
      <c r="H30" s="20"/>
      <c r="I30" s="19"/>
      <c r="J30" s="19"/>
    </row>
    <row r="31" spans="1:13" x14ac:dyDescent="0.25">
      <c r="A31" s="19" t="s">
        <v>23</v>
      </c>
      <c r="B31" s="19"/>
      <c r="C31" s="21">
        <v>7.0000000000000007E-2</v>
      </c>
      <c r="D31" s="20">
        <f>C31*C25</f>
        <v>7910.0000000000009</v>
      </c>
      <c r="E31" s="19"/>
      <c r="F31" s="19" t="s">
        <v>23</v>
      </c>
      <c r="G31" s="21">
        <v>7.0000000000000007E-2</v>
      </c>
      <c r="H31" s="21"/>
      <c r="I31" s="20">
        <f>G31*C25</f>
        <v>7910.0000000000009</v>
      </c>
      <c r="J31" s="19"/>
    </row>
    <row r="32" spans="1:13" x14ac:dyDescent="0.25">
      <c r="A32" s="18" t="s">
        <v>24</v>
      </c>
      <c r="B32" s="18"/>
      <c r="C32" s="22"/>
      <c r="D32" s="18"/>
      <c r="E32" s="18"/>
      <c r="F32" s="18" t="s">
        <v>24</v>
      </c>
      <c r="G32" s="22"/>
      <c r="H32" s="22"/>
      <c r="I32" s="18"/>
      <c r="J32" s="18"/>
    </row>
    <row r="33" spans="1:11" x14ac:dyDescent="0.25">
      <c r="A33" s="19"/>
      <c r="B33" s="18"/>
      <c r="C33" s="22"/>
      <c r="D33" s="19"/>
      <c r="E33" s="18"/>
      <c r="F33" s="19"/>
      <c r="G33" s="18"/>
      <c r="H33" s="22"/>
      <c r="I33" s="19"/>
      <c r="J33" s="19"/>
    </row>
    <row r="34" spans="1:11" x14ac:dyDescent="0.25">
      <c r="A34" s="19" t="s">
        <v>115</v>
      </c>
      <c r="B34" s="19"/>
      <c r="C34" s="20"/>
      <c r="D34" s="19">
        <v>125980</v>
      </c>
      <c r="E34" s="19"/>
      <c r="F34" s="19" t="s">
        <v>115</v>
      </c>
      <c r="G34" s="19"/>
      <c r="H34" s="20"/>
      <c r="I34" s="19">
        <v>125980</v>
      </c>
      <c r="J34" s="20"/>
      <c r="K34" s="19"/>
    </row>
    <row r="35" spans="1:11" x14ac:dyDescent="0.25">
      <c r="A35" s="23"/>
      <c r="B35" s="23"/>
      <c r="C35" s="19"/>
      <c r="D35" s="19"/>
      <c r="E35" s="19"/>
      <c r="F35" s="23"/>
      <c r="G35" s="23"/>
      <c r="H35" s="19"/>
      <c r="I35" s="19"/>
      <c r="J35" s="20"/>
      <c r="K35" s="19"/>
    </row>
    <row r="36" spans="1:11" x14ac:dyDescent="0.25">
      <c r="A36" s="23"/>
      <c r="B36" s="23"/>
      <c r="C36" s="19"/>
      <c r="D36" s="19"/>
      <c r="E36" s="19"/>
      <c r="F36" s="23"/>
      <c r="G36" s="23"/>
      <c r="H36" s="19"/>
      <c r="I36" s="19"/>
      <c r="J36" s="19"/>
      <c r="K36" s="19"/>
    </row>
    <row r="37" spans="1:11" x14ac:dyDescent="0.25">
      <c r="A37" s="18" t="s">
        <v>12</v>
      </c>
      <c r="B37" s="18"/>
      <c r="C37" s="22">
        <f>C25+C26+C27+C28+C29+C30-D31</f>
        <v>126360</v>
      </c>
      <c r="D37" s="22">
        <f>SUM(D33:D36)</f>
        <v>125980</v>
      </c>
      <c r="E37" s="22">
        <f>C37-D37</f>
        <v>380</v>
      </c>
      <c r="F37" s="18" t="s">
        <v>12</v>
      </c>
      <c r="G37" s="22">
        <f>G25+G30+G29+G26-I31</f>
        <v>108420</v>
      </c>
      <c r="H37" s="22"/>
      <c r="I37" s="22">
        <f>SUM(I33:I36)</f>
        <v>125980</v>
      </c>
      <c r="J37" s="22">
        <f>G37-I37</f>
        <v>-17560</v>
      </c>
    </row>
    <row r="39" spans="1:11" x14ac:dyDescent="0.25">
      <c r="A39" t="s">
        <v>25</v>
      </c>
      <c r="D39" t="s">
        <v>26</v>
      </c>
      <c r="G39" t="s">
        <v>27</v>
      </c>
    </row>
    <row r="40" spans="1:11" x14ac:dyDescent="0.25">
      <c r="A40" t="s">
        <v>28</v>
      </c>
      <c r="D40" t="s">
        <v>29</v>
      </c>
      <c r="G40" t="s">
        <v>31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10" workbookViewId="0">
      <selection activeCell="D21" sqref="D21"/>
    </sheetView>
  </sheetViews>
  <sheetFormatPr defaultRowHeight="15" x14ac:dyDescent="0.25"/>
  <sheetData>
    <row r="1" spans="1:12" x14ac:dyDescent="0.25">
      <c r="A1" s="1"/>
      <c r="D1" s="1" t="s">
        <v>31</v>
      </c>
      <c r="E1" s="1"/>
      <c r="F1" s="1"/>
      <c r="G1" s="1"/>
      <c r="H1" s="1"/>
      <c r="I1" s="1"/>
      <c r="J1" s="1"/>
      <c r="K1" s="1"/>
    </row>
    <row r="2" spans="1:12" x14ac:dyDescent="0.25">
      <c r="A2" s="1"/>
      <c r="D2" s="1" t="s">
        <v>0</v>
      </c>
      <c r="E2" s="1"/>
      <c r="F2" s="1"/>
      <c r="G2" s="1"/>
      <c r="H2" s="1"/>
      <c r="I2" s="1"/>
      <c r="J2" s="1"/>
      <c r="K2" s="1"/>
    </row>
    <row r="3" spans="1:12" x14ac:dyDescent="0.25">
      <c r="A3" s="1"/>
      <c r="C3" s="1"/>
      <c r="D3" s="1" t="s">
        <v>117</v>
      </c>
      <c r="E3" s="1"/>
      <c r="F3" s="1"/>
      <c r="G3" s="1"/>
      <c r="H3" s="1"/>
      <c r="I3" s="1"/>
      <c r="J3" s="1"/>
      <c r="K3" s="1"/>
    </row>
    <row r="4" spans="1:12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60</v>
      </c>
      <c r="F4" s="2" t="s">
        <v>30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61</v>
      </c>
      <c r="L4" s="7"/>
    </row>
    <row r="5" spans="1:12" x14ac:dyDescent="0.25">
      <c r="A5" s="3" t="s">
        <v>32</v>
      </c>
      <c r="B5" s="3" t="s">
        <v>47</v>
      </c>
      <c r="C5" s="3"/>
      <c r="D5" s="3">
        <f>'JUNE 21'!J5:J21</f>
        <v>0</v>
      </c>
      <c r="E5" s="3"/>
      <c r="F5" s="3"/>
      <c r="G5" s="3"/>
      <c r="H5" s="3">
        <f>D5+G5+C5+F5+E5</f>
        <v>0</v>
      </c>
      <c r="I5" s="19"/>
      <c r="J5" s="3">
        <f t="shared" ref="J5:J19" si="0">H5-I5</f>
        <v>0</v>
      </c>
      <c r="K5" s="3"/>
      <c r="L5" s="7"/>
    </row>
    <row r="6" spans="1:12" x14ac:dyDescent="0.25">
      <c r="A6" s="3" t="s">
        <v>33</v>
      </c>
      <c r="B6" s="3" t="s">
        <v>48</v>
      </c>
      <c r="C6" s="3"/>
      <c r="D6" s="3">
        <f>'JUNE 21'!J6:J22</f>
        <v>0</v>
      </c>
      <c r="E6" s="3">
        <v>200</v>
      </c>
      <c r="F6" s="3">
        <v>820</v>
      </c>
      <c r="G6" s="3">
        <v>8000</v>
      </c>
      <c r="H6" s="3">
        <f t="shared" ref="H6:H19" si="1">D6+G6+C6+F6+E6</f>
        <v>9020</v>
      </c>
      <c r="I6" s="19">
        <f>3020+6000</f>
        <v>9020</v>
      </c>
      <c r="J6" s="3">
        <f t="shared" si="0"/>
        <v>0</v>
      </c>
      <c r="K6" s="3"/>
      <c r="L6" s="7"/>
    </row>
    <row r="7" spans="1:12" x14ac:dyDescent="0.25">
      <c r="A7" s="3" t="s">
        <v>34</v>
      </c>
      <c r="B7" s="3" t="s">
        <v>70</v>
      </c>
      <c r="C7" s="3"/>
      <c r="D7" s="3">
        <f>'JUNE 21'!J7:J23</f>
        <v>0</v>
      </c>
      <c r="E7" s="3">
        <v>200</v>
      </c>
      <c r="F7" s="3">
        <v>180</v>
      </c>
      <c r="G7" s="3">
        <v>7000</v>
      </c>
      <c r="H7" s="3">
        <f t="shared" si="1"/>
        <v>7380</v>
      </c>
      <c r="I7" s="19">
        <f>7200+180</f>
        <v>7380</v>
      </c>
      <c r="J7" s="3">
        <f t="shared" si="0"/>
        <v>0</v>
      </c>
      <c r="K7" s="3"/>
      <c r="L7" s="7"/>
    </row>
    <row r="8" spans="1:12" x14ac:dyDescent="0.25">
      <c r="A8" s="3" t="s">
        <v>35</v>
      </c>
      <c r="B8" s="19" t="s">
        <v>116</v>
      </c>
      <c r="C8" s="4"/>
      <c r="D8" s="3">
        <f>'JUNE 21'!J8:J24</f>
        <v>1560</v>
      </c>
      <c r="E8" s="3"/>
      <c r="F8" s="3">
        <v>1120</v>
      </c>
      <c r="G8" s="3"/>
      <c r="H8" s="3">
        <f>D8+G8+C8+F8+E8</f>
        <v>2680</v>
      </c>
      <c r="I8" s="19">
        <v>2680</v>
      </c>
      <c r="J8" s="3">
        <f t="shared" si="0"/>
        <v>0</v>
      </c>
      <c r="K8" s="3"/>
      <c r="L8" s="7"/>
    </row>
    <row r="9" spans="1:12" x14ac:dyDescent="0.25">
      <c r="A9" s="5" t="s">
        <v>36</v>
      </c>
      <c r="B9" s="19" t="s">
        <v>57</v>
      </c>
      <c r="C9" s="19"/>
      <c r="D9" s="3">
        <f>'JUNE 21'!J9:J25</f>
        <v>1760</v>
      </c>
      <c r="E9" s="3">
        <v>200</v>
      </c>
      <c r="F9" s="3">
        <v>1160</v>
      </c>
      <c r="G9" s="3">
        <v>9000</v>
      </c>
      <c r="H9" s="3">
        <f t="shared" si="1"/>
        <v>12120</v>
      </c>
      <c r="I9" s="19">
        <f>5050+7070</f>
        <v>12120</v>
      </c>
      <c r="J9" s="3">
        <f t="shared" si="0"/>
        <v>0</v>
      </c>
      <c r="K9" s="3"/>
      <c r="L9" s="7"/>
    </row>
    <row r="10" spans="1:12" x14ac:dyDescent="0.25">
      <c r="A10" s="3" t="s">
        <v>37</v>
      </c>
      <c r="B10" s="3" t="s">
        <v>50</v>
      </c>
      <c r="C10" s="3"/>
      <c r="D10" s="3">
        <f>'JUNE 21'!J10:J26</f>
        <v>-1800</v>
      </c>
      <c r="E10" s="3">
        <v>200</v>
      </c>
      <c r="F10" s="3">
        <v>80</v>
      </c>
      <c r="G10" s="3">
        <v>12000</v>
      </c>
      <c r="H10" s="3">
        <f t="shared" si="1"/>
        <v>10480</v>
      </c>
      <c r="I10" s="19">
        <f>12612</f>
        <v>12612</v>
      </c>
      <c r="J10" s="3">
        <f t="shared" si="0"/>
        <v>-2132</v>
      </c>
      <c r="K10" s="3"/>
      <c r="L10" s="7"/>
    </row>
    <row r="11" spans="1:12" x14ac:dyDescent="0.25">
      <c r="A11" s="3" t="s">
        <v>38</v>
      </c>
      <c r="B11" s="6" t="s">
        <v>53</v>
      </c>
      <c r="C11" s="6"/>
      <c r="D11" s="3">
        <f>'JUNE 21'!J11:J27</f>
        <v>0</v>
      </c>
      <c r="E11" s="3">
        <v>200</v>
      </c>
      <c r="F11" s="3">
        <v>1440</v>
      </c>
      <c r="G11" s="3">
        <v>12000</v>
      </c>
      <c r="H11" s="3">
        <f t="shared" si="1"/>
        <v>13640</v>
      </c>
      <c r="I11" s="19">
        <v>13600</v>
      </c>
      <c r="J11" s="3">
        <f t="shared" si="0"/>
        <v>40</v>
      </c>
      <c r="K11" s="3"/>
      <c r="L11" s="7"/>
    </row>
    <row r="12" spans="1:12" x14ac:dyDescent="0.25">
      <c r="A12" s="3" t="s">
        <v>39</v>
      </c>
      <c r="B12" s="4" t="s">
        <v>119</v>
      </c>
      <c r="C12" s="3"/>
      <c r="D12" s="3">
        <f>'JUNE 21'!J12:J28</f>
        <v>0</v>
      </c>
      <c r="E12" s="3"/>
      <c r="F12" s="3"/>
      <c r="G12" s="3">
        <v>9000</v>
      </c>
      <c r="H12" s="3">
        <f t="shared" si="1"/>
        <v>9000</v>
      </c>
      <c r="I12" s="19">
        <v>9000</v>
      </c>
      <c r="J12" s="3">
        <f t="shared" si="0"/>
        <v>0</v>
      </c>
      <c r="K12" s="3"/>
      <c r="L12" s="7"/>
    </row>
    <row r="13" spans="1:12" x14ac:dyDescent="0.25">
      <c r="A13" s="3" t="s">
        <v>40</v>
      </c>
      <c r="B13" s="19" t="s">
        <v>98</v>
      </c>
      <c r="C13" s="3"/>
      <c r="D13" s="3">
        <f>'JUNE 21'!J13:J29</f>
        <v>0</v>
      </c>
      <c r="E13" s="3">
        <v>200</v>
      </c>
      <c r="F13" s="3">
        <v>1020</v>
      </c>
      <c r="G13" s="3">
        <v>9000</v>
      </c>
      <c r="H13" s="3">
        <f t="shared" si="1"/>
        <v>10220</v>
      </c>
      <c r="I13" s="19">
        <f>10220</f>
        <v>10220</v>
      </c>
      <c r="J13" s="3">
        <f t="shared" si="0"/>
        <v>0</v>
      </c>
      <c r="K13" s="3"/>
      <c r="L13" s="7"/>
    </row>
    <row r="14" spans="1:12" x14ac:dyDescent="0.25">
      <c r="A14" s="3" t="s">
        <v>41</v>
      </c>
      <c r="B14" s="3" t="s">
        <v>55</v>
      </c>
      <c r="C14" s="3"/>
      <c r="D14" s="3">
        <f>'JUNE 21'!J14:J30</f>
        <v>4240</v>
      </c>
      <c r="E14" s="3">
        <v>200</v>
      </c>
      <c r="F14" s="3">
        <v>1900</v>
      </c>
      <c r="G14" s="3">
        <v>8000</v>
      </c>
      <c r="H14" s="3">
        <f t="shared" si="1"/>
        <v>14340</v>
      </c>
      <c r="I14" s="19">
        <f>100+9400</f>
        <v>9500</v>
      </c>
      <c r="J14" s="3">
        <f t="shared" si="0"/>
        <v>4840</v>
      </c>
      <c r="K14" s="3"/>
      <c r="L14" s="7"/>
    </row>
    <row r="15" spans="1:12" x14ac:dyDescent="0.25">
      <c r="A15" s="3" t="s">
        <v>42</v>
      </c>
      <c r="B15" s="19" t="s">
        <v>66</v>
      </c>
      <c r="C15" s="19"/>
      <c r="D15" s="3">
        <f>'JUNE 21'!J15:J31</f>
        <v>0</v>
      </c>
      <c r="E15" s="3">
        <v>200</v>
      </c>
      <c r="F15" s="3">
        <v>220</v>
      </c>
      <c r="G15" s="3">
        <v>9000</v>
      </c>
      <c r="H15" s="3">
        <f t="shared" si="1"/>
        <v>9420</v>
      </c>
      <c r="I15" s="19">
        <v>9440</v>
      </c>
      <c r="J15" s="3">
        <f t="shared" si="0"/>
        <v>-20</v>
      </c>
      <c r="K15" s="3"/>
      <c r="L15" s="7"/>
    </row>
    <row r="16" spans="1:12" x14ac:dyDescent="0.25">
      <c r="A16" s="3" t="s">
        <v>43</v>
      </c>
      <c r="B16" s="19" t="s">
        <v>114</v>
      </c>
      <c r="C16" s="3"/>
      <c r="D16" s="3">
        <f>'JUNE 21'!J16:J32</f>
        <v>6700</v>
      </c>
      <c r="E16" s="3">
        <v>200</v>
      </c>
      <c r="F16" s="3">
        <v>1200</v>
      </c>
      <c r="G16" s="3">
        <v>12000</v>
      </c>
      <c r="H16" s="3">
        <f t="shared" si="1"/>
        <v>20100</v>
      </c>
      <c r="I16" s="19">
        <v>20100</v>
      </c>
      <c r="J16" s="3">
        <f t="shared" si="0"/>
        <v>0</v>
      </c>
      <c r="K16" s="3"/>
      <c r="L16" s="7"/>
    </row>
    <row r="17" spans="1:12" x14ac:dyDescent="0.25">
      <c r="A17" s="3" t="s">
        <v>44</v>
      </c>
      <c r="B17" s="4" t="s">
        <v>11</v>
      </c>
      <c r="C17" s="4"/>
      <c r="D17" s="3">
        <f>'JUNE 21'!J17:J33</f>
        <v>0</v>
      </c>
      <c r="E17" s="3"/>
      <c r="F17" s="3"/>
      <c r="G17" s="3"/>
      <c r="H17" s="3">
        <f t="shared" si="1"/>
        <v>0</v>
      </c>
      <c r="I17" s="19"/>
      <c r="J17" s="3">
        <f t="shared" si="0"/>
        <v>0</v>
      </c>
      <c r="K17" s="3"/>
      <c r="L17" s="7"/>
    </row>
    <row r="18" spans="1:12" x14ac:dyDescent="0.25">
      <c r="A18" s="3" t="s">
        <v>45</v>
      </c>
      <c r="B18" s="19" t="s">
        <v>112</v>
      </c>
      <c r="C18" s="3"/>
      <c r="D18" s="3">
        <f>'JUNE 21'!J18:J34</f>
        <v>200</v>
      </c>
      <c r="E18" s="3">
        <v>200</v>
      </c>
      <c r="F18" s="3">
        <v>1800</v>
      </c>
      <c r="G18" s="3">
        <v>9000</v>
      </c>
      <c r="H18" s="3">
        <f>D18+G18+C18+F18+E18</f>
        <v>11200</v>
      </c>
      <c r="I18" s="19">
        <f>11000</f>
        <v>11000</v>
      </c>
      <c r="J18" s="3">
        <f t="shared" si="0"/>
        <v>200</v>
      </c>
      <c r="K18" s="3"/>
      <c r="L18" s="7"/>
    </row>
    <row r="19" spans="1:12" x14ac:dyDescent="0.25">
      <c r="A19" s="3" t="s">
        <v>46</v>
      </c>
      <c r="B19" s="19" t="s">
        <v>113</v>
      </c>
      <c r="C19" s="3"/>
      <c r="D19" s="3">
        <v>9000</v>
      </c>
      <c r="E19" s="3"/>
      <c r="F19" s="3"/>
      <c r="G19" s="3"/>
      <c r="H19" s="3">
        <f t="shared" si="1"/>
        <v>9000</v>
      </c>
      <c r="I19" s="19"/>
      <c r="J19" s="3">
        <f t="shared" si="0"/>
        <v>9000</v>
      </c>
      <c r="K19" s="3"/>
      <c r="L19" s="7"/>
    </row>
    <row r="20" spans="1:12" x14ac:dyDescent="0.25">
      <c r="A20" s="3"/>
      <c r="B20" s="2" t="s">
        <v>12</v>
      </c>
      <c r="C20" s="2">
        <f>SUM(C5:C19)</f>
        <v>0</v>
      </c>
      <c r="D20" s="3">
        <f>SUM(D5:D19)</f>
        <v>21660</v>
      </c>
      <c r="E20" s="3">
        <f t="shared" ref="E20:K20" si="2">SUM(E5:E19)</f>
        <v>2000</v>
      </c>
      <c r="F20" s="3">
        <f t="shared" si="2"/>
        <v>10940</v>
      </c>
      <c r="G20" s="2">
        <f t="shared" si="2"/>
        <v>104000</v>
      </c>
      <c r="H20" s="3">
        <f t="shared" si="2"/>
        <v>138600</v>
      </c>
      <c r="I20" s="18">
        <f t="shared" si="2"/>
        <v>126672</v>
      </c>
      <c r="J20" s="2">
        <f t="shared" si="2"/>
        <v>11928</v>
      </c>
      <c r="K20" s="3">
        <f t="shared" si="2"/>
        <v>0</v>
      </c>
      <c r="L20" s="7"/>
    </row>
    <row r="21" spans="1:12" x14ac:dyDescent="0.25">
      <c r="A21" s="7"/>
      <c r="B21" s="9"/>
      <c r="C21" s="9"/>
      <c r="D21" s="3">
        <f>'JUNE 21'!J21:J37</f>
        <v>3320</v>
      </c>
      <c r="E21" s="9"/>
      <c r="G21" s="9" t="s">
        <v>14</v>
      </c>
      <c r="H21" s="9"/>
      <c r="I21" s="9"/>
      <c r="J21" s="29">
        <f>J8+J9</f>
        <v>0</v>
      </c>
      <c r="K21" s="7"/>
    </row>
    <row r="22" spans="1:12" x14ac:dyDescent="0.25">
      <c r="A22" s="10" t="s">
        <v>15</v>
      </c>
      <c r="B22" s="10"/>
      <c r="C22" s="11"/>
      <c r="D22" s="9"/>
      <c r="E22" s="13"/>
      <c r="F22" s="14"/>
      <c r="G22" s="15"/>
      <c r="H22" s="15"/>
      <c r="I22" s="14"/>
      <c r="J22" s="10"/>
    </row>
    <row r="23" spans="1:12" x14ac:dyDescent="0.25">
      <c r="A23" s="16" t="s">
        <v>16</v>
      </c>
      <c r="B23" s="16"/>
      <c r="C23" s="16"/>
      <c r="D23" s="16"/>
      <c r="E23" s="12"/>
      <c r="F23" s="16" t="s">
        <v>17</v>
      </c>
      <c r="G23" s="10"/>
      <c r="H23" s="10"/>
      <c r="I23" s="10"/>
      <c r="J23" s="10"/>
    </row>
    <row r="24" spans="1:12" x14ac:dyDescent="0.25">
      <c r="A24" s="18" t="s">
        <v>18</v>
      </c>
      <c r="B24" s="18"/>
      <c r="C24" s="18" t="s">
        <v>19</v>
      </c>
      <c r="D24" s="18" t="s">
        <v>20</v>
      </c>
      <c r="E24" s="18" t="s">
        <v>21</v>
      </c>
      <c r="F24" s="18" t="s">
        <v>18</v>
      </c>
      <c r="G24" s="18" t="s">
        <v>19</v>
      </c>
      <c r="H24" s="18"/>
      <c r="I24" s="18" t="s">
        <v>20</v>
      </c>
      <c r="J24" s="18" t="s">
        <v>21</v>
      </c>
    </row>
    <row r="25" spans="1:12" x14ac:dyDescent="0.25">
      <c r="A25" s="19" t="s">
        <v>118</v>
      </c>
      <c r="B25" s="19"/>
      <c r="C25" s="20">
        <f>G20</f>
        <v>104000</v>
      </c>
      <c r="D25" s="19"/>
      <c r="F25" s="19" t="s">
        <v>118</v>
      </c>
      <c r="G25" s="20">
        <f>I20</f>
        <v>126672</v>
      </c>
      <c r="H25" s="20"/>
      <c r="I25" s="19"/>
      <c r="J25" s="19"/>
      <c r="K25" s="26"/>
    </row>
    <row r="26" spans="1:12" x14ac:dyDescent="0.25">
      <c r="A26" s="19" t="s">
        <v>6</v>
      </c>
      <c r="B26" s="19"/>
      <c r="C26" s="20">
        <f>'JUNE 21'!E37</f>
        <v>380</v>
      </c>
      <c r="D26" s="19"/>
      <c r="E26" s="19"/>
      <c r="F26" t="s">
        <v>6</v>
      </c>
      <c r="G26" s="20">
        <f>'JUNE 21'!J37</f>
        <v>-17560</v>
      </c>
      <c r="H26" s="20"/>
      <c r="I26" s="19"/>
      <c r="J26" s="19"/>
    </row>
    <row r="27" spans="1:12" x14ac:dyDescent="0.25">
      <c r="A27" s="19" t="s">
        <v>30</v>
      </c>
      <c r="B27" s="19"/>
      <c r="C27" s="20">
        <f>F20</f>
        <v>10940</v>
      </c>
      <c r="D27" s="19"/>
      <c r="E27" s="19"/>
      <c r="F27" s="19"/>
      <c r="G27" s="20"/>
      <c r="H27" s="20"/>
      <c r="I27" s="19"/>
      <c r="J27" s="19"/>
    </row>
    <row r="28" spans="1:12" x14ac:dyDescent="0.25">
      <c r="A28" s="19" t="s">
        <v>60</v>
      </c>
      <c r="B28" s="19"/>
      <c r="C28" s="20">
        <f>E20</f>
        <v>2000</v>
      </c>
      <c r="D28" s="19"/>
      <c r="E28" s="19"/>
      <c r="F28" s="19"/>
      <c r="G28" s="19"/>
      <c r="H28" s="20"/>
      <c r="I28" s="19"/>
      <c r="J28" s="19"/>
    </row>
    <row r="29" spans="1:12" x14ac:dyDescent="0.25">
      <c r="A29" s="19" t="s">
        <v>104</v>
      </c>
      <c r="B29" s="19"/>
      <c r="C29" s="20">
        <f>K20</f>
        <v>0</v>
      </c>
      <c r="D29" s="19"/>
      <c r="E29" s="19"/>
      <c r="F29" s="19"/>
      <c r="G29" s="19"/>
      <c r="H29" s="20"/>
      <c r="I29" s="19"/>
      <c r="J29" s="19"/>
    </row>
    <row r="30" spans="1:12" x14ac:dyDescent="0.25">
      <c r="A30" s="19" t="s">
        <v>5</v>
      </c>
      <c r="B30" s="19"/>
      <c r="C30" s="20"/>
      <c r="D30" s="19"/>
      <c r="E30" s="19"/>
      <c r="F30" s="19"/>
      <c r="G30" s="20"/>
      <c r="H30" s="20"/>
      <c r="I30" s="19"/>
      <c r="J30" s="19"/>
    </row>
    <row r="31" spans="1:12" x14ac:dyDescent="0.25">
      <c r="A31" s="19" t="s">
        <v>23</v>
      </c>
      <c r="B31" s="19"/>
      <c r="C31" s="21">
        <v>7.0000000000000007E-2</v>
      </c>
      <c r="D31" s="20">
        <f>C31*C25</f>
        <v>7280.0000000000009</v>
      </c>
      <c r="E31" s="19"/>
      <c r="F31" s="19" t="s">
        <v>23</v>
      </c>
      <c r="G31" s="21">
        <v>7.0000000000000007E-2</v>
      </c>
      <c r="H31" s="21"/>
      <c r="I31" s="20">
        <f>G31*C25</f>
        <v>7280.0000000000009</v>
      </c>
      <c r="J31" s="19"/>
    </row>
    <row r="32" spans="1:12" x14ac:dyDescent="0.25">
      <c r="A32" s="18" t="s">
        <v>24</v>
      </c>
      <c r="B32" s="18"/>
      <c r="C32" s="22"/>
      <c r="D32" s="18"/>
      <c r="E32" s="18"/>
      <c r="F32" s="18" t="s">
        <v>24</v>
      </c>
      <c r="G32" s="22"/>
      <c r="H32" s="22"/>
      <c r="I32" s="18"/>
      <c r="J32" s="18"/>
    </row>
    <row r="33" spans="1:11" x14ac:dyDescent="0.25">
      <c r="A33" s="19" t="s">
        <v>120</v>
      </c>
      <c r="B33" s="18"/>
      <c r="C33" s="22"/>
      <c r="D33" s="19">
        <v>110040</v>
      </c>
      <c r="E33" s="18"/>
      <c r="F33" s="19" t="s">
        <v>120</v>
      </c>
      <c r="G33" s="18"/>
      <c r="H33" s="22"/>
      <c r="I33" s="19">
        <v>110040</v>
      </c>
      <c r="J33" s="18"/>
    </row>
    <row r="34" spans="1:11" x14ac:dyDescent="0.25">
      <c r="A34" s="19"/>
      <c r="B34" s="19"/>
      <c r="C34" s="20"/>
      <c r="D34" s="19"/>
      <c r="E34" s="19"/>
      <c r="F34" s="19"/>
      <c r="G34" s="19"/>
      <c r="H34" s="20"/>
      <c r="I34" s="19"/>
      <c r="J34" s="20"/>
      <c r="K34" s="19"/>
    </row>
    <row r="35" spans="1:11" x14ac:dyDescent="0.25">
      <c r="A35" s="23"/>
      <c r="B35" s="23"/>
      <c r="C35" s="19"/>
      <c r="D35" s="19"/>
      <c r="E35" s="19"/>
      <c r="F35" s="23"/>
      <c r="G35" s="23"/>
      <c r="H35" s="19"/>
      <c r="I35" s="19"/>
      <c r="J35" s="20"/>
      <c r="K35" s="19"/>
    </row>
    <row r="36" spans="1:11" x14ac:dyDescent="0.25">
      <c r="A36" s="23"/>
      <c r="B36" s="23"/>
      <c r="C36" s="19"/>
      <c r="D36" s="19"/>
      <c r="E36" s="19"/>
      <c r="F36" s="23"/>
      <c r="G36" s="23"/>
      <c r="H36" s="19"/>
      <c r="I36" s="19"/>
      <c r="J36" s="19"/>
      <c r="K36" s="19"/>
    </row>
    <row r="37" spans="1:11" x14ac:dyDescent="0.25">
      <c r="A37" s="18" t="s">
        <v>12</v>
      </c>
      <c r="B37" s="18"/>
      <c r="C37" s="22">
        <f>C25+C26+C27+C28+C29+C30-D31</f>
        <v>110040</v>
      </c>
      <c r="D37" s="22">
        <f>SUM(D33:D36)</f>
        <v>110040</v>
      </c>
      <c r="E37" s="22">
        <f>C37-D37</f>
        <v>0</v>
      </c>
      <c r="F37" s="18" t="s">
        <v>12</v>
      </c>
      <c r="G37" s="22">
        <f>G25+G30+G29+G26-I31</f>
        <v>101832</v>
      </c>
      <c r="H37" s="22"/>
      <c r="I37" s="22">
        <f>SUM(I33:I36)</f>
        <v>110040</v>
      </c>
      <c r="J37" s="22">
        <f>G37-I37</f>
        <v>-8208</v>
      </c>
    </row>
    <row r="39" spans="1:11" x14ac:dyDescent="0.25">
      <c r="A39" t="s">
        <v>25</v>
      </c>
      <c r="D39" t="s">
        <v>26</v>
      </c>
      <c r="G39" t="s">
        <v>27</v>
      </c>
    </row>
    <row r="40" spans="1:11" x14ac:dyDescent="0.25">
      <c r="A40" t="s">
        <v>28</v>
      </c>
      <c r="D40" t="s">
        <v>29</v>
      </c>
      <c r="G40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NOVEMBER 20</vt:lpstr>
      <vt:lpstr>DECEMBER 20</vt:lpstr>
      <vt:lpstr>JANUARY 21</vt:lpstr>
      <vt:lpstr>FEBRUARY 21</vt:lpstr>
      <vt:lpstr>MARCH 21</vt:lpstr>
      <vt:lpstr>APRIL21</vt:lpstr>
      <vt:lpstr>MAY 21</vt:lpstr>
      <vt:lpstr>JUNE 21</vt:lpstr>
      <vt:lpstr>JULY21</vt:lpstr>
      <vt:lpstr>AUGUST 21</vt:lpstr>
      <vt:lpstr>SEPTEMBER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cp:lastPrinted>2021-03-12T11:46:38Z</cp:lastPrinted>
  <dcterms:created xsi:type="dcterms:W3CDTF">2020-10-30T08:06:55Z</dcterms:created>
  <dcterms:modified xsi:type="dcterms:W3CDTF">2021-12-08T09:53:27Z</dcterms:modified>
</cp:coreProperties>
</file>