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960" yWindow="645" windowWidth="17715" windowHeight="11250" firstSheet="12" activeTab="15"/>
  </bookViews>
  <sheets>
    <sheet name="SEPTEMBER 20" sheetId="1" r:id="rId1"/>
    <sheet name="OCTOBER 20" sheetId="2" r:id="rId2"/>
    <sheet name="NOVEMBER20" sheetId="3" r:id="rId3"/>
    <sheet name="DECEMBER 20" sheetId="4" r:id="rId4"/>
    <sheet name="JANUARY 21" sheetId="5" r:id="rId5"/>
    <sheet name="FEBRUARY 21" sheetId="6" r:id="rId6"/>
    <sheet name="MARCH 21" sheetId="7" r:id="rId7"/>
    <sheet name="APRIL21" sheetId="8" r:id="rId8"/>
    <sheet name="MAY 21" sheetId="9" r:id="rId9"/>
    <sheet name="JUNE 21" sheetId="10" r:id="rId10"/>
    <sheet name="JULY 21" sheetId="11" r:id="rId11"/>
    <sheet name="AUGUST 21" sheetId="12" r:id="rId12"/>
    <sheet name="SEPTEMBER 21" sheetId="13" r:id="rId13"/>
    <sheet name="OCTOBER 21" sheetId="14" r:id="rId14"/>
    <sheet name="NOVEMBER 21" sheetId="15" r:id="rId15"/>
    <sheet name="DECEMBER 21" sheetId="16" r:id="rId16"/>
  </sheets>
  <calcPr calcId="162913"/>
</workbook>
</file>

<file path=xl/calcChain.xml><?xml version="1.0" encoding="utf-8"?>
<calcChain xmlns="http://schemas.openxmlformats.org/spreadsheetml/2006/main">
  <c r="G9" i="16" l="1"/>
  <c r="G11" i="16" l="1"/>
  <c r="G18" i="15" l="1"/>
  <c r="G9" i="15"/>
  <c r="G41" i="16" l="1"/>
  <c r="C41" i="16"/>
  <c r="D23" i="16"/>
  <c r="I22" i="16"/>
  <c r="E22" i="16"/>
  <c r="B28" i="16" s="1"/>
  <c r="C22" i="16"/>
  <c r="F19" i="16"/>
  <c r="H19" i="16" s="1"/>
  <c r="G22" i="16"/>
  <c r="F28" i="16" s="1"/>
  <c r="G33" i="16" l="1"/>
  <c r="C33" i="16"/>
  <c r="G38" i="15"/>
  <c r="C38" i="15"/>
  <c r="G12" i="15" l="1"/>
  <c r="G17" i="15" l="1"/>
  <c r="G7" i="15" l="1"/>
  <c r="G18" i="14" l="1"/>
  <c r="G41" i="15" l="1"/>
  <c r="C41" i="15"/>
  <c r="D23" i="15"/>
  <c r="I22" i="15"/>
  <c r="E22" i="15"/>
  <c r="B28" i="15" s="1"/>
  <c r="C22" i="15"/>
  <c r="G22" i="15"/>
  <c r="F28" i="15" s="1"/>
  <c r="G33" i="15" l="1"/>
  <c r="C33" i="15"/>
  <c r="G12" i="14"/>
  <c r="G9" i="14" l="1"/>
  <c r="G9" i="13" l="1"/>
  <c r="G8" i="13"/>
  <c r="M31" i="14" l="1"/>
  <c r="M28" i="14"/>
  <c r="M29" i="14" s="1"/>
  <c r="M30" i="14" s="1"/>
  <c r="M32" i="14" l="1"/>
  <c r="D23" i="14"/>
  <c r="G41" i="14"/>
  <c r="C41" i="14"/>
  <c r="I22" i="14"/>
  <c r="E22" i="14"/>
  <c r="B28" i="14" s="1"/>
  <c r="C22" i="14"/>
  <c r="G22" i="14"/>
  <c r="F28" i="14" s="1"/>
  <c r="G33" i="14" l="1"/>
  <c r="C33" i="14"/>
  <c r="G20" i="13" l="1"/>
  <c r="G12" i="13" l="1"/>
  <c r="G16" i="13"/>
  <c r="G7" i="13" l="1"/>
  <c r="G16" i="11" l="1"/>
  <c r="G13" i="13" l="1"/>
  <c r="G10" i="13" l="1"/>
  <c r="G6" i="13" l="1"/>
  <c r="G16" i="12" l="1"/>
  <c r="G9" i="12"/>
  <c r="G7" i="12"/>
  <c r="G41" i="13"/>
  <c r="C41" i="13"/>
  <c r="I22" i="13"/>
  <c r="G22" i="13"/>
  <c r="F28" i="13" s="1"/>
  <c r="E22" i="13"/>
  <c r="B28" i="13" s="1"/>
  <c r="G33" i="13" s="1"/>
  <c r="C22" i="13"/>
  <c r="C33" i="13" l="1"/>
  <c r="G10" i="12"/>
  <c r="G20" i="12" l="1"/>
  <c r="G12" i="12" l="1"/>
  <c r="G8" i="12" l="1"/>
  <c r="G18" i="12" l="1"/>
  <c r="G15" i="12" l="1"/>
  <c r="G19" i="12" l="1"/>
  <c r="G6" i="12" l="1"/>
  <c r="G14" i="12" l="1"/>
  <c r="G9" i="11" l="1"/>
  <c r="G41" i="12"/>
  <c r="C41" i="12"/>
  <c r="I22" i="12"/>
  <c r="E22" i="12"/>
  <c r="B28" i="12" s="1"/>
  <c r="C22" i="12"/>
  <c r="G22" i="12"/>
  <c r="F28" i="12" s="1"/>
  <c r="G33" i="12" l="1"/>
  <c r="C33" i="12"/>
  <c r="G19" i="11"/>
  <c r="G8" i="11" l="1"/>
  <c r="G12" i="11"/>
  <c r="G20" i="11"/>
  <c r="G11" i="11" l="1"/>
  <c r="G7" i="11" l="1"/>
  <c r="G10" i="11" l="1"/>
  <c r="G6" i="11" l="1"/>
  <c r="G15" i="11" l="1"/>
  <c r="G14" i="11" l="1"/>
  <c r="G41" i="11" l="1"/>
  <c r="C41" i="11"/>
  <c r="I22" i="11"/>
  <c r="E22" i="11"/>
  <c r="C22" i="11"/>
  <c r="F16" i="11"/>
  <c r="H16" i="11" s="1"/>
  <c r="D16" i="12" s="1"/>
  <c r="F16" i="12" s="1"/>
  <c r="H16" i="12" s="1"/>
  <c r="D16" i="13" s="1"/>
  <c r="F16" i="13" s="1"/>
  <c r="H16" i="13" s="1"/>
  <c r="D16" i="14" s="1"/>
  <c r="F16" i="14" s="1"/>
  <c r="H16" i="14" s="1"/>
  <c r="D16" i="15" s="1"/>
  <c r="F16" i="15" s="1"/>
  <c r="H16" i="15" s="1"/>
  <c r="D16" i="16" s="1"/>
  <c r="F16" i="16" s="1"/>
  <c r="H16" i="16" s="1"/>
  <c r="G22" i="11"/>
  <c r="F28" i="11" s="1"/>
  <c r="B28" i="11" l="1"/>
  <c r="G33" i="11" s="1"/>
  <c r="G9" i="10"/>
  <c r="C33" i="11" l="1"/>
  <c r="G8" i="10"/>
  <c r="G15" i="10" l="1"/>
  <c r="G10" i="10" l="1"/>
  <c r="G7" i="10" l="1"/>
  <c r="G20" i="10" l="1"/>
  <c r="G11" i="10" l="1"/>
  <c r="G6" i="10" l="1"/>
  <c r="G12" i="10" l="1"/>
  <c r="G13" i="10" l="1"/>
  <c r="G19" i="10" l="1"/>
  <c r="G14" i="10" l="1"/>
  <c r="G41" i="10" l="1"/>
  <c r="C41" i="10"/>
  <c r="I22" i="10"/>
  <c r="E22" i="10"/>
  <c r="B28" i="10" s="1"/>
  <c r="C22" i="10"/>
  <c r="G22" i="10"/>
  <c r="F28" i="10" s="1"/>
  <c r="G33" i="10" l="1"/>
  <c r="C33" i="10"/>
  <c r="G11" i="9" l="1"/>
  <c r="G10" i="9" l="1"/>
  <c r="G8" i="9"/>
  <c r="G16" i="9" l="1"/>
  <c r="E11" i="8" l="1"/>
  <c r="G9" i="9" l="1"/>
  <c r="G15" i="9" l="1"/>
  <c r="G19" i="9" l="1"/>
  <c r="G6" i="9" l="1"/>
  <c r="G18" i="9" l="1"/>
  <c r="G20" i="9" l="1"/>
  <c r="G14" i="9" l="1"/>
  <c r="G9" i="8" l="1"/>
  <c r="G41" i="9"/>
  <c r="C41" i="9"/>
  <c r="I22" i="9"/>
  <c r="C22" i="9"/>
  <c r="F13" i="9"/>
  <c r="H13" i="9" s="1"/>
  <c r="D13" i="10" s="1"/>
  <c r="F13" i="10" s="1"/>
  <c r="H13" i="10" s="1"/>
  <c r="D13" i="11" s="1"/>
  <c r="F13" i="11" s="1"/>
  <c r="H13" i="11" s="1"/>
  <c r="D13" i="12" s="1"/>
  <c r="F13" i="12" s="1"/>
  <c r="H13" i="12" s="1"/>
  <c r="D13" i="13" s="1"/>
  <c r="F13" i="13" s="1"/>
  <c r="H13" i="13" s="1"/>
  <c r="D13" i="14" s="1"/>
  <c r="F13" i="14" s="1"/>
  <c r="H13" i="14" s="1"/>
  <c r="D13" i="15" s="1"/>
  <c r="F13" i="15" s="1"/>
  <c r="H13" i="15" s="1"/>
  <c r="D13" i="16" s="1"/>
  <c r="F13" i="16" s="1"/>
  <c r="H13" i="16" s="1"/>
  <c r="E22" i="9"/>
  <c r="B28" i="9" s="1"/>
  <c r="G22" i="9"/>
  <c r="F28" i="9" s="1"/>
  <c r="G33" i="9" l="1"/>
  <c r="C33" i="9"/>
  <c r="G12" i="8" l="1"/>
  <c r="G11" i="8"/>
  <c r="G15" i="8"/>
  <c r="G8" i="8" l="1"/>
  <c r="G19" i="8" l="1"/>
  <c r="G18" i="8" l="1"/>
  <c r="G20" i="8" l="1"/>
  <c r="G6" i="8" l="1"/>
  <c r="G10" i="8" l="1"/>
  <c r="M29" i="3" l="1"/>
  <c r="M28" i="3"/>
  <c r="M30" i="3" l="1"/>
  <c r="M31" i="3" s="1"/>
  <c r="G12" i="7"/>
  <c r="G41" i="8" l="1"/>
  <c r="C41" i="8"/>
  <c r="I22" i="8"/>
  <c r="E22" i="8"/>
  <c r="B28" i="8" s="1"/>
  <c r="C22" i="8"/>
  <c r="F7" i="8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G22" i="8"/>
  <c r="F28" i="8" s="1"/>
  <c r="G9" i="7" l="1"/>
  <c r="G16" i="7" l="1"/>
  <c r="G8" i="7" l="1"/>
  <c r="G10" i="7" l="1"/>
  <c r="G20" i="7" l="1"/>
  <c r="G15" i="7" l="1"/>
  <c r="G11" i="7" l="1"/>
  <c r="G18" i="7" l="1"/>
  <c r="G14" i="7" l="1"/>
  <c r="G6" i="7" l="1"/>
  <c r="G19" i="7" l="1"/>
  <c r="G9" i="6" l="1"/>
  <c r="R37" i="6" l="1"/>
  <c r="R41" i="6" s="1"/>
  <c r="N37" i="6"/>
  <c r="N41" i="6" s="1"/>
  <c r="T22" i="6"/>
  <c r="P22" i="6"/>
  <c r="M28" i="6" s="1"/>
  <c r="N22" i="6"/>
  <c r="O21" i="6"/>
  <c r="Q21" i="6" s="1"/>
  <c r="S21" i="6" s="1"/>
  <c r="R20" i="6"/>
  <c r="O20" i="6"/>
  <c r="Q20" i="6" s="1"/>
  <c r="O19" i="6"/>
  <c r="Q19" i="6" s="1"/>
  <c r="S19" i="6" s="1"/>
  <c r="R18" i="6"/>
  <c r="O18" i="6"/>
  <c r="Q18" i="6" s="1"/>
  <c r="O17" i="6"/>
  <c r="Q17" i="6" s="1"/>
  <c r="S17" i="6" s="1"/>
  <c r="R16" i="6"/>
  <c r="O16" i="6"/>
  <c r="Q16" i="6" s="1"/>
  <c r="R15" i="6"/>
  <c r="O15" i="6"/>
  <c r="Q15" i="6" s="1"/>
  <c r="R14" i="6"/>
  <c r="O14" i="6"/>
  <c r="Q14" i="6" s="1"/>
  <c r="R13" i="6"/>
  <c r="O13" i="6"/>
  <c r="Q13" i="6" s="1"/>
  <c r="O12" i="6"/>
  <c r="Q12" i="6" s="1"/>
  <c r="S12" i="6" s="1"/>
  <c r="O11" i="6"/>
  <c r="Q11" i="6" s="1"/>
  <c r="S11" i="6" s="1"/>
  <c r="R10" i="6"/>
  <c r="O10" i="6"/>
  <c r="Q10" i="6" s="1"/>
  <c r="R9" i="6"/>
  <c r="O9" i="6"/>
  <c r="Q9" i="6" s="1"/>
  <c r="S9" i="6" s="1"/>
  <c r="O8" i="6"/>
  <c r="Q8" i="6" s="1"/>
  <c r="S8" i="6" s="1"/>
  <c r="O7" i="6"/>
  <c r="Q7" i="6" s="1"/>
  <c r="S7" i="6" s="1"/>
  <c r="R6" i="6"/>
  <c r="O6" i="6"/>
  <c r="Q6" i="6" s="1"/>
  <c r="G41" i="7"/>
  <c r="C41" i="7"/>
  <c r="I22" i="7"/>
  <c r="E22" i="7"/>
  <c r="B28" i="7" s="1"/>
  <c r="C22" i="7"/>
  <c r="F12" i="7"/>
  <c r="H12" i="7" s="1"/>
  <c r="D12" i="8" s="1"/>
  <c r="F12" i="8" s="1"/>
  <c r="G22" i="7"/>
  <c r="F28" i="7" s="1"/>
  <c r="S10" i="6" l="1"/>
  <c r="S20" i="6"/>
  <c r="S18" i="6"/>
  <c r="S14" i="6"/>
  <c r="S15" i="6"/>
  <c r="H12" i="8"/>
  <c r="S6" i="6"/>
  <c r="S16" i="6"/>
  <c r="S13" i="6"/>
  <c r="O22" i="6"/>
  <c r="R22" i="6"/>
  <c r="Q28" i="6" s="1"/>
  <c r="R33" i="6"/>
  <c r="N33" i="6"/>
  <c r="Q22" i="6"/>
  <c r="G33" i="7"/>
  <c r="C33" i="7"/>
  <c r="G20" i="6"/>
  <c r="S22" i="6" l="1"/>
  <c r="D12" i="9"/>
  <c r="F12" i="9" s="1"/>
  <c r="H12" i="9" s="1"/>
  <c r="D12" i="10" s="1"/>
  <c r="F12" i="10" s="1"/>
  <c r="H12" i="10" s="1"/>
  <c r="G37" i="6"/>
  <c r="C37" i="6"/>
  <c r="D12" i="11" l="1"/>
  <c r="F12" i="11" s="1"/>
  <c r="H12" i="11" s="1"/>
  <c r="D12" i="12" s="1"/>
  <c r="F12" i="12" s="1"/>
  <c r="H12" i="12" s="1"/>
  <c r="D12" i="13" s="1"/>
  <c r="F12" i="13" s="1"/>
  <c r="H12" i="13" s="1"/>
  <c r="G16" i="6"/>
  <c r="D12" i="14" l="1"/>
  <c r="F12" i="14" s="1"/>
  <c r="H12" i="14" s="1"/>
  <c r="D12" i="15" s="1"/>
  <c r="F12" i="15" s="1"/>
  <c r="H12" i="15" s="1"/>
  <c r="D12" i="16" s="1"/>
  <c r="F12" i="16" s="1"/>
  <c r="H12" i="16" s="1"/>
  <c r="G15" i="6"/>
  <c r="G18" i="6" l="1"/>
  <c r="G13" i="6" l="1"/>
  <c r="G10" i="6" l="1"/>
  <c r="G6" i="6" l="1"/>
  <c r="G14" i="6" l="1"/>
  <c r="C41" i="6" l="1"/>
  <c r="I22" i="6"/>
  <c r="E22" i="6"/>
  <c r="B28" i="6" s="1"/>
  <c r="C22" i="6"/>
  <c r="G22" i="6"/>
  <c r="F28" i="6" s="1"/>
  <c r="F42" i="5"/>
  <c r="G9" i="5"/>
  <c r="G33" i="6" l="1"/>
  <c r="C33" i="6"/>
  <c r="G41" i="6"/>
  <c r="G11" i="5"/>
  <c r="B42" i="5" l="1"/>
  <c r="C44" i="5"/>
  <c r="G44" i="5" s="1"/>
  <c r="G16" i="5" l="1"/>
  <c r="G15" i="5"/>
  <c r="G13" i="5" l="1"/>
  <c r="G19" i="5" l="1"/>
  <c r="G7" i="5" l="1"/>
  <c r="G9" i="4" l="1"/>
  <c r="O10" i="4" l="1"/>
  <c r="P10" i="4" s="1"/>
  <c r="K8" i="4"/>
  <c r="G16" i="4" l="1"/>
  <c r="G15" i="4"/>
  <c r="G48" i="5"/>
  <c r="C48" i="5"/>
  <c r="I29" i="5"/>
  <c r="E29" i="5"/>
  <c r="B35" i="5" s="1"/>
  <c r="C29" i="5"/>
  <c r="G29" i="5"/>
  <c r="F35" i="5" s="1"/>
  <c r="G40" i="5" l="1"/>
  <c r="C40" i="5"/>
  <c r="G8" i="4" l="1"/>
  <c r="G13" i="4" l="1"/>
  <c r="G10" i="4"/>
  <c r="G12" i="4"/>
  <c r="G7" i="4" l="1"/>
  <c r="B37" i="1" l="1"/>
  <c r="C47" i="1" l="1"/>
  <c r="D18" i="4" l="1"/>
  <c r="G14" i="3" l="1"/>
  <c r="D12" i="4" l="1"/>
  <c r="F12" i="4" s="1"/>
  <c r="H12" i="4" s="1"/>
  <c r="D12" i="5" s="1"/>
  <c r="F12" i="5" s="1"/>
  <c r="H12" i="5" s="1"/>
  <c r="G47" i="4"/>
  <c r="C47" i="4"/>
  <c r="I29" i="4"/>
  <c r="E29" i="4"/>
  <c r="B35" i="4" s="1"/>
  <c r="C29" i="4"/>
  <c r="F18" i="4"/>
  <c r="H18" i="4" s="1"/>
  <c r="D18" i="5" s="1"/>
  <c r="F18" i="5" s="1"/>
  <c r="G29" i="4"/>
  <c r="F35" i="4" s="1"/>
  <c r="H18" i="5" l="1"/>
  <c r="D18" i="6" s="1"/>
  <c r="F18" i="6" s="1"/>
  <c r="G39" i="4"/>
  <c r="C39" i="4"/>
  <c r="G10" i="3"/>
  <c r="H18" i="6" l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D18" i="12" s="1"/>
  <c r="F18" i="12" s="1"/>
  <c r="H18" i="12" s="1"/>
  <c r="D18" i="13" s="1"/>
  <c r="F18" i="13" s="1"/>
  <c r="H18" i="13" s="1"/>
  <c r="F18" i="14" s="1"/>
  <c r="H18" i="14" s="1"/>
  <c r="D18" i="15" s="1"/>
  <c r="F18" i="15" s="1"/>
  <c r="H18" i="15" s="1"/>
  <c r="D18" i="16" s="1"/>
  <c r="F18" i="16" s="1"/>
  <c r="H18" i="16" s="1"/>
  <c r="G11" i="3"/>
  <c r="G9" i="3"/>
  <c r="G20" i="3" l="1"/>
  <c r="G8" i="3" l="1"/>
  <c r="G6" i="3" l="1"/>
  <c r="G10" i="2" l="1"/>
  <c r="G14" i="2" l="1"/>
  <c r="G8" i="1" l="1"/>
  <c r="G20" i="2"/>
  <c r="G47" i="3" l="1"/>
  <c r="C47" i="3"/>
  <c r="I29" i="3"/>
  <c r="E29" i="3"/>
  <c r="B35" i="3" s="1"/>
  <c r="C29" i="3"/>
  <c r="G29" i="3"/>
  <c r="F35" i="3" s="1"/>
  <c r="G39" i="3" l="1"/>
  <c r="C39" i="3"/>
  <c r="C51" i="3" s="1"/>
  <c r="G8" i="2" l="1"/>
  <c r="G19" i="2" l="1"/>
  <c r="G15" i="2"/>
  <c r="G9" i="2" l="1"/>
  <c r="G11" i="2" l="1"/>
  <c r="G13" i="2" l="1"/>
  <c r="G16" i="2" l="1"/>
  <c r="G6" i="2" l="1"/>
  <c r="G29" i="2" s="1"/>
  <c r="F35" i="2" s="1"/>
  <c r="G10" i="1" l="1"/>
  <c r="G14" i="1" l="1"/>
  <c r="G15" i="1" l="1"/>
  <c r="F14" i="2" l="1"/>
  <c r="H14" i="2" s="1"/>
  <c r="D14" i="3" s="1"/>
  <c r="G47" i="2"/>
  <c r="C47" i="2"/>
  <c r="I34" i="2"/>
  <c r="I29" i="2"/>
  <c r="E29" i="2"/>
  <c r="B35" i="2" s="1"/>
  <c r="C29" i="2"/>
  <c r="F20" i="2"/>
  <c r="H20" i="2" s="1"/>
  <c r="D20" i="3" s="1"/>
  <c r="F20" i="3" l="1"/>
  <c r="H20" i="3" s="1"/>
  <c r="F20" i="4" s="1"/>
  <c r="H20" i="4" s="1"/>
  <c r="D20" i="5" s="1"/>
  <c r="F20" i="5" s="1"/>
  <c r="H20" i="5" s="1"/>
  <c r="D20" i="6" s="1"/>
  <c r="F14" i="3"/>
  <c r="H14" i="3" s="1"/>
  <c r="D14" i="4" s="1"/>
  <c r="F14" i="4" s="1"/>
  <c r="G39" i="2"/>
  <c r="C39" i="2"/>
  <c r="F20" i="6" l="1"/>
  <c r="H14" i="4"/>
  <c r="D14" i="5" s="1"/>
  <c r="F14" i="5" s="1"/>
  <c r="H14" i="5" s="1"/>
  <c r="G9" i="1"/>
  <c r="G11" i="1"/>
  <c r="H20" i="6" l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D20" i="12" s="1"/>
  <c r="F20" i="12" s="1"/>
  <c r="H20" i="12" s="1"/>
  <c r="D20" i="13" s="1"/>
  <c r="F20" i="13" s="1"/>
  <c r="H20" i="13" s="1"/>
  <c r="D20" i="14" s="1"/>
  <c r="F20" i="14" s="1"/>
  <c r="H20" i="14" s="1"/>
  <c r="D20" i="15" s="1"/>
  <c r="D29" i="1"/>
  <c r="F20" i="15" l="1"/>
  <c r="E29" i="1"/>
  <c r="H20" i="15" l="1"/>
  <c r="D20" i="16" s="1"/>
  <c r="F20" i="16" s="1"/>
  <c r="H20" i="16" s="1"/>
  <c r="B35" i="1"/>
  <c r="G47" i="1" l="1"/>
  <c r="I29" i="1"/>
  <c r="C29" i="1"/>
  <c r="F28" i="1"/>
  <c r="H28" i="1" s="1"/>
  <c r="D28" i="2" s="1"/>
  <c r="F28" i="2" s="1"/>
  <c r="H28" i="2" s="1"/>
  <c r="F27" i="1"/>
  <c r="H27" i="1" s="1"/>
  <c r="D27" i="2" s="1"/>
  <c r="F27" i="2" s="1"/>
  <c r="H27" i="2" s="1"/>
  <c r="F26" i="1"/>
  <c r="H26" i="1" s="1"/>
  <c r="D26" i="2" s="1"/>
  <c r="F26" i="2" s="1"/>
  <c r="H26" i="2" s="1"/>
  <c r="F25" i="1"/>
  <c r="H25" i="1" s="1"/>
  <c r="D25" i="2" s="1"/>
  <c r="F25" i="2" s="1"/>
  <c r="H25" i="2" s="1"/>
  <c r="F24" i="1"/>
  <c r="H24" i="1" s="1"/>
  <c r="D24" i="2" s="1"/>
  <c r="F24" i="2" s="1"/>
  <c r="H24" i="2" s="1"/>
  <c r="F23" i="1"/>
  <c r="H23" i="1" s="1"/>
  <c r="D23" i="2" s="1"/>
  <c r="F23" i="2" s="1"/>
  <c r="H23" i="2" s="1"/>
  <c r="F22" i="1"/>
  <c r="H22" i="1" s="1"/>
  <c r="D22" i="2" s="1"/>
  <c r="F22" i="2" s="1"/>
  <c r="H22" i="2" s="1"/>
  <c r="F21" i="1"/>
  <c r="H21" i="1" s="1"/>
  <c r="D21" i="2" s="1"/>
  <c r="F21" i="2" s="1"/>
  <c r="H21" i="2" s="1"/>
  <c r="F20" i="1"/>
  <c r="H20" i="1" s="1"/>
  <c r="F19" i="1"/>
  <c r="H19" i="1" s="1"/>
  <c r="D19" i="2" s="1"/>
  <c r="F19" i="2" s="1"/>
  <c r="H19" i="2" s="1"/>
  <c r="F18" i="1"/>
  <c r="H18" i="1" s="1"/>
  <c r="D18" i="2" s="1"/>
  <c r="F18" i="2" s="1"/>
  <c r="F17" i="1"/>
  <c r="H17" i="1" s="1"/>
  <c r="D17" i="2" s="1"/>
  <c r="F17" i="2" s="1"/>
  <c r="H17" i="2" s="1"/>
  <c r="F16" i="1"/>
  <c r="H16" i="1" s="1"/>
  <c r="D16" i="2" s="1"/>
  <c r="F16" i="2" s="1"/>
  <c r="H16" i="2" s="1"/>
  <c r="F15" i="1"/>
  <c r="H15" i="1" s="1"/>
  <c r="F14" i="1"/>
  <c r="H14" i="1" s="1"/>
  <c r="F13" i="1"/>
  <c r="H13" i="1" s="1"/>
  <c r="D13" i="2" s="1"/>
  <c r="F13" i="2" s="1"/>
  <c r="H13" i="2" s="1"/>
  <c r="F12" i="1"/>
  <c r="H12" i="1" s="1"/>
  <c r="D12" i="2" s="1"/>
  <c r="F12" i="2" s="1"/>
  <c r="H12" i="2" s="1"/>
  <c r="F11" i="1"/>
  <c r="H11" i="1" s="1"/>
  <c r="D11" i="2" s="1"/>
  <c r="F11" i="2" s="1"/>
  <c r="H11" i="2" s="1"/>
  <c r="F10" i="1"/>
  <c r="H10" i="1" s="1"/>
  <c r="D10" i="2" s="1"/>
  <c r="F10" i="2" s="1"/>
  <c r="H10" i="2" s="1"/>
  <c r="G29" i="1"/>
  <c r="F35" i="1" s="1"/>
  <c r="F9" i="1"/>
  <c r="H9" i="1" s="1"/>
  <c r="D9" i="2" s="1"/>
  <c r="F9" i="2" s="1"/>
  <c r="H9" i="2" s="1"/>
  <c r="D9" i="3" s="1"/>
  <c r="F8" i="1"/>
  <c r="F7" i="1"/>
  <c r="H7" i="1" s="1"/>
  <c r="D7" i="2" s="1"/>
  <c r="F7" i="2" s="1"/>
  <c r="H7" i="2" s="1"/>
  <c r="F6" i="1"/>
  <c r="H6" i="1" s="1"/>
  <c r="D6" i="2" s="1"/>
  <c r="F6" i="2" s="1"/>
  <c r="H6" i="2" s="1"/>
  <c r="D6" i="3" s="1"/>
  <c r="H8" i="1" l="1"/>
  <c r="D8" i="2" s="1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D7" i="3"/>
  <c r="F7" i="3" s="1"/>
  <c r="H7" i="3" s="1"/>
  <c r="D7" i="4" s="1"/>
  <c r="F7" i="4" s="1"/>
  <c r="H7" i="4" s="1"/>
  <c r="D7" i="5" s="1"/>
  <c r="F7" i="5" s="1"/>
  <c r="H7" i="5" s="1"/>
  <c r="D10" i="3"/>
  <c r="F10" i="3" s="1"/>
  <c r="H10" i="3" s="1"/>
  <c r="D10" i="4" s="1"/>
  <c r="F10" i="4" s="1"/>
  <c r="H10" i="4" s="1"/>
  <c r="D10" i="5" s="1"/>
  <c r="F10" i="5" s="1"/>
  <c r="H10" i="5" s="1"/>
  <c r="D16" i="3"/>
  <c r="F16" i="3" s="1"/>
  <c r="H16" i="3" s="1"/>
  <c r="D16" i="4" s="1"/>
  <c r="F16" i="4" s="1"/>
  <c r="H16" i="4" s="1"/>
  <c r="D16" i="5" s="1"/>
  <c r="F16" i="5" s="1"/>
  <c r="H16" i="5" s="1"/>
  <c r="D22" i="3"/>
  <c r="F22" i="3" s="1"/>
  <c r="H22" i="3" s="1"/>
  <c r="D22" i="4" s="1"/>
  <c r="F22" i="4" s="1"/>
  <c r="H22" i="4" s="1"/>
  <c r="D22" i="5" s="1"/>
  <c r="F22" i="5" s="1"/>
  <c r="H22" i="5" s="1"/>
  <c r="D24" i="3"/>
  <c r="F24" i="3" s="1"/>
  <c r="H24" i="3" s="1"/>
  <c r="D24" i="4" s="1"/>
  <c r="F24" i="4" s="1"/>
  <c r="H24" i="4" s="1"/>
  <c r="D24" i="5" s="1"/>
  <c r="F24" i="5" s="1"/>
  <c r="H24" i="5" s="1"/>
  <c r="D26" i="3"/>
  <c r="F26" i="3" s="1"/>
  <c r="H26" i="3" s="1"/>
  <c r="D26" i="4" s="1"/>
  <c r="F26" i="4" s="1"/>
  <c r="H26" i="4" s="1"/>
  <c r="D26" i="5" s="1"/>
  <c r="F26" i="5" s="1"/>
  <c r="H26" i="5" s="1"/>
  <c r="D28" i="3"/>
  <c r="F28" i="3" s="1"/>
  <c r="H28" i="3" s="1"/>
  <c r="D28" i="4" s="1"/>
  <c r="F28" i="4" s="1"/>
  <c r="H28" i="4" s="1"/>
  <c r="D28" i="5" s="1"/>
  <c r="F28" i="5" s="1"/>
  <c r="H28" i="5" s="1"/>
  <c r="D11" i="3"/>
  <c r="F11" i="3" s="1"/>
  <c r="H11" i="3" s="1"/>
  <c r="D11" i="4" s="1"/>
  <c r="F11" i="4" s="1"/>
  <c r="H11" i="4" s="1"/>
  <c r="D11" i="5" s="1"/>
  <c r="F11" i="5" s="1"/>
  <c r="H11" i="5" s="1"/>
  <c r="D13" i="3"/>
  <c r="F13" i="3" s="1"/>
  <c r="H13" i="3" s="1"/>
  <c r="D13" i="4" s="1"/>
  <c r="F13" i="4" s="1"/>
  <c r="H13" i="4" s="1"/>
  <c r="D13" i="5" s="1"/>
  <c r="F13" i="5" s="1"/>
  <c r="H13" i="5" s="1"/>
  <c r="D17" i="3"/>
  <c r="F17" i="3" s="1"/>
  <c r="H17" i="3" s="1"/>
  <c r="D17" i="4" s="1"/>
  <c r="F17" i="4" s="1"/>
  <c r="H17" i="4" s="1"/>
  <c r="D17" i="5" s="1"/>
  <c r="F17" i="5" s="1"/>
  <c r="H17" i="5" s="1"/>
  <c r="D21" i="3"/>
  <c r="F21" i="3" s="1"/>
  <c r="H21" i="3" s="1"/>
  <c r="D21" i="4" s="1"/>
  <c r="F21" i="4" s="1"/>
  <c r="H21" i="4" s="1"/>
  <c r="D21" i="5" s="1"/>
  <c r="F21" i="5" s="1"/>
  <c r="H21" i="5" s="1"/>
  <c r="D23" i="3"/>
  <c r="F23" i="3" s="1"/>
  <c r="H23" i="3" s="1"/>
  <c r="D23" i="4" s="1"/>
  <c r="F23" i="4" s="1"/>
  <c r="H23" i="4" s="1"/>
  <c r="D23" i="5" s="1"/>
  <c r="F23" i="5" s="1"/>
  <c r="H23" i="5" s="1"/>
  <c r="D25" i="3"/>
  <c r="F25" i="3" s="1"/>
  <c r="H25" i="3" s="1"/>
  <c r="D25" i="4" s="1"/>
  <c r="F25" i="4" s="1"/>
  <c r="H25" i="4" s="1"/>
  <c r="D25" i="5" s="1"/>
  <c r="F25" i="5" s="1"/>
  <c r="H25" i="5" s="1"/>
  <c r="D27" i="3"/>
  <c r="F27" i="3" s="1"/>
  <c r="H27" i="3" s="1"/>
  <c r="D27" i="4" s="1"/>
  <c r="F27" i="4" s="1"/>
  <c r="H27" i="4" s="1"/>
  <c r="D27" i="5" s="1"/>
  <c r="F27" i="5" s="1"/>
  <c r="H27" i="5" s="1"/>
  <c r="F19" i="3"/>
  <c r="H19" i="3" s="1"/>
  <c r="D19" i="4" s="1"/>
  <c r="F19" i="4" s="1"/>
  <c r="F6" i="3"/>
  <c r="H6" i="3" s="1"/>
  <c r="D6" i="4" s="1"/>
  <c r="F6" i="4" s="1"/>
  <c r="H6" i="4" s="1"/>
  <c r="D6" i="5" s="1"/>
  <c r="F6" i="5" s="1"/>
  <c r="H6" i="5" s="1"/>
  <c r="F9" i="3"/>
  <c r="H9" i="3" s="1"/>
  <c r="D9" i="4" s="1"/>
  <c r="F9" i="4" s="1"/>
  <c r="H9" i="4" s="1"/>
  <c r="D9" i="5" s="1"/>
  <c r="H30" i="2"/>
  <c r="D30" i="3" s="1"/>
  <c r="F12" i="3"/>
  <c r="H18" i="2"/>
  <c r="D18" i="3" s="1"/>
  <c r="D15" i="2"/>
  <c r="F15" i="2" s="1"/>
  <c r="G39" i="1"/>
  <c r="F47" i="1" s="1"/>
  <c r="H47" i="1" s="1"/>
  <c r="C39" i="1"/>
  <c r="B47" i="1" s="1"/>
  <c r="D47" i="1" s="1"/>
  <c r="F29" i="1"/>
  <c r="H29" i="1" l="1"/>
  <c r="H30" i="1" s="1"/>
  <c r="D30" i="5" s="1"/>
  <c r="D21" i="6"/>
  <c r="F21" i="6" s="1"/>
  <c r="H21" i="6" s="1"/>
  <c r="D21" i="7" s="1"/>
  <c r="F21" i="7" s="1"/>
  <c r="H21" i="7" s="1"/>
  <c r="D12" i="6"/>
  <c r="F12" i="6" s="1"/>
  <c r="H12" i="6" s="1"/>
  <c r="D13" i="6"/>
  <c r="F13" i="6" s="1"/>
  <c r="H13" i="6" s="1"/>
  <c r="D13" i="7" s="1"/>
  <c r="F13" i="7" s="1"/>
  <c r="H13" i="7" s="1"/>
  <c r="D13" i="8" s="1"/>
  <c r="F13" i="8" s="1"/>
  <c r="H13" i="8" s="1"/>
  <c r="D6" i="6"/>
  <c r="D16" i="6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7" i="6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D17" i="12" s="1"/>
  <c r="F17" i="12" s="1"/>
  <c r="H17" i="12" s="1"/>
  <c r="D17" i="13" s="1"/>
  <c r="F17" i="13" s="1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D10" i="6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10" i="15" s="1"/>
  <c r="F10" i="15" s="1"/>
  <c r="H10" i="15" s="1"/>
  <c r="D10" i="16" s="1"/>
  <c r="F10" i="16" s="1"/>
  <c r="H10" i="16" s="1"/>
  <c r="D11" i="6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D11" i="12" s="1"/>
  <c r="F11" i="12" s="1"/>
  <c r="H11" i="12" s="1"/>
  <c r="D11" i="13" s="1"/>
  <c r="F11" i="13" s="1"/>
  <c r="H11" i="13" s="1"/>
  <c r="D11" i="14" s="1"/>
  <c r="F11" i="14" s="1"/>
  <c r="H11" i="14" s="1"/>
  <c r="F11" i="15" s="1"/>
  <c r="H11" i="15" s="1"/>
  <c r="D11" i="16" s="1"/>
  <c r="F11" i="16" s="1"/>
  <c r="H11" i="16" s="1"/>
  <c r="D7" i="6"/>
  <c r="F7" i="6" s="1"/>
  <c r="H7" i="6" s="1"/>
  <c r="F6" i="6"/>
  <c r="F9" i="5"/>
  <c r="F18" i="3"/>
  <c r="D29" i="2"/>
  <c r="D30" i="2"/>
  <c r="F36" i="2"/>
  <c r="H19" i="4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D19" i="12" s="1"/>
  <c r="F19" i="12" s="1"/>
  <c r="H19" i="12" s="1"/>
  <c r="D19" i="13" s="1"/>
  <c r="F19" i="13" s="1"/>
  <c r="H19" i="13" s="1"/>
  <c r="D19" i="14" s="1"/>
  <c r="F19" i="14" s="1"/>
  <c r="H19" i="14" s="1"/>
  <c r="D19" i="15" s="1"/>
  <c r="F19" i="15" s="1"/>
  <c r="H19" i="15" s="1"/>
  <c r="B36" i="2"/>
  <c r="B47" i="2" s="1"/>
  <c r="H15" i="2"/>
  <c r="D15" i="3" s="1"/>
  <c r="F29" i="2"/>
  <c r="D30" i="4" l="1"/>
  <c r="D21" i="9"/>
  <c r="F21" i="9" s="1"/>
  <c r="H21" i="9" s="1"/>
  <c r="D21" i="10" s="1"/>
  <c r="F21" i="10" s="1"/>
  <c r="H21" i="10" s="1"/>
  <c r="D21" i="11" s="1"/>
  <c r="F21" i="11" s="1"/>
  <c r="H21" i="11" s="1"/>
  <c r="D21" i="12" s="1"/>
  <c r="F21" i="12" s="1"/>
  <c r="H21" i="12" s="1"/>
  <c r="D21" i="13" s="1"/>
  <c r="F21" i="13" s="1"/>
  <c r="H21" i="13" s="1"/>
  <c r="D21" i="14" s="1"/>
  <c r="F21" i="14" s="1"/>
  <c r="H21" i="14" s="1"/>
  <c r="D21" i="15" s="1"/>
  <c r="F21" i="15" s="1"/>
  <c r="H21" i="15" s="1"/>
  <c r="D21" i="16" s="1"/>
  <c r="F21" i="16" s="1"/>
  <c r="H21" i="16" s="1"/>
  <c r="D21" i="8"/>
  <c r="F21" i="8" s="1"/>
  <c r="H21" i="8" s="1"/>
  <c r="D7" i="7"/>
  <c r="F7" i="7" s="1"/>
  <c r="H7" i="7" s="1"/>
  <c r="H6" i="6"/>
  <c r="D6" i="7" s="1"/>
  <c r="F6" i="7" s="1"/>
  <c r="H6" i="7" s="1"/>
  <c r="D6" i="8" s="1"/>
  <c r="F6" i="8" s="1"/>
  <c r="H9" i="5"/>
  <c r="H29" i="2"/>
  <c r="D29" i="3" s="1"/>
  <c r="D47" i="2"/>
  <c r="B36" i="3" s="1"/>
  <c r="C52" i="3" s="1"/>
  <c r="C53" i="3" s="1"/>
  <c r="F15" i="3"/>
  <c r="F47" i="2"/>
  <c r="H47" i="2" s="1"/>
  <c r="F36" i="3" s="1"/>
  <c r="F47" i="3" s="1"/>
  <c r="H47" i="3" s="1"/>
  <c r="F36" i="4" s="1"/>
  <c r="H6" i="8" l="1"/>
  <c r="D9" i="6"/>
  <c r="F9" i="6" s="1"/>
  <c r="H9" i="6" s="1"/>
  <c r="D9" i="7" s="1"/>
  <c r="F47" i="4"/>
  <c r="H47" i="4" s="1"/>
  <c r="F36" i="5" s="1"/>
  <c r="B47" i="3"/>
  <c r="D47" i="3" s="1"/>
  <c r="H15" i="3"/>
  <c r="F29" i="3"/>
  <c r="B36" i="4" l="1"/>
  <c r="B47" i="4" s="1"/>
  <c r="D47" i="4" s="1"/>
  <c r="B36" i="5" s="1"/>
  <c r="B48" i="5" s="1"/>
  <c r="D6" i="9"/>
  <c r="F9" i="7"/>
  <c r="F8" i="6"/>
  <c r="F48" i="5"/>
  <c r="H48" i="5" s="1"/>
  <c r="F29" i="6" s="1"/>
  <c r="H29" i="3"/>
  <c r="F6" i="9" l="1"/>
  <c r="H9" i="7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F41" i="6"/>
  <c r="H41" i="6" s="1"/>
  <c r="F29" i="7" s="1"/>
  <c r="Q29" i="6"/>
  <c r="Q41" i="6" s="1"/>
  <c r="S41" i="6" s="1"/>
  <c r="H8" i="6"/>
  <c r="D48" i="5"/>
  <c r="B29" i="6" s="1"/>
  <c r="B41" i="6" s="1"/>
  <c r="F15" i="4"/>
  <c r="D29" i="4"/>
  <c r="F41" i="7" l="1"/>
  <c r="H41" i="7" s="1"/>
  <c r="F29" i="8" s="1"/>
  <c r="H6" i="9"/>
  <c r="D9" i="13"/>
  <c r="F9" i="13" s="1"/>
  <c r="H9" i="13" s="1"/>
  <c r="D9" i="14" s="1"/>
  <c r="F9" i="14" s="1"/>
  <c r="H9" i="14" s="1"/>
  <c r="D9" i="15" s="1"/>
  <c r="F9" i="15" s="1"/>
  <c r="H9" i="15" s="1"/>
  <c r="D9" i="16" s="1"/>
  <c r="D8" i="7"/>
  <c r="F8" i="7" s="1"/>
  <c r="D41" i="6"/>
  <c r="B29" i="7" s="1"/>
  <c r="B41" i="7" s="1"/>
  <c r="D41" i="7" s="1"/>
  <c r="B29" i="8" s="1"/>
  <c r="M29" i="6"/>
  <c r="M41" i="6" s="1"/>
  <c r="O41" i="6" s="1"/>
  <c r="H15" i="4"/>
  <c r="F29" i="4"/>
  <c r="F9" i="16" l="1"/>
  <c r="D6" i="10"/>
  <c r="F6" i="10" s="1"/>
  <c r="G33" i="8"/>
  <c r="C33" i="8"/>
  <c r="B41" i="8" s="1"/>
  <c r="D41" i="8" s="1"/>
  <c r="B29" i="9" s="1"/>
  <c r="H8" i="7"/>
  <c r="D8" i="8" s="1"/>
  <c r="F8" i="8" s="1"/>
  <c r="H29" i="4"/>
  <c r="D15" i="5"/>
  <c r="H9" i="16" l="1"/>
  <c r="H6" i="10"/>
  <c r="H8" i="8"/>
  <c r="B41" i="9"/>
  <c r="D41" i="9" s="1"/>
  <c r="B29" i="10" s="1"/>
  <c r="B41" i="10" s="1"/>
  <c r="D41" i="10" s="1"/>
  <c r="B29" i="11" s="1"/>
  <c r="B41" i="11" s="1"/>
  <c r="D41" i="11" s="1"/>
  <c r="B29" i="12" s="1"/>
  <c r="B41" i="12" s="1"/>
  <c r="D41" i="12" s="1"/>
  <c r="B29" i="13" s="1"/>
  <c r="B41" i="13" s="1"/>
  <c r="D41" i="13" s="1"/>
  <c r="B29" i="14" s="1"/>
  <c r="B41" i="14" s="1"/>
  <c r="D41" i="14" s="1"/>
  <c r="B29" i="15" s="1"/>
  <c r="F41" i="8"/>
  <c r="H41" i="8" s="1"/>
  <c r="F29" i="9" s="1"/>
  <c r="F41" i="9" s="1"/>
  <c r="H41" i="9" s="1"/>
  <c r="F29" i="10" s="1"/>
  <c r="F41" i="10" s="1"/>
  <c r="H41" i="10" s="1"/>
  <c r="F29" i="11" s="1"/>
  <c r="F41" i="11" s="1"/>
  <c r="H41" i="11" s="1"/>
  <c r="F29" i="12" s="1"/>
  <c r="F41" i="12" s="1"/>
  <c r="H41" i="12" s="1"/>
  <c r="F29" i="13" s="1"/>
  <c r="F41" i="13" s="1"/>
  <c r="H41" i="13" s="1"/>
  <c r="F29" i="14" s="1"/>
  <c r="F41" i="14" s="1"/>
  <c r="H41" i="14" s="1"/>
  <c r="F29" i="15" s="1"/>
  <c r="F41" i="15" s="1"/>
  <c r="H41" i="15" s="1"/>
  <c r="F29" i="16" s="1"/>
  <c r="F41" i="16" s="1"/>
  <c r="H41" i="16" s="1"/>
  <c r="F15" i="5"/>
  <c r="D29" i="5"/>
  <c r="B41" i="15" l="1"/>
  <c r="D41" i="15" s="1"/>
  <c r="B29" i="16" s="1"/>
  <c r="B41" i="16" s="1"/>
  <c r="D41" i="16" s="1"/>
  <c r="D8" i="9"/>
  <c r="D6" i="11"/>
  <c r="H15" i="5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D15" i="12" s="1"/>
  <c r="F15" i="12" s="1"/>
  <c r="H15" i="12" s="1"/>
  <c r="D15" i="13" s="1"/>
  <c r="F15" i="13" s="1"/>
  <c r="H15" i="13" s="1"/>
  <c r="D15" i="14" s="1"/>
  <c r="F15" i="14" s="1"/>
  <c r="H15" i="14" s="1"/>
  <c r="D15" i="15" s="1"/>
  <c r="F15" i="15" s="1"/>
  <c r="H15" i="15" s="1"/>
  <c r="D15" i="16" s="1"/>
  <c r="F15" i="16" s="1"/>
  <c r="H15" i="16" s="1"/>
  <c r="F29" i="5"/>
  <c r="F6" i="11" l="1"/>
  <c r="F8" i="9"/>
  <c r="H29" i="5"/>
  <c r="D14" i="6"/>
  <c r="H6" i="11" l="1"/>
  <c r="H8" i="9"/>
  <c r="F14" i="6"/>
  <c r="D22" i="6"/>
  <c r="D8" i="10" l="1"/>
  <c r="F8" i="10" s="1"/>
  <c r="D6" i="12"/>
  <c r="H14" i="6"/>
  <c r="H22" i="6" s="1"/>
  <c r="F22" i="6"/>
  <c r="F6" i="12" l="1"/>
  <c r="H8" i="10"/>
  <c r="D14" i="7"/>
  <c r="D8" i="11" l="1"/>
  <c r="H6" i="12"/>
  <c r="F14" i="7"/>
  <c r="D22" i="7"/>
  <c r="D6" i="13" l="1"/>
  <c r="F8" i="11"/>
  <c r="H14" i="7"/>
  <c r="F22" i="7"/>
  <c r="H22" i="7" l="1"/>
  <c r="D22" i="8" s="1"/>
  <c r="D14" i="8"/>
  <c r="F14" i="8" s="1"/>
  <c r="H8" i="11"/>
  <c r="F6" i="13"/>
  <c r="H6" i="13" l="1"/>
  <c r="H14" i="8"/>
  <c r="F22" i="8"/>
  <c r="D8" i="12"/>
  <c r="F8" i="12" l="1"/>
  <c r="D14" i="9"/>
  <c r="H22" i="8"/>
  <c r="D6" i="14"/>
  <c r="F6" i="14" l="1"/>
  <c r="H6" i="14" s="1"/>
  <c r="D6" i="15" s="1"/>
  <c r="F14" i="9"/>
  <c r="D22" i="9"/>
  <c r="H8" i="12"/>
  <c r="F6" i="15" l="1"/>
  <c r="H14" i="9"/>
  <c r="F22" i="9"/>
  <c r="D8" i="13"/>
  <c r="H6" i="15" l="1"/>
  <c r="D6" i="16" s="1"/>
  <c r="F8" i="13"/>
  <c r="D14" i="10"/>
  <c r="F14" i="10" s="1"/>
  <c r="H22" i="9"/>
  <c r="D22" i="10" s="1"/>
  <c r="F6" i="16" l="1"/>
  <c r="H14" i="10"/>
  <c r="F22" i="10"/>
  <c r="H8" i="13"/>
  <c r="H6" i="16" l="1"/>
  <c r="D8" i="14"/>
  <c r="D14" i="11"/>
  <c r="H22" i="10"/>
  <c r="F8" i="14" l="1"/>
  <c r="F14" i="11"/>
  <c r="D22" i="11"/>
  <c r="H8" i="14"/>
  <c r="D8" i="15" s="1"/>
  <c r="F8" i="15" l="1"/>
  <c r="H14" i="11"/>
  <c r="F22" i="11"/>
  <c r="H8" i="15" l="1"/>
  <c r="D8" i="16" s="1"/>
  <c r="D14" i="12"/>
  <c r="H22" i="11"/>
  <c r="F8" i="16" l="1"/>
  <c r="F14" i="12"/>
  <c r="D22" i="12"/>
  <c r="H8" i="16" l="1"/>
  <c r="H14" i="12"/>
  <c r="F22" i="12"/>
  <c r="D14" i="13" l="1"/>
  <c r="H22" i="12"/>
  <c r="F14" i="13" l="1"/>
  <c r="D22" i="13"/>
  <c r="H14" i="13" l="1"/>
  <c r="F22" i="13"/>
  <c r="D14" i="14" l="1"/>
  <c r="H22" i="13"/>
  <c r="F14" i="14" l="1"/>
  <c r="D22" i="14"/>
  <c r="H14" i="14"/>
  <c r="F22" i="14"/>
  <c r="H22" i="14" l="1"/>
  <c r="D14" i="15"/>
  <c r="F14" i="15" l="1"/>
  <c r="D22" i="15"/>
  <c r="H14" i="15" l="1"/>
  <c r="F22" i="15"/>
  <c r="H22" i="15" l="1"/>
  <c r="D14" i="16"/>
  <c r="F14" i="16" l="1"/>
  <c r="D22" i="16"/>
  <c r="H14" i="16" l="1"/>
  <c r="H22" i="16" s="1"/>
  <c r="F22" i="16"/>
</calcChain>
</file>

<file path=xl/sharedStrings.xml><?xml version="1.0" encoding="utf-8"?>
<sst xmlns="http://schemas.openxmlformats.org/spreadsheetml/2006/main" count="1128" uniqueCount="154">
  <si>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</si>
  <si>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</si>
  <si>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</si>
  <si>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</si>
  <si>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</si>
  <si>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</si>
  <si>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</si>
  <si>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</si>
  <si>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</si>
  <si>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</si>
  <si>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FREDRICK</t>
  </si>
  <si>
    <t>GRACE</t>
  </si>
  <si>
    <t xml:space="preserve">MARY 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</si>
  <si>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</si>
  <si>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</si>
  <si>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</si>
  <si>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</si>
  <si>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</si>
  <si>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</si>
  <si>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</si>
  <si>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</si>
  <si>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</si>
  <si>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</si>
  <si>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</si>
  <si>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</si>
  <si>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</si>
  <si>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</si>
  <si>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</si>
  <si>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</si>
  <si>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</si>
  <si>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SAMUEL/JANE</t>
  </si>
  <si>
    <t>SEPTEMBER</t>
  </si>
  <si>
    <t>PRISCILLA NJOROGE</t>
  </si>
  <si>
    <t>FOR THE MONTH OF SEPTEMBER 2020</t>
  </si>
  <si>
    <t>AGGREY</t>
  </si>
  <si>
    <t>KENNETH</t>
  </si>
  <si>
    <t>MUGAMI</t>
  </si>
  <si>
    <t>TENGETE</t>
  </si>
  <si>
    <t>LUCY</t>
  </si>
  <si>
    <t>RONALD</t>
  </si>
  <si>
    <t>CARETAKER</t>
  </si>
  <si>
    <t>STANLEY</t>
  </si>
  <si>
    <t>KIDERO</t>
  </si>
  <si>
    <t>VACCANT</t>
  </si>
  <si>
    <t>JOSPHAT MUTHAMA</t>
  </si>
  <si>
    <t>EMMAH WAITHIRA</t>
  </si>
  <si>
    <t>PETER KIBET</t>
  </si>
  <si>
    <t>FRANCIS AMBIEKA</t>
  </si>
  <si>
    <t>ROBERT OUKO OMANGA</t>
  </si>
  <si>
    <t>PAID ON 10/9</t>
  </si>
  <si>
    <t>PAUL MWANGANGI</t>
  </si>
  <si>
    <t>METHUSE MUGAMI</t>
  </si>
  <si>
    <t>RONALD TIROP</t>
  </si>
  <si>
    <t>PAID ON 13/10</t>
  </si>
  <si>
    <t>OCTOBER</t>
  </si>
  <si>
    <t xml:space="preserve">OCTOBER </t>
  </si>
  <si>
    <t>DENNIS KEMBOI</t>
  </si>
  <si>
    <t>NOVEMBER</t>
  </si>
  <si>
    <t xml:space="preserve">NOVEMBER </t>
  </si>
  <si>
    <t>FOR THE MONTH OF NOVEMBER 2020</t>
  </si>
  <si>
    <t>J</t>
  </si>
  <si>
    <t>KENNEDY ODHIAMBO</t>
  </si>
  <si>
    <t>TO BE EVICTED</t>
  </si>
  <si>
    <t>PAID ON 10/11</t>
  </si>
  <si>
    <t>JUSTIN ABEL</t>
  </si>
  <si>
    <t>PRISCILLA</t>
  </si>
  <si>
    <t>EVICTED</t>
  </si>
  <si>
    <t>LOCKED</t>
  </si>
  <si>
    <t>DECEMBER</t>
  </si>
  <si>
    <t>FOR THE MONTH OF DECEMBER 2020</t>
  </si>
  <si>
    <t>VACCATED</t>
  </si>
  <si>
    <t>PAID ON 12/12</t>
  </si>
  <si>
    <t>KIDERO EVICTED sept</t>
  </si>
  <si>
    <t>TENGETE EVICTED SEPT</t>
  </si>
  <si>
    <t>STANELY EVICTED SEPT</t>
  </si>
  <si>
    <t>PAID ON 13/11</t>
  </si>
  <si>
    <t>STANELY EVICTED OCT RENT</t>
  </si>
  <si>
    <t>TENGETE VACCATED OCY RENT</t>
  </si>
  <si>
    <t>FOR THE MONTH OF OCTOBER 2020</t>
  </si>
  <si>
    <t>PRISCILLAR</t>
  </si>
  <si>
    <t>FOR THE MONTH OF JANUARY 2021</t>
  </si>
  <si>
    <t>JANUARY</t>
  </si>
  <si>
    <t>COMMISION REFUND</t>
  </si>
  <si>
    <t>JOSPHAT EVICTED</t>
  </si>
  <si>
    <t>vaccant</t>
  </si>
  <si>
    <t>store</t>
  </si>
  <si>
    <t>AGGREY NYARIBO</t>
  </si>
  <si>
    <t>MUTHIANI MUTISYA</t>
  </si>
  <si>
    <t>COMMISSION REFUND</t>
  </si>
  <si>
    <t>PAID  ON 12/1</t>
  </si>
  <si>
    <t>JOSPHAT ARREARS</t>
  </si>
  <si>
    <t>DOOR LOCK</t>
  </si>
  <si>
    <t>PAID ON 23/1</t>
  </si>
  <si>
    <t>FOR THE MONTH OF FEBRUARY 2021</t>
  </si>
  <si>
    <t>FEBRUARY</t>
  </si>
  <si>
    <t>DAMARIS KANINI</t>
  </si>
  <si>
    <t>PETER BARAZA</t>
  </si>
  <si>
    <t xml:space="preserve">DAMARIS </t>
  </si>
  <si>
    <t>PETER NO.13 PAID LL</t>
  </si>
  <si>
    <t>DENNIS WANJALA</t>
  </si>
  <si>
    <t>PAID LL</t>
  </si>
  <si>
    <t>PAID ON 10/2</t>
  </si>
  <si>
    <t>PETERSON MUSEVI</t>
  </si>
  <si>
    <t>EDWIN ASAMBA</t>
  </si>
  <si>
    <t>JUSTIN ABEL VACCATED</t>
  </si>
  <si>
    <t>FOR THE MONTH OF MARCH 2021</t>
  </si>
  <si>
    <t>MARCH</t>
  </si>
  <si>
    <t>new tenant</t>
  </si>
  <si>
    <t>commision refund</t>
  </si>
  <si>
    <t>PAID ON 10/3</t>
  </si>
  <si>
    <t>EMMAH NO.2 VACCATED</t>
  </si>
  <si>
    <t>FOR THE MONTH OF APRIL 2021</t>
  </si>
  <si>
    <t>APRIL</t>
  </si>
  <si>
    <t>HUMPREY</t>
  </si>
  <si>
    <t>PAID ON 10/4</t>
  </si>
  <si>
    <t>MARY NGINA</t>
  </si>
  <si>
    <t>EDWIN ASAMBA/ERNEST</t>
  </si>
  <si>
    <t>ERNEST</t>
  </si>
  <si>
    <t>ADAN NAKITARE</t>
  </si>
  <si>
    <t>FOR THE MONTH OF MAY 2021</t>
  </si>
  <si>
    <t>MAY</t>
  </si>
  <si>
    <t>PAID ON 10/5</t>
  </si>
  <si>
    <t>FOR THE MONTH OF JUNE 2021</t>
  </si>
  <si>
    <t>JUNE</t>
  </si>
  <si>
    <t>NEW</t>
  </si>
  <si>
    <t>VICTOR YEGON</t>
  </si>
  <si>
    <t>PAID ON 10/6</t>
  </si>
  <si>
    <t>JULY</t>
  </si>
  <si>
    <t>FOR THE MONTH OF JULY 2021</t>
  </si>
  <si>
    <t xml:space="preserve">RONALD EVICTED </t>
  </si>
  <si>
    <t>SHARON AWINYA</t>
  </si>
  <si>
    <t>RONALD BAL OF 2000 TO BE PAID IN 2 INSTALLMENTS AS FROM JULY</t>
  </si>
  <si>
    <t>PAID ON 10/7</t>
  </si>
  <si>
    <t>FOR THE MONTH OF AUGUST 2021</t>
  </si>
  <si>
    <t>AUGUST</t>
  </si>
  <si>
    <t>SPERENZA</t>
  </si>
  <si>
    <t>PAID  ON 10/8</t>
  </si>
  <si>
    <t>FOR THE MONTH OF SEPTEMBER 2021</t>
  </si>
  <si>
    <t>FREDRICK ATEMO</t>
  </si>
  <si>
    <t>SPERENZA NO.11 PAID LL</t>
  </si>
  <si>
    <t>LL300</t>
  </si>
  <si>
    <t>FREDRICK ONGAO</t>
  </si>
  <si>
    <t>FOR THE MONTH OF OCTOBER 2021</t>
  </si>
  <si>
    <t>EARNEST VACCATED</t>
  </si>
  <si>
    <t>PAID ON 11/10</t>
  </si>
  <si>
    <t>KAVUVA</t>
  </si>
  <si>
    <t>FOR THE MONTH OF NOVEMBER 2021</t>
  </si>
  <si>
    <t>NOV</t>
  </si>
  <si>
    <t>KAVUVA NO.6 BAL OF 1500 TO BE PAID IN 2 INSTALLMENTS AS FROM JULY</t>
  </si>
  <si>
    <t>EVERYNE MWIKALI</t>
  </si>
  <si>
    <t>WILLIAM WANJIRA</t>
  </si>
  <si>
    <t>NO.14 VACCATED</t>
  </si>
  <si>
    <t>KAVUVA VACCATED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</si>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</sst>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43" fontId="11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Fill="1" applyBorder="1"/>
    <xf numFmtId="0" fontId="12" fillId="0" borderId="1" xfId="0" applyFont="1" applyBorder="1"/>
    <xf numFmtId="0" fontId="9" fillId="0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3" fillId="0" borderId="1" xfId="0" applyFont="1" applyBorder="1"/>
    <xf numFmtId="0" fontId="4" fillId="0" borderId="1" xfId="0" applyFont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164" fontId="4" fillId="0" borderId="0" xfId="0" applyNumberFormat="1" applyFont="1"/>
    <xf numFmtId="0" fontId="16" fillId="0" borderId="0" xfId="0" applyFont="1"/>
    <xf numFmtId="0" fontId="16" fillId="0" borderId="5" xfId="0" applyFont="1" applyBorder="1"/>
    <xf numFmtId="0" fontId="16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6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16" fontId="2" fillId="0" borderId="0" xfId="0" applyNumberFormat="1" applyFont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2" xfId="0" applyFont="1" applyBorder="1"/>
    <xf numFmtId="0" fontId="17" fillId="0" borderId="1" xfId="0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164" fontId="17" fillId="0" borderId="1" xfId="1" applyNumberFormat="1" applyFont="1" applyBorder="1" applyAlignment="1">
      <alignment horizontal="right"/>
    </xf>
    <xf numFmtId="164" fontId="17" fillId="0" borderId="1" xfId="0" applyNumberFormat="1" applyFont="1" applyBorder="1" applyAlignment="1">
      <alignment horizontal="right"/>
    </xf>
    <xf numFmtId="0" fontId="16" fillId="0" borderId="0" xfId="0" applyFont="1" applyFill="1" applyBorder="1"/>
    <xf numFmtId="0" fontId="12" fillId="0" borderId="1" xfId="0" applyFont="1" applyFill="1" applyBorder="1"/>
    <xf numFmtId="0" fontId="19" fillId="0" borderId="0" xfId="0" applyFont="1"/>
    <xf numFmtId="0" fontId="0" fillId="0" borderId="0" xfId="0" applyAlignment="1"/>
    <xf numFmtId="43" fontId="12" fillId="0" borderId="1" xfId="1" applyFont="1" applyBorder="1" applyAlignment="1">
      <alignment horizontal="left"/>
    </xf>
    <xf numFmtId="0" fontId="20" fillId="0" borderId="1" xfId="0" applyFont="1" applyFill="1" applyBorder="1"/>
    <xf numFmtId="0" fontId="4" fillId="0" borderId="2" xfId="0" applyFont="1" applyBorder="1"/>
    <xf numFmtId="0" fontId="19" fillId="0" borderId="1" xfId="0" applyFont="1" applyBorder="1"/>
    <xf numFmtId="164" fontId="21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topLeftCell="A6" workbookViewId="0">
      <selection activeCell="M16" sqref="M16"/>
    </sheetView>
  </sheetViews>
  <sheetFormatPr defaultRowHeight="15" x14ac:dyDescent="0.25"/>
  <cols>
    <col min="1" max="1" width="15.7109375" customWidth="1"/>
    <col min="2" max="2" width="7.28515625" customWidth="1"/>
    <col min="3" max="3" width="7.85546875" customWidth="1"/>
    <col min="4" max="4" width="7.28515625" customWidth="1"/>
    <col min="6" max="6" width="8.7109375" customWidth="1"/>
    <col min="8" max="8" width="7" customWidth="1"/>
  </cols>
  <sheetData>
    <row r="2" spans="1:9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33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/>
      <c r="E6" s="16">
        <v>1500</v>
      </c>
      <c r="F6" s="16">
        <f>C6+D6+E6</f>
        <v>1500</v>
      </c>
      <c r="G6" s="16">
        <v>1500</v>
      </c>
      <c r="H6" s="17">
        <f>F6-G6</f>
        <v>0</v>
      </c>
      <c r="I6" s="15"/>
    </row>
    <row r="7" spans="1:9" x14ac:dyDescent="0.25">
      <c r="A7" t="s">
        <v>45</v>
      </c>
      <c r="B7" s="13">
        <v>2</v>
      </c>
      <c r="C7" s="14"/>
      <c r="D7" s="15"/>
      <c r="E7" s="18">
        <v>1500</v>
      </c>
      <c r="F7" s="16">
        <f t="shared" ref="F7:F28" si="0">C7+D7+E7</f>
        <v>1500</v>
      </c>
      <c r="G7" s="16">
        <v>1500</v>
      </c>
      <c r="H7" s="17">
        <f t="shared" ref="H7:H28" si="1">F7-G7</f>
        <v>0</v>
      </c>
      <c r="I7" s="15"/>
    </row>
    <row r="8" spans="1:9" x14ac:dyDescent="0.25">
      <c r="A8" s="19" t="s">
        <v>34</v>
      </c>
      <c r="B8" s="13">
        <v>3</v>
      </c>
      <c r="C8" s="14"/>
      <c r="D8" s="15">
        <v>500</v>
      </c>
      <c r="E8" s="18">
        <v>1500</v>
      </c>
      <c r="F8" s="16">
        <f t="shared" si="0"/>
        <v>2000</v>
      </c>
      <c r="G8" s="16">
        <f>1600</f>
        <v>1600</v>
      </c>
      <c r="H8" s="17">
        <f>F8-G8</f>
        <v>400</v>
      </c>
      <c r="I8" s="15">
        <v>100</v>
      </c>
    </row>
    <row r="9" spans="1:9" x14ac:dyDescent="0.25">
      <c r="A9" s="20" t="s">
        <v>35</v>
      </c>
      <c r="B9" s="13">
        <v>4</v>
      </c>
      <c r="C9" s="14"/>
      <c r="D9" s="15"/>
      <c r="E9" s="18">
        <v>1500</v>
      </c>
      <c r="F9" s="16">
        <f t="shared" si="0"/>
        <v>1500</v>
      </c>
      <c r="G9" s="16">
        <f>900+500</f>
        <v>1400</v>
      </c>
      <c r="H9" s="17">
        <f t="shared" si="1"/>
        <v>100</v>
      </c>
      <c r="I9" s="15"/>
    </row>
    <row r="10" spans="1:9" x14ac:dyDescent="0.25">
      <c r="A10" s="20" t="s">
        <v>36</v>
      </c>
      <c r="B10" s="13">
        <v>5</v>
      </c>
      <c r="C10" s="14"/>
      <c r="D10" s="15"/>
      <c r="E10" s="18">
        <v>1500</v>
      </c>
      <c r="F10" s="16">
        <f t="shared" si="0"/>
        <v>1500</v>
      </c>
      <c r="G10" s="16">
        <f>1200</f>
        <v>1200</v>
      </c>
      <c r="H10" s="17">
        <f t="shared" si="1"/>
        <v>300</v>
      </c>
      <c r="I10" s="15"/>
    </row>
    <row r="11" spans="1:9" x14ac:dyDescent="0.25">
      <c r="A11" s="12" t="s">
        <v>46</v>
      </c>
      <c r="B11" s="13">
        <v>6</v>
      </c>
      <c r="C11" s="14"/>
      <c r="D11" s="15"/>
      <c r="E11" s="18">
        <v>1500</v>
      </c>
      <c r="F11" s="16">
        <f>C11+D11+E11</f>
        <v>1500</v>
      </c>
      <c r="G11" s="16">
        <f>800</f>
        <v>800</v>
      </c>
      <c r="H11" s="17">
        <f t="shared" si="1"/>
        <v>700</v>
      </c>
      <c r="I11" s="15"/>
    </row>
    <row r="12" spans="1:9" x14ac:dyDescent="0.25">
      <c r="A12" s="20" t="s">
        <v>37</v>
      </c>
      <c r="B12" s="13">
        <v>7</v>
      </c>
      <c r="C12" s="14"/>
      <c r="D12" s="15">
        <v>600</v>
      </c>
      <c r="E12" s="18">
        <v>1500</v>
      </c>
      <c r="F12" s="16">
        <f t="shared" si="0"/>
        <v>2100</v>
      </c>
      <c r="G12" s="16"/>
      <c r="H12" s="17">
        <f t="shared" si="1"/>
        <v>2100</v>
      </c>
      <c r="I12" s="15"/>
    </row>
    <row r="13" spans="1:9" x14ac:dyDescent="0.25">
      <c r="A13" s="21" t="s">
        <v>47</v>
      </c>
      <c r="B13" s="13">
        <v>8</v>
      </c>
      <c r="C13" s="14"/>
      <c r="D13" s="15"/>
      <c r="E13" s="18">
        <v>1500</v>
      </c>
      <c r="F13" s="16">
        <f t="shared" si="0"/>
        <v>1500</v>
      </c>
      <c r="G13" s="16">
        <v>1500</v>
      </c>
      <c r="H13" s="17">
        <f t="shared" si="1"/>
        <v>0</v>
      </c>
      <c r="I13" s="15"/>
    </row>
    <row r="14" spans="1:9" x14ac:dyDescent="0.25">
      <c r="A14" s="21" t="s">
        <v>38</v>
      </c>
      <c r="B14" s="13">
        <v>9</v>
      </c>
      <c r="C14" s="14"/>
      <c r="D14" s="15">
        <v>100</v>
      </c>
      <c r="E14" s="18">
        <v>1500</v>
      </c>
      <c r="F14" s="16">
        <f t="shared" si="0"/>
        <v>1600</v>
      </c>
      <c r="G14" s="16">
        <f>900+600</f>
        <v>1500</v>
      </c>
      <c r="H14" s="17">
        <f t="shared" si="1"/>
        <v>100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v>500</v>
      </c>
      <c r="E15" s="18">
        <v>1000</v>
      </c>
      <c r="F15" s="16">
        <f t="shared" si="0"/>
        <v>1500</v>
      </c>
      <c r="G15" s="16">
        <f>1000+500</f>
        <v>1500</v>
      </c>
      <c r="H15" s="17">
        <f t="shared" si="1"/>
        <v>0</v>
      </c>
      <c r="I15" s="15">
        <v>500</v>
      </c>
    </row>
    <row r="16" spans="1:9" x14ac:dyDescent="0.25">
      <c r="A16" s="24" t="s">
        <v>39</v>
      </c>
      <c r="B16" s="13">
        <v>11</v>
      </c>
      <c r="C16" s="14"/>
      <c r="D16" s="15"/>
      <c r="E16" s="18">
        <v>1500</v>
      </c>
      <c r="F16" s="16">
        <f t="shared" si="0"/>
        <v>1500</v>
      </c>
      <c r="G16" s="16">
        <v>1500</v>
      </c>
      <c r="H16" s="17">
        <f t="shared" si="1"/>
        <v>0</v>
      </c>
      <c r="I16" s="15"/>
    </row>
    <row r="17" spans="1:14" x14ac:dyDescent="0.25">
      <c r="A17" s="12" t="s">
        <v>40</v>
      </c>
      <c r="B17" s="13">
        <v>12</v>
      </c>
      <c r="C17" s="14"/>
      <c r="D17" s="15"/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4" x14ac:dyDescent="0.25">
      <c r="A18" s="25" t="s">
        <v>41</v>
      </c>
      <c r="B18" s="13">
        <v>13</v>
      </c>
      <c r="C18" s="14"/>
      <c r="D18" s="15"/>
      <c r="E18" s="18">
        <v>1000</v>
      </c>
      <c r="F18" s="16">
        <f t="shared" si="0"/>
        <v>1000</v>
      </c>
      <c r="G18" s="16"/>
      <c r="H18" s="17">
        <f t="shared" si="1"/>
        <v>1000</v>
      </c>
      <c r="I18" s="15"/>
    </row>
    <row r="19" spans="1:14" x14ac:dyDescent="0.25">
      <c r="A19" s="19" t="s">
        <v>44</v>
      </c>
      <c r="B19" s="13">
        <v>14</v>
      </c>
      <c r="C19" s="14"/>
      <c r="D19" s="15"/>
      <c r="E19" s="18">
        <v>1000</v>
      </c>
      <c r="F19" s="16">
        <f t="shared" si="0"/>
        <v>1000</v>
      </c>
      <c r="G19" s="16">
        <v>1000</v>
      </c>
      <c r="H19" s="17">
        <f t="shared" si="1"/>
        <v>0</v>
      </c>
      <c r="I19" s="15"/>
    </row>
    <row r="20" spans="1:14" x14ac:dyDescent="0.25">
      <c r="A20" s="12" t="s">
        <v>42</v>
      </c>
      <c r="B20" s="13">
        <v>15</v>
      </c>
      <c r="C20" s="14"/>
      <c r="D20" s="15">
        <v>1200</v>
      </c>
      <c r="E20" s="18">
        <v>1000</v>
      </c>
      <c r="F20" s="16">
        <f t="shared" si="0"/>
        <v>2200</v>
      </c>
      <c r="G20" s="16"/>
      <c r="H20" s="17">
        <f t="shared" si="1"/>
        <v>2200</v>
      </c>
      <c r="I20" s="15"/>
      <c r="J20" t="s">
        <v>66</v>
      </c>
    </row>
    <row r="21" spans="1:14" x14ac:dyDescent="0.25">
      <c r="A21" s="22" t="s">
        <v>43</v>
      </c>
      <c r="B21" s="26">
        <v>16</v>
      </c>
      <c r="C21" s="14"/>
      <c r="D21" s="15"/>
      <c r="E21" s="18"/>
      <c r="F21" s="16">
        <f t="shared" si="0"/>
        <v>0</v>
      </c>
      <c r="G21" s="16"/>
      <c r="H21" s="17">
        <f t="shared" si="1"/>
        <v>0</v>
      </c>
      <c r="I21" s="15"/>
    </row>
    <row r="22" spans="1:14" x14ac:dyDescent="0.25">
      <c r="A22" s="25"/>
      <c r="B22" s="13">
        <v>17</v>
      </c>
      <c r="C22" s="14"/>
      <c r="D22" s="15"/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14" x14ac:dyDescent="0.25">
      <c r="A23" s="12"/>
      <c r="B23" s="13">
        <v>18</v>
      </c>
      <c r="C23" s="14"/>
      <c r="D23" s="15"/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14" x14ac:dyDescent="0.25">
      <c r="A24" s="20"/>
      <c r="B24" s="27">
        <v>19</v>
      </c>
      <c r="C24" s="14"/>
      <c r="D24" s="15"/>
      <c r="E24" s="18"/>
      <c r="F24" s="16">
        <f t="shared" si="0"/>
        <v>0</v>
      </c>
      <c r="G24" s="16"/>
      <c r="H24" s="17">
        <f t="shared" si="1"/>
        <v>0</v>
      </c>
      <c r="I24" s="15"/>
    </row>
    <row r="25" spans="1:14" x14ac:dyDescent="0.25">
      <c r="A25" s="20"/>
      <c r="B25" s="27">
        <v>20</v>
      </c>
      <c r="C25" s="14"/>
      <c r="D25" s="15"/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14" x14ac:dyDescent="0.25">
      <c r="A26" s="20"/>
      <c r="B26" s="27"/>
      <c r="C26" s="14"/>
      <c r="D26" s="15"/>
      <c r="E26" s="18"/>
      <c r="F26" s="16">
        <f t="shared" si="0"/>
        <v>0</v>
      </c>
      <c r="G26" s="16"/>
      <c r="H26" s="17">
        <f t="shared" si="1"/>
        <v>0</v>
      </c>
      <c r="I26" s="15"/>
      <c r="N26" s="31"/>
    </row>
    <row r="27" spans="1:14" x14ac:dyDescent="0.25">
      <c r="A27" s="20"/>
      <c r="B27" s="27"/>
      <c r="C27" s="14"/>
      <c r="D27" s="15"/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14" x14ac:dyDescent="0.25">
      <c r="A28" s="20" t="s">
        <v>10</v>
      </c>
      <c r="B28" s="27"/>
      <c r="C28" s="14"/>
      <c r="D28" s="15"/>
      <c r="E28" s="18"/>
      <c r="F28" s="16">
        <f t="shared" si="0"/>
        <v>0</v>
      </c>
      <c r="G28" s="16"/>
      <c r="H28" s="17">
        <f t="shared" si="1"/>
        <v>0</v>
      </c>
      <c r="I28" s="15"/>
    </row>
    <row r="29" spans="1:14" x14ac:dyDescent="0.25">
      <c r="A29" s="28" t="s">
        <v>12</v>
      </c>
      <c r="B29" s="29"/>
      <c r="C29" s="14">
        <f t="shared" ref="C29:I29" si="2">SUM(C6:C28)</f>
        <v>0</v>
      </c>
      <c r="D29" s="15">
        <f>SUM(D6:D28)</f>
        <v>2900</v>
      </c>
      <c r="E29" s="30">
        <f>SUM(E6:E28)</f>
        <v>19000</v>
      </c>
      <c r="F29" s="16">
        <f t="shared" si="2"/>
        <v>21900</v>
      </c>
      <c r="G29" s="16">
        <f t="shared" si="2"/>
        <v>15000</v>
      </c>
      <c r="H29" s="16">
        <f>SUM(H6:H28)</f>
        <v>6900</v>
      </c>
      <c r="I29" s="15">
        <f t="shared" si="2"/>
        <v>600</v>
      </c>
    </row>
    <row r="30" spans="1:14" x14ac:dyDescent="0.25">
      <c r="H30" s="31">
        <f>H29-H20-H18-H8-H14</f>
        <v>3200</v>
      </c>
      <c r="I30" s="3"/>
    </row>
    <row r="32" spans="1:14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5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5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</row>
    <row r="35" spans="1:15" x14ac:dyDescent="0.25">
      <c r="A35" s="29" t="s">
        <v>31</v>
      </c>
      <c r="B35" s="41">
        <f>E29</f>
        <v>19000</v>
      </c>
      <c r="C35" s="29"/>
      <c r="D35" s="29"/>
      <c r="E35" s="29" t="s">
        <v>31</v>
      </c>
      <c r="F35" s="41">
        <f>G29</f>
        <v>15000</v>
      </c>
      <c r="G35" s="29"/>
      <c r="H35" s="29"/>
      <c r="I35" s="37"/>
    </row>
    <row r="36" spans="1:15" x14ac:dyDescent="0.25">
      <c r="A36" s="29" t="s">
        <v>19</v>
      </c>
      <c r="B36" s="41"/>
      <c r="C36" s="29"/>
      <c r="D36" s="29"/>
      <c r="E36" s="29" t="s">
        <v>19</v>
      </c>
      <c r="F36" s="41"/>
      <c r="G36" s="29"/>
      <c r="H36" s="29"/>
      <c r="I36" s="37"/>
      <c r="O36" s="42"/>
    </row>
    <row r="37" spans="1:15" x14ac:dyDescent="0.25">
      <c r="A37" s="29" t="s">
        <v>9</v>
      </c>
      <c r="B37" s="41">
        <f>500+100</f>
        <v>600</v>
      </c>
      <c r="C37" s="29"/>
      <c r="D37" s="29"/>
      <c r="E37" s="29"/>
      <c r="F37" s="41"/>
      <c r="G37" s="29"/>
      <c r="H37" s="29"/>
      <c r="I37" s="37" t="s">
        <v>20</v>
      </c>
    </row>
    <row r="38" spans="1:15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5" x14ac:dyDescent="0.25">
      <c r="A39" s="29" t="s">
        <v>21</v>
      </c>
      <c r="B39" s="42">
        <v>0.1</v>
      </c>
      <c r="C39" s="41">
        <f>B39*B35</f>
        <v>1900</v>
      </c>
      <c r="D39" s="29"/>
      <c r="E39" s="29" t="s">
        <v>21</v>
      </c>
      <c r="F39" s="42">
        <v>0.1</v>
      </c>
      <c r="G39" s="41">
        <f>F39*B35</f>
        <v>1900</v>
      </c>
      <c r="H39" s="29"/>
      <c r="I39" s="3"/>
    </row>
    <row r="40" spans="1:15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5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</row>
    <row r="42" spans="1:15" x14ac:dyDescent="0.25">
      <c r="A42" s="43" t="s">
        <v>49</v>
      </c>
      <c r="C42">
        <v>19102</v>
      </c>
      <c r="D42" s="45"/>
      <c r="E42" s="43" t="s">
        <v>49</v>
      </c>
      <c r="G42">
        <v>19102</v>
      </c>
      <c r="H42" s="29"/>
      <c r="I42" s="3"/>
    </row>
    <row r="43" spans="1:15" x14ac:dyDescent="0.25">
      <c r="A43" s="43" t="s">
        <v>72</v>
      </c>
      <c r="B43" s="42"/>
      <c r="C43" s="29">
        <v>1000</v>
      </c>
      <c r="D43" s="29"/>
      <c r="E43" s="43"/>
      <c r="F43" s="42"/>
      <c r="G43" s="29"/>
      <c r="H43" s="29"/>
      <c r="I43" s="37"/>
    </row>
    <row r="44" spans="1:15" x14ac:dyDescent="0.25">
      <c r="A44" s="43"/>
      <c r="B44" s="42"/>
      <c r="C44" s="29"/>
      <c r="D44" s="29"/>
      <c r="E44" s="43"/>
      <c r="F44" s="42"/>
      <c r="G44" s="29"/>
      <c r="H44" s="29"/>
      <c r="I44" s="46"/>
      <c r="J44" s="31"/>
    </row>
    <row r="45" spans="1:15" x14ac:dyDescent="0.25">
      <c r="A45" s="43"/>
      <c r="B45" s="29"/>
      <c r="C45" s="45"/>
      <c r="D45" s="29"/>
      <c r="E45" s="43"/>
      <c r="F45" s="29"/>
      <c r="G45" s="45"/>
      <c r="H45" s="29"/>
      <c r="I45" s="3"/>
    </row>
    <row r="46" spans="1:15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</row>
    <row r="47" spans="1:15" x14ac:dyDescent="0.25">
      <c r="A47" s="40" t="s">
        <v>25</v>
      </c>
      <c r="B47" s="48">
        <f>B38+B35+B36+B37-C39</f>
        <v>17700</v>
      </c>
      <c r="C47" s="48">
        <f>SUM(C41:C46)</f>
        <v>20102</v>
      </c>
      <c r="D47" s="48">
        <f>B47-C47</f>
        <v>-2402</v>
      </c>
      <c r="E47" s="40" t="s">
        <v>25</v>
      </c>
      <c r="F47" s="48">
        <f>F35+F36+F38-G39</f>
        <v>13100</v>
      </c>
      <c r="G47" s="48">
        <f>SUM(G41:G46)</f>
        <v>19102</v>
      </c>
      <c r="H47" s="48">
        <f>F47-G47</f>
        <v>-6002</v>
      </c>
      <c r="I47" s="46"/>
    </row>
    <row r="48" spans="1:15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</row>
    <row r="49" spans="1:9" x14ac:dyDescent="0.25">
      <c r="A49" s="49" t="s">
        <v>29</v>
      </c>
      <c r="B49" s="50"/>
      <c r="C49" s="50" t="s">
        <v>11</v>
      </c>
      <c r="D49" s="51"/>
      <c r="E49" s="49"/>
      <c r="F49" s="49" t="s">
        <v>30</v>
      </c>
      <c r="G49" s="3"/>
      <c r="H49" s="3"/>
      <c r="I49" s="46"/>
    </row>
    <row r="51" spans="1:9" x14ac:dyDescent="0.25">
      <c r="D51" s="47"/>
    </row>
  </sheetData>
  <pageMargins left="0" right="0" top="0" bottom="0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A10" workbookViewId="0">
      <selection activeCell="G16" sqref="G16"/>
    </sheetView>
  </sheetViews>
  <sheetFormatPr defaultRowHeight="15" x14ac:dyDescent="0.25"/>
  <cols>
    <col min="1" max="1" width="25.285156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122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'MAY 21'!H6:H22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10" x14ac:dyDescent="0.25">
      <c r="A7" s="3" t="s">
        <v>125</v>
      </c>
      <c r="B7" s="13">
        <v>2</v>
      </c>
      <c r="C7" s="14"/>
      <c r="D7" s="15">
        <f>'MAY 21'!H7:H23</f>
        <v>0</v>
      </c>
      <c r="E7" s="18">
        <v>1500</v>
      </c>
      <c r="F7" s="16">
        <f t="shared" ref="F7:F21" si="1">C7+D7+E7</f>
        <v>1500</v>
      </c>
      <c r="G7" s="16">
        <f>1000</f>
        <v>1000</v>
      </c>
      <c r="H7" s="17">
        <f t="shared" si="0"/>
        <v>500</v>
      </c>
      <c r="I7" s="15"/>
    </row>
    <row r="8" spans="1:10" x14ac:dyDescent="0.25">
      <c r="A8" s="19" t="s">
        <v>86</v>
      </c>
      <c r="B8" s="13">
        <v>3</v>
      </c>
      <c r="C8" s="14"/>
      <c r="D8" s="15">
        <f>'MAY 21'!H8:H24</f>
        <v>500</v>
      </c>
      <c r="E8" s="18">
        <v>1500</v>
      </c>
      <c r="F8" s="16">
        <f t="shared" si="1"/>
        <v>2000</v>
      </c>
      <c r="G8" s="16">
        <f>500+1000</f>
        <v>1500</v>
      </c>
      <c r="H8" s="17">
        <f t="shared" si="0"/>
        <v>500</v>
      </c>
      <c r="I8" s="15"/>
    </row>
    <row r="9" spans="1:10" x14ac:dyDescent="0.25">
      <c r="A9" s="20" t="s">
        <v>61</v>
      </c>
      <c r="B9" s="13">
        <v>4</v>
      </c>
      <c r="C9" s="14"/>
      <c r="D9" s="15">
        <f>'MAY 21'!H9:H25</f>
        <v>0</v>
      </c>
      <c r="E9" s="18">
        <v>1500</v>
      </c>
      <c r="F9" s="16">
        <f t="shared" si="1"/>
        <v>1500</v>
      </c>
      <c r="G9" s="16">
        <f>700+100+100+100</f>
        <v>1000</v>
      </c>
      <c r="H9" s="17">
        <f t="shared" si="0"/>
        <v>500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'MAY 21'!H10:H26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10" x14ac:dyDescent="0.25">
      <c r="A11" s="24" t="s">
        <v>117</v>
      </c>
      <c r="B11" s="13">
        <v>6</v>
      </c>
      <c r="C11" s="14"/>
      <c r="D11" s="15">
        <f>'MAY 21'!H11:H27</f>
        <v>0</v>
      </c>
      <c r="E11" s="18">
        <v>1500</v>
      </c>
      <c r="F11" s="16">
        <f>C11+D11+E11</f>
        <v>1500</v>
      </c>
      <c r="G11" s="16">
        <f>1500</f>
        <v>1500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>
        <f>'MAY 21'!H12:H28</f>
        <v>0</v>
      </c>
      <c r="E12" s="18">
        <v>1500</v>
      </c>
      <c r="F12" s="16">
        <f>C12+D12+E12</f>
        <v>1500</v>
      </c>
      <c r="G12" s="57">
        <f>1500</f>
        <v>1500</v>
      </c>
      <c r="H12" s="17">
        <f t="shared" si="0"/>
        <v>0</v>
      </c>
      <c r="I12" s="15"/>
    </row>
    <row r="13" spans="1:10" x14ac:dyDescent="0.25">
      <c r="A13" s="21" t="s">
        <v>118</v>
      </c>
      <c r="B13" s="13">
        <v>8</v>
      </c>
      <c r="C13" s="14"/>
      <c r="D13" s="15">
        <f>'MAY 21'!H13:H29</f>
        <v>0</v>
      </c>
      <c r="E13" s="18">
        <v>1500</v>
      </c>
      <c r="F13" s="16">
        <f t="shared" si="1"/>
        <v>1500</v>
      </c>
      <c r="G13" s="16">
        <f>1500</f>
        <v>1500</v>
      </c>
      <c r="H13" s="17">
        <f t="shared" si="0"/>
        <v>0</v>
      </c>
      <c r="I13" s="15"/>
    </row>
    <row r="14" spans="1:10" x14ac:dyDescent="0.25">
      <c r="A14" s="21" t="s">
        <v>47</v>
      </c>
      <c r="B14" s="13">
        <v>9</v>
      </c>
      <c r="C14" s="14"/>
      <c r="D14" s="15">
        <f>'MAY 21'!H14:H30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'MAY 21'!H15:H31</f>
        <v>0</v>
      </c>
      <c r="E15" s="18">
        <v>1500</v>
      </c>
      <c r="F15" s="16">
        <f t="shared" si="1"/>
        <v>1500</v>
      </c>
      <c r="G15" s="16">
        <f>1000+500</f>
        <v>1500</v>
      </c>
      <c r="H15" s="17">
        <f t="shared" si="0"/>
        <v>0</v>
      </c>
      <c r="I15" s="15"/>
    </row>
    <row r="16" spans="1:10" x14ac:dyDescent="0.25">
      <c r="A16" s="60" t="s">
        <v>52</v>
      </c>
      <c r="B16" s="53">
        <v>11</v>
      </c>
      <c r="C16" s="54"/>
      <c r="D16" s="55">
        <f>'MAY 21'!H16:H32</f>
        <v>500</v>
      </c>
      <c r="E16" s="56">
        <v>1500</v>
      </c>
      <c r="F16" s="57">
        <f t="shared" si="1"/>
        <v>2000</v>
      </c>
      <c r="G16" s="57"/>
      <c r="H16" s="58">
        <f t="shared" si="0"/>
        <v>2000</v>
      </c>
      <c r="I16" s="55"/>
      <c r="J16" t="s">
        <v>66</v>
      </c>
    </row>
    <row r="17" spans="1:15" x14ac:dyDescent="0.25">
      <c r="A17" s="60" t="s">
        <v>40</v>
      </c>
      <c r="B17" s="13">
        <v>12</v>
      </c>
      <c r="C17" s="14"/>
      <c r="D17" s="15">
        <f>'MAY 21'!H17:H33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5" x14ac:dyDescent="0.25">
      <c r="A18" s="22" t="s">
        <v>124</v>
      </c>
      <c r="B18" s="13">
        <v>13</v>
      </c>
      <c r="C18" s="14"/>
      <c r="D18" s="15">
        <f>'MAY 21'!H18:H34</f>
        <v>0</v>
      </c>
      <c r="E18" s="18">
        <v>1500</v>
      </c>
      <c r="F18" s="16">
        <f t="shared" si="1"/>
        <v>1500</v>
      </c>
      <c r="G18" s="16">
        <v>1500</v>
      </c>
      <c r="H18" s="17">
        <f t="shared" si="0"/>
        <v>0</v>
      </c>
      <c r="I18" s="15"/>
    </row>
    <row r="19" spans="1:15" x14ac:dyDescent="0.25">
      <c r="A19" s="19" t="s">
        <v>95</v>
      </c>
      <c r="B19" s="13">
        <v>14</v>
      </c>
      <c r="C19" s="14"/>
      <c r="D19" s="15">
        <f>'MAY 21'!H19:H35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5" x14ac:dyDescent="0.25">
      <c r="A20" s="12" t="s">
        <v>87</v>
      </c>
      <c r="B20" s="13">
        <v>15</v>
      </c>
      <c r="C20" s="14"/>
      <c r="D20" s="15">
        <f>'MAY 21'!H20:H36</f>
        <v>0</v>
      </c>
      <c r="E20" s="18">
        <v>1500</v>
      </c>
      <c r="F20" s="16">
        <f t="shared" si="1"/>
        <v>1500</v>
      </c>
      <c r="G20" s="16">
        <f>1300+200</f>
        <v>1500</v>
      </c>
      <c r="H20" s="17">
        <f t="shared" si="0"/>
        <v>0</v>
      </c>
      <c r="I20" s="15"/>
    </row>
    <row r="21" spans="1:15" x14ac:dyDescent="0.25">
      <c r="A21" s="25" t="s">
        <v>85</v>
      </c>
      <c r="B21" s="26">
        <v>16</v>
      </c>
      <c r="C21" s="14"/>
      <c r="D21" s="15">
        <f>'MAY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5" x14ac:dyDescent="0.25">
      <c r="A22" s="28" t="s">
        <v>25</v>
      </c>
      <c r="B22" s="29"/>
      <c r="C22" s="14">
        <f t="shared" ref="C22:I22" si="2">SUM(C6:C21)</f>
        <v>0</v>
      </c>
      <c r="D22" s="15">
        <f>'MAY 21'!H22:H38</f>
        <v>1000</v>
      </c>
      <c r="E22" s="30">
        <f t="shared" si="2"/>
        <v>21000</v>
      </c>
      <c r="F22" s="16">
        <f t="shared" si="2"/>
        <v>22000</v>
      </c>
      <c r="G22" s="16">
        <f>SUM(G6:G21)</f>
        <v>18500</v>
      </c>
      <c r="H22" s="16">
        <f t="shared" si="2"/>
        <v>3500</v>
      </c>
      <c r="I22" s="15">
        <f t="shared" si="2"/>
        <v>0</v>
      </c>
    </row>
    <row r="23" spans="1:15" x14ac:dyDescent="0.25">
      <c r="D23" s="15"/>
      <c r="H23" s="31"/>
      <c r="I23" s="3"/>
    </row>
    <row r="25" spans="1:15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5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5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5" x14ac:dyDescent="0.25">
      <c r="A28" s="29" t="s">
        <v>123</v>
      </c>
      <c r="B28" s="41">
        <f>E22</f>
        <v>21000</v>
      </c>
      <c r="C28" s="29"/>
      <c r="D28" s="29"/>
      <c r="E28" s="29" t="s">
        <v>123</v>
      </c>
      <c r="F28" s="41">
        <f>G22</f>
        <v>18500</v>
      </c>
      <c r="G28" s="29"/>
      <c r="H28" s="29"/>
      <c r="I28" s="37"/>
    </row>
    <row r="29" spans="1:15" x14ac:dyDescent="0.25">
      <c r="A29" s="29" t="s">
        <v>19</v>
      </c>
      <c r="B29" s="41">
        <f>'MAY 21'!D41</f>
        <v>0</v>
      </c>
      <c r="C29" s="29"/>
      <c r="D29" s="29"/>
      <c r="E29" s="29" t="s">
        <v>19</v>
      </c>
      <c r="F29" s="41">
        <f>'MAY 21'!H41</f>
        <v>-1000</v>
      </c>
      <c r="G29" s="29"/>
      <c r="H29" s="29"/>
      <c r="I29" s="37"/>
    </row>
    <row r="30" spans="1:15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  <c r="O30" s="42"/>
    </row>
    <row r="31" spans="1:15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5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0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0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0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0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0" x14ac:dyDescent="0.25">
      <c r="A37" s="43" t="s">
        <v>126</v>
      </c>
      <c r="C37" s="29">
        <v>18900</v>
      </c>
      <c r="D37" s="29"/>
      <c r="E37" s="43" t="s">
        <v>126</v>
      </c>
      <c r="G37" s="29">
        <v>18900</v>
      </c>
      <c r="H37" s="29"/>
      <c r="I37" s="37"/>
    </row>
    <row r="38" spans="1:10" x14ac:dyDescent="0.25">
      <c r="A38" s="43" t="s">
        <v>129</v>
      </c>
      <c r="B38" s="42"/>
      <c r="C38" s="29">
        <v>2000</v>
      </c>
      <c r="D38" s="29"/>
      <c r="E38" s="43"/>
      <c r="F38" s="42"/>
      <c r="G38" s="29"/>
      <c r="H38" s="29"/>
      <c r="I38" s="46"/>
      <c r="J38" s="31"/>
    </row>
    <row r="39" spans="1:10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0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0" x14ac:dyDescent="0.25">
      <c r="A41" s="40" t="s">
        <v>25</v>
      </c>
      <c r="B41" s="48">
        <f>B32+B28+B29+B30+B31+B35-C33</f>
        <v>18900</v>
      </c>
      <c r="C41" s="48">
        <f>SUM(C35:C40)</f>
        <v>20900</v>
      </c>
      <c r="D41" s="48">
        <f>B41-C41</f>
        <v>-2000</v>
      </c>
      <c r="E41" s="40" t="s">
        <v>25</v>
      </c>
      <c r="F41" s="48">
        <f>F28+F29+F32+F31+F35-G33</f>
        <v>15400</v>
      </c>
      <c r="G41" s="48">
        <f>SUM(G35:G40)</f>
        <v>18900</v>
      </c>
      <c r="H41" s="48">
        <f>F41-G41</f>
        <v>-3500</v>
      </c>
      <c r="I41" s="46"/>
      <c r="J41" s="47"/>
    </row>
    <row r="42" spans="1:10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0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opLeftCell="A7" workbookViewId="0">
      <selection activeCell="J32" sqref="J32"/>
    </sheetView>
  </sheetViews>
  <sheetFormatPr defaultRowHeight="15" x14ac:dyDescent="0.25"/>
  <cols>
    <col min="1" max="1" width="20" bestFit="1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128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'JUNE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'JUNE 21'!H7:H22</f>
        <v>500</v>
      </c>
      <c r="E7" s="18">
        <v>1500</v>
      </c>
      <c r="F7" s="16">
        <f t="shared" ref="F7:F21" si="1">C7+D7+E7</f>
        <v>2000</v>
      </c>
      <c r="G7" s="16">
        <f>1000+600</f>
        <v>1600</v>
      </c>
      <c r="H7" s="17">
        <f t="shared" si="0"/>
        <v>400</v>
      </c>
      <c r="I7" s="15"/>
    </row>
    <row r="8" spans="1:9" x14ac:dyDescent="0.25">
      <c r="A8" s="19" t="s">
        <v>86</v>
      </c>
      <c r="B8" s="13">
        <v>3</v>
      </c>
      <c r="C8" s="14"/>
      <c r="D8" s="15">
        <f>'JUNE 21'!H8:H23</f>
        <v>500</v>
      </c>
      <c r="E8" s="18">
        <v>1500</v>
      </c>
      <c r="F8" s="16">
        <f t="shared" si="1"/>
        <v>2000</v>
      </c>
      <c r="G8" s="16">
        <f>1000+500</f>
        <v>1500</v>
      </c>
      <c r="H8" s="17">
        <f t="shared" si="0"/>
        <v>500</v>
      </c>
      <c r="I8" s="15"/>
    </row>
    <row r="9" spans="1:9" x14ac:dyDescent="0.25">
      <c r="A9" s="20" t="s">
        <v>61</v>
      </c>
      <c r="B9" s="13">
        <v>4</v>
      </c>
      <c r="C9" s="14"/>
      <c r="D9" s="15">
        <f>'JUNE 21'!H9:H24</f>
        <v>500</v>
      </c>
      <c r="E9" s="18">
        <v>1500</v>
      </c>
      <c r="F9" s="16">
        <f t="shared" si="1"/>
        <v>2000</v>
      </c>
      <c r="G9" s="16">
        <f>1000+250+250+250</f>
        <v>1750</v>
      </c>
      <c r="H9" s="17">
        <f t="shared" si="0"/>
        <v>250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'JUNE 21'!H10:H25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9" x14ac:dyDescent="0.25">
      <c r="A11" s="24" t="s">
        <v>130</v>
      </c>
      <c r="B11" s="13">
        <v>6</v>
      </c>
      <c r="C11" s="14"/>
      <c r="D11" s="15">
        <f>'JUNE 21'!H11:H26</f>
        <v>0</v>
      </c>
      <c r="E11" s="18">
        <v>1500</v>
      </c>
      <c r="F11" s="16">
        <f>C11+D11+E11</f>
        <v>1500</v>
      </c>
      <c r="G11" s="16">
        <f>700+800</f>
        <v>1500</v>
      </c>
      <c r="H11" s="17">
        <f t="shared" si="0"/>
        <v>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'JUNE 21'!H12:H27</f>
        <v>0</v>
      </c>
      <c r="E12" s="18">
        <v>1500</v>
      </c>
      <c r="F12" s="16">
        <f>C12+D12+E12</f>
        <v>1500</v>
      </c>
      <c r="G12" s="57">
        <f>700+800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'JUNE 21'!H13:H28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47</v>
      </c>
      <c r="B14" s="13">
        <v>9</v>
      </c>
      <c r="C14" s="14"/>
      <c r="D14" s="15">
        <f>'JUNE 21'!H14:H29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'JUNE 21'!H15:H30</f>
        <v>0</v>
      </c>
      <c r="E15" s="18">
        <v>1500</v>
      </c>
      <c r="F15" s="16">
        <f t="shared" si="1"/>
        <v>1500</v>
      </c>
      <c r="G15" s="16">
        <f>200+1300</f>
        <v>1500</v>
      </c>
      <c r="H15" s="17">
        <f t="shared" si="0"/>
        <v>0</v>
      </c>
      <c r="I15" s="15"/>
    </row>
    <row r="16" spans="1:9" x14ac:dyDescent="0.25">
      <c r="A16" s="24" t="s">
        <v>124</v>
      </c>
      <c r="B16" s="13">
        <v>11</v>
      </c>
      <c r="C16" s="14"/>
      <c r="D16" s="15"/>
      <c r="E16" s="18">
        <v>1500</v>
      </c>
      <c r="F16" s="16">
        <f t="shared" si="1"/>
        <v>1500</v>
      </c>
      <c r="G16" s="16">
        <f>700+400</f>
        <v>1100</v>
      </c>
      <c r="H16" s="17">
        <f t="shared" si="0"/>
        <v>400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'JUNE 21'!H17:H32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117</v>
      </c>
      <c r="B18" s="13">
        <v>13</v>
      </c>
      <c r="C18" s="14"/>
      <c r="D18" s="15">
        <f>'JUNE 21'!H18:H33</f>
        <v>0</v>
      </c>
      <c r="E18" s="18">
        <v>1500</v>
      </c>
      <c r="F18" s="16">
        <f t="shared" si="1"/>
        <v>1500</v>
      </c>
      <c r="G18" s="16"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'JUNE 21'!H19:H34</f>
        <v>0</v>
      </c>
      <c r="E19" s="18">
        <v>1500</v>
      </c>
      <c r="F19" s="16">
        <f t="shared" si="1"/>
        <v>1500</v>
      </c>
      <c r="G19" s="16">
        <f>400+1100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'JUNE 21'!H20:H35</f>
        <v>0</v>
      </c>
      <c r="E20" s="18">
        <v>1500</v>
      </c>
      <c r="F20" s="16">
        <f t="shared" si="1"/>
        <v>1500</v>
      </c>
      <c r="G20" s="16">
        <f>1300+200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'JUNE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1500</v>
      </c>
      <c r="E22" s="30">
        <f t="shared" si="2"/>
        <v>21000</v>
      </c>
      <c r="F22" s="16">
        <f t="shared" si="2"/>
        <v>22500</v>
      </c>
      <c r="G22" s="16">
        <f>SUM(G6:G21)</f>
        <v>20950</v>
      </c>
      <c r="H22" s="16">
        <f t="shared" si="2"/>
        <v>1550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127</v>
      </c>
      <c r="B28" s="41">
        <f>E22</f>
        <v>21000</v>
      </c>
      <c r="C28" s="29"/>
      <c r="D28" s="29"/>
      <c r="E28" s="29" t="s">
        <v>127</v>
      </c>
      <c r="F28" s="41">
        <f>G22</f>
        <v>20950</v>
      </c>
      <c r="G28" s="29"/>
      <c r="H28" s="29"/>
      <c r="I28" s="37"/>
    </row>
    <row r="29" spans="1:10" x14ac:dyDescent="0.25">
      <c r="A29" s="29" t="s">
        <v>19</v>
      </c>
      <c r="B29" s="41">
        <f>'JUNE 21'!D41</f>
        <v>-2000</v>
      </c>
      <c r="C29" s="29"/>
      <c r="D29" s="29"/>
      <c r="E29" s="29" t="s">
        <v>19</v>
      </c>
      <c r="F29" s="41">
        <f>'JUNE 21'!H41</f>
        <v>-3500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1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1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1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1" x14ac:dyDescent="0.25">
      <c r="A36" s="44" t="s">
        <v>24</v>
      </c>
      <c r="B36" s="42">
        <v>0.3</v>
      </c>
      <c r="D36" s="45"/>
      <c r="E36" s="43"/>
      <c r="H36" s="29"/>
      <c r="I36" s="3"/>
      <c r="K36" s="31"/>
    </row>
    <row r="37" spans="1:11" x14ac:dyDescent="0.25">
      <c r="A37" s="43"/>
      <c r="C37" s="29"/>
      <c r="D37" s="29"/>
      <c r="E37" s="43"/>
      <c r="G37" s="29"/>
      <c r="H37" s="29"/>
      <c r="I37" s="37"/>
      <c r="K37" s="47"/>
    </row>
    <row r="38" spans="1:11" x14ac:dyDescent="0.25">
      <c r="A38" s="43" t="s">
        <v>132</v>
      </c>
      <c r="B38" s="42"/>
      <c r="C38" s="29">
        <v>17900</v>
      </c>
      <c r="D38" s="29"/>
      <c r="E38" s="43" t="s">
        <v>132</v>
      </c>
      <c r="F38" s="42"/>
      <c r="G38" s="29">
        <v>17900</v>
      </c>
      <c r="H38" s="29"/>
      <c r="I38" s="46"/>
      <c r="J38" s="31"/>
      <c r="K38" s="31"/>
    </row>
    <row r="39" spans="1:11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1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  <c r="K40" s="31"/>
    </row>
    <row r="41" spans="1:11" x14ac:dyDescent="0.25">
      <c r="A41" s="40" t="s">
        <v>25</v>
      </c>
      <c r="B41" s="48">
        <f>B32+B28+B29+B30+B31+B35-C33</f>
        <v>16900</v>
      </c>
      <c r="C41" s="48">
        <f>SUM(C35:C40)</f>
        <v>17900</v>
      </c>
      <c r="D41" s="48">
        <f>B41-C41</f>
        <v>-1000</v>
      </c>
      <c r="E41" s="40" t="s">
        <v>25</v>
      </c>
      <c r="F41" s="48">
        <f>F28+F29+F32+F31+F35-G33</f>
        <v>15350</v>
      </c>
      <c r="G41" s="48">
        <f>SUM(G35:G40)</f>
        <v>17900</v>
      </c>
      <c r="H41" s="48">
        <f>F41-G41</f>
        <v>-2550</v>
      </c>
      <c r="I41" s="46"/>
      <c r="J41" s="47"/>
    </row>
    <row r="42" spans="1:11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1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11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opLeftCell="A822" workbookViewId="0">
      <selection activeCell="L20" sqref="L20"/>
    </sheetView>
  </sheetViews>
  <sheetFormatPr defaultRowHeight="15" x14ac:dyDescent="0.25"/>
  <cols>
    <col min="1" max="1" width="19.2851562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133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'JULY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'JULY 21'!H7:H22</f>
        <v>400</v>
      </c>
      <c r="E7" s="18">
        <v>1500</v>
      </c>
      <c r="F7" s="16">
        <f t="shared" ref="F7:F21" si="1">C7+D7+E7</f>
        <v>1900</v>
      </c>
      <c r="G7" s="16">
        <f>500+500+500+400</f>
        <v>1900</v>
      </c>
      <c r="H7" s="17">
        <f t="shared" si="0"/>
        <v>0</v>
      </c>
      <c r="I7" s="15"/>
    </row>
    <row r="8" spans="1:9" x14ac:dyDescent="0.25">
      <c r="A8" s="19" t="s">
        <v>86</v>
      </c>
      <c r="B8" s="13">
        <v>3</v>
      </c>
      <c r="C8" s="14"/>
      <c r="D8" s="15">
        <f>'JULY 21'!H8:H23</f>
        <v>500</v>
      </c>
      <c r="E8" s="18">
        <v>1500</v>
      </c>
      <c r="F8" s="16">
        <f t="shared" si="1"/>
        <v>2000</v>
      </c>
      <c r="G8" s="16">
        <f>150+1500</f>
        <v>1650</v>
      </c>
      <c r="H8" s="17">
        <f t="shared" si="0"/>
        <v>350</v>
      </c>
      <c r="I8" s="15"/>
    </row>
    <row r="9" spans="1:9" x14ac:dyDescent="0.25">
      <c r="A9" s="20" t="s">
        <v>61</v>
      </c>
      <c r="B9" s="13">
        <v>4</v>
      </c>
      <c r="C9" s="14"/>
      <c r="D9" s="15">
        <f>'JULY 21'!H9:H24</f>
        <v>250</v>
      </c>
      <c r="E9" s="18">
        <v>1500</v>
      </c>
      <c r="F9" s="16">
        <f t="shared" si="1"/>
        <v>1750</v>
      </c>
      <c r="G9" s="16">
        <f>350+500+150+200+100</f>
        <v>1300</v>
      </c>
      <c r="H9" s="17">
        <f t="shared" si="0"/>
        <v>450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'JULY 21'!H10:H25</f>
        <v>0</v>
      </c>
      <c r="E10" s="18">
        <v>1500</v>
      </c>
      <c r="F10" s="16">
        <f t="shared" si="1"/>
        <v>1500</v>
      </c>
      <c r="G10" s="16">
        <f>1000+500</f>
        <v>1500</v>
      </c>
      <c r="H10" s="17">
        <f t="shared" si="0"/>
        <v>0</v>
      </c>
      <c r="I10" s="15"/>
    </row>
    <row r="11" spans="1:9" x14ac:dyDescent="0.25">
      <c r="A11" s="24" t="s">
        <v>130</v>
      </c>
      <c r="B11" s="13">
        <v>6</v>
      </c>
      <c r="C11" s="14"/>
      <c r="D11" s="15">
        <f>'JULY 21'!H11:H26</f>
        <v>0</v>
      </c>
      <c r="E11" s="18">
        <v>1500</v>
      </c>
      <c r="F11" s="16">
        <f>C11+D11+E11</f>
        <v>1500</v>
      </c>
      <c r="G11" s="16">
        <v>1500</v>
      </c>
      <c r="H11" s="17">
        <f t="shared" si="0"/>
        <v>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'JULY 21'!H12:H27</f>
        <v>0</v>
      </c>
      <c r="E12" s="18">
        <v>1500</v>
      </c>
      <c r="F12" s="16">
        <f>C12+D12+E12</f>
        <v>1500</v>
      </c>
      <c r="G12" s="57">
        <f>1000+500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'JULY 21'!H13:H28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47</v>
      </c>
      <c r="B14" s="13">
        <v>9</v>
      </c>
      <c r="C14" s="14"/>
      <c r="D14" s="15">
        <f>'JULY 21'!H14:H29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'JULY 21'!H15:H30</f>
        <v>0</v>
      </c>
      <c r="E15" s="18">
        <v>1500</v>
      </c>
      <c r="F15" s="16">
        <f t="shared" si="1"/>
        <v>1500</v>
      </c>
      <c r="G15" s="16">
        <f>1500</f>
        <v>1500</v>
      </c>
      <c r="H15" s="17">
        <f t="shared" si="0"/>
        <v>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'JULY 21'!H16:H31</f>
        <v>400</v>
      </c>
      <c r="E16" s="18">
        <v>1500</v>
      </c>
      <c r="F16" s="16">
        <f t="shared" si="1"/>
        <v>1900</v>
      </c>
      <c r="G16" s="16">
        <f>700+900</f>
        <v>1600</v>
      </c>
      <c r="H16" s="17">
        <f t="shared" si="0"/>
        <v>300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'JULY 21'!H17:H32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117</v>
      </c>
      <c r="B18" s="13">
        <v>13</v>
      </c>
      <c r="C18" s="14"/>
      <c r="D18" s="15">
        <f>'JULY 21'!H18:H33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'JULY 21'!H19:H34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'JULY 21'!H20:H35</f>
        <v>0</v>
      </c>
      <c r="E20" s="18">
        <v>1500</v>
      </c>
      <c r="F20" s="16">
        <f t="shared" si="1"/>
        <v>1500</v>
      </c>
      <c r="G20" s="16">
        <f>1300+200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'JULY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1550</v>
      </c>
      <c r="E22" s="30">
        <f t="shared" si="2"/>
        <v>21000</v>
      </c>
      <c r="F22" s="16">
        <f t="shared" si="2"/>
        <v>22550</v>
      </c>
      <c r="G22" s="16">
        <f>SUM(G6:G21)</f>
        <v>21450</v>
      </c>
      <c r="H22" s="16">
        <f t="shared" si="2"/>
        <v>1100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134</v>
      </c>
      <c r="B28" s="41">
        <f>E22</f>
        <v>21000</v>
      </c>
      <c r="C28" s="29"/>
      <c r="D28" s="29"/>
      <c r="E28" s="29" t="s">
        <v>134</v>
      </c>
      <c r="F28" s="41">
        <f>G22</f>
        <v>21450</v>
      </c>
      <c r="G28" s="29"/>
      <c r="H28" s="29"/>
      <c r="I28" s="37"/>
    </row>
    <row r="29" spans="1:10" x14ac:dyDescent="0.25">
      <c r="A29" s="29" t="s">
        <v>19</v>
      </c>
      <c r="B29" s="41">
        <f>'JULY 21'!D41</f>
        <v>-1000</v>
      </c>
      <c r="C29" s="29"/>
      <c r="D29" s="29"/>
      <c r="E29" s="29" t="s">
        <v>19</v>
      </c>
      <c r="F29" s="41">
        <f>'JULY 21'!H41</f>
        <v>-2550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1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  <c r="J33" s="47"/>
    </row>
    <row r="34" spans="1:11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1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1" x14ac:dyDescent="0.25">
      <c r="A36" s="44" t="s">
        <v>24</v>
      </c>
      <c r="B36" s="42">
        <v>0.3</v>
      </c>
      <c r="D36" s="45"/>
      <c r="E36" s="43"/>
      <c r="F36" s="19"/>
      <c r="H36" s="29"/>
      <c r="I36" s="3"/>
      <c r="J36" s="47"/>
      <c r="K36" s="31"/>
    </row>
    <row r="37" spans="1:11" x14ac:dyDescent="0.25">
      <c r="A37" s="43" t="s">
        <v>136</v>
      </c>
      <c r="C37" s="29">
        <v>17900</v>
      </c>
      <c r="D37" s="29"/>
      <c r="E37" s="43" t="s">
        <v>136</v>
      </c>
      <c r="F37" s="19"/>
      <c r="G37" s="65">
        <v>17900</v>
      </c>
      <c r="H37" s="29"/>
      <c r="I37" s="37"/>
      <c r="K37" s="47"/>
    </row>
    <row r="38" spans="1:11" x14ac:dyDescent="0.25">
      <c r="A38" s="43"/>
      <c r="B38" s="42"/>
      <c r="C38" s="29"/>
      <c r="D38" s="29"/>
      <c r="E38" s="43"/>
      <c r="F38" s="42"/>
      <c r="G38" s="29"/>
      <c r="H38" s="29"/>
      <c r="I38" s="46"/>
      <c r="J38" s="31"/>
      <c r="K38" s="31"/>
    </row>
    <row r="39" spans="1:11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1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  <c r="K40" s="31"/>
    </row>
    <row r="41" spans="1:11" x14ac:dyDescent="0.25">
      <c r="A41" s="40" t="s">
        <v>25</v>
      </c>
      <c r="B41" s="48">
        <f>B32+B28+B29+B30+B31+B35-C33</f>
        <v>17900</v>
      </c>
      <c r="C41" s="48">
        <f>SUM(C35:C40)</f>
        <v>17900</v>
      </c>
      <c r="D41" s="48">
        <f>B41-C41</f>
        <v>0</v>
      </c>
      <c r="E41" s="40" t="s">
        <v>25</v>
      </c>
      <c r="F41" s="48">
        <f>F28+F29+F32+F31+F35-G33</f>
        <v>16800</v>
      </c>
      <c r="G41" s="48">
        <f>SUM(G35:G40)</f>
        <v>17900</v>
      </c>
      <c r="H41" s="48">
        <f>F41-G41</f>
        <v>-1100</v>
      </c>
      <c r="I41" s="46"/>
      <c r="J41" s="47"/>
    </row>
    <row r="42" spans="1:11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1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11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>
      <selection activeCell="D22" sqref="D22"/>
    </sheetView>
  </sheetViews>
  <sheetFormatPr defaultRowHeight="15" x14ac:dyDescent="0.25"/>
  <cols>
    <col min="1" max="1" width="20.57031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137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'AUGUST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10" x14ac:dyDescent="0.25">
      <c r="A7" s="3" t="s">
        <v>125</v>
      </c>
      <c r="B7" s="13">
        <v>2</v>
      </c>
      <c r="C7" s="14"/>
      <c r="D7" s="15">
        <f>'AUGUST 21'!H7:H22</f>
        <v>0</v>
      </c>
      <c r="E7" s="18">
        <v>1500</v>
      </c>
      <c r="F7" s="16">
        <f t="shared" ref="F7:F21" si="1">C7+D7+E7</f>
        <v>1500</v>
      </c>
      <c r="G7" s="16">
        <f>1000+300</f>
        <v>1300</v>
      </c>
      <c r="H7" s="17">
        <f t="shared" si="0"/>
        <v>200</v>
      </c>
      <c r="I7" s="15"/>
    </row>
    <row r="8" spans="1:10" x14ac:dyDescent="0.25">
      <c r="A8" s="19" t="s">
        <v>86</v>
      </c>
      <c r="B8" s="13">
        <v>3</v>
      </c>
      <c r="C8" s="14"/>
      <c r="D8" s="15">
        <f>'AUGUST 21'!H8:H23</f>
        <v>350</v>
      </c>
      <c r="E8" s="18">
        <v>1500</v>
      </c>
      <c r="F8" s="16">
        <f t="shared" si="1"/>
        <v>1850</v>
      </c>
      <c r="G8" s="16">
        <f>1800</f>
        <v>1800</v>
      </c>
      <c r="H8" s="17">
        <f t="shared" si="0"/>
        <v>50</v>
      </c>
      <c r="I8" s="15"/>
    </row>
    <row r="9" spans="1:10" x14ac:dyDescent="0.25">
      <c r="A9" s="20" t="s">
        <v>61</v>
      </c>
      <c r="B9" s="13">
        <v>4</v>
      </c>
      <c r="C9" s="14"/>
      <c r="D9" s="15">
        <f>'AUGUST 21'!H9:H24</f>
        <v>450</v>
      </c>
      <c r="E9" s="18">
        <v>1500</v>
      </c>
      <c r="F9" s="16">
        <f t="shared" si="1"/>
        <v>1950</v>
      </c>
      <c r="G9" s="16">
        <f>250+300+750+150</f>
        <v>1450</v>
      </c>
      <c r="H9" s="17">
        <f t="shared" si="0"/>
        <v>500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'AUGUST 21'!H10:H25</f>
        <v>0</v>
      </c>
      <c r="E10" s="18">
        <v>1500</v>
      </c>
      <c r="F10" s="16">
        <f t="shared" si="1"/>
        <v>1500</v>
      </c>
      <c r="G10" s="16">
        <f>500+1000</f>
        <v>1500</v>
      </c>
      <c r="H10" s="17">
        <f t="shared" si="0"/>
        <v>0</v>
      </c>
      <c r="I10" s="15"/>
    </row>
    <row r="11" spans="1:10" x14ac:dyDescent="0.25">
      <c r="A11" s="24" t="s">
        <v>145</v>
      </c>
      <c r="B11" s="13">
        <v>6</v>
      </c>
      <c r="C11" s="14"/>
      <c r="D11" s="15">
        <f>'AUGUST 21'!H11:H26</f>
        <v>0</v>
      </c>
      <c r="E11" s="18">
        <v>1500</v>
      </c>
      <c r="F11" s="16">
        <f>C11+D11+E11</f>
        <v>1500</v>
      </c>
      <c r="G11" s="16">
        <v>1500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>
        <f>'AUGUST 21'!H12:H27</f>
        <v>0</v>
      </c>
      <c r="E12" s="18">
        <v>1500</v>
      </c>
      <c r="F12" s="16">
        <f>C12+D12+E12</f>
        <v>1500</v>
      </c>
      <c r="G12" s="57">
        <f>700+800</f>
        <v>1500</v>
      </c>
      <c r="H12" s="17">
        <f t="shared" si="0"/>
        <v>0</v>
      </c>
      <c r="I12" s="15"/>
    </row>
    <row r="13" spans="1:10" x14ac:dyDescent="0.25">
      <c r="A13" s="21" t="s">
        <v>118</v>
      </c>
      <c r="B13" s="13">
        <v>8</v>
      </c>
      <c r="C13" s="14"/>
      <c r="D13" s="15">
        <f>'AUGUST 21'!H13:H28</f>
        <v>0</v>
      </c>
      <c r="E13" s="18">
        <v>1500</v>
      </c>
      <c r="F13" s="16">
        <f t="shared" si="1"/>
        <v>1500</v>
      </c>
      <c r="G13" s="16">
        <f>1500</f>
        <v>1500</v>
      </c>
      <c r="H13" s="17">
        <f t="shared" si="0"/>
        <v>0</v>
      </c>
      <c r="I13" s="15"/>
    </row>
    <row r="14" spans="1:10" x14ac:dyDescent="0.25">
      <c r="A14" s="21" t="s">
        <v>138</v>
      </c>
      <c r="B14" s="13">
        <v>9</v>
      </c>
      <c r="C14" s="14"/>
      <c r="D14" s="15">
        <f>'AUGUST 21'!H14:H29</f>
        <v>0</v>
      </c>
      <c r="E14" s="18">
        <v>1500</v>
      </c>
      <c r="F14" s="16">
        <f t="shared" si="1"/>
        <v>1500</v>
      </c>
      <c r="G14" s="16"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'AUGUST 21'!H15:H30</f>
        <v>0</v>
      </c>
      <c r="E15" s="18">
        <v>1500</v>
      </c>
      <c r="F15" s="16">
        <f t="shared" si="1"/>
        <v>1500</v>
      </c>
      <c r="G15" s="16">
        <v>1500</v>
      </c>
      <c r="H15" s="17">
        <f t="shared" si="0"/>
        <v>0</v>
      </c>
      <c r="I15" s="15"/>
    </row>
    <row r="16" spans="1:10" x14ac:dyDescent="0.25">
      <c r="A16" s="64" t="s">
        <v>135</v>
      </c>
      <c r="B16" s="13">
        <v>11</v>
      </c>
      <c r="C16" s="14"/>
      <c r="D16" s="15">
        <f>'AUGUST 21'!H16:H31</f>
        <v>300</v>
      </c>
      <c r="E16" s="18">
        <v>1500</v>
      </c>
      <c r="F16" s="16">
        <f t="shared" si="1"/>
        <v>1800</v>
      </c>
      <c r="G16" s="16">
        <f>300+1000+150+300</f>
        <v>1750</v>
      </c>
      <c r="H16" s="17">
        <f t="shared" si="0"/>
        <v>50</v>
      </c>
      <c r="I16" s="15"/>
      <c r="J16" t="s">
        <v>140</v>
      </c>
    </row>
    <row r="17" spans="1:10" x14ac:dyDescent="0.25">
      <c r="A17" s="60" t="s">
        <v>141</v>
      </c>
      <c r="B17" s="13">
        <v>12</v>
      </c>
      <c r="C17" s="14"/>
      <c r="D17" s="15">
        <f>'AUGUST 21'!H17:H32</f>
        <v>0</v>
      </c>
      <c r="E17" s="18">
        <v>1500</v>
      </c>
      <c r="F17" s="16">
        <f t="shared" si="1"/>
        <v>1500</v>
      </c>
      <c r="G17" s="16">
        <v>1500</v>
      </c>
      <c r="H17" s="17">
        <f t="shared" si="0"/>
        <v>0</v>
      </c>
      <c r="I17" s="15"/>
    </row>
    <row r="18" spans="1:10" x14ac:dyDescent="0.25">
      <c r="A18" s="22" t="s">
        <v>117</v>
      </c>
      <c r="B18" s="13">
        <v>13</v>
      </c>
      <c r="C18" s="14"/>
      <c r="D18" s="15">
        <f>'AUGUST 21'!H18:H33</f>
        <v>0</v>
      </c>
      <c r="E18" s="18">
        <v>1500</v>
      </c>
      <c r="F18" s="16">
        <f t="shared" si="1"/>
        <v>1500</v>
      </c>
      <c r="G18" s="16"/>
      <c r="H18" s="17">
        <f t="shared" si="0"/>
        <v>1500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'AUGUST 21'!H19:H34</f>
        <v>0</v>
      </c>
      <c r="E19" s="18">
        <v>1500</v>
      </c>
      <c r="F19" s="16">
        <f t="shared" si="1"/>
        <v>1500</v>
      </c>
      <c r="G19" s="16"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'AUGUST 21'!H20:H35</f>
        <v>0</v>
      </c>
      <c r="E20" s="18">
        <v>1500</v>
      </c>
      <c r="F20" s="16">
        <f t="shared" si="1"/>
        <v>1500</v>
      </c>
      <c r="G20" s="16">
        <f>1000+500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'AUGUST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1100</v>
      </c>
      <c r="E22" s="30">
        <f t="shared" si="2"/>
        <v>22500</v>
      </c>
      <c r="F22" s="16">
        <f t="shared" si="2"/>
        <v>23600</v>
      </c>
      <c r="G22" s="16">
        <f>SUM(G6:G21)</f>
        <v>21300</v>
      </c>
      <c r="H22" s="16">
        <f t="shared" si="2"/>
        <v>2300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31</v>
      </c>
      <c r="B28" s="41">
        <f>E22</f>
        <v>22500</v>
      </c>
      <c r="C28" s="29"/>
      <c r="D28" s="29"/>
      <c r="E28" s="29" t="s">
        <v>31</v>
      </c>
      <c r="F28" s="41">
        <f>G22</f>
        <v>21300</v>
      </c>
      <c r="G28" s="29"/>
      <c r="H28" s="29"/>
      <c r="I28" s="37"/>
    </row>
    <row r="29" spans="1:10" x14ac:dyDescent="0.25">
      <c r="A29" s="29" t="s">
        <v>19</v>
      </c>
      <c r="B29" s="41">
        <f>'AUGUST 21'!D41</f>
        <v>0</v>
      </c>
      <c r="C29" s="29"/>
      <c r="D29" s="29"/>
      <c r="E29" s="29" t="s">
        <v>19</v>
      </c>
      <c r="F29" s="41">
        <f>'AUGUST 21'!H41</f>
        <v>-1100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0" x14ac:dyDescent="0.25">
      <c r="A33" s="29" t="s">
        <v>21</v>
      </c>
      <c r="B33" s="42">
        <v>0.1</v>
      </c>
      <c r="C33" s="41">
        <f>B33*B28</f>
        <v>2250</v>
      </c>
      <c r="D33" s="29"/>
      <c r="E33" s="29" t="s">
        <v>21</v>
      </c>
      <c r="F33" s="42">
        <v>0.1</v>
      </c>
      <c r="G33" s="41">
        <f>F33*B28</f>
        <v>2250</v>
      </c>
      <c r="H33" s="29"/>
      <c r="I33" s="3"/>
      <c r="J33" s="47"/>
    </row>
    <row r="34" spans="1:10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0" x14ac:dyDescent="0.25">
      <c r="A35" s="44"/>
      <c r="C35" s="45"/>
      <c r="D35" s="29"/>
      <c r="E35" s="44"/>
      <c r="G35" s="45"/>
      <c r="H35" s="29"/>
      <c r="I35" s="3"/>
    </row>
    <row r="36" spans="1:10" x14ac:dyDescent="0.25">
      <c r="A36" s="44" t="s">
        <v>24</v>
      </c>
      <c r="B36" s="42">
        <v>0.3</v>
      </c>
      <c r="D36" s="45"/>
      <c r="E36" s="43"/>
      <c r="F36" s="19"/>
      <c r="H36" s="29"/>
      <c r="I36" s="3"/>
      <c r="J36" s="47"/>
    </row>
    <row r="37" spans="1:10" x14ac:dyDescent="0.25">
      <c r="A37" s="43" t="s">
        <v>139</v>
      </c>
      <c r="C37" s="29">
        <v>300</v>
      </c>
      <c r="D37" s="29"/>
      <c r="E37" s="43" t="s">
        <v>139</v>
      </c>
      <c r="G37" s="29">
        <v>300</v>
      </c>
      <c r="H37" s="29"/>
      <c r="I37" s="37"/>
    </row>
    <row r="38" spans="1:10" x14ac:dyDescent="0.25">
      <c r="A38" s="43" t="s">
        <v>49</v>
      </c>
      <c r="B38" s="42"/>
      <c r="C38" s="29">
        <v>19950</v>
      </c>
      <c r="D38" s="29"/>
      <c r="E38" s="43" t="s">
        <v>49</v>
      </c>
      <c r="F38" s="42"/>
      <c r="G38" s="29">
        <v>19950</v>
      </c>
      <c r="H38" s="29"/>
      <c r="I38" s="46"/>
      <c r="J38" s="31"/>
    </row>
    <row r="39" spans="1:10" x14ac:dyDescent="0.25">
      <c r="A39" s="43" t="s">
        <v>143</v>
      </c>
      <c r="B39" s="29"/>
      <c r="C39" s="45">
        <v>1500</v>
      </c>
      <c r="D39" s="29"/>
      <c r="E39" s="43"/>
      <c r="F39" s="29"/>
      <c r="G39" s="45"/>
      <c r="H39" s="29"/>
      <c r="I39" s="3"/>
    </row>
    <row r="40" spans="1:10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0" x14ac:dyDescent="0.25">
      <c r="A41" s="40" t="s">
        <v>25</v>
      </c>
      <c r="B41" s="48">
        <f>B32+B28+B29+B30+B31+B35-C33</f>
        <v>20250</v>
      </c>
      <c r="C41" s="48">
        <f>SUM(C35:C40)</f>
        <v>21750</v>
      </c>
      <c r="D41" s="48">
        <f>B41-C41</f>
        <v>-1500</v>
      </c>
      <c r="E41" s="40" t="s">
        <v>25</v>
      </c>
      <c r="F41" s="48">
        <f>F28+F29+F32+F31+F35-G33</f>
        <v>17950</v>
      </c>
      <c r="G41" s="48">
        <f>SUM(G35:G40)</f>
        <v>20250</v>
      </c>
      <c r="H41" s="48">
        <f>F41-G41</f>
        <v>-2300</v>
      </c>
      <c r="I41" s="46"/>
      <c r="J41" s="47"/>
    </row>
    <row r="42" spans="1:10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0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10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7" workbookViewId="0">
      <selection activeCell="K36" sqref="K36"/>
    </sheetView>
  </sheetViews>
  <sheetFormatPr defaultRowHeight="15" x14ac:dyDescent="0.25"/>
  <cols>
    <col min="1" max="1" width="21.710937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142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'SEPTEMBER 21'!H6:H22</f>
        <v>0</v>
      </c>
      <c r="E6" s="16">
        <v>1500</v>
      </c>
      <c r="F6" s="16">
        <f>C6+D6+E6</f>
        <v>1500</v>
      </c>
      <c r="G6" s="16"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'SEPTEMBER 21'!H7:H23</f>
        <v>200</v>
      </c>
      <c r="E7" s="18">
        <v>1500</v>
      </c>
      <c r="F7" s="16">
        <f t="shared" ref="F7:F21" si="1">C7+D7+E7</f>
        <v>1700</v>
      </c>
      <c r="G7" s="16">
        <v>1000</v>
      </c>
      <c r="H7" s="17">
        <f t="shared" si="0"/>
        <v>700</v>
      </c>
      <c r="I7" s="15"/>
    </row>
    <row r="8" spans="1:9" x14ac:dyDescent="0.25">
      <c r="A8" s="19" t="s">
        <v>86</v>
      </c>
      <c r="B8" s="13">
        <v>3</v>
      </c>
      <c r="C8" s="14"/>
      <c r="D8" s="15">
        <f>'SEPTEMBER 21'!H8:H24</f>
        <v>50</v>
      </c>
      <c r="E8" s="18">
        <v>1500</v>
      </c>
      <c r="F8" s="16">
        <f t="shared" si="1"/>
        <v>1550</v>
      </c>
      <c r="G8" s="16">
        <v>1250</v>
      </c>
      <c r="H8" s="17">
        <f t="shared" si="0"/>
        <v>300</v>
      </c>
      <c r="I8" s="15"/>
    </row>
    <row r="9" spans="1:9" x14ac:dyDescent="0.25">
      <c r="A9" s="20" t="s">
        <v>61</v>
      </c>
      <c r="B9" s="13">
        <v>4</v>
      </c>
      <c r="C9" s="14"/>
      <c r="D9" s="15">
        <f>'SEPTEMBER 21'!H9:H25</f>
        <v>500</v>
      </c>
      <c r="E9" s="18">
        <v>1500</v>
      </c>
      <c r="F9" s="16">
        <f t="shared" si="1"/>
        <v>2000</v>
      </c>
      <c r="G9" s="16">
        <f>800+200+300</f>
        <v>1300</v>
      </c>
      <c r="H9" s="17">
        <f t="shared" si="0"/>
        <v>700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'SEPTEMBER 21'!H10:H26</f>
        <v>0</v>
      </c>
      <c r="E10" s="18">
        <v>1500</v>
      </c>
      <c r="F10" s="16">
        <f t="shared" si="1"/>
        <v>1500</v>
      </c>
      <c r="G10" s="16">
        <v>1500</v>
      </c>
      <c r="H10" s="17">
        <f t="shared" si="0"/>
        <v>0</v>
      </c>
      <c r="I10" s="15"/>
    </row>
    <row r="11" spans="1:9" x14ac:dyDescent="0.25">
      <c r="A11" s="24" t="s">
        <v>145</v>
      </c>
      <c r="B11" s="13">
        <v>6</v>
      </c>
      <c r="C11" s="14"/>
      <c r="D11" s="15">
        <f>'SEPTEMBER 21'!H11:H27</f>
        <v>0</v>
      </c>
      <c r="E11" s="18">
        <v>1500</v>
      </c>
      <c r="F11" s="16">
        <f>C11+D11+E11</f>
        <v>1500</v>
      </c>
      <c r="G11" s="16"/>
      <c r="H11" s="17">
        <f t="shared" si="0"/>
        <v>1500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'SEPTEMBER 21'!H12:H28</f>
        <v>0</v>
      </c>
      <c r="E12" s="18">
        <v>1500</v>
      </c>
      <c r="F12" s="16">
        <f>C12+D12+E12</f>
        <v>1500</v>
      </c>
      <c r="G12" s="57">
        <f>500+1000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'SEPTEMBER 21'!H13:H29</f>
        <v>0</v>
      </c>
      <c r="E13" s="18">
        <v>1500</v>
      </c>
      <c r="F13" s="16">
        <f t="shared" si="1"/>
        <v>1500</v>
      </c>
      <c r="G13" s="67">
        <v>1500</v>
      </c>
      <c r="H13" s="17">
        <f t="shared" si="0"/>
        <v>0</v>
      </c>
      <c r="I13" s="15"/>
    </row>
    <row r="14" spans="1:9" x14ac:dyDescent="0.25">
      <c r="A14" s="21" t="s">
        <v>138</v>
      </c>
      <c r="B14" s="13">
        <v>9</v>
      </c>
      <c r="C14" s="14"/>
      <c r="D14" s="15">
        <f>'SEPTEMBER 21'!H14:H30</f>
        <v>0</v>
      </c>
      <c r="E14" s="18">
        <v>1500</v>
      </c>
      <c r="F14" s="16">
        <f t="shared" si="1"/>
        <v>1500</v>
      </c>
      <c r="G14" s="16"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'SEPTEMBER 21'!H15:H31</f>
        <v>0</v>
      </c>
      <c r="E15" s="18">
        <v>1500</v>
      </c>
      <c r="F15" s="16">
        <f t="shared" si="1"/>
        <v>1500</v>
      </c>
      <c r="G15" s="16">
        <v>1500</v>
      </c>
      <c r="H15" s="17">
        <f t="shared" si="0"/>
        <v>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'SEPTEMBER 21'!H16:H32</f>
        <v>50</v>
      </c>
      <c r="E16" s="18">
        <v>1500</v>
      </c>
      <c r="F16" s="16">
        <f t="shared" si="1"/>
        <v>1550</v>
      </c>
      <c r="G16" s="16">
        <v>1500</v>
      </c>
      <c r="H16" s="17">
        <f t="shared" si="0"/>
        <v>50</v>
      </c>
      <c r="I16" s="15"/>
    </row>
    <row r="17" spans="1:13" x14ac:dyDescent="0.25">
      <c r="A17" s="24" t="s">
        <v>141</v>
      </c>
      <c r="B17" s="13">
        <v>12</v>
      </c>
      <c r="C17" s="14"/>
      <c r="D17" s="15">
        <f>'SEPTEMBER 21'!H17:H33</f>
        <v>0</v>
      </c>
      <c r="E17" s="18">
        <v>1500</v>
      </c>
      <c r="F17" s="16">
        <f t="shared" si="1"/>
        <v>1500</v>
      </c>
      <c r="G17" s="16">
        <v>1500</v>
      </c>
      <c r="H17" s="17">
        <f t="shared" si="0"/>
        <v>0</v>
      </c>
      <c r="I17" s="15"/>
    </row>
    <row r="18" spans="1:13" x14ac:dyDescent="0.25">
      <c r="A18" s="22" t="s">
        <v>124</v>
      </c>
      <c r="B18" s="13">
        <v>13</v>
      </c>
      <c r="C18" s="14"/>
      <c r="D18" s="15"/>
      <c r="E18" s="18">
        <v>1500</v>
      </c>
      <c r="F18" s="16">
        <f t="shared" si="1"/>
        <v>1500</v>
      </c>
      <c r="G18" s="16">
        <f>500</f>
        <v>500</v>
      </c>
      <c r="H18" s="17">
        <f t="shared" si="0"/>
        <v>1000</v>
      </c>
      <c r="I18" s="15"/>
    </row>
    <row r="19" spans="1:13" x14ac:dyDescent="0.25">
      <c r="A19" s="66" t="s">
        <v>43</v>
      </c>
      <c r="B19" s="13">
        <v>14</v>
      </c>
      <c r="C19" s="14"/>
      <c r="D19" s="15">
        <f>'SEPTEMBER 21'!H19:H35</f>
        <v>0</v>
      </c>
      <c r="E19" s="18"/>
      <c r="F19" s="16">
        <f t="shared" si="1"/>
        <v>0</v>
      </c>
      <c r="G19" s="16"/>
      <c r="H19" s="17">
        <f t="shared" si="0"/>
        <v>0</v>
      </c>
      <c r="I19" s="15"/>
    </row>
    <row r="20" spans="1:13" x14ac:dyDescent="0.25">
      <c r="A20" s="12" t="s">
        <v>87</v>
      </c>
      <c r="B20" s="13">
        <v>15</v>
      </c>
      <c r="C20" s="14"/>
      <c r="D20" s="15">
        <f>'SEPTEMBER 21'!H20:H36</f>
        <v>0</v>
      </c>
      <c r="E20" s="18">
        <v>1500</v>
      </c>
      <c r="F20" s="16">
        <f t="shared" si="1"/>
        <v>1500</v>
      </c>
      <c r="G20" s="16">
        <v>1500</v>
      </c>
      <c r="H20" s="17">
        <f t="shared" si="0"/>
        <v>0</v>
      </c>
      <c r="I20" s="15"/>
    </row>
    <row r="21" spans="1:13" x14ac:dyDescent="0.25">
      <c r="A21" s="25" t="s">
        <v>85</v>
      </c>
      <c r="B21" s="26">
        <v>16</v>
      </c>
      <c r="C21" s="14"/>
      <c r="D21" s="15">
        <f>'SEPTEMBER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3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800</v>
      </c>
      <c r="E22" s="30">
        <f t="shared" si="2"/>
        <v>21000</v>
      </c>
      <c r="F22" s="16">
        <f t="shared" si="2"/>
        <v>21800</v>
      </c>
      <c r="G22" s="16">
        <f>SUM(G6:G21)</f>
        <v>17550</v>
      </c>
      <c r="H22" s="16">
        <f t="shared" si="2"/>
        <v>4250</v>
      </c>
      <c r="I22" s="15">
        <f t="shared" si="2"/>
        <v>0</v>
      </c>
    </row>
    <row r="23" spans="1:13" x14ac:dyDescent="0.25">
      <c r="D23" s="15">
        <f>'SEPTEMBER 21'!H23:H39</f>
        <v>0</v>
      </c>
      <c r="H23" s="31"/>
      <c r="I23" s="3"/>
    </row>
    <row r="25" spans="1:13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3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3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3" x14ac:dyDescent="0.25">
      <c r="A28" s="29" t="s">
        <v>54</v>
      </c>
      <c r="B28" s="41">
        <f>E22</f>
        <v>21000</v>
      </c>
      <c r="C28" s="29"/>
      <c r="D28" s="29"/>
      <c r="E28" s="29" t="s">
        <v>54</v>
      </c>
      <c r="F28" s="41">
        <f>G22</f>
        <v>17550</v>
      </c>
      <c r="G28" s="29"/>
      <c r="H28" s="29"/>
      <c r="I28" s="37"/>
      <c r="M28">
        <f>15-1</f>
        <v>14</v>
      </c>
    </row>
    <row r="29" spans="1:13" x14ac:dyDescent="0.25">
      <c r="A29" s="29" t="s">
        <v>19</v>
      </c>
      <c r="B29" s="41">
        <f>'SEPTEMBER 21'!D41</f>
        <v>-1500</v>
      </c>
      <c r="C29" s="29"/>
      <c r="D29" s="29"/>
      <c r="E29" s="29" t="s">
        <v>19</v>
      </c>
      <c r="F29" s="41">
        <f>'SEPTEMBER 21'!H41</f>
        <v>-2300</v>
      </c>
      <c r="G29" s="29"/>
      <c r="H29" s="29"/>
      <c r="I29" s="37"/>
      <c r="M29">
        <f>M28*1500</f>
        <v>21000</v>
      </c>
    </row>
    <row r="30" spans="1:13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M30">
        <f>M29-2100</f>
        <v>18900</v>
      </c>
    </row>
    <row r="31" spans="1:13" x14ac:dyDescent="0.25">
      <c r="A31" s="29"/>
      <c r="B31" s="41"/>
      <c r="C31" s="29"/>
      <c r="D31" s="29"/>
      <c r="E31" s="29"/>
      <c r="F31" s="41"/>
      <c r="G31" s="29"/>
      <c r="H31" s="29"/>
      <c r="I31" s="37"/>
      <c r="M31">
        <f>1500</f>
        <v>1500</v>
      </c>
    </row>
    <row r="32" spans="1:13" x14ac:dyDescent="0.25">
      <c r="A32" s="29"/>
      <c r="B32" s="41"/>
      <c r="C32" s="29"/>
      <c r="D32" s="29"/>
      <c r="E32" s="29"/>
      <c r="F32" s="41"/>
      <c r="G32" s="29"/>
      <c r="H32" s="29"/>
      <c r="I32" s="3"/>
      <c r="M32">
        <f>M30-M31</f>
        <v>17400</v>
      </c>
    </row>
    <row r="33" spans="1:9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9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</row>
    <row r="35" spans="1:9" x14ac:dyDescent="0.25">
      <c r="A35" s="44"/>
      <c r="C35" s="45"/>
      <c r="D35" s="29"/>
      <c r="E35" s="44"/>
      <c r="G35" s="45"/>
      <c r="H35" s="29"/>
      <c r="I35" s="3"/>
    </row>
    <row r="36" spans="1:9" x14ac:dyDescent="0.25">
      <c r="A36" s="44" t="s">
        <v>24</v>
      </c>
      <c r="B36" s="42">
        <v>0.3</v>
      </c>
      <c r="D36" s="45"/>
      <c r="E36" s="43"/>
      <c r="F36" s="19"/>
      <c r="H36" s="29"/>
      <c r="I36" s="3"/>
    </row>
    <row r="37" spans="1:9" x14ac:dyDescent="0.25">
      <c r="A37" s="43"/>
      <c r="C37" s="29"/>
      <c r="D37" s="29"/>
      <c r="E37" s="43"/>
      <c r="G37" s="29"/>
      <c r="H37" s="29"/>
      <c r="I37" s="37"/>
    </row>
    <row r="38" spans="1:9" x14ac:dyDescent="0.25">
      <c r="A38" s="43" t="s">
        <v>144</v>
      </c>
      <c r="B38" s="42"/>
      <c r="C38" s="29">
        <v>17400</v>
      </c>
      <c r="D38" s="29"/>
      <c r="E38" s="43" t="s">
        <v>144</v>
      </c>
      <c r="F38" s="42"/>
      <c r="G38" s="29">
        <v>17400</v>
      </c>
      <c r="H38" s="29"/>
      <c r="I38" s="46"/>
    </row>
    <row r="39" spans="1:9" x14ac:dyDescent="0.25">
      <c r="A39" s="43" t="s">
        <v>152</v>
      </c>
      <c r="B39" s="29"/>
      <c r="C39" s="45">
        <v>1500</v>
      </c>
      <c r="D39" s="29"/>
      <c r="E39" s="43"/>
      <c r="F39" s="29"/>
      <c r="G39" s="45"/>
      <c r="H39" s="29"/>
      <c r="I39" s="3"/>
    </row>
    <row r="40" spans="1:9" x14ac:dyDescent="0.25">
      <c r="A40" s="43"/>
      <c r="B40" s="29"/>
      <c r="C40" s="45"/>
      <c r="D40" s="29"/>
      <c r="E40" s="43"/>
      <c r="F40" s="29"/>
      <c r="G40" s="45"/>
      <c r="H40" s="29"/>
      <c r="I40" s="3"/>
    </row>
    <row r="41" spans="1:9" x14ac:dyDescent="0.25">
      <c r="A41" s="40" t="s">
        <v>25</v>
      </c>
      <c r="B41" s="48">
        <f>B32+B28+B29+B30+B31+B35-C33</f>
        <v>17400</v>
      </c>
      <c r="C41" s="48">
        <f>SUM(C35:C40)</f>
        <v>18900</v>
      </c>
      <c r="D41" s="48">
        <f>B41-C41</f>
        <v>-1500</v>
      </c>
      <c r="E41" s="40" t="s">
        <v>25</v>
      </c>
      <c r="F41" s="48">
        <f>F28+F29+F32+F31+F35-G33</f>
        <v>13150</v>
      </c>
      <c r="G41" s="48">
        <f>SUM(G35:G40)</f>
        <v>17400</v>
      </c>
      <c r="H41" s="48">
        <f>F41-G41</f>
        <v>-4250</v>
      </c>
      <c r="I41" s="46"/>
    </row>
    <row r="42" spans="1:9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9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9" x14ac:dyDescent="0.25">
      <c r="A44" s="61" t="s">
        <v>131</v>
      </c>
      <c r="B44" s="61"/>
      <c r="C44" s="61"/>
      <c r="D44" s="61"/>
      <c r="E44" s="61"/>
      <c r="F44" s="61"/>
    </row>
  </sheetData>
  <pageMargins left="0.7" right="0.7" top="0.75" bottom="0.75" header="0.3" footer="0.3"/>
  <pageSetup paperSize="0"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opLeftCell="A13" workbookViewId="0">
      <selection activeCell="H22" sqref="H22"/>
    </sheetView>
  </sheetViews>
  <sheetFormatPr defaultRowHeight="15" x14ac:dyDescent="0.25"/>
  <cols>
    <col min="1" max="1" width="20.710937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146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'OCTOBER 21'!H6</f>
        <v>0</v>
      </c>
      <c r="E6" s="16">
        <v>1500</v>
      </c>
      <c r="F6" s="16">
        <f>C6+D6+E6</f>
        <v>1500</v>
      </c>
      <c r="G6" s="16">
        <v>1500</v>
      </c>
      <c r="H6" s="17">
        <f t="shared" ref="H6:H20" si="0">F6-G6</f>
        <v>0</v>
      </c>
      <c r="I6" s="15"/>
    </row>
    <row r="7" spans="1:9" x14ac:dyDescent="0.25">
      <c r="A7" s="3" t="s">
        <v>125</v>
      </c>
      <c r="B7" s="13">
        <v>2</v>
      </c>
      <c r="C7" s="14"/>
      <c r="D7" s="15">
        <f>'OCTOBER 21'!H7</f>
        <v>700</v>
      </c>
      <c r="E7" s="18">
        <v>1500</v>
      </c>
      <c r="F7" s="16">
        <f t="shared" ref="F7:F21" si="1">C7+D7+E7</f>
        <v>2200</v>
      </c>
      <c r="G7" s="16">
        <f>1000+600</f>
        <v>1600</v>
      </c>
      <c r="H7" s="17">
        <f t="shared" si="0"/>
        <v>600</v>
      </c>
      <c r="I7" s="15"/>
    </row>
    <row r="8" spans="1:9" x14ac:dyDescent="0.25">
      <c r="A8" s="19" t="s">
        <v>86</v>
      </c>
      <c r="B8" s="13">
        <v>3</v>
      </c>
      <c r="C8" s="14"/>
      <c r="D8" s="15">
        <f>'OCTOBER 21'!H8</f>
        <v>300</v>
      </c>
      <c r="E8" s="18">
        <v>1500</v>
      </c>
      <c r="F8" s="16">
        <f t="shared" si="1"/>
        <v>1800</v>
      </c>
      <c r="G8" s="16"/>
      <c r="H8" s="17">
        <f t="shared" si="0"/>
        <v>1800</v>
      </c>
      <c r="I8" s="15"/>
    </row>
    <row r="9" spans="1:9" x14ac:dyDescent="0.25">
      <c r="A9" s="20" t="s">
        <v>61</v>
      </c>
      <c r="B9" s="13">
        <v>4</v>
      </c>
      <c r="C9" s="14"/>
      <c r="D9" s="15">
        <f>'OCTOBER 21'!H9</f>
        <v>700</v>
      </c>
      <c r="E9" s="18">
        <v>1500</v>
      </c>
      <c r="F9" s="16">
        <f t="shared" si="1"/>
        <v>2200</v>
      </c>
      <c r="G9" s="16">
        <f>250+550+300+200+100+200+300</f>
        <v>1900</v>
      </c>
      <c r="H9" s="17">
        <f t="shared" si="0"/>
        <v>300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'OCTOBER 21'!H10</f>
        <v>0</v>
      </c>
      <c r="E10" s="18">
        <v>1500</v>
      </c>
      <c r="F10" s="16">
        <f t="shared" si="1"/>
        <v>1500</v>
      </c>
      <c r="G10" s="16">
        <v>500</v>
      </c>
      <c r="H10" s="17">
        <f t="shared" si="0"/>
        <v>1000</v>
      </c>
      <c r="I10" s="15"/>
    </row>
    <row r="11" spans="1:9" x14ac:dyDescent="0.25">
      <c r="A11" s="24" t="s">
        <v>150</v>
      </c>
      <c r="B11" s="13">
        <v>6</v>
      </c>
      <c r="C11" s="14"/>
      <c r="D11" s="15"/>
      <c r="E11" s="18">
        <v>1500</v>
      </c>
      <c r="F11" s="16">
        <f>C11+D11+E11</f>
        <v>1500</v>
      </c>
      <c r="G11" s="16">
        <v>1200</v>
      </c>
      <c r="H11" s="17">
        <f t="shared" si="0"/>
        <v>300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'OCTOBER 21'!H12</f>
        <v>0</v>
      </c>
      <c r="E12" s="18">
        <v>1500</v>
      </c>
      <c r="F12" s="16">
        <f>C12+D12+E12</f>
        <v>1500</v>
      </c>
      <c r="G12" s="16">
        <f>800+700</f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'OCTOBER 21'!H13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138</v>
      </c>
      <c r="B14" s="13">
        <v>9</v>
      </c>
      <c r="C14" s="14"/>
      <c r="D14" s="15">
        <f>'OCTOBER 21'!H14</f>
        <v>0</v>
      </c>
      <c r="E14" s="18">
        <v>1500</v>
      </c>
      <c r="F14" s="16">
        <f t="shared" si="1"/>
        <v>1500</v>
      </c>
      <c r="G14" s="16"/>
      <c r="H14" s="17">
        <f t="shared" si="0"/>
        <v>1500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'OCTOBER 21'!H15</f>
        <v>0</v>
      </c>
      <c r="E15" s="18">
        <v>1500</v>
      </c>
      <c r="F15" s="16">
        <f t="shared" si="1"/>
        <v>1500</v>
      </c>
      <c r="G15" s="16">
        <v>1500</v>
      </c>
      <c r="H15" s="17">
        <f t="shared" si="0"/>
        <v>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'OCTOBER 21'!H16</f>
        <v>50</v>
      </c>
      <c r="E16" s="18">
        <v>1500</v>
      </c>
      <c r="F16" s="16">
        <f t="shared" si="1"/>
        <v>1550</v>
      </c>
      <c r="G16" s="16">
        <v>1500</v>
      </c>
      <c r="H16" s="17">
        <f t="shared" si="0"/>
        <v>50</v>
      </c>
      <c r="I16" s="15"/>
    </row>
    <row r="17" spans="1:10" x14ac:dyDescent="0.25">
      <c r="A17" s="24" t="s">
        <v>141</v>
      </c>
      <c r="B17" s="13">
        <v>12</v>
      </c>
      <c r="C17" s="14"/>
      <c r="D17" s="15">
        <f>'OCTOBER 21'!H17</f>
        <v>0</v>
      </c>
      <c r="E17" s="18">
        <v>1500</v>
      </c>
      <c r="F17" s="16">
        <f t="shared" si="1"/>
        <v>1500</v>
      </c>
      <c r="G17" s="16">
        <f>1000+500</f>
        <v>1500</v>
      </c>
      <c r="H17" s="17">
        <f t="shared" si="0"/>
        <v>0</v>
      </c>
      <c r="I17" s="15"/>
    </row>
    <row r="18" spans="1:10" x14ac:dyDescent="0.25">
      <c r="A18" s="22" t="s">
        <v>149</v>
      </c>
      <c r="B18" s="13">
        <v>13</v>
      </c>
      <c r="C18" s="14"/>
      <c r="D18" s="15">
        <f>'OCTOBER 21'!H18</f>
        <v>1000</v>
      </c>
      <c r="E18" s="18">
        <v>1500</v>
      </c>
      <c r="F18" s="16">
        <f t="shared" si="1"/>
        <v>2500</v>
      </c>
      <c r="G18" s="16">
        <f>1500</f>
        <v>1500</v>
      </c>
      <c r="H18" s="17">
        <f t="shared" si="0"/>
        <v>1000</v>
      </c>
      <c r="I18" s="15"/>
    </row>
    <row r="19" spans="1:10" x14ac:dyDescent="0.25">
      <c r="A19" s="66" t="s">
        <v>124</v>
      </c>
      <c r="B19" s="13">
        <v>14</v>
      </c>
      <c r="C19" s="14"/>
      <c r="D19" s="15">
        <f>'OCTOBER 21'!H19</f>
        <v>0</v>
      </c>
      <c r="E19" s="18">
        <v>1500</v>
      </c>
      <c r="F19" s="16">
        <f t="shared" si="1"/>
        <v>1500</v>
      </c>
      <c r="G19" s="16"/>
      <c r="H19" s="17">
        <f t="shared" si="0"/>
        <v>1500</v>
      </c>
      <c r="I19" s="15"/>
      <c r="J19" t="s">
        <v>70</v>
      </c>
    </row>
    <row r="20" spans="1:10" x14ac:dyDescent="0.25">
      <c r="A20" s="12" t="s">
        <v>87</v>
      </c>
      <c r="B20" s="13">
        <v>15</v>
      </c>
      <c r="C20" s="14"/>
      <c r="D20" s="15">
        <f>'OCTOBER 21'!H20</f>
        <v>0</v>
      </c>
      <c r="E20" s="18">
        <v>1500</v>
      </c>
      <c r="F20" s="16">
        <f t="shared" si="1"/>
        <v>1500</v>
      </c>
      <c r="G20" s="16"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'OCTOBER 21'!H21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2750</v>
      </c>
      <c r="E22" s="30">
        <f t="shared" si="2"/>
        <v>22500</v>
      </c>
      <c r="F22" s="16">
        <f t="shared" si="2"/>
        <v>25250</v>
      </c>
      <c r="G22" s="16">
        <f>SUM(G6:G21)</f>
        <v>17200</v>
      </c>
      <c r="H22" s="16">
        <f t="shared" si="2"/>
        <v>8050</v>
      </c>
      <c r="I22" s="15">
        <f t="shared" si="2"/>
        <v>0</v>
      </c>
    </row>
    <row r="23" spans="1:10" x14ac:dyDescent="0.25">
      <c r="D23" s="15">
        <f>'SEPTEMBER 21'!H23:H39</f>
        <v>0</v>
      </c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147</v>
      </c>
      <c r="B28" s="41">
        <f>E22</f>
        <v>22500</v>
      </c>
      <c r="C28" s="29"/>
      <c r="D28" s="29"/>
      <c r="E28" s="29" t="s">
        <v>147</v>
      </c>
      <c r="F28" s="41">
        <f>G22</f>
        <v>17200</v>
      </c>
      <c r="G28" s="29"/>
      <c r="H28" s="29"/>
      <c r="I28" s="37"/>
    </row>
    <row r="29" spans="1:10" x14ac:dyDescent="0.25">
      <c r="A29" s="29" t="s">
        <v>19</v>
      </c>
      <c r="B29" s="41">
        <f>'OCTOBER 21'!D41</f>
        <v>-1500</v>
      </c>
      <c r="C29" s="29"/>
      <c r="D29" s="29"/>
      <c r="E29" s="29" t="s">
        <v>19</v>
      </c>
      <c r="F29" s="41">
        <f>'OCTOBER 21'!H41</f>
        <v>-4250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</row>
    <row r="33" spans="1:9" x14ac:dyDescent="0.25">
      <c r="A33" s="29" t="s">
        <v>21</v>
      </c>
      <c r="B33" s="42">
        <v>0.1</v>
      </c>
      <c r="C33" s="41">
        <f>B33*B28</f>
        <v>2250</v>
      </c>
      <c r="D33" s="29"/>
      <c r="E33" s="29" t="s">
        <v>21</v>
      </c>
      <c r="F33" s="42">
        <v>0.1</v>
      </c>
      <c r="G33" s="41">
        <f>F33*B28</f>
        <v>2250</v>
      </c>
      <c r="H33" s="29"/>
      <c r="I33" s="3"/>
    </row>
    <row r="34" spans="1:9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</row>
    <row r="35" spans="1:9" x14ac:dyDescent="0.25">
      <c r="A35" s="44"/>
      <c r="C35" s="45"/>
      <c r="D35" s="29"/>
      <c r="E35" s="44"/>
      <c r="G35" s="45"/>
      <c r="H35" s="29"/>
      <c r="I35" s="3"/>
    </row>
    <row r="36" spans="1:9" x14ac:dyDescent="0.25">
      <c r="A36" s="44" t="s">
        <v>24</v>
      </c>
      <c r="B36" s="42">
        <v>0.3</v>
      </c>
      <c r="D36" s="45"/>
      <c r="E36" s="43"/>
      <c r="F36" s="19"/>
      <c r="H36" s="29"/>
      <c r="I36" s="3"/>
    </row>
    <row r="37" spans="1:9" x14ac:dyDescent="0.25">
      <c r="A37" s="43"/>
      <c r="C37" s="29"/>
      <c r="D37" s="29"/>
      <c r="E37" s="43"/>
      <c r="G37" s="29"/>
      <c r="H37" s="29"/>
      <c r="I37" s="37"/>
    </row>
    <row r="38" spans="1:9" x14ac:dyDescent="0.25">
      <c r="A38" s="43" t="s">
        <v>63</v>
      </c>
      <c r="B38" s="42"/>
      <c r="C38" s="29">
        <f>18150+1350</f>
        <v>19500</v>
      </c>
      <c r="D38" s="29"/>
      <c r="E38" s="43" t="s">
        <v>63</v>
      </c>
      <c r="F38" s="42"/>
      <c r="G38" s="29">
        <f>18150+1350</f>
        <v>19500</v>
      </c>
      <c r="H38" s="29"/>
      <c r="I38" s="46"/>
    </row>
    <row r="39" spans="1:9" x14ac:dyDescent="0.25">
      <c r="A39" s="43" t="s">
        <v>151</v>
      </c>
      <c r="B39" s="29"/>
      <c r="C39" s="45">
        <v>1500</v>
      </c>
      <c r="D39" s="29"/>
      <c r="E39" s="43" t="s">
        <v>151</v>
      </c>
      <c r="F39" s="29"/>
      <c r="G39" s="45">
        <v>1500</v>
      </c>
      <c r="H39" s="29"/>
      <c r="I39" s="3"/>
    </row>
    <row r="40" spans="1:9" x14ac:dyDescent="0.25">
      <c r="A40" s="43"/>
      <c r="B40" s="29"/>
      <c r="C40" s="45"/>
      <c r="D40" s="29"/>
      <c r="E40" s="43"/>
      <c r="F40" s="29"/>
      <c r="G40" s="45"/>
      <c r="H40" s="29"/>
      <c r="I40" s="3"/>
    </row>
    <row r="41" spans="1:9" x14ac:dyDescent="0.25">
      <c r="A41" s="40" t="s">
        <v>25</v>
      </c>
      <c r="B41" s="48">
        <f>B32+B28+B29+B30+B31+B35-C33</f>
        <v>18750</v>
      </c>
      <c r="C41" s="48">
        <f>SUM(C35:C40)</f>
        <v>21000</v>
      </c>
      <c r="D41" s="48">
        <f>B41-C41</f>
        <v>-2250</v>
      </c>
      <c r="E41" s="40" t="s">
        <v>25</v>
      </c>
      <c r="F41" s="48">
        <f>F28+F29+F32+F31+F35-G33</f>
        <v>10700</v>
      </c>
      <c r="G41" s="48">
        <f>SUM(G35:G40)</f>
        <v>21000</v>
      </c>
      <c r="H41" s="48">
        <f>F41-G41</f>
        <v>-10300</v>
      </c>
      <c r="I41" s="46"/>
    </row>
    <row r="42" spans="1:9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9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9" x14ac:dyDescent="0.25">
      <c r="A44" s="61" t="s">
        <v>148</v>
      </c>
      <c r="B44" s="61"/>
      <c r="C44" s="61"/>
      <c r="D44" s="61"/>
      <c r="E44" s="61"/>
      <c r="F44" s="6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tabSelected="1" workbookViewId="0">
      <selection activeCell="G10" sqref="G10"/>
    </sheetView>
  </sheetViews>
  <sheetFormatPr defaultRowHeight="15" x14ac:dyDescent="0.25"/>
  <cols>
    <col min="1" max="1" width="22.7109375" customWidth="1"/>
    <col min="5" max="5" width="11.2851562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153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'NOVEMBER 21'!H6:H21</f>
        <v>0</v>
      </c>
      <c r="E6" s="16">
        <v>1500</v>
      </c>
      <c r="F6" s="16">
        <f>C6+D6+E6</f>
        <v>1500</v>
      </c>
      <c r="G6" s="16"/>
      <c r="H6" s="17">
        <f t="shared" ref="H6:H20" si="0">F6-G6</f>
        <v>1500</v>
      </c>
      <c r="I6" s="15"/>
    </row>
    <row r="7" spans="1:9" x14ac:dyDescent="0.25">
      <c r="A7" s="3" t="s">
        <v>125</v>
      </c>
      <c r="B7" s="13">
        <v>2</v>
      </c>
      <c r="C7" s="14"/>
      <c r="D7" s="15">
        <f>'NOVEMBER 21'!H7:H22</f>
        <v>600</v>
      </c>
      <c r="E7" s="18">
        <v>1500</v>
      </c>
      <c r="F7" s="16">
        <f t="shared" ref="F7:F21" si="1">C7+D7+E7</f>
        <v>2100</v>
      </c>
      <c r="G7" s="16"/>
      <c r="H7" s="17">
        <f t="shared" si="0"/>
        <v>2100</v>
      </c>
      <c r="I7" s="15"/>
    </row>
    <row r="8" spans="1:9" x14ac:dyDescent="0.25">
      <c r="A8" s="19" t="s">
        <v>86</v>
      </c>
      <c r="B8" s="13">
        <v>3</v>
      </c>
      <c r="C8" s="14"/>
      <c r="D8" s="15">
        <f>'NOVEMBER 21'!H8:H23</f>
        <v>1800</v>
      </c>
      <c r="E8" s="18">
        <v>1500</v>
      </c>
      <c r="F8" s="16">
        <f t="shared" si="1"/>
        <v>3300</v>
      </c>
      <c r="G8" s="16"/>
      <c r="H8" s="17">
        <f t="shared" si="0"/>
        <v>3300</v>
      </c>
      <c r="I8" s="15"/>
    </row>
    <row r="9" spans="1:9" x14ac:dyDescent="0.25">
      <c r="A9" s="20" t="s">
        <v>61</v>
      </c>
      <c r="B9" s="13">
        <v>4</v>
      </c>
      <c r="C9" s="14"/>
      <c r="D9" s="15">
        <f>'NOVEMBER 21'!H9:H24</f>
        <v>300</v>
      </c>
      <c r="E9" s="18">
        <v>1500</v>
      </c>
      <c r="F9" s="16">
        <f t="shared" si="1"/>
        <v>1800</v>
      </c>
      <c r="G9" s="16">
        <f>300+300</f>
        <v>600</v>
      </c>
      <c r="H9" s="17">
        <f t="shared" si="0"/>
        <v>1200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'NOVEMBER 21'!H10:H25</f>
        <v>1000</v>
      </c>
      <c r="E10" s="18">
        <v>1500</v>
      </c>
      <c r="F10" s="16">
        <f t="shared" si="1"/>
        <v>2500</v>
      </c>
      <c r="G10" s="16"/>
      <c r="H10" s="17">
        <f t="shared" si="0"/>
        <v>2500</v>
      </c>
      <c r="I10" s="15"/>
    </row>
    <row r="11" spans="1:9" x14ac:dyDescent="0.25">
      <c r="A11" s="24" t="s">
        <v>150</v>
      </c>
      <c r="B11" s="13">
        <v>6</v>
      </c>
      <c r="C11" s="14"/>
      <c r="D11" s="15">
        <f>'NOVEMBER 21'!H11:H26</f>
        <v>300</v>
      </c>
      <c r="E11" s="18">
        <v>1500</v>
      </c>
      <c r="F11" s="16">
        <f>C11+D11+E11</f>
        <v>1800</v>
      </c>
      <c r="G11" s="16">
        <f>200+300</f>
        <v>500</v>
      </c>
      <c r="H11" s="17">
        <f t="shared" si="0"/>
        <v>1300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'NOVEMBER 21'!H12:H27</f>
        <v>0</v>
      </c>
      <c r="E12" s="18">
        <v>1500</v>
      </c>
      <c r="F12" s="16">
        <f>C12+D12+E12</f>
        <v>1500</v>
      </c>
      <c r="G12" s="16"/>
      <c r="H12" s="17">
        <f t="shared" si="0"/>
        <v>1500</v>
      </c>
      <c r="I12" s="15"/>
    </row>
    <row r="13" spans="1:9" x14ac:dyDescent="0.25">
      <c r="A13" s="21" t="s">
        <v>118</v>
      </c>
      <c r="B13" s="13">
        <v>8</v>
      </c>
      <c r="C13" s="14"/>
      <c r="D13" s="15">
        <f>'NOVEMBER 21'!H13:H28</f>
        <v>0</v>
      </c>
      <c r="E13" s="18">
        <v>1500</v>
      </c>
      <c r="F13" s="16">
        <f t="shared" si="1"/>
        <v>1500</v>
      </c>
      <c r="G13" s="16"/>
      <c r="H13" s="17">
        <f t="shared" si="0"/>
        <v>1500</v>
      </c>
      <c r="I13" s="15"/>
    </row>
    <row r="14" spans="1:9" x14ac:dyDescent="0.25">
      <c r="A14" s="21" t="s">
        <v>138</v>
      </c>
      <c r="B14" s="13">
        <v>9</v>
      </c>
      <c r="C14" s="14"/>
      <c r="D14" s="15">
        <f>'NOVEMBER 21'!H14:H29</f>
        <v>1500</v>
      </c>
      <c r="E14" s="18">
        <v>1500</v>
      </c>
      <c r="F14" s="16">
        <f t="shared" si="1"/>
        <v>3000</v>
      </c>
      <c r="G14" s="16"/>
      <c r="H14" s="17">
        <f t="shared" si="0"/>
        <v>3000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'NOVEMBER 21'!H15:H30</f>
        <v>0</v>
      </c>
      <c r="E15" s="18">
        <v>1500</v>
      </c>
      <c r="F15" s="16">
        <f t="shared" si="1"/>
        <v>1500</v>
      </c>
      <c r="G15" s="16"/>
      <c r="H15" s="17">
        <f t="shared" si="0"/>
        <v>1500</v>
      </c>
      <c r="I15" s="15"/>
    </row>
    <row r="16" spans="1:9" x14ac:dyDescent="0.25">
      <c r="A16" s="64" t="s">
        <v>135</v>
      </c>
      <c r="B16" s="13">
        <v>11</v>
      </c>
      <c r="C16" s="14"/>
      <c r="D16" s="15">
        <f>'NOVEMBER 21'!H16:H31</f>
        <v>50</v>
      </c>
      <c r="E16" s="18">
        <v>1500</v>
      </c>
      <c r="F16" s="16">
        <f t="shared" si="1"/>
        <v>1550</v>
      </c>
      <c r="G16" s="16"/>
      <c r="H16" s="17">
        <f t="shared" si="0"/>
        <v>1550</v>
      </c>
      <c r="I16" s="15"/>
    </row>
    <row r="17" spans="1:9" x14ac:dyDescent="0.25">
      <c r="A17" s="24" t="s">
        <v>141</v>
      </c>
      <c r="B17" s="13">
        <v>12</v>
      </c>
      <c r="C17" s="14"/>
      <c r="D17" s="15">
        <f>'NOVEMBER 21'!H17:H32</f>
        <v>0</v>
      </c>
      <c r="E17" s="18">
        <v>1500</v>
      </c>
      <c r="F17" s="16">
        <f t="shared" si="1"/>
        <v>1500</v>
      </c>
      <c r="G17" s="16"/>
      <c r="H17" s="17">
        <f t="shared" si="0"/>
        <v>1500</v>
      </c>
      <c r="I17" s="15"/>
    </row>
    <row r="18" spans="1:9" x14ac:dyDescent="0.25">
      <c r="A18" s="22" t="s">
        <v>149</v>
      </c>
      <c r="B18" s="13">
        <v>13</v>
      </c>
      <c r="C18" s="14"/>
      <c r="D18" s="15">
        <f>'NOVEMBER 21'!H18:H33</f>
        <v>1000</v>
      </c>
      <c r="E18" s="18">
        <v>1500</v>
      </c>
      <c r="F18" s="16">
        <f t="shared" si="1"/>
        <v>2500</v>
      </c>
      <c r="G18" s="16"/>
      <c r="H18" s="17">
        <f t="shared" si="0"/>
        <v>2500</v>
      </c>
      <c r="I18" s="15"/>
    </row>
    <row r="19" spans="1:9" x14ac:dyDescent="0.25">
      <c r="A19" s="66"/>
      <c r="B19" s="13">
        <v>14</v>
      </c>
      <c r="C19" s="14"/>
      <c r="D19" s="15"/>
      <c r="E19" s="18"/>
      <c r="F19" s="16">
        <f t="shared" si="1"/>
        <v>0</v>
      </c>
      <c r="G19" s="16"/>
      <c r="H19" s="17">
        <f t="shared" si="0"/>
        <v>0</v>
      </c>
      <c r="I19" s="15"/>
    </row>
    <row r="20" spans="1:9" x14ac:dyDescent="0.25">
      <c r="A20" s="12" t="s">
        <v>87</v>
      </c>
      <c r="B20" s="13">
        <v>15</v>
      </c>
      <c r="C20" s="14"/>
      <c r="D20" s="15">
        <f>'NOVEMBER 21'!H20:H35</f>
        <v>0</v>
      </c>
      <c r="E20" s="18">
        <v>1500</v>
      </c>
      <c r="F20" s="16">
        <f t="shared" si="1"/>
        <v>1500</v>
      </c>
      <c r="G20" s="16"/>
      <c r="H20" s="17">
        <f t="shared" si="0"/>
        <v>1500</v>
      </c>
      <c r="I20" s="15"/>
    </row>
    <row r="21" spans="1:9" x14ac:dyDescent="0.25">
      <c r="A21" s="25" t="s">
        <v>85</v>
      </c>
      <c r="B21" s="26">
        <v>16</v>
      </c>
      <c r="C21" s="14"/>
      <c r="D21" s="15">
        <f>'NOVEMBER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9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6550</v>
      </c>
      <c r="E22" s="30">
        <f t="shared" si="2"/>
        <v>21000</v>
      </c>
      <c r="F22" s="16">
        <f t="shared" si="2"/>
        <v>27550</v>
      </c>
      <c r="G22" s="16">
        <f>SUM(G6:G21)</f>
        <v>1100</v>
      </c>
      <c r="H22" s="16">
        <f t="shared" si="2"/>
        <v>26450</v>
      </c>
      <c r="I22" s="15">
        <f t="shared" si="2"/>
        <v>0</v>
      </c>
    </row>
    <row r="23" spans="1:9" x14ac:dyDescent="0.25">
      <c r="D23" s="15">
        <f>'SEPTEMBER 21'!H23:H39</f>
        <v>0</v>
      </c>
      <c r="H23" s="31"/>
      <c r="I23" s="3"/>
    </row>
    <row r="25" spans="1:9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9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9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9" x14ac:dyDescent="0.25">
      <c r="A28" s="29" t="s">
        <v>68</v>
      </c>
      <c r="B28" s="41">
        <f>E22</f>
        <v>21000</v>
      </c>
      <c r="C28" s="29"/>
      <c r="D28" s="29"/>
      <c r="E28" s="29" t="s">
        <v>68</v>
      </c>
      <c r="F28" s="41">
        <f>G22</f>
        <v>1100</v>
      </c>
      <c r="G28" s="29"/>
      <c r="H28" s="29"/>
      <c r="I28" s="37"/>
    </row>
    <row r="29" spans="1:9" x14ac:dyDescent="0.25">
      <c r="A29" s="29" t="s">
        <v>19</v>
      </c>
      <c r="B29" s="41">
        <f>'NOVEMBER 21'!D41</f>
        <v>-2250</v>
      </c>
      <c r="C29" s="29"/>
      <c r="D29" s="29"/>
      <c r="E29" s="29" t="s">
        <v>19</v>
      </c>
      <c r="F29" s="41">
        <f>'NOVEMBER 21'!H41</f>
        <v>-10300</v>
      </c>
      <c r="G29" s="29"/>
      <c r="H29" s="29"/>
      <c r="I29" s="37"/>
    </row>
    <row r="30" spans="1:9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</row>
    <row r="31" spans="1:9" x14ac:dyDescent="0.25">
      <c r="A31" s="29"/>
      <c r="B31" s="41"/>
      <c r="C31" s="29"/>
      <c r="D31" s="29"/>
      <c r="E31" s="29"/>
      <c r="F31" s="41"/>
      <c r="G31" s="29"/>
      <c r="H31" s="29"/>
      <c r="I31" s="37"/>
    </row>
    <row r="32" spans="1:9" x14ac:dyDescent="0.25">
      <c r="A32" s="29"/>
      <c r="B32" s="41"/>
      <c r="C32" s="29"/>
      <c r="D32" s="29"/>
      <c r="E32" s="29"/>
      <c r="F32" s="41"/>
      <c r="G32" s="29"/>
      <c r="H32" s="29"/>
      <c r="I32" s="3"/>
    </row>
    <row r="33" spans="1:9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9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</row>
    <row r="35" spans="1:9" x14ac:dyDescent="0.25">
      <c r="A35" s="44"/>
      <c r="C35" s="45"/>
      <c r="D35" s="29"/>
      <c r="E35" s="44"/>
      <c r="G35" s="45"/>
      <c r="H35" s="29"/>
      <c r="I35" s="3"/>
    </row>
    <row r="36" spans="1:9" x14ac:dyDescent="0.25">
      <c r="A36" s="44" t="s">
        <v>24</v>
      </c>
      <c r="B36" s="42">
        <v>0.3</v>
      </c>
      <c r="D36" s="45"/>
      <c r="E36" s="43"/>
      <c r="F36" s="19"/>
      <c r="H36" s="29"/>
      <c r="I36" s="3"/>
    </row>
    <row r="37" spans="1:9" x14ac:dyDescent="0.25">
      <c r="A37" s="43"/>
      <c r="C37" s="29"/>
      <c r="D37" s="29"/>
      <c r="E37" s="43"/>
      <c r="G37" s="29"/>
      <c r="H37" s="29"/>
      <c r="I37" s="37"/>
    </row>
    <row r="38" spans="1:9" x14ac:dyDescent="0.25">
      <c r="A38" s="43"/>
      <c r="B38" s="42"/>
      <c r="C38" s="29"/>
      <c r="D38" s="29"/>
      <c r="E38" s="43"/>
      <c r="F38" s="42"/>
      <c r="G38" s="29"/>
      <c r="H38" s="29"/>
      <c r="I38" s="46"/>
    </row>
    <row r="39" spans="1:9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9" x14ac:dyDescent="0.25">
      <c r="A40" s="43"/>
      <c r="B40" s="29"/>
      <c r="C40" s="45"/>
      <c r="D40" s="29"/>
      <c r="E40" s="43"/>
      <c r="F40" s="29"/>
      <c r="G40" s="45"/>
      <c r="H40" s="29"/>
      <c r="I40" s="3"/>
    </row>
    <row r="41" spans="1:9" x14ac:dyDescent="0.25">
      <c r="A41" s="40" t="s">
        <v>25</v>
      </c>
      <c r="B41" s="48">
        <f>B32+B28+B29+B30+B31+B35-C33</f>
        <v>16650</v>
      </c>
      <c r="C41" s="48">
        <f>SUM(C35:C40)</f>
        <v>0</v>
      </c>
      <c r="D41" s="48">
        <f>B41-C41</f>
        <v>16650</v>
      </c>
      <c r="E41" s="40" t="s">
        <v>25</v>
      </c>
      <c r="F41" s="48">
        <f>F28+F29+F32+F31+F35-G33</f>
        <v>-11300</v>
      </c>
      <c r="G41" s="48">
        <f>SUM(G35:G40)</f>
        <v>0</v>
      </c>
      <c r="H41" s="48">
        <f>F41-G41</f>
        <v>-11300</v>
      </c>
      <c r="I41" s="46"/>
    </row>
    <row r="42" spans="1:9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9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  <row r="44" spans="1:9" x14ac:dyDescent="0.25">
      <c r="A44" s="61" t="s">
        <v>148</v>
      </c>
      <c r="B44" s="61"/>
      <c r="C44" s="61"/>
      <c r="D44" s="61"/>
      <c r="E44" s="61"/>
      <c r="F44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workbookViewId="0">
      <selection activeCell="K54" sqref="K54"/>
    </sheetView>
  </sheetViews>
  <sheetFormatPr defaultRowHeight="15" x14ac:dyDescent="0.25"/>
  <cols>
    <col min="1" max="1" width="18" customWidth="1"/>
    <col min="2" max="2" width="6.28515625" customWidth="1"/>
    <col min="3" max="3" width="9.7109375" customWidth="1"/>
    <col min="8" max="8" width="7" bestFit="1" customWidth="1"/>
    <col min="9" max="9" width="7.5703125" customWidth="1"/>
  </cols>
  <sheetData>
    <row r="2" spans="1:10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0" ht="18.75" x14ac:dyDescent="0.3">
      <c r="A4" s="5"/>
      <c r="B4" s="1" t="s">
        <v>78</v>
      </c>
      <c r="C4" s="1"/>
      <c r="D4" s="1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'SEPTEMBER 20'!H6:H29</f>
        <v>0</v>
      </c>
      <c r="E6" s="16">
        <v>1500</v>
      </c>
      <c r="F6" s="16">
        <f>C6+D6+E6</f>
        <v>1500</v>
      </c>
      <c r="G6" s="16">
        <f>1500</f>
        <v>1500</v>
      </c>
      <c r="H6" s="17">
        <f>F6-G6</f>
        <v>0</v>
      </c>
      <c r="I6" s="15"/>
    </row>
    <row r="7" spans="1:10" x14ac:dyDescent="0.25">
      <c r="A7" t="s">
        <v>45</v>
      </c>
      <c r="B7" s="13">
        <v>2</v>
      </c>
      <c r="C7" s="14"/>
      <c r="D7" s="15">
        <f>'SEPTEMBER 20'!H7:H30</f>
        <v>0</v>
      </c>
      <c r="E7" s="18">
        <v>1500</v>
      </c>
      <c r="F7" s="16">
        <f t="shared" ref="F7:F28" si="0">C7+D7+E7</f>
        <v>1500</v>
      </c>
      <c r="G7" s="16">
        <v>1500</v>
      </c>
      <c r="H7" s="17">
        <f>F7-G7</f>
        <v>0</v>
      </c>
      <c r="I7" s="15"/>
    </row>
    <row r="8" spans="1:10" x14ac:dyDescent="0.25">
      <c r="A8" s="19" t="s">
        <v>34</v>
      </c>
      <c r="B8" s="13">
        <v>3</v>
      </c>
      <c r="C8" s="14"/>
      <c r="D8" s="15">
        <f>'SEPTEMBER 20'!H8:H31</f>
        <v>400</v>
      </c>
      <c r="E8" s="18">
        <v>1500</v>
      </c>
      <c r="F8" s="16">
        <f t="shared" si="0"/>
        <v>1900</v>
      </c>
      <c r="G8" s="16">
        <f>1500+400</f>
        <v>1900</v>
      </c>
      <c r="H8" s="17">
        <f>F8-G8</f>
        <v>0</v>
      </c>
      <c r="I8" s="15">
        <v>400</v>
      </c>
    </row>
    <row r="9" spans="1:10" x14ac:dyDescent="0.25">
      <c r="A9" s="20" t="s">
        <v>35</v>
      </c>
      <c r="B9" s="13">
        <v>4</v>
      </c>
      <c r="C9" s="14"/>
      <c r="D9" s="15">
        <f>'SEPTEMBER 20'!H9:H32</f>
        <v>100</v>
      </c>
      <c r="E9" s="18">
        <v>1500</v>
      </c>
      <c r="F9" s="16">
        <f t="shared" si="0"/>
        <v>1600</v>
      </c>
      <c r="G9" s="16">
        <f>1000+450</f>
        <v>1450</v>
      </c>
      <c r="H9" s="17">
        <f>F9-G9</f>
        <v>150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'SEPTEMBER 20'!H10:H33</f>
        <v>300</v>
      </c>
      <c r="E10" s="18">
        <v>1500</v>
      </c>
      <c r="F10" s="16">
        <f t="shared" si="0"/>
        <v>1800</v>
      </c>
      <c r="G10" s="16">
        <f>300+1000+500</f>
        <v>1800</v>
      </c>
      <c r="H10" s="17">
        <f t="shared" ref="H10:H28" si="1">F10-G10</f>
        <v>0</v>
      </c>
      <c r="I10" s="15"/>
    </row>
    <row r="11" spans="1:10" x14ac:dyDescent="0.25">
      <c r="A11" s="12" t="s">
        <v>46</v>
      </c>
      <c r="B11" s="13">
        <v>6</v>
      </c>
      <c r="C11" s="14"/>
      <c r="D11" s="15">
        <f>'SEPTEMBER 20'!H11:H34</f>
        <v>700</v>
      </c>
      <c r="E11" s="18">
        <v>1500</v>
      </c>
      <c r="F11" s="16">
        <f>C11+D11+E11</f>
        <v>2200</v>
      </c>
      <c r="G11" s="16">
        <f>2200</f>
        <v>2200</v>
      </c>
      <c r="H11" s="17">
        <f t="shared" si="1"/>
        <v>0</v>
      </c>
      <c r="I11" s="15"/>
    </row>
    <row r="12" spans="1:10" x14ac:dyDescent="0.25">
      <c r="A12" s="20" t="s">
        <v>37</v>
      </c>
      <c r="B12" s="13">
        <v>7</v>
      </c>
      <c r="C12" s="14"/>
      <c r="D12" s="15">
        <f>'SEPTEMBER 20'!H12:H35</f>
        <v>2100</v>
      </c>
      <c r="E12" s="18">
        <v>1500</v>
      </c>
      <c r="F12" s="16">
        <f t="shared" si="0"/>
        <v>3600</v>
      </c>
      <c r="G12" s="16"/>
      <c r="H12" s="17">
        <f t="shared" si="1"/>
        <v>3600</v>
      </c>
      <c r="I12" s="15"/>
      <c r="J12" t="s">
        <v>62</v>
      </c>
    </row>
    <row r="13" spans="1:10" x14ac:dyDescent="0.25">
      <c r="A13" s="21" t="s">
        <v>47</v>
      </c>
      <c r="B13" s="13">
        <v>8</v>
      </c>
      <c r="C13" s="14"/>
      <c r="D13" s="15">
        <f>'SEPTEMBER 20'!H13:H36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1"/>
        <v>0</v>
      </c>
      <c r="I13" s="15"/>
    </row>
    <row r="14" spans="1:10" x14ac:dyDescent="0.25">
      <c r="A14" s="21" t="s">
        <v>38</v>
      </c>
      <c r="B14" s="13">
        <v>9</v>
      </c>
      <c r="C14" s="14"/>
      <c r="D14" s="15"/>
      <c r="E14" s="18">
        <v>1500</v>
      </c>
      <c r="F14" s="16">
        <f t="shared" si="0"/>
        <v>1500</v>
      </c>
      <c r="G14" s="16">
        <f>800</f>
        <v>800</v>
      </c>
      <c r="H14" s="17">
        <f t="shared" si="1"/>
        <v>700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'SEPTEMBER 20'!H15:H38</f>
        <v>0</v>
      </c>
      <c r="E15" s="18">
        <v>1000</v>
      </c>
      <c r="F15" s="16">
        <f t="shared" si="0"/>
        <v>1000</v>
      </c>
      <c r="G15" s="16">
        <f>1000</f>
        <v>1000</v>
      </c>
      <c r="H15" s="17">
        <f t="shared" si="1"/>
        <v>0</v>
      </c>
      <c r="I15" s="15"/>
    </row>
    <row r="16" spans="1:10" x14ac:dyDescent="0.25">
      <c r="A16" s="24" t="s">
        <v>52</v>
      </c>
      <c r="B16" s="13">
        <v>11</v>
      </c>
      <c r="C16" s="14"/>
      <c r="D16" s="15">
        <f>'SEPTEMBER 20'!H16:H39</f>
        <v>0</v>
      </c>
      <c r="E16" s="18">
        <v>1500</v>
      </c>
      <c r="F16" s="16">
        <f t="shared" si="0"/>
        <v>1500</v>
      </c>
      <c r="G16" s="16">
        <f>1000+500</f>
        <v>1500</v>
      </c>
      <c r="H16" s="17">
        <f t="shared" si="1"/>
        <v>0</v>
      </c>
      <c r="I16" s="15"/>
    </row>
    <row r="17" spans="1:9" x14ac:dyDescent="0.25">
      <c r="A17" s="12" t="s">
        <v>40</v>
      </c>
      <c r="B17" s="13">
        <v>12</v>
      </c>
      <c r="C17" s="14"/>
      <c r="D17" s="15">
        <f>'SEPTEMBER 20'!H17:H40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9" x14ac:dyDescent="0.25">
      <c r="A18" s="25" t="s">
        <v>41</v>
      </c>
      <c r="B18" s="13">
        <v>13</v>
      </c>
      <c r="C18" s="14"/>
      <c r="D18" s="15">
        <f>'SEPTEMBER 20'!H18:H41</f>
        <v>1000</v>
      </c>
      <c r="E18" s="18">
        <v>1000</v>
      </c>
      <c r="F18" s="16">
        <f t="shared" si="0"/>
        <v>2000</v>
      </c>
      <c r="G18" s="16"/>
      <c r="H18" s="17">
        <f t="shared" si="1"/>
        <v>2000</v>
      </c>
      <c r="I18" s="15"/>
    </row>
    <row r="19" spans="1:9" x14ac:dyDescent="0.25">
      <c r="A19" s="19" t="s">
        <v>44</v>
      </c>
      <c r="B19" s="13">
        <v>14</v>
      </c>
      <c r="C19" s="14"/>
      <c r="D19" s="15">
        <f>'SEPTEMBER 20'!H19:H42</f>
        <v>0</v>
      </c>
      <c r="E19" s="18">
        <v>1000</v>
      </c>
      <c r="F19" s="16">
        <f t="shared" si="0"/>
        <v>1000</v>
      </c>
      <c r="G19" s="16">
        <f>1000</f>
        <v>1000</v>
      </c>
      <c r="H19" s="17">
        <f t="shared" si="1"/>
        <v>0</v>
      </c>
      <c r="I19" s="15"/>
    </row>
    <row r="20" spans="1:9" x14ac:dyDescent="0.25">
      <c r="A20" s="12" t="s">
        <v>56</v>
      </c>
      <c r="B20" s="13">
        <v>15</v>
      </c>
      <c r="C20" s="14"/>
      <c r="D20" s="15"/>
      <c r="E20" s="18">
        <v>1000</v>
      </c>
      <c r="F20" s="16">
        <f t="shared" si="0"/>
        <v>1000</v>
      </c>
      <c r="G20" s="16">
        <f>1000</f>
        <v>1000</v>
      </c>
      <c r="H20" s="17">
        <f t="shared" si="1"/>
        <v>0</v>
      </c>
      <c r="I20" s="15"/>
    </row>
    <row r="21" spans="1:9" x14ac:dyDescent="0.25">
      <c r="A21" s="22" t="s">
        <v>43</v>
      </c>
      <c r="B21" s="26">
        <v>16</v>
      </c>
      <c r="C21" s="14"/>
      <c r="D21" s="15">
        <f>'SEPTEMBER 20'!H21:H44</f>
        <v>0</v>
      </c>
      <c r="E21" s="18"/>
      <c r="F21" s="16">
        <f t="shared" si="0"/>
        <v>0</v>
      </c>
      <c r="G21" s="16"/>
      <c r="H21" s="17">
        <f>F21-G21</f>
        <v>0</v>
      </c>
      <c r="I21" s="15"/>
    </row>
    <row r="22" spans="1:9" x14ac:dyDescent="0.25">
      <c r="A22" s="25"/>
      <c r="B22" s="13">
        <v>17</v>
      </c>
      <c r="C22" s="14"/>
      <c r="D22" s="15">
        <f>'SEPTEMBER 20'!H22:H45</f>
        <v>0</v>
      </c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9" x14ac:dyDescent="0.25">
      <c r="A23" s="12"/>
      <c r="B23" s="13">
        <v>18</v>
      </c>
      <c r="C23" s="14"/>
      <c r="D23" s="15">
        <f>'SEPTEMBER 20'!H23:H46</f>
        <v>0</v>
      </c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9" x14ac:dyDescent="0.25">
      <c r="A24" s="20"/>
      <c r="B24" s="27">
        <v>19</v>
      </c>
      <c r="C24" s="14"/>
      <c r="D24" s="15">
        <f>'SEPTEMBER 20'!H24:H47</f>
        <v>0</v>
      </c>
      <c r="E24" s="18"/>
      <c r="F24" s="16">
        <f t="shared" si="0"/>
        <v>0</v>
      </c>
      <c r="G24" s="16"/>
      <c r="H24" s="17">
        <f t="shared" si="1"/>
        <v>0</v>
      </c>
      <c r="I24" s="15"/>
    </row>
    <row r="25" spans="1:9" x14ac:dyDescent="0.25">
      <c r="A25" s="20"/>
      <c r="B25" s="27">
        <v>20</v>
      </c>
      <c r="C25" s="14"/>
      <c r="D25" s="15">
        <f>'SEPTEMBER 20'!H25:H48</f>
        <v>0</v>
      </c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9" x14ac:dyDescent="0.25">
      <c r="A26" s="20"/>
      <c r="B26" s="27"/>
      <c r="C26" s="14"/>
      <c r="D26" s="15">
        <f>'SEPTEMBER 20'!H26:H49</f>
        <v>0</v>
      </c>
      <c r="E26" s="18"/>
      <c r="F26" s="16">
        <f t="shared" si="0"/>
        <v>0</v>
      </c>
      <c r="G26" s="16"/>
      <c r="H26" s="17">
        <f t="shared" si="1"/>
        <v>0</v>
      </c>
      <c r="I26" s="15"/>
    </row>
    <row r="27" spans="1:9" x14ac:dyDescent="0.25">
      <c r="A27" s="20"/>
      <c r="B27" s="27"/>
      <c r="C27" s="14"/>
      <c r="D27" s="15">
        <f>'SEPTEMBER 20'!H27:H50</f>
        <v>0</v>
      </c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9" x14ac:dyDescent="0.25">
      <c r="A28" s="20" t="s">
        <v>10</v>
      </c>
      <c r="B28" s="27"/>
      <c r="C28" s="14"/>
      <c r="D28" s="15">
        <f>'SEPTEMBER 20'!H28:H51</f>
        <v>0</v>
      </c>
      <c r="E28" s="18"/>
      <c r="F28" s="16">
        <f t="shared" si="0"/>
        <v>0</v>
      </c>
      <c r="G28" s="16"/>
      <c r="H28" s="17">
        <f t="shared" si="1"/>
        <v>0</v>
      </c>
      <c r="I28" s="15"/>
    </row>
    <row r="29" spans="1:9" x14ac:dyDescent="0.25">
      <c r="A29" s="28" t="s">
        <v>12</v>
      </c>
      <c r="B29" s="29"/>
      <c r="C29" s="14">
        <f t="shared" ref="C29:I29" si="2">SUM(C6:C28)</f>
        <v>0</v>
      </c>
      <c r="D29" s="15">
        <f>'SEPTEMBER 20'!H29:H52</f>
        <v>6900</v>
      </c>
      <c r="E29" s="30">
        <f>SUM(E6:E28)</f>
        <v>19000</v>
      </c>
      <c r="F29" s="16">
        <f t="shared" si="2"/>
        <v>23600</v>
      </c>
      <c r="G29" s="16">
        <f>SUM(G6:G28)</f>
        <v>17150</v>
      </c>
      <c r="H29" s="16">
        <f>SUM(H6:H28)</f>
        <v>6450</v>
      </c>
      <c r="I29" s="15">
        <f t="shared" si="2"/>
        <v>400</v>
      </c>
    </row>
    <row r="30" spans="1:9" x14ac:dyDescent="0.25">
      <c r="D30" s="15">
        <f>'SEPTEMBER 20'!H30:H53</f>
        <v>3200</v>
      </c>
      <c r="H30" s="31">
        <f>H14+H9+E12</f>
        <v>2350</v>
      </c>
      <c r="I30" s="3"/>
    </row>
    <row r="32" spans="1:9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1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1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>
        <f>1100-1085</f>
        <v>15</v>
      </c>
    </row>
    <row r="35" spans="1:11" x14ac:dyDescent="0.25">
      <c r="A35" s="29" t="s">
        <v>54</v>
      </c>
      <c r="B35" s="41">
        <f>E29</f>
        <v>19000</v>
      </c>
      <c r="C35" s="29"/>
      <c r="D35" s="29"/>
      <c r="E35" s="29" t="s">
        <v>55</v>
      </c>
      <c r="F35" s="41">
        <f>G29</f>
        <v>17150</v>
      </c>
      <c r="G35" s="29"/>
      <c r="H35" s="29"/>
      <c r="I35" s="37"/>
    </row>
    <row r="36" spans="1:11" x14ac:dyDescent="0.25">
      <c r="A36" s="29" t="s">
        <v>19</v>
      </c>
      <c r="B36" s="41">
        <f>'SEPTEMBER 20'!D47</f>
        <v>-2402</v>
      </c>
      <c r="C36" s="29"/>
      <c r="D36" s="29"/>
      <c r="E36" s="29" t="s">
        <v>19</v>
      </c>
      <c r="F36" s="41">
        <f>'SEPTEMBER 20'!H47</f>
        <v>-6002</v>
      </c>
      <c r="G36" s="29"/>
      <c r="H36" s="29"/>
      <c r="I36" s="37"/>
    </row>
    <row r="37" spans="1:11" x14ac:dyDescent="0.25">
      <c r="A37" s="29" t="s">
        <v>9</v>
      </c>
      <c r="B37" s="41">
        <v>400</v>
      </c>
      <c r="C37" s="29"/>
      <c r="D37" s="29"/>
      <c r="E37" s="29"/>
      <c r="F37" s="41"/>
      <c r="G37" s="29"/>
      <c r="H37" s="29"/>
      <c r="I37" s="37" t="s">
        <v>20</v>
      </c>
    </row>
    <row r="38" spans="1:11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1" x14ac:dyDescent="0.25">
      <c r="A39" s="29" t="s">
        <v>21</v>
      </c>
      <c r="B39" s="42">
        <v>0.1</v>
      </c>
      <c r="C39" s="41">
        <f>B39*B35</f>
        <v>1900</v>
      </c>
      <c r="D39" s="29"/>
      <c r="E39" s="29" t="s">
        <v>21</v>
      </c>
      <c r="F39" s="42">
        <v>0.1</v>
      </c>
      <c r="G39" s="41">
        <f>F39*B35</f>
        <v>1900</v>
      </c>
      <c r="H39" s="29"/>
      <c r="I39" s="3"/>
    </row>
    <row r="40" spans="1:11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1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</row>
    <row r="42" spans="1:11" x14ac:dyDescent="0.25">
      <c r="A42" s="43" t="s">
        <v>73</v>
      </c>
      <c r="C42">
        <v>1500</v>
      </c>
      <c r="D42" s="45"/>
      <c r="E42" s="43"/>
      <c r="H42" s="29"/>
      <c r="I42" s="3"/>
    </row>
    <row r="43" spans="1:11" x14ac:dyDescent="0.25">
      <c r="A43" s="43" t="s">
        <v>74</v>
      </c>
      <c r="B43" s="42"/>
      <c r="C43" s="29">
        <v>1000</v>
      </c>
      <c r="D43" s="29"/>
      <c r="E43" s="43"/>
      <c r="F43" s="42"/>
      <c r="G43" s="29"/>
      <c r="H43" s="29"/>
      <c r="I43" s="37"/>
    </row>
    <row r="44" spans="1:11" x14ac:dyDescent="0.25">
      <c r="A44" s="43" t="s">
        <v>53</v>
      </c>
      <c r="B44" s="42"/>
      <c r="C44" s="29">
        <v>15800</v>
      </c>
      <c r="D44" s="29"/>
      <c r="E44" s="43" t="s">
        <v>53</v>
      </c>
      <c r="F44" s="42"/>
      <c r="G44" s="29">
        <v>15800</v>
      </c>
      <c r="H44" s="29"/>
      <c r="I44" s="46"/>
      <c r="J44" s="31"/>
    </row>
    <row r="45" spans="1:11" x14ac:dyDescent="0.25">
      <c r="A45" s="43"/>
      <c r="B45" s="29"/>
      <c r="C45" s="45"/>
      <c r="D45" s="29"/>
      <c r="E45" s="43"/>
      <c r="F45" s="29"/>
      <c r="G45" s="45"/>
      <c r="H45" s="29"/>
      <c r="I45" s="3"/>
    </row>
    <row r="46" spans="1:11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</row>
    <row r="47" spans="1:11" x14ac:dyDescent="0.25">
      <c r="A47" s="40" t="s">
        <v>25</v>
      </c>
      <c r="B47" s="48">
        <f>B38+B35+B36+B37-C39</f>
        <v>15098</v>
      </c>
      <c r="C47" s="48">
        <f>SUM(C41:C46)</f>
        <v>18300</v>
      </c>
      <c r="D47" s="48">
        <f>B47-C47</f>
        <v>-3202</v>
      </c>
      <c r="E47" s="40" t="s">
        <v>25</v>
      </c>
      <c r="F47" s="48">
        <f>F35+F36+F38-G39</f>
        <v>9248</v>
      </c>
      <c r="G47" s="48">
        <f>SUM(G41:G46)</f>
        <v>15800</v>
      </c>
      <c r="H47" s="48">
        <f>F47-G47</f>
        <v>-6552</v>
      </c>
      <c r="I47" s="46"/>
    </row>
    <row r="48" spans="1:11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  <c r="K48" s="47"/>
    </row>
    <row r="49" spans="1:11" x14ac:dyDescent="0.25">
      <c r="A49" s="49" t="s">
        <v>29</v>
      </c>
      <c r="B49" s="50"/>
      <c r="C49" s="50" t="s">
        <v>11</v>
      </c>
      <c r="D49" s="51"/>
      <c r="E49" s="49"/>
      <c r="F49" s="49" t="s">
        <v>79</v>
      </c>
      <c r="G49" s="3"/>
      <c r="H49" s="3"/>
      <c r="I49" s="46"/>
      <c r="K49" s="47"/>
    </row>
    <row r="50" spans="1:11" x14ac:dyDescent="0.25">
      <c r="K50" s="47"/>
    </row>
    <row r="52" spans="1:11" x14ac:dyDescent="0.25">
      <c r="E52" s="47"/>
    </row>
    <row r="53" spans="1:11" x14ac:dyDescent="0.25">
      <c r="E53" s="47"/>
      <c r="F53" s="47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3"/>
  <sheetViews>
    <sheetView topLeftCell="A4" workbookViewId="0">
      <selection activeCell="L38" sqref="L38"/>
    </sheetView>
  </sheetViews>
  <sheetFormatPr defaultRowHeight="15" x14ac:dyDescent="0.25"/>
  <cols>
    <col min="1" max="1" width="19.140625" customWidth="1"/>
    <col min="2" max="2" width="7.140625" customWidth="1"/>
    <col min="3" max="3" width="9.5703125" customWidth="1"/>
    <col min="4" max="4" width="6.140625" customWidth="1"/>
    <col min="5" max="5" width="11.5703125" customWidth="1"/>
    <col min="8" max="8" width="7.7109375" customWidth="1"/>
  </cols>
  <sheetData>
    <row r="2" spans="1:14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14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4" ht="18.75" x14ac:dyDescent="0.3">
      <c r="A4" s="5"/>
      <c r="B4" s="1" t="s">
        <v>59</v>
      </c>
      <c r="C4" s="1"/>
      <c r="D4" s="52"/>
      <c r="E4" s="1"/>
      <c r="F4" s="6"/>
      <c r="G4" s="7"/>
      <c r="H4" s="3"/>
      <c r="I4" s="3"/>
    </row>
    <row r="5" spans="1:14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4" x14ac:dyDescent="0.25">
      <c r="A6" s="12" t="s">
        <v>50</v>
      </c>
      <c r="B6" s="13">
        <v>1</v>
      </c>
      <c r="C6" s="14"/>
      <c r="D6" s="15">
        <f>'OCTOBER 20'!H6:H29</f>
        <v>0</v>
      </c>
      <c r="E6" s="16">
        <v>1500</v>
      </c>
      <c r="F6" s="16">
        <f>C6+D6+E6</f>
        <v>1500</v>
      </c>
      <c r="G6" s="16">
        <f>1500</f>
        <v>1500</v>
      </c>
      <c r="H6" s="17">
        <f>F6-G6</f>
        <v>0</v>
      </c>
      <c r="I6" s="15"/>
    </row>
    <row r="7" spans="1:14" x14ac:dyDescent="0.25">
      <c r="A7" t="s">
        <v>45</v>
      </c>
      <c r="B7" s="13">
        <v>2</v>
      </c>
      <c r="C7" s="14"/>
      <c r="D7" s="15">
        <f>'OCTOBER 20'!H7:H30</f>
        <v>0</v>
      </c>
      <c r="E7" s="18">
        <v>1500</v>
      </c>
      <c r="F7" s="16">
        <f t="shared" ref="F7:F28" si="0">C7+D7+E7</f>
        <v>1500</v>
      </c>
      <c r="G7" s="16">
        <v>1500</v>
      </c>
      <c r="H7" s="17">
        <f>F7-G7</f>
        <v>0</v>
      </c>
      <c r="I7" s="15"/>
    </row>
    <row r="8" spans="1:14" x14ac:dyDescent="0.25">
      <c r="A8" s="19" t="s">
        <v>34</v>
      </c>
      <c r="B8" s="13">
        <v>3</v>
      </c>
      <c r="C8" s="14"/>
      <c r="D8" s="15">
        <f>'OCTOBER 20'!H8:H31</f>
        <v>0</v>
      </c>
      <c r="E8" s="18">
        <v>1500</v>
      </c>
      <c r="F8" s="16">
        <f t="shared" si="0"/>
        <v>1500</v>
      </c>
      <c r="G8" s="16">
        <f>1300</f>
        <v>1300</v>
      </c>
      <c r="H8" s="17">
        <f>F8-G8</f>
        <v>200</v>
      </c>
      <c r="I8" s="15"/>
    </row>
    <row r="9" spans="1:14" x14ac:dyDescent="0.25">
      <c r="A9" s="20" t="s">
        <v>61</v>
      </c>
      <c r="B9" s="13">
        <v>4</v>
      </c>
      <c r="C9" s="14"/>
      <c r="D9" s="15">
        <f>'OCTOBER 20'!H9:H32</f>
        <v>150</v>
      </c>
      <c r="E9" s="18">
        <v>1500</v>
      </c>
      <c r="F9" s="16">
        <f t="shared" si="0"/>
        <v>1650</v>
      </c>
      <c r="G9" s="16">
        <f>600+350+200+350</f>
        <v>1500</v>
      </c>
      <c r="H9" s="17">
        <f>F9-G9</f>
        <v>150</v>
      </c>
      <c r="I9" s="15"/>
    </row>
    <row r="10" spans="1:14" x14ac:dyDescent="0.25">
      <c r="A10" s="20" t="s">
        <v>51</v>
      </c>
      <c r="B10" s="13">
        <v>5</v>
      </c>
      <c r="C10" s="14"/>
      <c r="D10" s="15">
        <f>'OCTOBER 20'!H10:H33</f>
        <v>0</v>
      </c>
      <c r="E10" s="18">
        <v>1500</v>
      </c>
      <c r="F10" s="16">
        <f t="shared" si="0"/>
        <v>1500</v>
      </c>
      <c r="G10" s="16">
        <f>1500</f>
        <v>1500</v>
      </c>
      <c r="H10" s="17">
        <f t="shared" ref="H10:H28" si="1">F10-G10</f>
        <v>0</v>
      </c>
      <c r="I10" s="15"/>
    </row>
    <row r="11" spans="1:14" x14ac:dyDescent="0.25">
      <c r="A11" s="12" t="s">
        <v>46</v>
      </c>
      <c r="B11" s="13">
        <v>6</v>
      </c>
      <c r="C11" s="14"/>
      <c r="D11" s="15">
        <f>'OCTOBER 20'!H11:H34</f>
        <v>0</v>
      </c>
      <c r="E11" s="18">
        <v>1500</v>
      </c>
      <c r="F11" s="16">
        <f>C11+D11+E11</f>
        <v>1500</v>
      </c>
      <c r="G11" s="16">
        <f>1500</f>
        <v>1500</v>
      </c>
      <c r="H11" s="17">
        <f t="shared" si="1"/>
        <v>0</v>
      </c>
      <c r="I11" s="15"/>
    </row>
    <row r="12" spans="1:14" x14ac:dyDescent="0.25">
      <c r="A12" s="25" t="s">
        <v>64</v>
      </c>
      <c r="B12" s="53">
        <v>7</v>
      </c>
      <c r="C12" s="54"/>
      <c r="D12" s="55"/>
      <c r="E12" s="56">
        <v>1500</v>
      </c>
      <c r="F12" s="57">
        <f>C12+D12+E12</f>
        <v>1500</v>
      </c>
      <c r="G12" s="57">
        <v>1500</v>
      </c>
      <c r="H12" s="58"/>
      <c r="I12" s="15"/>
    </row>
    <row r="13" spans="1:14" x14ac:dyDescent="0.25">
      <c r="A13" s="21" t="s">
        <v>47</v>
      </c>
      <c r="B13" s="13">
        <v>8</v>
      </c>
      <c r="C13" s="14"/>
      <c r="D13" s="15">
        <f>'OCTOBER 20'!H13:H36</f>
        <v>0</v>
      </c>
      <c r="E13" s="18">
        <v>1500</v>
      </c>
      <c r="F13" s="16">
        <f t="shared" si="0"/>
        <v>1500</v>
      </c>
      <c r="G13" s="16">
        <v>1500</v>
      </c>
      <c r="H13" s="17">
        <f t="shared" si="1"/>
        <v>0</v>
      </c>
      <c r="I13" s="15"/>
      <c r="N13" t="s">
        <v>60</v>
      </c>
    </row>
    <row r="14" spans="1:14" x14ac:dyDescent="0.25">
      <c r="A14" s="21" t="s">
        <v>38</v>
      </c>
      <c r="B14" s="13">
        <v>9</v>
      </c>
      <c r="C14" s="14"/>
      <c r="D14" s="15">
        <f>'OCTOBER 20'!H14:H37</f>
        <v>700</v>
      </c>
      <c r="E14" s="18">
        <v>1500</v>
      </c>
      <c r="F14" s="16">
        <f t="shared" si="0"/>
        <v>2200</v>
      </c>
      <c r="G14" s="16">
        <f>1000+1200</f>
        <v>2200</v>
      </c>
      <c r="H14" s="17">
        <f t="shared" si="1"/>
        <v>0</v>
      </c>
      <c r="I14" s="15"/>
      <c r="J14" t="s">
        <v>62</v>
      </c>
    </row>
    <row r="15" spans="1:14" x14ac:dyDescent="0.25">
      <c r="A15" s="22" t="s">
        <v>48</v>
      </c>
      <c r="B15" s="23">
        <v>10</v>
      </c>
      <c r="C15" s="14"/>
      <c r="D15" s="15">
        <f>'OCTOBER 20'!H15:H38</f>
        <v>0</v>
      </c>
      <c r="E15" s="18">
        <v>1000</v>
      </c>
      <c r="F15" s="16">
        <f t="shared" si="0"/>
        <v>1000</v>
      </c>
      <c r="G15" s="16">
        <v>1000</v>
      </c>
      <c r="H15" s="17">
        <f t="shared" si="1"/>
        <v>0</v>
      </c>
      <c r="I15" s="15"/>
    </row>
    <row r="16" spans="1:14" x14ac:dyDescent="0.25">
      <c r="A16" s="24" t="s">
        <v>52</v>
      </c>
      <c r="B16" s="13">
        <v>11</v>
      </c>
      <c r="C16" s="14"/>
      <c r="D16" s="15">
        <f>'OCTOBER 20'!H16:H39</f>
        <v>0</v>
      </c>
      <c r="E16" s="18">
        <v>1500</v>
      </c>
      <c r="F16" s="16">
        <f t="shared" si="0"/>
        <v>1500</v>
      </c>
      <c r="G16" s="16">
        <v>1500</v>
      </c>
      <c r="H16" s="17">
        <f t="shared" si="1"/>
        <v>0</v>
      </c>
      <c r="I16" s="15"/>
    </row>
    <row r="17" spans="1:13" x14ac:dyDescent="0.25">
      <c r="A17" s="12" t="s">
        <v>40</v>
      </c>
      <c r="B17" s="13">
        <v>12</v>
      </c>
      <c r="C17" s="14"/>
      <c r="D17" s="15">
        <f>'OCTOBER 20'!H17:H40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3" x14ac:dyDescent="0.25">
      <c r="A18" s="25" t="s">
        <v>41</v>
      </c>
      <c r="B18" s="13">
        <v>13</v>
      </c>
      <c r="C18" s="14"/>
      <c r="D18" s="15">
        <f>'OCTOBER 20'!H18:H41</f>
        <v>2000</v>
      </c>
      <c r="E18" s="18"/>
      <c r="F18" s="16">
        <f t="shared" si="0"/>
        <v>2000</v>
      </c>
      <c r="G18" s="16"/>
      <c r="H18" s="17"/>
      <c r="I18" s="15"/>
      <c r="J18" t="s">
        <v>66</v>
      </c>
      <c r="L18" s="31"/>
    </row>
    <row r="19" spans="1:13" x14ac:dyDescent="0.25">
      <c r="A19" s="19" t="s">
        <v>44</v>
      </c>
      <c r="B19" s="13">
        <v>14</v>
      </c>
      <c r="C19" s="14"/>
      <c r="D19" s="15"/>
      <c r="E19" s="18">
        <v>1000</v>
      </c>
      <c r="F19" s="16">
        <f t="shared" si="0"/>
        <v>1000</v>
      </c>
      <c r="G19" s="16">
        <v>600</v>
      </c>
      <c r="H19" s="17">
        <f t="shared" si="1"/>
        <v>400</v>
      </c>
      <c r="I19" s="15"/>
      <c r="J19" t="s">
        <v>67</v>
      </c>
      <c r="L19" s="31"/>
    </row>
    <row r="20" spans="1:13" x14ac:dyDescent="0.25">
      <c r="A20" s="12" t="s">
        <v>56</v>
      </c>
      <c r="B20" s="13">
        <v>15</v>
      </c>
      <c r="C20" s="14"/>
      <c r="D20" s="15">
        <f>'OCTOBER 20'!H20:H43</f>
        <v>0</v>
      </c>
      <c r="E20" s="18">
        <v>1000</v>
      </c>
      <c r="F20" s="16">
        <f t="shared" si="0"/>
        <v>1000</v>
      </c>
      <c r="G20" s="16">
        <f>1000</f>
        <v>1000</v>
      </c>
      <c r="H20" s="17">
        <f t="shared" si="1"/>
        <v>0</v>
      </c>
      <c r="I20" s="15"/>
      <c r="J20" t="s">
        <v>70</v>
      </c>
      <c r="M20" s="31"/>
    </row>
    <row r="21" spans="1:13" x14ac:dyDescent="0.25">
      <c r="A21" s="22" t="s">
        <v>43</v>
      </c>
      <c r="B21" s="26">
        <v>16</v>
      </c>
      <c r="C21" s="14"/>
      <c r="D21" s="15">
        <f>'OCTOBER 20'!H21:H44</f>
        <v>0</v>
      </c>
      <c r="E21" s="18"/>
      <c r="F21" s="16">
        <f t="shared" si="0"/>
        <v>0</v>
      </c>
      <c r="G21" s="16"/>
      <c r="H21" s="17">
        <f>F21-G21</f>
        <v>0</v>
      </c>
      <c r="I21" s="15"/>
    </row>
    <row r="22" spans="1:13" x14ac:dyDescent="0.25">
      <c r="A22" s="25"/>
      <c r="B22" s="13"/>
      <c r="C22" s="14"/>
      <c r="D22" s="15">
        <f>'OCTOBER 20'!H22:H45</f>
        <v>0</v>
      </c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13" x14ac:dyDescent="0.25">
      <c r="A23" s="12"/>
      <c r="B23" s="13"/>
      <c r="C23" s="14"/>
      <c r="D23" s="15">
        <f>'OCTOBER 20'!H23:H46</f>
        <v>0</v>
      </c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13" x14ac:dyDescent="0.25">
      <c r="A24" s="20"/>
      <c r="B24" s="27"/>
      <c r="C24" s="14"/>
      <c r="D24" s="15">
        <f>'OCTOBER 20'!H24:H47</f>
        <v>0</v>
      </c>
      <c r="E24" s="18"/>
      <c r="F24" s="16">
        <f t="shared" si="0"/>
        <v>0</v>
      </c>
      <c r="G24" s="16"/>
      <c r="H24" s="17">
        <f t="shared" si="1"/>
        <v>0</v>
      </c>
      <c r="I24" s="15"/>
      <c r="L24" s="31"/>
    </row>
    <row r="25" spans="1:13" x14ac:dyDescent="0.25">
      <c r="A25" s="20"/>
      <c r="B25" s="27"/>
      <c r="C25" s="14"/>
      <c r="D25" s="15">
        <f>'OCTOBER 20'!H25:H48</f>
        <v>0</v>
      </c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13" x14ac:dyDescent="0.25">
      <c r="A26" s="20"/>
      <c r="B26" s="27"/>
      <c r="C26" s="14"/>
      <c r="D26" s="15">
        <f>'OCTOBER 20'!H26:H49</f>
        <v>0</v>
      </c>
      <c r="E26" s="18"/>
      <c r="F26" s="16">
        <f t="shared" si="0"/>
        <v>0</v>
      </c>
      <c r="G26" s="16"/>
      <c r="H26" s="17">
        <f t="shared" si="1"/>
        <v>0</v>
      </c>
      <c r="I26" s="15"/>
    </row>
    <row r="27" spans="1:13" x14ac:dyDescent="0.25">
      <c r="A27" s="20"/>
      <c r="B27" s="27"/>
      <c r="C27" s="14"/>
      <c r="D27" s="15">
        <f>'OCTOBER 20'!H27:H50</f>
        <v>0</v>
      </c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13" x14ac:dyDescent="0.25">
      <c r="A28" s="20"/>
      <c r="B28" s="27"/>
      <c r="C28" s="14"/>
      <c r="D28" s="15">
        <f>'OCTOBER 20'!H28:H51</f>
        <v>0</v>
      </c>
      <c r="E28" s="18"/>
      <c r="F28" s="16">
        <f t="shared" si="0"/>
        <v>0</v>
      </c>
      <c r="G28" s="16"/>
      <c r="H28" s="17">
        <f t="shared" si="1"/>
        <v>0</v>
      </c>
      <c r="I28" s="15"/>
      <c r="M28">
        <f>3600+300</f>
        <v>3900</v>
      </c>
    </row>
    <row r="29" spans="1:13" x14ac:dyDescent="0.25">
      <c r="A29" s="28" t="s">
        <v>12</v>
      </c>
      <c r="B29" s="29"/>
      <c r="C29" s="14">
        <f t="shared" ref="C29:I29" si="2">SUM(C6:C28)</f>
        <v>0</v>
      </c>
      <c r="D29" s="15">
        <f>'OCTOBER 20'!H29:H52</f>
        <v>6450</v>
      </c>
      <c r="E29" s="30">
        <f>SUM(E6:E28)</f>
        <v>18000</v>
      </c>
      <c r="F29" s="16">
        <f t="shared" si="2"/>
        <v>20850</v>
      </c>
      <c r="G29" s="16">
        <f>SUM(G6:G28)</f>
        <v>18100</v>
      </c>
      <c r="H29" s="16">
        <f>SUM(H6:H28)</f>
        <v>750</v>
      </c>
      <c r="I29" s="15">
        <f t="shared" si="2"/>
        <v>0</v>
      </c>
      <c r="M29">
        <f>5*500</f>
        <v>2500</v>
      </c>
    </row>
    <row r="30" spans="1:13" x14ac:dyDescent="0.25">
      <c r="D30" s="15">
        <f>'OCTOBER 20'!H30</f>
        <v>2350</v>
      </c>
      <c r="H30" s="31"/>
      <c r="I30" s="3"/>
      <c r="M30">
        <f>M28+M29</f>
        <v>6400</v>
      </c>
    </row>
    <row r="31" spans="1:13" x14ac:dyDescent="0.25">
      <c r="M31">
        <f>M30+600</f>
        <v>7000</v>
      </c>
    </row>
    <row r="32" spans="1:13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  <c r="L32" s="31"/>
    </row>
    <row r="33" spans="1:12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2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  <c r="K34" s="59"/>
    </row>
    <row r="35" spans="1:12" x14ac:dyDescent="0.25">
      <c r="A35" s="29" t="s">
        <v>57</v>
      </c>
      <c r="B35" s="41">
        <f>E29</f>
        <v>18000</v>
      </c>
      <c r="C35" s="29"/>
      <c r="D35" s="29"/>
      <c r="E35" s="29" t="s">
        <v>58</v>
      </c>
      <c r="F35" s="41">
        <f>G29</f>
        <v>18100</v>
      </c>
      <c r="G35" s="29"/>
      <c r="H35" s="29"/>
      <c r="I35" s="37"/>
      <c r="L35" s="31"/>
    </row>
    <row r="36" spans="1:12" x14ac:dyDescent="0.25">
      <c r="A36" s="29" t="s">
        <v>19</v>
      </c>
      <c r="B36" s="41">
        <f>'OCTOBER 20'!D47</f>
        <v>-3202</v>
      </c>
      <c r="C36" s="29"/>
      <c r="D36" s="29"/>
      <c r="E36" s="29" t="s">
        <v>19</v>
      </c>
      <c r="F36" s="41">
        <f>'OCTOBER 20'!H47</f>
        <v>-6552</v>
      </c>
      <c r="G36" s="29"/>
      <c r="H36" s="29"/>
      <c r="I36" s="37"/>
    </row>
    <row r="37" spans="1:12" x14ac:dyDescent="0.25">
      <c r="A37" s="29" t="s">
        <v>9</v>
      </c>
      <c r="B37" s="41"/>
      <c r="C37" s="29"/>
      <c r="D37" s="29"/>
      <c r="E37" s="29"/>
      <c r="F37" s="41"/>
      <c r="G37" s="29"/>
      <c r="H37" s="29"/>
      <c r="I37" s="37"/>
      <c r="L37" s="31"/>
    </row>
    <row r="38" spans="1:12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2" x14ac:dyDescent="0.25">
      <c r="A39" s="29" t="s">
        <v>21</v>
      </c>
      <c r="B39" s="42">
        <v>0.1</v>
      </c>
      <c r="C39" s="41">
        <f>B39*B35</f>
        <v>1800</v>
      </c>
      <c r="D39" s="29"/>
      <c r="E39" s="29" t="s">
        <v>21</v>
      </c>
      <c r="F39" s="42">
        <v>0.1</v>
      </c>
      <c r="G39" s="41">
        <f>F39*B35</f>
        <v>1800</v>
      </c>
      <c r="H39" s="29"/>
      <c r="I39" s="3"/>
      <c r="L39" s="31"/>
    </row>
    <row r="40" spans="1:12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2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  <c r="J41" s="47"/>
      <c r="L41" s="31"/>
    </row>
    <row r="42" spans="1:12" x14ac:dyDescent="0.25">
      <c r="A42" s="43" t="s">
        <v>77</v>
      </c>
      <c r="C42">
        <v>1500</v>
      </c>
      <c r="D42" s="45"/>
      <c r="E42" s="43"/>
      <c r="H42" s="29"/>
      <c r="I42" s="3"/>
      <c r="J42" s="47"/>
    </row>
    <row r="43" spans="1:12" x14ac:dyDescent="0.25">
      <c r="A43" s="43" t="s">
        <v>63</v>
      </c>
      <c r="B43" s="42"/>
      <c r="C43" s="29">
        <v>14248</v>
      </c>
      <c r="D43" s="29"/>
      <c r="E43" s="43" t="s">
        <v>63</v>
      </c>
      <c r="F43" s="42"/>
      <c r="G43" s="29">
        <v>14248</v>
      </c>
      <c r="H43" s="29"/>
      <c r="I43" s="37"/>
      <c r="J43" s="47"/>
    </row>
    <row r="44" spans="1:12" x14ac:dyDescent="0.25">
      <c r="A44" s="43" t="s">
        <v>76</v>
      </c>
      <c r="B44" s="42"/>
      <c r="C44" s="29">
        <v>1000</v>
      </c>
      <c r="D44" s="29"/>
      <c r="E44" s="43"/>
      <c r="F44" s="42"/>
      <c r="G44" s="29"/>
      <c r="H44" s="29"/>
      <c r="I44" s="46"/>
      <c r="J44" s="31"/>
    </row>
    <row r="45" spans="1:12" x14ac:dyDescent="0.25">
      <c r="A45" s="43" t="s">
        <v>75</v>
      </c>
      <c r="B45" s="29"/>
      <c r="C45" s="45">
        <v>2755</v>
      </c>
      <c r="D45" s="29"/>
      <c r="E45" s="43" t="s">
        <v>75</v>
      </c>
      <c r="F45" s="29"/>
      <c r="G45" s="45">
        <v>2755</v>
      </c>
      <c r="H45" s="29"/>
      <c r="I45" s="3"/>
    </row>
    <row r="46" spans="1:12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  <c r="K46" s="47"/>
    </row>
    <row r="47" spans="1:12" x14ac:dyDescent="0.25">
      <c r="A47" s="40" t="s">
        <v>25</v>
      </c>
      <c r="B47" s="48">
        <f>B38+B35+B36+B37-C39</f>
        <v>12998</v>
      </c>
      <c r="C47" s="48">
        <f>SUM(C41:C46)</f>
        <v>19503</v>
      </c>
      <c r="D47" s="48">
        <f>B47-C47</f>
        <v>-6505</v>
      </c>
      <c r="E47" s="40" t="s">
        <v>25</v>
      </c>
      <c r="F47" s="48">
        <f>F35+F36+F38-G39</f>
        <v>9748</v>
      </c>
      <c r="G47" s="48">
        <f>SUM(G41:G46)</f>
        <v>17003</v>
      </c>
      <c r="H47" s="48">
        <f>F47-G47</f>
        <v>-7255</v>
      </c>
      <c r="I47" s="46"/>
      <c r="K47" s="47"/>
    </row>
    <row r="48" spans="1:12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</row>
    <row r="49" spans="1:9" x14ac:dyDescent="0.25">
      <c r="A49" s="49" t="s">
        <v>29</v>
      </c>
      <c r="B49" s="50"/>
      <c r="C49" s="50" t="s">
        <v>11</v>
      </c>
      <c r="D49" s="51"/>
      <c r="E49" s="49"/>
      <c r="F49" s="49" t="s">
        <v>65</v>
      </c>
      <c r="G49" s="3"/>
      <c r="H49" s="3"/>
      <c r="I49" s="46"/>
    </row>
    <row r="51" spans="1:9" x14ac:dyDescent="0.25">
      <c r="C51" s="47">
        <f>B35-C39</f>
        <v>16200</v>
      </c>
    </row>
    <row r="52" spans="1:9" x14ac:dyDescent="0.25">
      <c r="C52" s="47">
        <f>C51+B36</f>
        <v>12998</v>
      </c>
    </row>
    <row r="53" spans="1:9" x14ac:dyDescent="0.25">
      <c r="C53" s="47">
        <f>C52-C43</f>
        <v>-1250</v>
      </c>
    </row>
  </sheetData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9"/>
  <sheetViews>
    <sheetView workbookViewId="0">
      <selection activeCell="B37" sqref="B37"/>
    </sheetView>
  </sheetViews>
  <sheetFormatPr defaultRowHeight="15" x14ac:dyDescent="0.25"/>
  <cols>
    <col min="1" max="1" width="20.85546875" customWidth="1"/>
  </cols>
  <sheetData>
    <row r="2" spans="1:16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16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16" ht="18.75" x14ac:dyDescent="0.3">
      <c r="A4" s="5"/>
      <c r="B4" s="1" t="s">
        <v>69</v>
      </c>
      <c r="C4" s="1"/>
      <c r="D4" s="52"/>
      <c r="E4" s="1"/>
      <c r="F4" s="6"/>
      <c r="G4" s="7"/>
      <c r="H4" s="3"/>
      <c r="I4" s="3"/>
    </row>
    <row r="5" spans="1:16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6" x14ac:dyDescent="0.25">
      <c r="A6" s="12" t="s">
        <v>50</v>
      </c>
      <c r="B6" s="13">
        <v>1</v>
      </c>
      <c r="C6" s="14"/>
      <c r="D6" s="15">
        <f>NOVEMBER20!H6:H28</f>
        <v>0</v>
      </c>
      <c r="E6" s="16">
        <v>1500</v>
      </c>
      <c r="F6" s="16">
        <f>C6+D6+E6</f>
        <v>1500</v>
      </c>
      <c r="G6" s="16">
        <v>1500</v>
      </c>
      <c r="H6" s="17">
        <f>F6-G6</f>
        <v>0</v>
      </c>
      <c r="I6" s="15"/>
    </row>
    <row r="7" spans="1:16" x14ac:dyDescent="0.25">
      <c r="A7" t="s">
        <v>45</v>
      </c>
      <c r="B7" s="13">
        <v>2</v>
      </c>
      <c r="C7" s="14"/>
      <c r="D7" s="15">
        <f>NOVEMBER20!H7:H29</f>
        <v>0</v>
      </c>
      <c r="E7" s="18">
        <v>1500</v>
      </c>
      <c r="F7" s="16">
        <f t="shared" ref="F7:F28" si="0">C7+D7+E7</f>
        <v>1500</v>
      </c>
      <c r="G7" s="16">
        <f>1500</f>
        <v>1500</v>
      </c>
      <c r="H7" s="17">
        <f>F7-G7</f>
        <v>0</v>
      </c>
      <c r="I7" s="15"/>
    </row>
    <row r="8" spans="1:16" x14ac:dyDescent="0.25">
      <c r="A8" s="19" t="s">
        <v>34</v>
      </c>
      <c r="B8" s="13">
        <v>3</v>
      </c>
      <c r="C8" s="14"/>
      <c r="D8" s="15">
        <f>NOVEMBER20!H8:H30</f>
        <v>200</v>
      </c>
      <c r="E8" s="18">
        <v>1500</v>
      </c>
      <c r="F8" s="16">
        <f t="shared" si="0"/>
        <v>1700</v>
      </c>
      <c r="G8" s="16">
        <f>1700</f>
        <v>1700</v>
      </c>
      <c r="H8" s="17">
        <f>F8-G8</f>
        <v>0</v>
      </c>
      <c r="I8" s="15"/>
      <c r="K8">
        <f>900+500</f>
        <v>1400</v>
      </c>
    </row>
    <row r="9" spans="1:16" x14ac:dyDescent="0.25">
      <c r="A9" s="20" t="s">
        <v>61</v>
      </c>
      <c r="B9" s="13">
        <v>4</v>
      </c>
      <c r="C9" s="14"/>
      <c r="D9" s="15">
        <f>NOVEMBER20!H9:H31</f>
        <v>150</v>
      </c>
      <c r="E9" s="18">
        <v>1500</v>
      </c>
      <c r="F9" s="16">
        <f t="shared" si="0"/>
        <v>1650</v>
      </c>
      <c r="G9" s="16">
        <f>250+1250</f>
        <v>1500</v>
      </c>
      <c r="H9" s="17">
        <f>F9-G9</f>
        <v>150</v>
      </c>
      <c r="I9" s="15"/>
    </row>
    <row r="10" spans="1:16" x14ac:dyDescent="0.25">
      <c r="A10" s="20" t="s">
        <v>51</v>
      </c>
      <c r="B10" s="13">
        <v>5</v>
      </c>
      <c r="C10" s="14"/>
      <c r="D10" s="15">
        <f>NOVEMBER20!H10:H32</f>
        <v>0</v>
      </c>
      <c r="E10" s="18">
        <v>1500</v>
      </c>
      <c r="F10" s="16">
        <f t="shared" si="0"/>
        <v>1500</v>
      </c>
      <c r="G10" s="16">
        <f>1000+500</f>
        <v>1500</v>
      </c>
      <c r="H10" s="17">
        <f t="shared" ref="H10:H28" si="1">F10-G10</f>
        <v>0</v>
      </c>
      <c r="I10" s="15"/>
      <c r="O10">
        <f>450+350+200+350+1000+100+350</f>
        <v>2800</v>
      </c>
      <c r="P10">
        <f>3000-O10</f>
        <v>200</v>
      </c>
    </row>
    <row r="11" spans="1:16" x14ac:dyDescent="0.25">
      <c r="A11" s="12" t="s">
        <v>46</v>
      </c>
      <c r="B11" s="13">
        <v>6</v>
      </c>
      <c r="C11" s="14"/>
      <c r="D11" s="15">
        <f>NOVEMBER20!H11:H33</f>
        <v>0</v>
      </c>
      <c r="E11" s="18">
        <v>1500</v>
      </c>
      <c r="F11" s="16">
        <f>C11+D11+E11</f>
        <v>1500</v>
      </c>
      <c r="G11" s="16"/>
      <c r="H11" s="17">
        <f>F11-G11</f>
        <v>1500</v>
      </c>
      <c r="I11" s="15"/>
    </row>
    <row r="12" spans="1:16" x14ac:dyDescent="0.25">
      <c r="A12" s="25" t="s">
        <v>64</v>
      </c>
      <c r="B12" s="53">
        <v>7</v>
      </c>
      <c r="C12" s="54"/>
      <c r="D12" s="15">
        <f>NOVEMBER20!H12:H34</f>
        <v>0</v>
      </c>
      <c r="E12" s="56">
        <v>1500</v>
      </c>
      <c r="F12" s="57">
        <f>C12+D12+E12</f>
        <v>1500</v>
      </c>
      <c r="G12" s="57">
        <f>500+1000</f>
        <v>1500</v>
      </c>
      <c r="H12" s="17">
        <f>F12-G12</f>
        <v>0</v>
      </c>
      <c r="I12" s="15"/>
    </row>
    <row r="13" spans="1:16" x14ac:dyDescent="0.25">
      <c r="A13" s="21" t="s">
        <v>47</v>
      </c>
      <c r="B13" s="13">
        <v>8</v>
      </c>
      <c r="C13" s="14"/>
      <c r="D13" s="15">
        <f>NOVEMBER20!H13:H35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1"/>
        <v>0</v>
      </c>
      <c r="I13" s="15"/>
    </row>
    <row r="14" spans="1:16" x14ac:dyDescent="0.25">
      <c r="A14" s="21" t="s">
        <v>64</v>
      </c>
      <c r="B14" s="13">
        <v>9</v>
      </c>
      <c r="C14" s="14"/>
      <c r="D14" s="15">
        <f>NOVEMBER20!H14:H36</f>
        <v>0</v>
      </c>
      <c r="E14" s="18">
        <v>1500</v>
      </c>
      <c r="F14" s="16">
        <f t="shared" si="0"/>
        <v>1500</v>
      </c>
      <c r="G14" s="16">
        <v>1500</v>
      </c>
      <c r="H14" s="17">
        <f t="shared" si="1"/>
        <v>0</v>
      </c>
      <c r="I14" s="15"/>
    </row>
    <row r="15" spans="1:16" x14ac:dyDescent="0.25">
      <c r="A15" s="22" t="s">
        <v>48</v>
      </c>
      <c r="B15" s="23">
        <v>10</v>
      </c>
      <c r="C15" s="14"/>
      <c r="D15" s="15"/>
      <c r="E15" s="18">
        <v>1000</v>
      </c>
      <c r="F15" s="16">
        <f t="shared" si="0"/>
        <v>1000</v>
      </c>
      <c r="G15" s="16">
        <f>600+400</f>
        <v>1000</v>
      </c>
      <c r="H15" s="17">
        <f t="shared" si="1"/>
        <v>0</v>
      </c>
      <c r="I15" s="15"/>
    </row>
    <row r="16" spans="1:16" x14ac:dyDescent="0.25">
      <c r="A16" s="24" t="s">
        <v>52</v>
      </c>
      <c r="B16" s="13">
        <v>11</v>
      </c>
      <c r="C16" s="14"/>
      <c r="D16" s="15">
        <f>NOVEMBER20!H16:H38</f>
        <v>0</v>
      </c>
      <c r="E16" s="18">
        <v>1500</v>
      </c>
      <c r="F16" s="16">
        <f t="shared" si="0"/>
        <v>1500</v>
      </c>
      <c r="G16" s="16">
        <f>800</f>
        <v>800</v>
      </c>
      <c r="H16" s="17">
        <f t="shared" si="1"/>
        <v>700</v>
      </c>
      <c r="I16" s="15"/>
    </row>
    <row r="17" spans="1:10" x14ac:dyDescent="0.25">
      <c r="A17" s="12" t="s">
        <v>40</v>
      </c>
      <c r="B17" s="13">
        <v>12</v>
      </c>
      <c r="C17" s="14"/>
      <c r="D17" s="15">
        <f>NOVEMBER20!H17:H39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5" t="s">
        <v>43</v>
      </c>
      <c r="B18" s="13">
        <v>13</v>
      </c>
      <c r="C18" s="14"/>
      <c r="D18" s="15">
        <f>NOVEMBER20!H18:H40</f>
        <v>0</v>
      </c>
      <c r="E18" s="18"/>
      <c r="F18" s="16">
        <f t="shared" si="0"/>
        <v>0</v>
      </c>
      <c r="G18" s="16"/>
      <c r="H18" s="17">
        <f t="shared" si="1"/>
        <v>0</v>
      </c>
      <c r="I18" s="15"/>
    </row>
    <row r="19" spans="1:10" x14ac:dyDescent="0.25">
      <c r="A19" s="19" t="s">
        <v>44</v>
      </c>
      <c r="B19" s="13">
        <v>14</v>
      </c>
      <c r="C19" s="14"/>
      <c r="D19" s="15">
        <f>NOVEMBER20!H19:H41</f>
        <v>400</v>
      </c>
      <c r="E19" s="18">
        <v>1000</v>
      </c>
      <c r="F19" s="16">
        <f t="shared" si="0"/>
        <v>1400</v>
      </c>
      <c r="G19" s="16"/>
      <c r="H19" s="17">
        <f t="shared" si="1"/>
        <v>1400</v>
      </c>
      <c r="I19" s="15"/>
      <c r="J19" t="s">
        <v>66</v>
      </c>
    </row>
    <row r="20" spans="1:10" x14ac:dyDescent="0.25">
      <c r="A20" s="12"/>
      <c r="B20" s="13">
        <v>15</v>
      </c>
      <c r="C20" s="14"/>
      <c r="D20" s="15"/>
      <c r="E20" s="18"/>
      <c r="F20" s="16">
        <f t="shared" si="0"/>
        <v>0</v>
      </c>
      <c r="G20" s="16"/>
      <c r="H20" s="17">
        <f t="shared" si="1"/>
        <v>0</v>
      </c>
      <c r="I20" s="15"/>
    </row>
    <row r="21" spans="1:10" x14ac:dyDescent="0.25">
      <c r="A21" s="22" t="s">
        <v>43</v>
      </c>
      <c r="B21" s="26">
        <v>16</v>
      </c>
      <c r="C21" s="14"/>
      <c r="D21" s="15">
        <f>NOVEMBER20!H21:H43</f>
        <v>0</v>
      </c>
      <c r="E21" s="18"/>
      <c r="F21" s="16">
        <f t="shared" si="0"/>
        <v>0</v>
      </c>
      <c r="G21" s="16"/>
      <c r="H21" s="17">
        <f>F21-G21</f>
        <v>0</v>
      </c>
      <c r="I21" s="15"/>
    </row>
    <row r="22" spans="1:10" x14ac:dyDescent="0.25">
      <c r="A22" s="25"/>
      <c r="B22" s="13"/>
      <c r="C22" s="14"/>
      <c r="D22" s="15">
        <f>NOVEMBER20!H22:H44</f>
        <v>0</v>
      </c>
      <c r="E22" s="18"/>
      <c r="F22" s="16">
        <f t="shared" si="0"/>
        <v>0</v>
      </c>
      <c r="G22" s="16"/>
      <c r="H22" s="17">
        <f t="shared" si="1"/>
        <v>0</v>
      </c>
      <c r="I22" s="15"/>
    </row>
    <row r="23" spans="1:10" x14ac:dyDescent="0.25">
      <c r="A23" s="12"/>
      <c r="B23" s="13"/>
      <c r="C23" s="14"/>
      <c r="D23" s="15">
        <f>NOVEMBER20!H23:H45</f>
        <v>0</v>
      </c>
      <c r="E23" s="18"/>
      <c r="F23" s="16">
        <f t="shared" si="0"/>
        <v>0</v>
      </c>
      <c r="G23" s="16"/>
      <c r="H23" s="17">
        <f t="shared" si="1"/>
        <v>0</v>
      </c>
      <c r="I23" s="15"/>
    </row>
    <row r="24" spans="1:10" x14ac:dyDescent="0.25">
      <c r="A24" s="20"/>
      <c r="B24" s="27"/>
      <c r="C24" s="14"/>
      <c r="D24" s="15">
        <f>NOVEMBER20!H24:H46</f>
        <v>0</v>
      </c>
      <c r="E24" s="18"/>
      <c r="F24" s="16">
        <f t="shared" si="0"/>
        <v>0</v>
      </c>
      <c r="G24" s="16"/>
      <c r="H24" s="17">
        <f t="shared" si="1"/>
        <v>0</v>
      </c>
      <c r="I24" s="15"/>
    </row>
    <row r="25" spans="1:10" x14ac:dyDescent="0.25">
      <c r="A25" s="20"/>
      <c r="B25" s="27"/>
      <c r="C25" s="14"/>
      <c r="D25" s="15">
        <f>NOVEMBER20!H25:H47</f>
        <v>0</v>
      </c>
      <c r="E25" s="18"/>
      <c r="F25" s="16">
        <f t="shared" si="0"/>
        <v>0</v>
      </c>
      <c r="G25" s="16"/>
      <c r="H25" s="17">
        <f t="shared" si="1"/>
        <v>0</v>
      </c>
      <c r="I25" s="15"/>
    </row>
    <row r="26" spans="1:10" x14ac:dyDescent="0.25">
      <c r="A26" s="20"/>
      <c r="B26" s="27"/>
      <c r="C26" s="14"/>
      <c r="D26" s="15">
        <f>NOVEMBER20!H26:H48</f>
        <v>0</v>
      </c>
      <c r="E26" s="18"/>
      <c r="F26" s="16">
        <f t="shared" si="0"/>
        <v>0</v>
      </c>
      <c r="G26" s="16"/>
      <c r="H26" s="17">
        <f t="shared" si="1"/>
        <v>0</v>
      </c>
      <c r="I26" s="15"/>
    </row>
    <row r="27" spans="1:10" x14ac:dyDescent="0.25">
      <c r="A27" s="20"/>
      <c r="B27" s="27"/>
      <c r="C27" s="14"/>
      <c r="D27" s="15">
        <f>NOVEMBER20!H27:H49</f>
        <v>0</v>
      </c>
      <c r="E27" s="18"/>
      <c r="F27" s="16">
        <f t="shared" si="0"/>
        <v>0</v>
      </c>
      <c r="G27" s="16"/>
      <c r="H27" s="17">
        <f t="shared" si="1"/>
        <v>0</v>
      </c>
      <c r="I27" s="15"/>
    </row>
    <row r="28" spans="1:10" x14ac:dyDescent="0.25">
      <c r="A28" s="20"/>
      <c r="B28" s="27"/>
      <c r="C28" s="14"/>
      <c r="D28" s="15">
        <f>NOVEMBER20!H28:H50</f>
        <v>0</v>
      </c>
      <c r="E28" s="18"/>
      <c r="F28" s="16">
        <f t="shared" si="0"/>
        <v>0</v>
      </c>
      <c r="G28" s="16"/>
      <c r="H28" s="17">
        <f t="shared" si="1"/>
        <v>0</v>
      </c>
      <c r="I28" s="15"/>
    </row>
    <row r="29" spans="1:10" x14ac:dyDescent="0.25">
      <c r="A29" s="28" t="s">
        <v>12</v>
      </c>
      <c r="B29" s="29"/>
      <c r="C29" s="14">
        <f t="shared" ref="C29:I29" si="2">SUM(C6:C28)</f>
        <v>0</v>
      </c>
      <c r="D29" s="15">
        <f>SUM(D6:D28)</f>
        <v>750</v>
      </c>
      <c r="E29" s="30">
        <f>SUM(E6:E28)</f>
        <v>17000</v>
      </c>
      <c r="F29" s="16">
        <f t="shared" si="2"/>
        <v>17750</v>
      </c>
      <c r="G29" s="16">
        <f>SUM(G6:G28)</f>
        <v>14000</v>
      </c>
      <c r="H29" s="16">
        <f>SUM(H6:H28)</f>
        <v>3750</v>
      </c>
      <c r="I29" s="15">
        <f t="shared" si="2"/>
        <v>0</v>
      </c>
    </row>
    <row r="30" spans="1:10" x14ac:dyDescent="0.25">
      <c r="D30" s="15">
        <f>'SEPTEMBER 20'!H30:H53</f>
        <v>3200</v>
      </c>
      <c r="H30" s="31"/>
      <c r="I30" s="3"/>
    </row>
    <row r="32" spans="1:10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2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2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</row>
    <row r="35" spans="1:12" x14ac:dyDescent="0.25">
      <c r="A35" s="29" t="s">
        <v>68</v>
      </c>
      <c r="B35" s="41">
        <f>E29</f>
        <v>17000</v>
      </c>
      <c r="C35" s="29"/>
      <c r="D35" s="29"/>
      <c r="E35" s="29" t="s">
        <v>68</v>
      </c>
      <c r="F35" s="41">
        <f>G29</f>
        <v>14000</v>
      </c>
      <c r="G35" s="29"/>
      <c r="H35" s="29"/>
      <c r="I35" s="37"/>
      <c r="L35" s="47"/>
    </row>
    <row r="36" spans="1:12" x14ac:dyDescent="0.25">
      <c r="A36" s="29" t="s">
        <v>19</v>
      </c>
      <c r="B36" s="41">
        <f>NOVEMBER20!D47</f>
        <v>-6505</v>
      </c>
      <c r="C36" s="29"/>
      <c r="D36" s="29"/>
      <c r="E36" s="29" t="s">
        <v>19</v>
      </c>
      <c r="F36" s="41">
        <f>NOVEMBER20!H47</f>
        <v>-7255</v>
      </c>
      <c r="G36" s="29"/>
      <c r="H36" s="29"/>
      <c r="I36" s="37"/>
      <c r="L36" s="47"/>
    </row>
    <row r="37" spans="1:12" x14ac:dyDescent="0.25">
      <c r="A37" s="29" t="s">
        <v>9</v>
      </c>
      <c r="B37" s="41"/>
      <c r="C37" s="29"/>
      <c r="D37" s="29"/>
      <c r="E37" s="29"/>
      <c r="F37" s="41"/>
      <c r="G37" s="29"/>
      <c r="H37" s="29"/>
      <c r="I37" s="37" t="s">
        <v>20</v>
      </c>
    </row>
    <row r="38" spans="1:12" x14ac:dyDescent="0.25">
      <c r="A38" s="29" t="s">
        <v>3</v>
      </c>
      <c r="B38" s="41"/>
      <c r="C38" s="29"/>
      <c r="D38" s="29"/>
      <c r="E38" s="29"/>
      <c r="F38" s="41"/>
      <c r="G38" s="29"/>
      <c r="H38" s="29"/>
      <c r="I38" s="3"/>
    </row>
    <row r="39" spans="1:12" x14ac:dyDescent="0.25">
      <c r="A39" s="29" t="s">
        <v>21</v>
      </c>
      <c r="B39" s="42">
        <v>0.1</v>
      </c>
      <c r="C39" s="41">
        <f>B39*B35</f>
        <v>1700</v>
      </c>
      <c r="D39" s="29"/>
      <c r="E39" s="29" t="s">
        <v>21</v>
      </c>
      <c r="F39" s="42">
        <v>0.1</v>
      </c>
      <c r="G39" s="41">
        <f>F39*B35</f>
        <v>1700</v>
      </c>
      <c r="H39" s="29"/>
      <c r="I39" s="3"/>
    </row>
    <row r="40" spans="1:12" x14ac:dyDescent="0.25">
      <c r="A40" s="40" t="s">
        <v>22</v>
      </c>
      <c r="B40" s="29" t="s">
        <v>23</v>
      </c>
      <c r="C40" s="29"/>
      <c r="D40" s="29"/>
      <c r="E40" s="40" t="s">
        <v>22</v>
      </c>
      <c r="F40" s="43"/>
      <c r="G40" s="29"/>
      <c r="H40" s="29"/>
      <c r="I40" s="37"/>
    </row>
    <row r="41" spans="1:12" x14ac:dyDescent="0.25">
      <c r="A41" s="44" t="s">
        <v>24</v>
      </c>
      <c r="B41" s="42">
        <v>0.3</v>
      </c>
      <c r="C41" s="45"/>
      <c r="D41" s="29"/>
      <c r="E41" s="44" t="s">
        <v>24</v>
      </c>
      <c r="F41" s="42">
        <v>0.3</v>
      </c>
      <c r="G41" s="45"/>
      <c r="H41" s="29"/>
      <c r="I41" s="3"/>
    </row>
    <row r="42" spans="1:12" x14ac:dyDescent="0.25">
      <c r="A42" s="43" t="s">
        <v>82</v>
      </c>
      <c r="B42">
        <v>500</v>
      </c>
      <c r="D42" s="45"/>
      <c r="E42" s="43" t="s">
        <v>82</v>
      </c>
      <c r="F42">
        <v>500</v>
      </c>
      <c r="H42" s="29"/>
      <c r="I42" s="3"/>
    </row>
    <row r="43" spans="1:12" x14ac:dyDescent="0.25">
      <c r="A43" s="43" t="s">
        <v>71</v>
      </c>
      <c r="B43" s="42"/>
      <c r="C43" s="29">
        <v>13000</v>
      </c>
      <c r="D43" s="29"/>
      <c r="E43" s="43" t="s">
        <v>71</v>
      </c>
      <c r="F43" s="42"/>
      <c r="G43" s="29">
        <v>13000</v>
      </c>
      <c r="H43" s="29"/>
      <c r="I43" s="37"/>
    </row>
    <row r="44" spans="1:12" x14ac:dyDescent="0.25">
      <c r="A44" s="43" t="s">
        <v>83</v>
      </c>
      <c r="B44" s="42"/>
      <c r="C44" s="29">
        <v>1400</v>
      </c>
      <c r="D44" s="29"/>
      <c r="E44" s="43"/>
      <c r="F44" s="42"/>
      <c r="G44" s="29"/>
      <c r="H44" s="29"/>
      <c r="I44" s="46"/>
      <c r="J44" s="31"/>
    </row>
    <row r="45" spans="1:12" x14ac:dyDescent="0.25">
      <c r="A45" s="43"/>
      <c r="B45" s="29"/>
      <c r="C45" s="45"/>
      <c r="D45" s="29"/>
      <c r="E45" s="43"/>
      <c r="F45" s="29"/>
      <c r="G45" s="45"/>
      <c r="H45" s="29"/>
      <c r="I45" s="46"/>
    </row>
    <row r="46" spans="1:12" x14ac:dyDescent="0.25">
      <c r="A46" s="43"/>
      <c r="B46" s="29"/>
      <c r="C46" s="45"/>
      <c r="D46" s="29"/>
      <c r="E46" s="43"/>
      <c r="F46" s="29"/>
      <c r="G46" s="45"/>
      <c r="H46" s="29"/>
      <c r="I46" s="3"/>
      <c r="J46" s="47"/>
    </row>
    <row r="47" spans="1:12" x14ac:dyDescent="0.25">
      <c r="A47" s="40" t="s">
        <v>25</v>
      </c>
      <c r="B47" s="48">
        <f>B38+B35+B36+B37+B42-C39</f>
        <v>9295</v>
      </c>
      <c r="C47" s="48">
        <f>SUM(C41:C46)</f>
        <v>14400</v>
      </c>
      <c r="D47" s="48">
        <f>B47-C47</f>
        <v>-5105</v>
      </c>
      <c r="E47" s="40" t="s">
        <v>25</v>
      </c>
      <c r="F47" s="48">
        <f>F35+F36+F38+F42-G39</f>
        <v>5545</v>
      </c>
      <c r="G47" s="48">
        <f>SUM(G41:G46)</f>
        <v>13000</v>
      </c>
      <c r="H47" s="48">
        <f>F47-G47</f>
        <v>-7455</v>
      </c>
      <c r="I47" s="46"/>
      <c r="J47" s="47"/>
    </row>
    <row r="48" spans="1:12" x14ac:dyDescent="0.25">
      <c r="A48" s="49" t="s">
        <v>26</v>
      </c>
      <c r="B48" s="50"/>
      <c r="C48" s="50" t="s">
        <v>27</v>
      </c>
      <c r="D48" s="51"/>
      <c r="E48" s="49"/>
      <c r="F48" s="49" t="s">
        <v>28</v>
      </c>
      <c r="G48" s="3"/>
      <c r="H48" s="3"/>
      <c r="I48" s="3"/>
    </row>
    <row r="49" spans="1:9" x14ac:dyDescent="0.25">
      <c r="A49" s="49" t="s">
        <v>29</v>
      </c>
      <c r="B49" s="50"/>
      <c r="C49" s="50" t="s">
        <v>11</v>
      </c>
      <c r="D49" s="51"/>
      <c r="E49" s="49"/>
      <c r="F49" s="49" t="s">
        <v>65</v>
      </c>
      <c r="G49" s="3"/>
      <c r="H49" s="3"/>
      <c r="I49" s="46"/>
    </row>
  </sheetData>
  <pageMargins left="0" right="0" top="0" bottom="0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workbookViewId="0">
      <selection activeCell="J45" sqref="J45"/>
    </sheetView>
  </sheetViews>
  <sheetFormatPr defaultRowHeight="15" x14ac:dyDescent="0.25"/>
  <cols>
    <col min="1" max="1" width="19.85546875" customWidth="1"/>
    <col min="5" max="5" width="13.28515625" customWidth="1"/>
  </cols>
  <sheetData>
    <row r="2" spans="1:9" ht="15.75" x14ac:dyDescent="0.25">
      <c r="A2" s="1"/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80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'DECEMBER 20'!H6:H28</f>
        <v>0</v>
      </c>
      <c r="E6" s="16">
        <v>1500</v>
      </c>
      <c r="F6" s="16">
        <f t="shared" ref="F6:F18" si="0">C6+D6+E6</f>
        <v>1500</v>
      </c>
      <c r="G6" s="16">
        <v>1500</v>
      </c>
      <c r="H6" s="17">
        <f t="shared" ref="H6:H18" si="1">F6-G6</f>
        <v>0</v>
      </c>
      <c r="I6" s="15"/>
    </row>
    <row r="7" spans="1:9" x14ac:dyDescent="0.25">
      <c r="A7" t="s">
        <v>45</v>
      </c>
      <c r="B7" s="13">
        <v>2</v>
      </c>
      <c r="C7" s="14"/>
      <c r="D7" s="15">
        <f>'DECEMBER 20'!H7:H29</f>
        <v>0</v>
      </c>
      <c r="E7" s="18">
        <v>1500</v>
      </c>
      <c r="F7" s="16">
        <f t="shared" si="0"/>
        <v>1500</v>
      </c>
      <c r="G7" s="16">
        <f>1500</f>
        <v>1500</v>
      </c>
      <c r="H7" s="17">
        <f t="shared" si="1"/>
        <v>0</v>
      </c>
      <c r="I7" s="15"/>
    </row>
    <row r="8" spans="1:9" x14ac:dyDescent="0.25">
      <c r="A8" s="19" t="s">
        <v>86</v>
      </c>
      <c r="B8" s="13">
        <v>3</v>
      </c>
      <c r="C8" s="14"/>
      <c r="D8" s="15">
        <f>'DECEMBER 20'!H8:H30</f>
        <v>0</v>
      </c>
      <c r="E8" s="18">
        <v>1500</v>
      </c>
      <c r="F8" s="16">
        <f t="shared" si="0"/>
        <v>1500</v>
      </c>
      <c r="G8" s="16">
        <v>1500</v>
      </c>
      <c r="H8" s="17">
        <f t="shared" si="1"/>
        <v>0</v>
      </c>
      <c r="I8" s="15"/>
    </row>
    <row r="9" spans="1:9" x14ac:dyDescent="0.25">
      <c r="A9" s="20" t="s">
        <v>61</v>
      </c>
      <c r="B9" s="13">
        <v>4</v>
      </c>
      <c r="C9" s="14"/>
      <c r="D9" s="15">
        <f>'DECEMBER 20'!H9:H31</f>
        <v>150</v>
      </c>
      <c r="E9" s="18">
        <v>1500</v>
      </c>
      <c r="F9" s="16">
        <f t="shared" si="0"/>
        <v>1650</v>
      </c>
      <c r="G9" s="16">
        <f>1100+250+200+100</f>
        <v>1650</v>
      </c>
      <c r="H9" s="17">
        <f t="shared" si="1"/>
        <v>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'DECEMBER 20'!H10:H32</f>
        <v>0</v>
      </c>
      <c r="E10" s="18">
        <v>1500</v>
      </c>
      <c r="F10" s="16">
        <f t="shared" si="0"/>
        <v>1500</v>
      </c>
      <c r="G10" s="16">
        <v>1500</v>
      </c>
      <c r="H10" s="17">
        <f t="shared" si="1"/>
        <v>0</v>
      </c>
      <c r="I10" s="15"/>
    </row>
    <row r="11" spans="1:9" x14ac:dyDescent="0.25">
      <c r="A11" s="12" t="s">
        <v>46</v>
      </c>
      <c r="B11" s="13">
        <v>6</v>
      </c>
      <c r="C11" s="14"/>
      <c r="D11" s="15">
        <f>'DECEMBER 20'!H11:H33</f>
        <v>1500</v>
      </c>
      <c r="E11" s="18">
        <v>1500</v>
      </c>
      <c r="F11" s="16">
        <f t="shared" si="0"/>
        <v>3000</v>
      </c>
      <c r="G11" s="16">
        <f>3000</f>
        <v>3000</v>
      </c>
      <c r="H11" s="17">
        <f t="shared" si="1"/>
        <v>0</v>
      </c>
      <c r="I11" s="15"/>
    </row>
    <row r="12" spans="1:9" x14ac:dyDescent="0.25">
      <c r="A12" s="22" t="s">
        <v>64</v>
      </c>
      <c r="B12" s="13">
        <v>7</v>
      </c>
      <c r="C12" s="14"/>
      <c r="D12" s="15">
        <f>'DECEMBER 20'!H12:H34</f>
        <v>0</v>
      </c>
      <c r="E12" s="18">
        <v>1500</v>
      </c>
      <c r="F12" s="16">
        <f t="shared" si="0"/>
        <v>1500</v>
      </c>
      <c r="G12" s="16">
        <v>1500</v>
      </c>
      <c r="H12" s="17">
        <f t="shared" si="1"/>
        <v>0</v>
      </c>
      <c r="I12" s="15"/>
    </row>
    <row r="13" spans="1:9" x14ac:dyDescent="0.25">
      <c r="A13" s="21" t="s">
        <v>47</v>
      </c>
      <c r="B13" s="13">
        <v>8</v>
      </c>
      <c r="C13" s="14"/>
      <c r="D13" s="15">
        <f>'DECEMBER 20'!H13:H35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1"/>
        <v>0</v>
      </c>
      <c r="I13" s="15"/>
    </row>
    <row r="14" spans="1:9" x14ac:dyDescent="0.25">
      <c r="A14" s="21" t="s">
        <v>84</v>
      </c>
      <c r="B14" s="13">
        <v>9</v>
      </c>
      <c r="C14" s="14"/>
      <c r="D14" s="15">
        <f>'DECEMBER 20'!H14:H36</f>
        <v>0</v>
      </c>
      <c r="E14" s="18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'DECEMBER 20'!H15:H37</f>
        <v>0</v>
      </c>
      <c r="E15" s="18">
        <v>1500</v>
      </c>
      <c r="F15" s="16">
        <f t="shared" si="0"/>
        <v>1500</v>
      </c>
      <c r="G15" s="16">
        <f>1000+500</f>
        <v>1500</v>
      </c>
      <c r="H15" s="17">
        <f t="shared" si="1"/>
        <v>0</v>
      </c>
      <c r="I15" s="15"/>
    </row>
    <row r="16" spans="1:9" x14ac:dyDescent="0.25">
      <c r="A16" s="24" t="s">
        <v>52</v>
      </c>
      <c r="B16" s="13">
        <v>11</v>
      </c>
      <c r="C16" s="14"/>
      <c r="D16" s="15">
        <f>'DECEMBER 20'!H16:H38</f>
        <v>700</v>
      </c>
      <c r="E16" s="18">
        <v>1500</v>
      </c>
      <c r="F16" s="16">
        <f t="shared" si="0"/>
        <v>2200</v>
      </c>
      <c r="G16" s="16">
        <f>1000+1200</f>
        <v>2200</v>
      </c>
      <c r="H16" s="17">
        <f t="shared" si="1"/>
        <v>0</v>
      </c>
      <c r="I16" s="15"/>
    </row>
    <row r="17" spans="1:10" x14ac:dyDescent="0.25">
      <c r="A17" s="12" t="s">
        <v>40</v>
      </c>
      <c r="B17" s="13">
        <v>12</v>
      </c>
      <c r="C17" s="14"/>
      <c r="D17" s="15">
        <f>'DECEMBER 20'!H17:H39</f>
        <v>0</v>
      </c>
      <c r="E17" s="18"/>
      <c r="F17" s="16">
        <f t="shared" si="0"/>
        <v>0</v>
      </c>
      <c r="G17" s="16"/>
      <c r="H17" s="17">
        <f t="shared" si="1"/>
        <v>0</v>
      </c>
      <c r="I17" s="15"/>
    </row>
    <row r="18" spans="1:10" x14ac:dyDescent="0.25">
      <c r="A18" s="25" t="s">
        <v>96</v>
      </c>
      <c r="B18" s="13">
        <v>13</v>
      </c>
      <c r="C18" s="14"/>
      <c r="D18" s="15">
        <f>'DECEMBER 20'!H18:H40</f>
        <v>0</v>
      </c>
      <c r="E18" s="18">
        <v>1500</v>
      </c>
      <c r="F18" s="16">
        <f t="shared" si="0"/>
        <v>1500</v>
      </c>
      <c r="G18" s="16">
        <v>1500</v>
      </c>
      <c r="H18" s="17">
        <f t="shared" si="1"/>
        <v>0</v>
      </c>
      <c r="I18" s="15"/>
      <c r="J18" t="s">
        <v>100</v>
      </c>
    </row>
    <row r="19" spans="1:10" x14ac:dyDescent="0.25">
      <c r="A19" s="19" t="s">
        <v>97</v>
      </c>
      <c r="B19" s="13">
        <v>14</v>
      </c>
      <c r="C19" s="14"/>
      <c r="D19" s="15"/>
      <c r="E19" s="18">
        <v>1500</v>
      </c>
      <c r="F19" s="16">
        <f t="shared" ref="F19:F28" si="2">C19+D19+E19</f>
        <v>1500</v>
      </c>
      <c r="G19" s="16">
        <f>1500</f>
        <v>1500</v>
      </c>
      <c r="H19" s="17">
        <f t="shared" ref="H19:H28" si="3">F19-G19</f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'DECEMBER 20'!H20:H42</f>
        <v>0</v>
      </c>
      <c r="E20" s="18">
        <v>1500</v>
      </c>
      <c r="F20" s="16">
        <f t="shared" si="2"/>
        <v>1500</v>
      </c>
      <c r="G20" s="16">
        <v>1500</v>
      </c>
      <c r="H20" s="17">
        <f t="shared" si="3"/>
        <v>0</v>
      </c>
      <c r="I20" s="15"/>
    </row>
    <row r="21" spans="1:10" x14ac:dyDescent="0.25">
      <c r="A21" s="22" t="s">
        <v>85</v>
      </c>
      <c r="B21" s="26">
        <v>16</v>
      </c>
      <c r="C21" s="14"/>
      <c r="D21" s="15">
        <f>'DECEMBER 20'!H21:H43</f>
        <v>0</v>
      </c>
      <c r="E21" s="18"/>
      <c r="F21" s="16">
        <f t="shared" si="2"/>
        <v>0</v>
      </c>
      <c r="G21" s="16"/>
      <c r="H21" s="17">
        <f>F21-G21</f>
        <v>0</v>
      </c>
      <c r="I21" s="15"/>
    </row>
    <row r="22" spans="1:10" x14ac:dyDescent="0.25">
      <c r="A22" s="25"/>
      <c r="B22" s="13"/>
      <c r="C22" s="14"/>
      <c r="D22" s="15">
        <f>'DECEMBER 20'!H22:H44</f>
        <v>0</v>
      </c>
      <c r="E22" s="18"/>
      <c r="F22" s="16">
        <f t="shared" si="2"/>
        <v>0</v>
      </c>
      <c r="G22" s="16"/>
      <c r="H22" s="17">
        <f t="shared" si="3"/>
        <v>0</v>
      </c>
      <c r="I22" s="15"/>
    </row>
    <row r="23" spans="1:10" x14ac:dyDescent="0.25">
      <c r="A23" s="12"/>
      <c r="B23" s="13"/>
      <c r="C23" s="14"/>
      <c r="D23" s="15">
        <f>'DECEMBER 20'!H23:H45</f>
        <v>0</v>
      </c>
      <c r="E23" s="18"/>
      <c r="F23" s="16">
        <f t="shared" si="2"/>
        <v>0</v>
      </c>
      <c r="G23" s="16"/>
      <c r="H23" s="17">
        <f t="shared" si="3"/>
        <v>0</v>
      </c>
      <c r="I23" s="15"/>
    </row>
    <row r="24" spans="1:10" x14ac:dyDescent="0.25">
      <c r="A24" s="20"/>
      <c r="B24" s="27"/>
      <c r="C24" s="14"/>
      <c r="D24" s="15">
        <f>'DECEMBER 20'!H24:H46</f>
        <v>0</v>
      </c>
      <c r="E24" s="18"/>
      <c r="F24" s="16">
        <f t="shared" si="2"/>
        <v>0</v>
      </c>
      <c r="G24" s="16"/>
      <c r="H24" s="17">
        <f t="shared" si="3"/>
        <v>0</v>
      </c>
      <c r="I24" s="15"/>
    </row>
    <row r="25" spans="1:10" x14ac:dyDescent="0.25">
      <c r="A25" s="20"/>
      <c r="B25" s="27"/>
      <c r="C25" s="14"/>
      <c r="D25" s="15">
        <f>'DECEMBER 20'!H25:H47</f>
        <v>0</v>
      </c>
      <c r="E25" s="18"/>
      <c r="F25" s="16">
        <f t="shared" si="2"/>
        <v>0</v>
      </c>
      <c r="G25" s="16"/>
      <c r="H25" s="17">
        <f t="shared" si="3"/>
        <v>0</v>
      </c>
      <c r="I25" s="15"/>
    </row>
    <row r="26" spans="1:10" x14ac:dyDescent="0.25">
      <c r="A26" s="20"/>
      <c r="B26" s="27"/>
      <c r="C26" s="14"/>
      <c r="D26" s="15">
        <f>'DECEMBER 20'!H26:H48</f>
        <v>0</v>
      </c>
      <c r="E26" s="18"/>
      <c r="F26" s="16">
        <f t="shared" si="2"/>
        <v>0</v>
      </c>
      <c r="G26" s="16"/>
      <c r="H26" s="17">
        <f t="shared" si="3"/>
        <v>0</v>
      </c>
      <c r="I26" s="15"/>
    </row>
    <row r="27" spans="1:10" x14ac:dyDescent="0.25">
      <c r="A27" s="20"/>
      <c r="B27" s="27"/>
      <c r="C27" s="14"/>
      <c r="D27" s="15">
        <f>'DECEMBER 20'!H27:H49</f>
        <v>0</v>
      </c>
      <c r="E27" s="18"/>
      <c r="F27" s="16">
        <f t="shared" si="2"/>
        <v>0</v>
      </c>
      <c r="G27" s="16"/>
      <c r="H27" s="17">
        <f t="shared" si="3"/>
        <v>0</v>
      </c>
      <c r="I27" s="15"/>
    </row>
    <row r="28" spans="1:10" x14ac:dyDescent="0.25">
      <c r="A28" s="20"/>
      <c r="B28" s="27"/>
      <c r="C28" s="14"/>
      <c r="D28" s="15">
        <f>'DECEMBER 20'!H28:H50</f>
        <v>0</v>
      </c>
      <c r="E28" s="18"/>
      <c r="F28" s="16">
        <f t="shared" si="2"/>
        <v>0</v>
      </c>
      <c r="G28" s="16"/>
      <c r="H28" s="17">
        <f t="shared" si="3"/>
        <v>0</v>
      </c>
      <c r="I28" s="15"/>
    </row>
    <row r="29" spans="1:10" x14ac:dyDescent="0.25">
      <c r="A29" s="28" t="s">
        <v>12</v>
      </c>
      <c r="B29" s="29"/>
      <c r="C29" s="14">
        <f t="shared" ref="C29:I29" si="4">SUM(C6:C28)</f>
        <v>0</v>
      </c>
      <c r="D29" s="15">
        <f t="shared" si="4"/>
        <v>2350</v>
      </c>
      <c r="E29" s="30">
        <f t="shared" si="4"/>
        <v>19500</v>
      </c>
      <c r="F29" s="16">
        <f t="shared" si="4"/>
        <v>21850</v>
      </c>
      <c r="G29" s="16">
        <f t="shared" si="4"/>
        <v>21850</v>
      </c>
      <c r="H29" s="16">
        <f t="shared" si="4"/>
        <v>0</v>
      </c>
      <c r="I29" s="15">
        <f t="shared" si="4"/>
        <v>0</v>
      </c>
    </row>
    <row r="30" spans="1:10" x14ac:dyDescent="0.25">
      <c r="D30" s="15">
        <f>'SEPTEMBER 20'!H30:H53</f>
        <v>3200</v>
      </c>
      <c r="H30" s="31"/>
      <c r="I30" s="3"/>
    </row>
    <row r="32" spans="1:10" x14ac:dyDescent="0.25">
      <c r="A32" s="3" t="s">
        <v>13</v>
      </c>
      <c r="B32" s="32"/>
      <c r="C32" s="33"/>
      <c r="D32" s="34"/>
      <c r="E32" s="35"/>
      <c r="F32" s="36"/>
      <c r="G32" s="35"/>
      <c r="H32" s="37"/>
      <c r="I32" s="3"/>
    </row>
    <row r="33" spans="1:13" x14ac:dyDescent="0.25">
      <c r="A33" s="38" t="s">
        <v>14</v>
      </c>
      <c r="B33" s="38"/>
      <c r="C33" s="38"/>
      <c r="D33" s="39"/>
      <c r="E33" s="38" t="s">
        <v>7</v>
      </c>
      <c r="F33" s="3"/>
      <c r="G33" s="3"/>
      <c r="H33" s="3"/>
      <c r="I33" s="3"/>
    </row>
    <row r="34" spans="1:13" x14ac:dyDescent="0.25">
      <c r="A34" s="40" t="s">
        <v>15</v>
      </c>
      <c r="B34" s="40" t="s">
        <v>16</v>
      </c>
      <c r="C34" s="40" t="s">
        <v>17</v>
      </c>
      <c r="D34" s="40" t="s">
        <v>18</v>
      </c>
      <c r="E34" s="40" t="s">
        <v>15</v>
      </c>
      <c r="F34" s="40" t="s">
        <v>16</v>
      </c>
      <c r="G34" s="40" t="s">
        <v>17</v>
      </c>
      <c r="H34" s="40" t="s">
        <v>18</v>
      </c>
      <c r="I34" s="3"/>
    </row>
    <row r="35" spans="1:13" x14ac:dyDescent="0.25">
      <c r="A35" s="29" t="s">
        <v>81</v>
      </c>
      <c r="B35" s="41">
        <f>E29</f>
        <v>19500</v>
      </c>
      <c r="C35" s="29"/>
      <c r="D35" s="29"/>
      <c r="E35" s="29" t="s">
        <v>81</v>
      </c>
      <c r="F35" s="41">
        <f>G29</f>
        <v>21850</v>
      </c>
      <c r="G35" s="29"/>
      <c r="H35" s="29"/>
      <c r="I35" s="37"/>
    </row>
    <row r="36" spans="1:13" x14ac:dyDescent="0.25">
      <c r="A36" s="29" t="s">
        <v>19</v>
      </c>
      <c r="B36" s="41">
        <f>'DECEMBER 20'!D47</f>
        <v>-5105</v>
      </c>
      <c r="C36" s="29"/>
      <c r="D36" s="29"/>
      <c r="E36" s="29" t="s">
        <v>19</v>
      </c>
      <c r="F36" s="41">
        <f>'DECEMBER 20'!H47</f>
        <v>-7455</v>
      </c>
      <c r="G36" s="29"/>
      <c r="H36" s="29"/>
      <c r="I36" s="37"/>
    </row>
    <row r="37" spans="1:13" x14ac:dyDescent="0.25">
      <c r="A37" s="29" t="s">
        <v>9</v>
      </c>
      <c r="B37" s="41"/>
      <c r="C37" s="29"/>
      <c r="D37" s="29"/>
      <c r="E37" s="29"/>
      <c r="F37" s="41"/>
      <c r="G37" s="29"/>
      <c r="H37" s="29"/>
      <c r="I37" s="37" t="s">
        <v>20</v>
      </c>
      <c r="J37" s="47"/>
    </row>
    <row r="38" spans="1:13" x14ac:dyDescent="0.25">
      <c r="A38" s="29" t="s">
        <v>90</v>
      </c>
      <c r="B38" s="41">
        <v>1000</v>
      </c>
      <c r="C38" s="29"/>
      <c r="D38" s="29"/>
      <c r="E38" s="29" t="s">
        <v>90</v>
      </c>
      <c r="F38" s="41">
        <v>1000</v>
      </c>
      <c r="G38" s="29"/>
      <c r="H38" s="29"/>
      <c r="I38" s="37"/>
      <c r="J38" s="47"/>
    </row>
    <row r="39" spans="1:13" x14ac:dyDescent="0.25">
      <c r="A39" s="29" t="s">
        <v>91</v>
      </c>
      <c r="B39" s="41">
        <v>300</v>
      </c>
      <c r="C39" s="29"/>
      <c r="D39" s="29"/>
      <c r="E39" s="29" t="s">
        <v>91</v>
      </c>
      <c r="F39" s="41">
        <v>300</v>
      </c>
      <c r="G39" s="29"/>
      <c r="H39" s="29"/>
      <c r="I39" s="3"/>
      <c r="J39" s="47"/>
    </row>
    <row r="40" spans="1:13" x14ac:dyDescent="0.25">
      <c r="A40" s="29" t="s">
        <v>21</v>
      </c>
      <c r="B40" s="42">
        <v>0.1</v>
      </c>
      <c r="C40" s="41">
        <f>B40*B35</f>
        <v>1950</v>
      </c>
      <c r="D40" s="29"/>
      <c r="E40" s="29" t="s">
        <v>21</v>
      </c>
      <c r="F40" s="42">
        <v>0.1</v>
      </c>
      <c r="G40" s="41">
        <f>F40*B35</f>
        <v>1950</v>
      </c>
      <c r="H40" s="29"/>
      <c r="I40" s="3"/>
    </row>
    <row r="41" spans="1:13" x14ac:dyDescent="0.25">
      <c r="A41" s="40" t="s">
        <v>22</v>
      </c>
      <c r="B41" s="29" t="s">
        <v>23</v>
      </c>
      <c r="C41" s="29"/>
      <c r="D41" s="29"/>
      <c r="E41" s="40" t="s">
        <v>22</v>
      </c>
      <c r="F41" s="43"/>
      <c r="G41" s="29"/>
      <c r="H41" s="29"/>
      <c r="I41" s="37"/>
      <c r="J41" s="47"/>
      <c r="M41" s="42"/>
    </row>
    <row r="42" spans="1:13" x14ac:dyDescent="0.25">
      <c r="A42" s="44" t="s">
        <v>88</v>
      </c>
      <c r="B42">
        <f>140</f>
        <v>140</v>
      </c>
      <c r="C42" s="45"/>
      <c r="D42" s="29"/>
      <c r="E42" s="44" t="s">
        <v>88</v>
      </c>
      <c r="F42">
        <f>140</f>
        <v>140</v>
      </c>
      <c r="G42" s="45"/>
      <c r="H42" s="29"/>
      <c r="I42" s="3"/>
    </row>
    <row r="43" spans="1:13" x14ac:dyDescent="0.25">
      <c r="A43" s="44" t="s">
        <v>24</v>
      </c>
      <c r="B43" s="42">
        <v>0.3</v>
      </c>
      <c r="D43" s="45"/>
      <c r="E43" s="43"/>
      <c r="H43" s="29"/>
      <c r="I43" s="3"/>
    </row>
    <row r="44" spans="1:13" x14ac:dyDescent="0.25">
      <c r="A44" s="43" t="s">
        <v>89</v>
      </c>
      <c r="B44" s="42"/>
      <c r="C44" s="29">
        <f>12444-97</f>
        <v>12347</v>
      </c>
      <c r="D44" s="29"/>
      <c r="E44" s="43" t="s">
        <v>89</v>
      </c>
      <c r="F44" s="42"/>
      <c r="G44" s="29">
        <f>C44</f>
        <v>12347</v>
      </c>
      <c r="H44" s="29"/>
      <c r="I44" s="37"/>
    </row>
    <row r="45" spans="1:13" x14ac:dyDescent="0.25">
      <c r="A45" s="43" t="s">
        <v>92</v>
      </c>
      <c r="B45" s="42"/>
      <c r="C45" s="29">
        <v>1538</v>
      </c>
      <c r="D45" s="29"/>
      <c r="E45" s="43" t="s">
        <v>92</v>
      </c>
      <c r="F45" s="42"/>
      <c r="G45" s="29">
        <v>1538</v>
      </c>
      <c r="H45" s="29"/>
      <c r="I45" s="46"/>
      <c r="J45" s="31"/>
    </row>
    <row r="46" spans="1:13" x14ac:dyDescent="0.25">
      <c r="A46" s="43" t="s">
        <v>98</v>
      </c>
      <c r="B46" s="29"/>
      <c r="C46" s="45">
        <v>1500</v>
      </c>
      <c r="D46" s="29"/>
      <c r="E46" s="43" t="s">
        <v>98</v>
      </c>
      <c r="F46" s="29"/>
      <c r="G46" s="45">
        <v>1500</v>
      </c>
      <c r="H46" s="29"/>
      <c r="I46" s="3"/>
    </row>
    <row r="47" spans="1:13" x14ac:dyDescent="0.25">
      <c r="A47" s="43"/>
      <c r="B47" s="29"/>
      <c r="C47" s="45"/>
      <c r="D47" s="29"/>
      <c r="E47" s="43"/>
      <c r="F47" s="29"/>
      <c r="G47" s="45"/>
      <c r="H47" s="29"/>
      <c r="I47" s="3"/>
      <c r="J47" s="47"/>
    </row>
    <row r="48" spans="1:13" x14ac:dyDescent="0.25">
      <c r="A48" s="40" t="s">
        <v>25</v>
      </c>
      <c r="B48" s="48">
        <f>B39+B35+B36+B37+B38+B42-C40</f>
        <v>13885</v>
      </c>
      <c r="C48" s="48">
        <f>SUM(C42:C47)</f>
        <v>15385</v>
      </c>
      <c r="D48" s="48">
        <f>B48-C48</f>
        <v>-1500</v>
      </c>
      <c r="E48" s="40" t="s">
        <v>25</v>
      </c>
      <c r="F48" s="48">
        <f>F35+F36+F39+F38+F42-G40</f>
        <v>13885</v>
      </c>
      <c r="G48" s="48">
        <f>SUM(G42:G47)</f>
        <v>15385</v>
      </c>
      <c r="H48" s="48">
        <f>F48-G48</f>
        <v>-1500</v>
      </c>
      <c r="I48" s="46"/>
      <c r="J48" s="47"/>
    </row>
    <row r="49" spans="1:9" x14ac:dyDescent="0.25">
      <c r="A49" s="49" t="s">
        <v>26</v>
      </c>
      <c r="B49" s="50"/>
      <c r="C49" s="50" t="s">
        <v>27</v>
      </c>
      <c r="D49" s="51"/>
      <c r="E49" s="49"/>
      <c r="F49" s="49" t="s">
        <v>28</v>
      </c>
      <c r="G49" s="3"/>
      <c r="H49" s="3"/>
      <c r="I49" s="3"/>
    </row>
    <row r="50" spans="1:9" x14ac:dyDescent="0.25">
      <c r="A50" s="49" t="s">
        <v>29</v>
      </c>
      <c r="B50" s="50"/>
      <c r="C50" s="50" t="s">
        <v>11</v>
      </c>
      <c r="D50" s="51"/>
      <c r="E50" s="49"/>
      <c r="F50" s="49" t="s">
        <v>65</v>
      </c>
      <c r="G50" s="3"/>
      <c r="H50" s="3"/>
      <c r="I50" s="46"/>
    </row>
  </sheetData>
  <pageMargins left="0" right="0" top="0" bottom="0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zoomScale="90" zoomScaleNormal="90" workbookViewId="0">
      <selection activeCell="K34" sqref="K34"/>
    </sheetView>
  </sheetViews>
  <sheetFormatPr defaultRowHeight="15" x14ac:dyDescent="0.25"/>
  <cols>
    <col min="1" max="1" width="20.42578125" customWidth="1"/>
    <col min="2" max="2" width="7.7109375" customWidth="1"/>
    <col min="4" max="4" width="7.28515625" customWidth="1"/>
    <col min="8" max="8" width="7.5703125" customWidth="1"/>
    <col min="9" max="9" width="7.7109375" customWidth="1"/>
    <col min="11" max="11" width="21.42578125" customWidth="1"/>
    <col min="12" max="12" width="17.28515625" customWidth="1"/>
  </cols>
  <sheetData>
    <row r="2" spans="1:21" ht="15.75" x14ac:dyDescent="0.25">
      <c r="B2" s="1" t="s">
        <v>32</v>
      </c>
      <c r="C2" s="1"/>
      <c r="D2" s="1"/>
      <c r="E2" s="1"/>
      <c r="F2" s="2"/>
      <c r="G2" s="3"/>
      <c r="H2" s="3"/>
      <c r="I2" s="3"/>
      <c r="M2" s="1" t="s">
        <v>32</v>
      </c>
      <c r="N2" s="1"/>
      <c r="O2" s="1"/>
      <c r="P2" s="1"/>
      <c r="Q2" s="2"/>
      <c r="R2" s="3"/>
      <c r="S2" s="3"/>
      <c r="T2" s="3"/>
    </row>
    <row r="3" spans="1:21" ht="15.75" x14ac:dyDescent="0.25">
      <c r="B3" s="1" t="s">
        <v>0</v>
      </c>
      <c r="D3" s="1"/>
      <c r="E3" s="1"/>
      <c r="F3" s="4"/>
      <c r="G3" s="3"/>
      <c r="H3" s="3"/>
      <c r="I3" s="3"/>
      <c r="M3" s="1" t="s">
        <v>0</v>
      </c>
      <c r="O3" s="1"/>
      <c r="P3" s="1"/>
      <c r="Q3" s="4"/>
      <c r="R3" s="3"/>
      <c r="S3" s="3"/>
      <c r="T3" s="3"/>
    </row>
    <row r="4" spans="1:21" ht="15.75" x14ac:dyDescent="0.25">
      <c r="A4" s="3"/>
      <c r="B4" s="1" t="s">
        <v>93</v>
      </c>
      <c r="C4" s="1"/>
      <c r="D4" s="52"/>
      <c r="E4" s="1"/>
      <c r="F4" s="6"/>
      <c r="G4" s="7"/>
      <c r="H4" s="3"/>
      <c r="I4" s="3"/>
      <c r="L4" s="3"/>
      <c r="M4" s="1" t="s">
        <v>93</v>
      </c>
      <c r="N4" s="1"/>
      <c r="O4" s="52"/>
      <c r="P4" s="1"/>
      <c r="Q4" s="6"/>
      <c r="R4" s="7"/>
      <c r="S4" s="3"/>
      <c r="T4" s="3"/>
    </row>
    <row r="5" spans="1:21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  <c r="L5" s="8" t="s">
        <v>1</v>
      </c>
      <c r="M5" s="8" t="s">
        <v>2</v>
      </c>
      <c r="N5" s="8" t="s">
        <v>3</v>
      </c>
      <c r="O5" s="9" t="s">
        <v>4</v>
      </c>
      <c r="P5" s="10" t="s">
        <v>5</v>
      </c>
      <c r="Q5" s="9" t="s">
        <v>6</v>
      </c>
      <c r="R5" s="10" t="s">
        <v>7</v>
      </c>
      <c r="S5" s="11" t="s">
        <v>8</v>
      </c>
      <c r="T5" s="9" t="s">
        <v>9</v>
      </c>
    </row>
    <row r="6" spans="1:21" x14ac:dyDescent="0.25">
      <c r="A6" s="12" t="s">
        <v>50</v>
      </c>
      <c r="B6" s="13">
        <v>1</v>
      </c>
      <c r="C6" s="14"/>
      <c r="D6" s="15">
        <f>'JANUARY 21'!H6:H28</f>
        <v>0</v>
      </c>
      <c r="E6" s="16">
        <v>1500</v>
      </c>
      <c r="F6" s="16">
        <f>C6+D6+E6</f>
        <v>1500</v>
      </c>
      <c r="G6" s="16">
        <f>1500</f>
        <v>1500</v>
      </c>
      <c r="H6" s="17">
        <f>F6-G6</f>
        <v>0</v>
      </c>
      <c r="I6" s="15"/>
      <c r="L6" s="12" t="s">
        <v>50</v>
      </c>
      <c r="M6" s="13">
        <v>1</v>
      </c>
      <c r="N6" s="14"/>
      <c r="O6" s="15">
        <f>'JANUARY 21'!S6:S28</f>
        <v>0</v>
      </c>
      <c r="P6" s="16">
        <v>1500</v>
      </c>
      <c r="Q6" s="16">
        <f>N6+O6+P6</f>
        <v>1500</v>
      </c>
      <c r="R6" s="16">
        <f>1500</f>
        <v>1500</v>
      </c>
      <c r="S6" s="17">
        <f>Q6-R6</f>
        <v>0</v>
      </c>
      <c r="T6" s="15"/>
    </row>
    <row r="7" spans="1:21" x14ac:dyDescent="0.25">
      <c r="A7" t="s">
        <v>45</v>
      </c>
      <c r="B7" s="13">
        <v>2</v>
      </c>
      <c r="C7" s="14"/>
      <c r="D7" s="15">
        <f>'JANUARY 21'!H7:H29</f>
        <v>0</v>
      </c>
      <c r="E7" s="18">
        <v>1500</v>
      </c>
      <c r="F7" s="16">
        <f t="shared" ref="F7:F21" si="0">C7+D7+E7</f>
        <v>1500</v>
      </c>
      <c r="G7" s="16">
        <v>1500</v>
      </c>
      <c r="H7" s="17">
        <f>F7-G7</f>
        <v>0</v>
      </c>
      <c r="I7" s="15"/>
      <c r="L7" t="s">
        <v>45</v>
      </c>
      <c r="M7" s="13">
        <v>2</v>
      </c>
      <c r="N7" s="14"/>
      <c r="O7" s="15">
        <f>'JANUARY 21'!S7:S29</f>
        <v>0</v>
      </c>
      <c r="P7" s="18">
        <v>1500</v>
      </c>
      <c r="Q7" s="16">
        <f t="shared" ref="Q7:Q10" si="1">N7+O7+P7</f>
        <v>1500</v>
      </c>
      <c r="R7" s="16">
        <v>1500</v>
      </c>
      <c r="S7" s="17">
        <f>Q7-R7</f>
        <v>0</v>
      </c>
      <c r="T7" s="15"/>
    </row>
    <row r="8" spans="1:21" x14ac:dyDescent="0.25">
      <c r="A8" s="19" t="s">
        <v>86</v>
      </c>
      <c r="B8" s="13">
        <v>3</v>
      </c>
      <c r="C8" s="14"/>
      <c r="D8" s="15">
        <f>'JANUARY 21'!H8:H30</f>
        <v>0</v>
      </c>
      <c r="E8" s="18">
        <v>1500</v>
      </c>
      <c r="F8" s="16">
        <f t="shared" si="0"/>
        <v>1500</v>
      </c>
      <c r="G8" s="16">
        <v>1500</v>
      </c>
      <c r="H8" s="17">
        <f>F8-G8</f>
        <v>0</v>
      </c>
      <c r="I8" s="15"/>
      <c r="L8" s="19" t="s">
        <v>86</v>
      </c>
      <c r="M8" s="13">
        <v>3</v>
      </c>
      <c r="N8" s="14"/>
      <c r="O8" s="15">
        <f>'JANUARY 21'!S8:S30</f>
        <v>0</v>
      </c>
      <c r="P8" s="18">
        <v>1500</v>
      </c>
      <c r="Q8" s="16">
        <f t="shared" si="1"/>
        <v>1500</v>
      </c>
      <c r="R8" s="16">
        <v>1500</v>
      </c>
      <c r="S8" s="17">
        <f>Q8-R8</f>
        <v>0</v>
      </c>
      <c r="T8" s="15"/>
    </row>
    <row r="9" spans="1:21" x14ac:dyDescent="0.25">
      <c r="A9" s="20" t="s">
        <v>61</v>
      </c>
      <c r="B9" s="13">
        <v>4</v>
      </c>
      <c r="C9" s="14"/>
      <c r="D9" s="15">
        <f>'JANUARY 21'!H9:H31</f>
        <v>0</v>
      </c>
      <c r="E9" s="18">
        <v>1500</v>
      </c>
      <c r="F9" s="16">
        <f t="shared" si="0"/>
        <v>1500</v>
      </c>
      <c r="G9" s="16">
        <f>250+550+150+250+300</f>
        <v>1500</v>
      </c>
      <c r="H9" s="17">
        <f>F9-G9</f>
        <v>0</v>
      </c>
      <c r="I9" s="15"/>
      <c r="L9" s="20" t="s">
        <v>61</v>
      </c>
      <c r="M9" s="13">
        <v>4</v>
      </c>
      <c r="N9" s="14"/>
      <c r="O9" s="15">
        <f>'JANUARY 21'!S9:S31</f>
        <v>0</v>
      </c>
      <c r="P9" s="18">
        <v>1500</v>
      </c>
      <c r="Q9" s="16">
        <f t="shared" si="1"/>
        <v>1500</v>
      </c>
      <c r="R9" s="16">
        <f>250+550+150+250</f>
        <v>1200</v>
      </c>
      <c r="S9" s="17">
        <f>Q9-R9</f>
        <v>300</v>
      </c>
      <c r="T9" s="15"/>
    </row>
    <row r="10" spans="1:21" x14ac:dyDescent="0.25">
      <c r="A10" s="20" t="s">
        <v>51</v>
      </c>
      <c r="B10" s="13">
        <v>5</v>
      </c>
      <c r="C10" s="14"/>
      <c r="D10" s="15">
        <f>'JANUARY 21'!H10:H32</f>
        <v>0</v>
      </c>
      <c r="E10" s="18">
        <v>1500</v>
      </c>
      <c r="F10" s="16">
        <f>C10+D10+E10</f>
        <v>1500</v>
      </c>
      <c r="G10" s="16">
        <f>1500</f>
        <v>1500</v>
      </c>
      <c r="H10" s="17">
        <f t="shared" ref="H10:H20" si="2">F10-G10</f>
        <v>0</v>
      </c>
      <c r="I10" s="15"/>
      <c r="L10" s="20" t="s">
        <v>51</v>
      </c>
      <c r="M10" s="13">
        <v>5</v>
      </c>
      <c r="N10" s="14"/>
      <c r="O10" s="15">
        <f>'JANUARY 21'!S10:S32</f>
        <v>0</v>
      </c>
      <c r="P10" s="18">
        <v>1500</v>
      </c>
      <c r="Q10" s="16">
        <f t="shared" si="1"/>
        <v>1500</v>
      </c>
      <c r="R10" s="16">
        <f>1500</f>
        <v>1500</v>
      </c>
      <c r="S10" s="17">
        <f t="shared" ref="S10" si="3">Q10-R10</f>
        <v>0</v>
      </c>
      <c r="T10" s="15"/>
    </row>
    <row r="11" spans="1:21" x14ac:dyDescent="0.25">
      <c r="A11" s="12" t="s">
        <v>103</v>
      </c>
      <c r="B11" s="13">
        <v>6</v>
      </c>
      <c r="C11" s="14"/>
      <c r="D11" s="15">
        <f>'JANUARY 21'!H11:H33</f>
        <v>0</v>
      </c>
      <c r="E11" s="18">
        <v>750</v>
      </c>
      <c r="F11" s="16">
        <f>C11+D11+E11</f>
        <v>750</v>
      </c>
      <c r="G11" s="16">
        <v>750</v>
      </c>
      <c r="H11" s="17">
        <f>F11-G11</f>
        <v>0</v>
      </c>
      <c r="I11" s="15"/>
      <c r="J11" t="s">
        <v>107</v>
      </c>
      <c r="L11" s="12" t="s">
        <v>46</v>
      </c>
      <c r="M11" s="13">
        <v>6</v>
      </c>
      <c r="N11" s="14"/>
      <c r="O11" s="15">
        <f>'JANUARY 21'!S11:S33</f>
        <v>0</v>
      </c>
      <c r="P11" s="18">
        <v>1500</v>
      </c>
      <c r="Q11" s="16">
        <f>N11+O11+P11</f>
        <v>1500</v>
      </c>
      <c r="R11" s="16"/>
      <c r="S11" s="17">
        <f>Q11-R11</f>
        <v>1500</v>
      </c>
      <c r="T11" s="15"/>
      <c r="U11" t="s">
        <v>70</v>
      </c>
    </row>
    <row r="12" spans="1:21" x14ac:dyDescent="0.25">
      <c r="A12" s="22" t="s">
        <v>64</v>
      </c>
      <c r="B12" s="13">
        <v>7</v>
      </c>
      <c r="C12" s="14"/>
      <c r="D12" s="15">
        <f>'JANUARY 21'!H12:H34</f>
        <v>0</v>
      </c>
      <c r="E12" s="18">
        <v>1500</v>
      </c>
      <c r="F12" s="16">
        <f>C12+D12+E12</f>
        <v>1500</v>
      </c>
      <c r="G12" s="57"/>
      <c r="H12" s="17">
        <f>F12-G12</f>
        <v>1500</v>
      </c>
      <c r="I12" s="15"/>
      <c r="J12" t="s">
        <v>70</v>
      </c>
      <c r="L12" s="22" t="s">
        <v>64</v>
      </c>
      <c r="M12" s="13">
        <v>7</v>
      </c>
      <c r="N12" s="14"/>
      <c r="O12" s="15">
        <f>'JANUARY 21'!S12:S34</f>
        <v>0</v>
      </c>
      <c r="P12" s="18">
        <v>1500</v>
      </c>
      <c r="Q12" s="16">
        <f>N12+O12+P12</f>
        <v>1500</v>
      </c>
      <c r="R12" s="57"/>
      <c r="S12" s="17">
        <f>Q12-R12</f>
        <v>1500</v>
      </c>
      <c r="T12" s="15"/>
      <c r="U12" t="s">
        <v>70</v>
      </c>
    </row>
    <row r="13" spans="1:21" x14ac:dyDescent="0.25">
      <c r="A13" s="21" t="s">
        <v>47</v>
      </c>
      <c r="B13" s="13">
        <v>8</v>
      </c>
      <c r="C13" s="14"/>
      <c r="D13" s="15">
        <f>'JANUARY 21'!H13:H35</f>
        <v>0</v>
      </c>
      <c r="E13" s="18">
        <v>1500</v>
      </c>
      <c r="F13" s="16">
        <f t="shared" si="0"/>
        <v>1500</v>
      </c>
      <c r="G13" s="16">
        <f>1500</f>
        <v>1500</v>
      </c>
      <c r="H13" s="17">
        <f t="shared" si="2"/>
        <v>0</v>
      </c>
      <c r="I13" s="15"/>
      <c r="L13" s="21" t="s">
        <v>47</v>
      </c>
      <c r="M13" s="13">
        <v>8</v>
      </c>
      <c r="N13" s="14"/>
      <c r="O13" s="15">
        <f>'JANUARY 21'!S13:S35</f>
        <v>0</v>
      </c>
      <c r="P13" s="18">
        <v>1500</v>
      </c>
      <c r="Q13" s="16">
        <f t="shared" ref="Q13:Q21" si="4">N13+O13+P13</f>
        <v>1500</v>
      </c>
      <c r="R13" s="16">
        <f>1500</f>
        <v>1500</v>
      </c>
      <c r="S13" s="17">
        <f t="shared" ref="S13:S20" si="5">Q13-R13</f>
        <v>0</v>
      </c>
      <c r="T13" s="15"/>
    </row>
    <row r="14" spans="1:21" x14ac:dyDescent="0.25">
      <c r="A14" s="21" t="s">
        <v>99</v>
      </c>
      <c r="B14" s="13">
        <v>9</v>
      </c>
      <c r="C14" s="14"/>
      <c r="D14" s="15">
        <f>'JANUARY 21'!H14:H36</f>
        <v>0</v>
      </c>
      <c r="E14" s="18">
        <v>600</v>
      </c>
      <c r="F14" s="16">
        <f t="shared" si="0"/>
        <v>600</v>
      </c>
      <c r="G14" s="16">
        <f>600</f>
        <v>600</v>
      </c>
      <c r="H14" s="17">
        <f t="shared" si="2"/>
        <v>0</v>
      </c>
      <c r="I14" s="15"/>
      <c r="L14" s="21" t="s">
        <v>99</v>
      </c>
      <c r="M14" s="13">
        <v>9</v>
      </c>
      <c r="N14" s="14"/>
      <c r="O14" s="15">
        <f>'JANUARY 21'!S14:S36</f>
        <v>0</v>
      </c>
      <c r="P14" s="18">
        <v>600</v>
      </c>
      <c r="Q14" s="16">
        <f t="shared" si="4"/>
        <v>600</v>
      </c>
      <c r="R14" s="16">
        <f>600</f>
        <v>600</v>
      </c>
      <c r="S14" s="17">
        <f t="shared" si="5"/>
        <v>0</v>
      </c>
      <c r="T14" s="15"/>
    </row>
    <row r="15" spans="1:21" x14ac:dyDescent="0.25">
      <c r="A15" s="22" t="s">
        <v>48</v>
      </c>
      <c r="B15" s="23">
        <v>10</v>
      </c>
      <c r="C15" s="14"/>
      <c r="D15" s="15">
        <f>'JANUARY 21'!H15:H37</f>
        <v>0</v>
      </c>
      <c r="E15" s="18">
        <v>1500</v>
      </c>
      <c r="F15" s="16">
        <f t="shared" si="0"/>
        <v>1500</v>
      </c>
      <c r="G15" s="16">
        <f>1500</f>
        <v>1500</v>
      </c>
      <c r="H15" s="17">
        <f t="shared" si="2"/>
        <v>0</v>
      </c>
      <c r="I15" s="15"/>
      <c r="L15" s="22" t="s">
        <v>48</v>
      </c>
      <c r="M15" s="23">
        <v>10</v>
      </c>
      <c r="N15" s="14"/>
      <c r="O15" s="15">
        <f>'JANUARY 21'!S15:S37</f>
        <v>0</v>
      </c>
      <c r="P15" s="18">
        <v>1500</v>
      </c>
      <c r="Q15" s="16">
        <f t="shared" si="4"/>
        <v>1500</v>
      </c>
      <c r="R15" s="16">
        <f>1500</f>
        <v>1500</v>
      </c>
      <c r="S15" s="17">
        <f t="shared" si="5"/>
        <v>0</v>
      </c>
      <c r="T15" s="15"/>
    </row>
    <row r="16" spans="1:21" x14ac:dyDescent="0.25">
      <c r="A16" s="24" t="s">
        <v>52</v>
      </c>
      <c r="B16" s="13">
        <v>11</v>
      </c>
      <c r="C16" s="14"/>
      <c r="D16" s="15">
        <f>'JANUARY 21'!H16:H38</f>
        <v>0</v>
      </c>
      <c r="E16" s="18">
        <v>1500</v>
      </c>
      <c r="F16" s="16">
        <f t="shared" si="0"/>
        <v>1500</v>
      </c>
      <c r="G16" s="16">
        <f>500+1000</f>
        <v>1500</v>
      </c>
      <c r="H16" s="17">
        <f t="shared" si="2"/>
        <v>0</v>
      </c>
      <c r="I16" s="15"/>
      <c r="L16" s="24" t="s">
        <v>52</v>
      </c>
      <c r="M16" s="13">
        <v>11</v>
      </c>
      <c r="N16" s="14"/>
      <c r="O16" s="15">
        <f>'JANUARY 21'!S16:S38</f>
        <v>0</v>
      </c>
      <c r="P16" s="18">
        <v>1500</v>
      </c>
      <c r="Q16" s="16">
        <f t="shared" si="4"/>
        <v>1500</v>
      </c>
      <c r="R16" s="16">
        <f>500+1000</f>
        <v>1500</v>
      </c>
      <c r="S16" s="17">
        <f t="shared" si="5"/>
        <v>0</v>
      </c>
      <c r="T16" s="15"/>
    </row>
    <row r="17" spans="1:21" x14ac:dyDescent="0.25">
      <c r="A17" s="60" t="s">
        <v>40</v>
      </c>
      <c r="B17" s="13">
        <v>12</v>
      </c>
      <c r="C17" s="14"/>
      <c r="D17" s="15">
        <f>'JANUARY 21'!H17:H39</f>
        <v>0</v>
      </c>
      <c r="E17" s="18"/>
      <c r="F17" s="16">
        <f t="shared" si="0"/>
        <v>0</v>
      </c>
      <c r="G17" s="16"/>
      <c r="H17" s="17">
        <f t="shared" si="2"/>
        <v>0</v>
      </c>
      <c r="I17" s="15"/>
      <c r="L17" s="60" t="s">
        <v>40</v>
      </c>
      <c r="M17" s="13">
        <v>12</v>
      </c>
      <c r="N17" s="14"/>
      <c r="O17" s="15">
        <f>'JANUARY 21'!S17:S39</f>
        <v>0</v>
      </c>
      <c r="P17" s="18"/>
      <c r="Q17" s="16">
        <f t="shared" si="4"/>
        <v>0</v>
      </c>
      <c r="R17" s="16"/>
      <c r="S17" s="17">
        <f t="shared" si="5"/>
        <v>0</v>
      </c>
      <c r="T17" s="15"/>
    </row>
    <row r="18" spans="1:21" x14ac:dyDescent="0.25">
      <c r="A18" s="22" t="s">
        <v>96</v>
      </c>
      <c r="B18" s="13">
        <v>13</v>
      </c>
      <c r="C18" s="14"/>
      <c r="D18" s="15">
        <f>'JANUARY 21'!H18:H40</f>
        <v>0</v>
      </c>
      <c r="E18" s="18">
        <v>1500</v>
      </c>
      <c r="F18" s="16">
        <f t="shared" si="0"/>
        <v>1500</v>
      </c>
      <c r="G18" s="16">
        <f>1500</f>
        <v>1500</v>
      </c>
      <c r="H18" s="17">
        <f t="shared" si="2"/>
        <v>0</v>
      </c>
      <c r="I18" s="15"/>
      <c r="L18" s="22" t="s">
        <v>96</v>
      </c>
      <c r="M18" s="13">
        <v>13</v>
      </c>
      <c r="N18" s="14"/>
      <c r="O18" s="15">
        <f>'JANUARY 21'!S18:S40</f>
        <v>0</v>
      </c>
      <c r="P18" s="18">
        <v>1500</v>
      </c>
      <c r="Q18" s="16">
        <f t="shared" si="4"/>
        <v>1500</v>
      </c>
      <c r="R18" s="16">
        <f>1500</f>
        <v>1500</v>
      </c>
      <c r="S18" s="17">
        <f t="shared" si="5"/>
        <v>0</v>
      </c>
      <c r="T18" s="15"/>
    </row>
    <row r="19" spans="1:21" x14ac:dyDescent="0.25">
      <c r="A19" s="19" t="s">
        <v>95</v>
      </c>
      <c r="B19" s="13">
        <v>14</v>
      </c>
      <c r="C19" s="14"/>
      <c r="D19" s="15">
        <f>'JANUARY 21'!H19:H41</f>
        <v>0</v>
      </c>
      <c r="E19" s="18">
        <v>1500</v>
      </c>
      <c r="F19" s="16">
        <f t="shared" si="0"/>
        <v>1500</v>
      </c>
      <c r="G19" s="16">
        <v>1500</v>
      </c>
      <c r="H19" s="17">
        <f t="shared" si="2"/>
        <v>0</v>
      </c>
      <c r="I19" s="15"/>
      <c r="L19" s="19" t="s">
        <v>95</v>
      </c>
      <c r="M19" s="13">
        <v>14</v>
      </c>
      <c r="N19" s="14"/>
      <c r="O19" s="15">
        <f>'JANUARY 21'!S19:S41</f>
        <v>0</v>
      </c>
      <c r="P19" s="18">
        <v>1500</v>
      </c>
      <c r="Q19" s="16">
        <f t="shared" si="4"/>
        <v>1500</v>
      </c>
      <c r="R19" s="16">
        <v>1500</v>
      </c>
      <c r="S19" s="17">
        <f t="shared" si="5"/>
        <v>0</v>
      </c>
      <c r="T19" s="15"/>
    </row>
    <row r="20" spans="1:21" x14ac:dyDescent="0.25">
      <c r="A20" s="12" t="s">
        <v>87</v>
      </c>
      <c r="B20" s="13">
        <v>15</v>
      </c>
      <c r="C20" s="14"/>
      <c r="D20" s="15">
        <f>'JANUARY 21'!H20:H42</f>
        <v>0</v>
      </c>
      <c r="E20" s="18">
        <v>1500</v>
      </c>
      <c r="F20" s="16">
        <f t="shared" si="0"/>
        <v>1500</v>
      </c>
      <c r="G20" s="16">
        <f>1300+200</f>
        <v>1500</v>
      </c>
      <c r="H20" s="17">
        <f t="shared" si="2"/>
        <v>0</v>
      </c>
      <c r="I20" s="15"/>
      <c r="L20" s="12" t="s">
        <v>87</v>
      </c>
      <c r="M20" s="13">
        <v>15</v>
      </c>
      <c r="N20" s="14"/>
      <c r="O20" s="15">
        <f>'JANUARY 21'!S20:S42</f>
        <v>0</v>
      </c>
      <c r="P20" s="18">
        <v>1500</v>
      </c>
      <c r="Q20" s="16">
        <f t="shared" si="4"/>
        <v>1500</v>
      </c>
      <c r="R20" s="16">
        <f>1300+200</f>
        <v>1500</v>
      </c>
      <c r="S20" s="17">
        <f t="shared" si="5"/>
        <v>0</v>
      </c>
      <c r="T20" s="15"/>
    </row>
    <row r="21" spans="1:21" x14ac:dyDescent="0.25">
      <c r="A21" s="25" t="s">
        <v>85</v>
      </c>
      <c r="B21" s="26">
        <v>16</v>
      </c>
      <c r="C21" s="14"/>
      <c r="D21" s="15">
        <f>'JANUARY 21'!H21:H43</f>
        <v>0</v>
      </c>
      <c r="E21" s="18"/>
      <c r="F21" s="16">
        <f t="shared" si="0"/>
        <v>0</v>
      </c>
      <c r="G21" s="16"/>
      <c r="H21" s="17">
        <f>F21-G21</f>
        <v>0</v>
      </c>
      <c r="I21" s="15"/>
      <c r="L21" s="25" t="s">
        <v>85</v>
      </c>
      <c r="M21" s="26">
        <v>16</v>
      </c>
      <c r="N21" s="14"/>
      <c r="O21" s="15">
        <f>'JANUARY 21'!S21:S43</f>
        <v>0</v>
      </c>
      <c r="P21" s="18"/>
      <c r="Q21" s="16">
        <f t="shared" si="4"/>
        <v>0</v>
      </c>
      <c r="R21" s="16"/>
      <c r="S21" s="17">
        <f>Q21-R21</f>
        <v>0</v>
      </c>
      <c r="T21" s="15"/>
    </row>
    <row r="22" spans="1:21" x14ac:dyDescent="0.25">
      <c r="A22" s="28" t="s">
        <v>25</v>
      </c>
      <c r="B22" s="29"/>
      <c r="C22" s="14">
        <f t="shared" ref="C22:I22" si="6">SUM(C6:C21)</f>
        <v>0</v>
      </c>
      <c r="D22" s="15">
        <f t="shared" si="6"/>
        <v>0</v>
      </c>
      <c r="E22" s="30">
        <f t="shared" si="6"/>
        <v>19350</v>
      </c>
      <c r="F22" s="16">
        <f t="shared" si="6"/>
        <v>19350</v>
      </c>
      <c r="G22" s="16">
        <f t="shared" si="6"/>
        <v>17850</v>
      </c>
      <c r="H22" s="16">
        <f>SUM(H6:H21)</f>
        <v>1500</v>
      </c>
      <c r="I22" s="15">
        <f t="shared" si="6"/>
        <v>0</v>
      </c>
      <c r="L22" s="28" t="s">
        <v>25</v>
      </c>
      <c r="M22" s="29"/>
      <c r="N22" s="14">
        <f t="shared" ref="N22:T22" si="7">SUM(N6:N21)</f>
        <v>0</v>
      </c>
      <c r="O22" s="15">
        <f t="shared" si="7"/>
        <v>0</v>
      </c>
      <c r="P22" s="30">
        <f t="shared" si="7"/>
        <v>20100</v>
      </c>
      <c r="Q22" s="16">
        <f>SUM(Q6:Q21)</f>
        <v>20100</v>
      </c>
      <c r="R22" s="16">
        <f t="shared" si="7"/>
        <v>16800</v>
      </c>
      <c r="S22" s="16">
        <f t="shared" si="7"/>
        <v>3300</v>
      </c>
      <c r="T22" s="15">
        <f t="shared" si="7"/>
        <v>0</v>
      </c>
    </row>
    <row r="23" spans="1:21" x14ac:dyDescent="0.25">
      <c r="D23" s="15"/>
      <c r="H23" s="31"/>
      <c r="I23" s="3"/>
      <c r="O23" s="15"/>
      <c r="S23" s="31"/>
      <c r="T23" s="3"/>
    </row>
    <row r="25" spans="1:21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  <c r="L25" s="3" t="s">
        <v>13</v>
      </c>
      <c r="M25" s="32"/>
      <c r="N25" s="33"/>
      <c r="O25" s="34"/>
      <c r="P25" s="35"/>
      <c r="Q25" s="36"/>
      <c r="R25" s="35"/>
      <c r="S25" s="37"/>
      <c r="T25" s="3"/>
    </row>
    <row r="26" spans="1:21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  <c r="L26" s="38" t="s">
        <v>14</v>
      </c>
      <c r="M26" s="38"/>
      <c r="N26" s="38"/>
      <c r="O26" s="39"/>
      <c r="P26" s="38" t="s">
        <v>7</v>
      </c>
      <c r="Q26" s="3"/>
      <c r="R26" s="3"/>
      <c r="S26" s="3"/>
      <c r="T26" s="3"/>
    </row>
    <row r="27" spans="1:21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  <c r="L27" s="40" t="s">
        <v>15</v>
      </c>
      <c r="M27" s="40" t="s">
        <v>16</v>
      </c>
      <c r="N27" s="40" t="s">
        <v>17</v>
      </c>
      <c r="O27" s="40" t="s">
        <v>18</v>
      </c>
      <c r="P27" s="40" t="s">
        <v>15</v>
      </c>
      <c r="Q27" s="40" t="s">
        <v>16</v>
      </c>
      <c r="R27" s="40" t="s">
        <v>17</v>
      </c>
      <c r="S27" s="40" t="s">
        <v>18</v>
      </c>
      <c r="T27" s="3"/>
    </row>
    <row r="28" spans="1:21" x14ac:dyDescent="0.25">
      <c r="A28" s="29" t="s">
        <v>94</v>
      </c>
      <c r="B28" s="41">
        <f>E22</f>
        <v>19350</v>
      </c>
      <c r="C28" s="29"/>
      <c r="D28" s="29"/>
      <c r="E28" s="29" t="s">
        <v>94</v>
      </c>
      <c r="F28" s="41">
        <f>G22</f>
        <v>17850</v>
      </c>
      <c r="G28" s="29"/>
      <c r="H28" s="29"/>
      <c r="I28" s="37"/>
      <c r="L28" s="29" t="s">
        <v>94</v>
      </c>
      <c r="M28" s="41">
        <f>P22</f>
        <v>20100</v>
      </c>
      <c r="N28" s="29"/>
      <c r="O28" s="29"/>
      <c r="P28" s="29" t="s">
        <v>94</v>
      </c>
      <c r="Q28" s="41">
        <f>R22</f>
        <v>16800</v>
      </c>
      <c r="R28" s="29"/>
      <c r="S28" s="29"/>
      <c r="T28" s="37"/>
    </row>
    <row r="29" spans="1:21" x14ac:dyDescent="0.25">
      <c r="A29" s="29" t="s">
        <v>19</v>
      </c>
      <c r="B29" s="41">
        <f>'JANUARY 21'!D48</f>
        <v>-1500</v>
      </c>
      <c r="C29" s="29"/>
      <c r="D29" s="29"/>
      <c r="E29" s="29" t="s">
        <v>19</v>
      </c>
      <c r="F29" s="41">
        <f>'JANUARY 21'!H48</f>
        <v>-1500</v>
      </c>
      <c r="G29" s="29"/>
      <c r="H29" s="29"/>
      <c r="I29" s="37"/>
      <c r="L29" s="29" t="s">
        <v>19</v>
      </c>
      <c r="M29" s="41">
        <f>B29</f>
        <v>-1500</v>
      </c>
      <c r="N29" s="29"/>
      <c r="O29" s="29"/>
      <c r="P29" s="29" t="s">
        <v>19</v>
      </c>
      <c r="Q29" s="41">
        <f>F29</f>
        <v>-1500</v>
      </c>
      <c r="R29" s="29"/>
      <c r="S29" s="29"/>
      <c r="T29" s="37"/>
    </row>
    <row r="30" spans="1:21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L30" s="29" t="s">
        <v>9</v>
      </c>
      <c r="M30" s="41"/>
      <c r="N30" s="29"/>
      <c r="O30" s="29"/>
      <c r="P30" s="29"/>
      <c r="Q30" s="41"/>
      <c r="R30" s="29"/>
      <c r="S30" s="29"/>
      <c r="T30" s="37" t="s">
        <v>20</v>
      </c>
    </row>
    <row r="31" spans="1:21" x14ac:dyDescent="0.25">
      <c r="A31" s="29" t="s">
        <v>90</v>
      </c>
      <c r="B31" s="41"/>
      <c r="C31" s="29"/>
      <c r="D31" s="29"/>
      <c r="E31" s="29" t="s">
        <v>90</v>
      </c>
      <c r="F31" s="41"/>
      <c r="G31" s="29"/>
      <c r="H31" s="29"/>
      <c r="I31" s="37"/>
      <c r="J31" s="47"/>
      <c r="L31" s="29" t="s">
        <v>90</v>
      </c>
      <c r="M31" s="41"/>
      <c r="N31" s="29"/>
      <c r="O31" s="29"/>
      <c r="P31" s="29" t="s">
        <v>90</v>
      </c>
      <c r="Q31" s="41"/>
      <c r="R31" s="29"/>
      <c r="S31" s="29"/>
      <c r="T31" s="37"/>
      <c r="U31" s="47"/>
    </row>
    <row r="32" spans="1:21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  <c r="L32" s="29"/>
      <c r="M32" s="41"/>
      <c r="N32" s="29"/>
      <c r="O32" s="29"/>
      <c r="P32" s="29"/>
      <c r="Q32" s="41"/>
      <c r="R32" s="29"/>
      <c r="S32" s="29"/>
      <c r="T32" s="3"/>
      <c r="U32" s="47"/>
    </row>
    <row r="33" spans="1:21" x14ac:dyDescent="0.25">
      <c r="A33" s="29" t="s">
        <v>21</v>
      </c>
      <c r="B33" s="42">
        <v>0.1</v>
      </c>
      <c r="C33" s="41">
        <f>B33*B28</f>
        <v>1935</v>
      </c>
      <c r="D33" s="29"/>
      <c r="E33" s="29" t="s">
        <v>21</v>
      </c>
      <c r="F33" s="42">
        <v>0.1</v>
      </c>
      <c r="G33" s="41">
        <f>F33*B28</f>
        <v>1935</v>
      </c>
      <c r="H33" s="29"/>
      <c r="I33" s="3"/>
      <c r="L33" s="29" t="s">
        <v>21</v>
      </c>
      <c r="M33" s="42">
        <v>0.1</v>
      </c>
      <c r="N33" s="41">
        <f>M33*M28</f>
        <v>2010</v>
      </c>
      <c r="O33" s="29"/>
      <c r="P33" s="29" t="s">
        <v>21</v>
      </c>
      <c r="Q33" s="42">
        <v>0.1</v>
      </c>
      <c r="R33" s="41">
        <f>Q33*M28</f>
        <v>2010</v>
      </c>
      <c r="S33" s="29"/>
      <c r="T33" s="3"/>
    </row>
    <row r="34" spans="1:21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  <c r="L34" s="40" t="s">
        <v>22</v>
      </c>
      <c r="M34" s="29" t="s">
        <v>23</v>
      </c>
      <c r="N34" s="29"/>
      <c r="O34" s="29"/>
      <c r="P34" s="40" t="s">
        <v>22</v>
      </c>
      <c r="Q34" s="43"/>
      <c r="R34" s="29"/>
      <c r="S34" s="29"/>
      <c r="T34" s="37"/>
      <c r="U34" s="47"/>
    </row>
    <row r="35" spans="1:21" x14ac:dyDescent="0.25">
      <c r="A35" s="44" t="s">
        <v>108</v>
      </c>
      <c r="B35">
        <v>150</v>
      </c>
      <c r="C35" s="45"/>
      <c r="D35" s="29"/>
      <c r="E35" s="44" t="s">
        <v>108</v>
      </c>
      <c r="F35">
        <v>150</v>
      </c>
      <c r="G35" s="45"/>
      <c r="H35" s="29"/>
      <c r="I35" s="3"/>
      <c r="L35" s="44"/>
      <c r="N35" s="45"/>
      <c r="O35" s="29"/>
      <c r="P35" s="44"/>
      <c r="R35" s="45"/>
      <c r="S35" s="29"/>
      <c r="T35" s="3"/>
    </row>
    <row r="36" spans="1:21" x14ac:dyDescent="0.25">
      <c r="A36" s="44" t="s">
        <v>24</v>
      </c>
      <c r="B36" s="42">
        <v>0.3</v>
      </c>
      <c r="D36" s="45"/>
      <c r="E36" s="43"/>
      <c r="H36" s="29"/>
      <c r="I36" s="3"/>
      <c r="L36" s="44" t="s">
        <v>24</v>
      </c>
      <c r="M36" s="42">
        <v>0.3</v>
      </c>
      <c r="O36" s="45"/>
      <c r="P36" s="43"/>
      <c r="S36" s="29"/>
      <c r="T36" s="3"/>
    </row>
    <row r="37" spans="1:21" x14ac:dyDescent="0.25">
      <c r="A37" s="43" t="s">
        <v>101</v>
      </c>
      <c r="B37" s="42"/>
      <c r="C37" s="29">
        <f>16590+102</f>
        <v>16692</v>
      </c>
      <c r="D37" s="29"/>
      <c r="E37" s="43" t="s">
        <v>101</v>
      </c>
      <c r="F37" s="42"/>
      <c r="G37" s="29">
        <f>16590+102</f>
        <v>16692</v>
      </c>
      <c r="H37" s="29"/>
      <c r="I37" s="37"/>
      <c r="L37" s="43" t="s">
        <v>101</v>
      </c>
      <c r="M37" s="42"/>
      <c r="N37" s="29">
        <f>16590+102</f>
        <v>16692</v>
      </c>
      <c r="O37" s="29"/>
      <c r="P37" s="43" t="s">
        <v>101</v>
      </c>
      <c r="Q37" s="42"/>
      <c r="R37" s="29">
        <f>16590+102</f>
        <v>16692</v>
      </c>
      <c r="S37" s="29"/>
      <c r="T37" s="37"/>
    </row>
    <row r="38" spans="1:21" x14ac:dyDescent="0.25">
      <c r="A38" s="43" t="s">
        <v>104</v>
      </c>
      <c r="B38" s="42"/>
      <c r="C38" s="29">
        <v>1500</v>
      </c>
      <c r="D38" s="29"/>
      <c r="E38" s="43"/>
      <c r="F38" s="42"/>
      <c r="G38" s="29"/>
      <c r="H38" s="29"/>
      <c r="I38" s="46"/>
      <c r="J38" s="31"/>
      <c r="L38" s="43"/>
      <c r="M38" s="42"/>
      <c r="N38" s="29"/>
      <c r="O38" s="29"/>
      <c r="P38" s="43"/>
      <c r="Q38" s="42"/>
      <c r="R38" s="29"/>
      <c r="S38" s="29"/>
      <c r="T38" s="46"/>
      <c r="U38" s="31"/>
    </row>
    <row r="39" spans="1:21" x14ac:dyDescent="0.25">
      <c r="A39" s="43"/>
      <c r="B39" s="29"/>
      <c r="C39" s="45"/>
      <c r="D39" s="29"/>
      <c r="E39" s="43"/>
      <c r="F39" s="29"/>
      <c r="G39" s="45"/>
      <c r="H39" s="29"/>
      <c r="I39" s="3"/>
      <c r="L39" s="43"/>
      <c r="M39" s="29"/>
      <c r="N39" s="45"/>
      <c r="O39" s="29"/>
      <c r="P39" s="43"/>
      <c r="Q39" s="29"/>
      <c r="R39" s="45"/>
      <c r="S39" s="29"/>
      <c r="T39" s="3"/>
    </row>
    <row r="40" spans="1:21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  <c r="L40" s="43"/>
      <c r="M40" s="29"/>
      <c r="N40" s="45"/>
      <c r="O40" s="29"/>
      <c r="P40" s="43"/>
      <c r="Q40" s="29"/>
      <c r="R40" s="45"/>
      <c r="S40" s="29"/>
      <c r="T40" s="3"/>
      <c r="U40" s="47"/>
    </row>
    <row r="41" spans="1:21" x14ac:dyDescent="0.25">
      <c r="A41" s="40" t="s">
        <v>25</v>
      </c>
      <c r="B41" s="48">
        <f>B32+B28+B29+B30+B31+B35-C33</f>
        <v>16065</v>
      </c>
      <c r="C41" s="48">
        <f>SUM(C35:C40)</f>
        <v>18192</v>
      </c>
      <c r="D41" s="48">
        <f>B41-C41</f>
        <v>-2127</v>
      </c>
      <c r="E41" s="40" t="s">
        <v>25</v>
      </c>
      <c r="F41" s="48">
        <f>F28+F29+F32+F31+F35-G33</f>
        <v>14565</v>
      </c>
      <c r="G41" s="48">
        <f>SUM(G35:G40)</f>
        <v>16692</v>
      </c>
      <c r="H41" s="48">
        <f>F41-G41</f>
        <v>-2127</v>
      </c>
      <c r="I41" s="46"/>
      <c r="J41" s="47"/>
      <c r="L41" s="40" t="s">
        <v>25</v>
      </c>
      <c r="M41" s="48">
        <f>M32+M28+M29+M30+M31+M35-N33</f>
        <v>16590</v>
      </c>
      <c r="N41" s="48">
        <f>SUM(N35:N40)</f>
        <v>16692</v>
      </c>
      <c r="O41" s="48">
        <f>M41-N41</f>
        <v>-102</v>
      </c>
      <c r="P41" s="40" t="s">
        <v>25</v>
      </c>
      <c r="Q41" s="48">
        <f>Q28+Q29+Q32+Q31+Q35-R33</f>
        <v>13290</v>
      </c>
      <c r="R41" s="48">
        <f>SUM(R35:R40)</f>
        <v>16692</v>
      </c>
      <c r="S41" s="48">
        <f>Q41-R41</f>
        <v>-3402</v>
      </c>
      <c r="T41" s="46"/>
      <c r="U41" s="47"/>
    </row>
    <row r="42" spans="1:21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  <c r="L42" s="49" t="s">
        <v>26</v>
      </c>
      <c r="M42" s="50"/>
      <c r="N42" s="50" t="s">
        <v>27</v>
      </c>
      <c r="O42" s="51"/>
      <c r="P42" s="49"/>
      <c r="Q42" s="49" t="s">
        <v>28</v>
      </c>
      <c r="R42" s="3"/>
      <c r="S42" s="3"/>
      <c r="T42" s="3"/>
    </row>
    <row r="43" spans="1:21" x14ac:dyDescent="0.25">
      <c r="A43" s="49" t="s">
        <v>29</v>
      </c>
      <c r="B43" s="50"/>
      <c r="C43" s="50" t="s">
        <v>11</v>
      </c>
      <c r="D43" s="51"/>
      <c r="F43" s="49" t="s">
        <v>65</v>
      </c>
      <c r="G43" s="3"/>
      <c r="H43" s="3"/>
      <c r="I43" s="46"/>
      <c r="L43" s="49" t="s">
        <v>29</v>
      </c>
      <c r="M43" s="50"/>
      <c r="N43" s="50" t="s">
        <v>11</v>
      </c>
      <c r="O43" s="51"/>
      <c r="Q43" s="49" t="s">
        <v>65</v>
      </c>
      <c r="R43" s="3"/>
      <c r="S43" s="3"/>
      <c r="T43" s="46"/>
    </row>
  </sheetData>
  <pageMargins left="0" right="0" top="0" bottom="0" header="0" footer="0"/>
  <pageSetup paperSize="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workbookViewId="0">
      <selection activeCell="I26" sqref="I26"/>
    </sheetView>
  </sheetViews>
  <sheetFormatPr defaultRowHeight="15" x14ac:dyDescent="0.25"/>
  <cols>
    <col min="1" max="1" width="24.28515625" customWidth="1"/>
    <col min="3" max="3" width="8.1406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105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'FEBRUARY 21'!H6:H21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17" si="0">F6-G6</f>
        <v>0</v>
      </c>
      <c r="I6" s="15"/>
    </row>
    <row r="7" spans="1:10" x14ac:dyDescent="0.25">
      <c r="A7" s="61" t="s">
        <v>45</v>
      </c>
      <c r="B7" s="53">
        <v>2</v>
      </c>
      <c r="C7" s="54"/>
      <c r="D7" s="55">
        <f>'FEBRUARY 21'!H7:H22</f>
        <v>0</v>
      </c>
      <c r="E7" s="18">
        <v>1500</v>
      </c>
      <c r="F7" s="16">
        <f t="shared" ref="F7:F21" si="1">C7+D7+E7</f>
        <v>1500</v>
      </c>
      <c r="G7" s="16"/>
      <c r="H7" s="17">
        <f t="shared" si="0"/>
        <v>1500</v>
      </c>
      <c r="I7" s="15"/>
      <c r="J7" t="s">
        <v>70</v>
      </c>
    </row>
    <row r="8" spans="1:10" x14ac:dyDescent="0.25">
      <c r="A8" s="19" t="s">
        <v>86</v>
      </c>
      <c r="B8" s="13">
        <v>3</v>
      </c>
      <c r="C8" s="14"/>
      <c r="D8" s="15">
        <f>'FEBRUARY 21'!H8:H23</f>
        <v>0</v>
      </c>
      <c r="E8" s="18">
        <v>1500</v>
      </c>
      <c r="F8" s="16">
        <f t="shared" si="1"/>
        <v>1500</v>
      </c>
      <c r="G8" s="16">
        <f>1500</f>
        <v>1500</v>
      </c>
      <c r="H8" s="17">
        <f t="shared" si="0"/>
        <v>0</v>
      </c>
      <c r="I8" s="15"/>
    </row>
    <row r="9" spans="1:10" x14ac:dyDescent="0.25">
      <c r="A9" s="20" t="s">
        <v>61</v>
      </c>
      <c r="B9" s="13">
        <v>4</v>
      </c>
      <c r="C9" s="14"/>
      <c r="D9" s="15">
        <f>'FEBRUARY 21'!H9:H24</f>
        <v>0</v>
      </c>
      <c r="E9" s="18">
        <v>1500</v>
      </c>
      <c r="F9" s="16">
        <f t="shared" si="1"/>
        <v>1500</v>
      </c>
      <c r="G9" s="16">
        <f>500+850+150</f>
        <v>1500</v>
      </c>
      <c r="H9" s="17">
        <f t="shared" si="0"/>
        <v>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'FEBRUARY 21'!H10:H25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10" x14ac:dyDescent="0.25">
      <c r="A11" s="12" t="s">
        <v>103</v>
      </c>
      <c r="B11" s="13">
        <v>6</v>
      </c>
      <c r="C11" s="14"/>
      <c r="D11" s="15">
        <f>'FEBRUARY 21'!H11:H26</f>
        <v>0</v>
      </c>
      <c r="E11" s="18">
        <v>1500</v>
      </c>
      <c r="F11" s="16">
        <f>C11+D11+E11</f>
        <v>1500</v>
      </c>
      <c r="G11" s="16">
        <f>250+1250</f>
        <v>1500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/>
      <c r="E12" s="18">
        <v>1500</v>
      </c>
      <c r="F12" s="16">
        <f>C12+D12+E12</f>
        <v>1500</v>
      </c>
      <c r="G12" s="16">
        <f>1300+200</f>
        <v>1500</v>
      </c>
      <c r="H12" s="17">
        <f t="shared" si="0"/>
        <v>0</v>
      </c>
      <c r="I12" s="15"/>
    </row>
    <row r="13" spans="1:10" x14ac:dyDescent="0.25">
      <c r="A13" s="21" t="s">
        <v>102</v>
      </c>
      <c r="B13" s="13">
        <v>8</v>
      </c>
      <c r="C13" s="14"/>
      <c r="D13" s="15">
        <f>'FEBRUARY 21'!H13:H28</f>
        <v>0</v>
      </c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10" x14ac:dyDescent="0.25">
      <c r="A14" s="21" t="s">
        <v>47</v>
      </c>
      <c r="B14" s="13">
        <v>9</v>
      </c>
      <c r="C14" s="14"/>
      <c r="D14" s="15">
        <f>'FEBRUARY 21'!H14:H29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'FEBRUARY 21'!H15:H30</f>
        <v>0</v>
      </c>
      <c r="E15" s="18">
        <v>1500</v>
      </c>
      <c r="F15" s="16">
        <f t="shared" si="1"/>
        <v>1500</v>
      </c>
      <c r="G15" s="16">
        <f>1500</f>
        <v>1500</v>
      </c>
      <c r="H15" s="17">
        <f t="shared" si="0"/>
        <v>0</v>
      </c>
      <c r="I15" s="15"/>
    </row>
    <row r="16" spans="1:10" x14ac:dyDescent="0.25">
      <c r="A16" s="24" t="s">
        <v>52</v>
      </c>
      <c r="B16" s="13">
        <v>11</v>
      </c>
      <c r="C16" s="14"/>
      <c r="D16" s="15">
        <f>'FEBRUARY 21'!H16:H31</f>
        <v>0</v>
      </c>
      <c r="E16" s="18">
        <v>1500</v>
      </c>
      <c r="F16" s="16">
        <f t="shared" si="1"/>
        <v>1500</v>
      </c>
      <c r="G16" s="16">
        <f>1000+500</f>
        <v>1500</v>
      </c>
      <c r="H16" s="17">
        <f t="shared" si="0"/>
        <v>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'FEBRUARY 21'!H17:H32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96</v>
      </c>
      <c r="B18" s="13">
        <v>13</v>
      </c>
      <c r="C18" s="14"/>
      <c r="D18" s="15">
        <f>'FEBRUARY 21'!H18:H33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ref="H18:H20" si="2">F18-G18</f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'FEBRUARY 21'!H19:H34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2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'FEBRUARY 21'!H20:H35</f>
        <v>0</v>
      </c>
      <c r="E20" s="18">
        <v>1500</v>
      </c>
      <c r="F20" s="16">
        <f t="shared" si="1"/>
        <v>1500</v>
      </c>
      <c r="G20" s="16">
        <f>1500</f>
        <v>1500</v>
      </c>
      <c r="H20" s="17">
        <f t="shared" si="2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'FEBRUARY 21'!H21:H36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3">SUM(C6:C21)</f>
        <v>0</v>
      </c>
      <c r="D22" s="15">
        <f>SUM(D6:D21)</f>
        <v>0</v>
      </c>
      <c r="E22" s="30">
        <f t="shared" si="3"/>
        <v>21000</v>
      </c>
      <c r="F22" s="16">
        <f t="shared" si="3"/>
        <v>21000</v>
      </c>
      <c r="G22" s="16">
        <f>SUM(G6:G21)</f>
        <v>19500</v>
      </c>
      <c r="H22" s="16">
        <f t="shared" si="3"/>
        <v>1500</v>
      </c>
      <c r="I22" s="15">
        <f t="shared" si="3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106</v>
      </c>
      <c r="B28" s="41">
        <f>E22</f>
        <v>21000</v>
      </c>
      <c r="C28" s="29"/>
      <c r="D28" s="29"/>
      <c r="E28" s="29" t="s">
        <v>106</v>
      </c>
      <c r="F28" s="41">
        <f>G22</f>
        <v>19500</v>
      </c>
      <c r="G28" s="29"/>
      <c r="H28" s="29"/>
      <c r="I28" s="37"/>
    </row>
    <row r="29" spans="1:10" x14ac:dyDescent="0.25">
      <c r="A29" s="29" t="s">
        <v>19</v>
      </c>
      <c r="B29" s="41">
        <f>'FEBRUARY 21'!D41</f>
        <v>-2127</v>
      </c>
      <c r="C29" s="29"/>
      <c r="D29" s="29"/>
      <c r="E29" s="29" t="s">
        <v>19</v>
      </c>
      <c r="F29" s="41">
        <f>'FEBRUARY 21'!H41</f>
        <v>-2127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0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0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0" x14ac:dyDescent="0.25">
      <c r="A35" s="44" t="s">
        <v>108</v>
      </c>
      <c r="B35">
        <v>150</v>
      </c>
      <c r="C35" s="45"/>
      <c r="D35" s="29"/>
      <c r="E35" s="44" t="s">
        <v>108</v>
      </c>
      <c r="F35">
        <v>150</v>
      </c>
      <c r="G35" s="45"/>
      <c r="H35" s="29"/>
      <c r="I35" s="3"/>
    </row>
    <row r="36" spans="1:10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0" x14ac:dyDescent="0.25">
      <c r="A37" s="43" t="s">
        <v>109</v>
      </c>
      <c r="B37" s="42"/>
      <c r="C37" s="29">
        <v>16773</v>
      </c>
      <c r="D37" s="29"/>
      <c r="E37" s="43" t="s">
        <v>109</v>
      </c>
      <c r="F37" s="42"/>
      <c r="G37" s="29">
        <v>16773</v>
      </c>
      <c r="H37" s="29"/>
      <c r="I37" s="37"/>
    </row>
    <row r="38" spans="1:10" x14ac:dyDescent="0.25">
      <c r="A38" s="43" t="s">
        <v>110</v>
      </c>
      <c r="B38" s="42"/>
      <c r="C38" s="29">
        <v>1500</v>
      </c>
      <c r="D38" s="29"/>
      <c r="E38" s="43"/>
      <c r="F38" s="42"/>
      <c r="G38" s="29"/>
      <c r="H38" s="29"/>
      <c r="I38" s="46"/>
      <c r="J38" s="31"/>
    </row>
    <row r="39" spans="1:10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0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0" x14ac:dyDescent="0.25">
      <c r="A41" s="40" t="s">
        <v>25</v>
      </c>
      <c r="B41" s="48">
        <f>B32+B28+B29+B30+B31+B35-C33</f>
        <v>16923</v>
      </c>
      <c r="C41" s="48">
        <f>SUM(C35:C40)</f>
        <v>18273</v>
      </c>
      <c r="D41" s="48">
        <f>B41-C41</f>
        <v>-1350</v>
      </c>
      <c r="E41" s="40" t="s">
        <v>25</v>
      </c>
      <c r="F41" s="48">
        <f>F28+F29+F32+F31+F35-G33</f>
        <v>15423</v>
      </c>
      <c r="G41" s="48">
        <f>SUM(G35:G40)</f>
        <v>16773</v>
      </c>
      <c r="H41" s="48">
        <f>F41-G41</f>
        <v>-1350</v>
      </c>
      <c r="I41" s="46"/>
      <c r="J41" s="47"/>
    </row>
    <row r="42" spans="1:10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0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E12" sqref="E12"/>
    </sheetView>
  </sheetViews>
  <sheetFormatPr defaultRowHeight="15" x14ac:dyDescent="0.25"/>
  <cols>
    <col min="1" max="1" width="18.28515625" customWidth="1"/>
  </cols>
  <sheetData>
    <row r="2" spans="1:10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10" ht="15.75" x14ac:dyDescent="0.25">
      <c r="B3" s="1" t="s">
        <v>0</v>
      </c>
      <c r="D3" s="1"/>
      <c r="E3" s="1"/>
      <c r="F3" s="4"/>
      <c r="G3" s="3"/>
      <c r="H3" s="3"/>
      <c r="I3" s="3"/>
    </row>
    <row r="4" spans="1:10" ht="15.75" x14ac:dyDescent="0.25">
      <c r="A4" s="3"/>
      <c r="B4" s="1" t="s">
        <v>111</v>
      </c>
      <c r="C4" s="1"/>
      <c r="D4" s="52"/>
      <c r="E4" s="1"/>
      <c r="F4" s="6"/>
      <c r="G4" s="7"/>
      <c r="H4" s="3"/>
      <c r="I4" s="3"/>
    </row>
    <row r="5" spans="1:10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10" x14ac:dyDescent="0.25">
      <c r="A6" s="12" t="s">
        <v>50</v>
      </c>
      <c r="B6" s="13">
        <v>1</v>
      </c>
      <c r="C6" s="14"/>
      <c r="D6" s="15">
        <f>'MARCH 21'!H6:H22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10" x14ac:dyDescent="0.25">
      <c r="A7" s="61" t="s">
        <v>115</v>
      </c>
      <c r="B7" s="13">
        <v>2</v>
      </c>
      <c r="C7" s="14"/>
      <c r="D7" s="15"/>
      <c r="E7" s="18">
        <v>1500</v>
      </c>
      <c r="F7" s="16">
        <f t="shared" ref="F7:F21" si="1">C7+D7+E7</f>
        <v>1500</v>
      </c>
      <c r="G7" s="16">
        <v>1500</v>
      </c>
      <c r="H7" s="17">
        <f t="shared" si="0"/>
        <v>0</v>
      </c>
      <c r="I7" s="15"/>
    </row>
    <row r="8" spans="1:10" x14ac:dyDescent="0.25">
      <c r="A8" s="19" t="s">
        <v>86</v>
      </c>
      <c r="B8" s="13">
        <v>3</v>
      </c>
      <c r="C8" s="14"/>
      <c r="D8" s="15">
        <f>'MARCH 21'!H8:H24</f>
        <v>0</v>
      </c>
      <c r="E8" s="18">
        <v>1500</v>
      </c>
      <c r="F8" s="16">
        <f t="shared" si="1"/>
        <v>1500</v>
      </c>
      <c r="G8" s="16">
        <f>1500</f>
        <v>1500</v>
      </c>
      <c r="H8" s="17">
        <f t="shared" si="0"/>
        <v>0</v>
      </c>
      <c r="I8" s="15"/>
    </row>
    <row r="9" spans="1:10" x14ac:dyDescent="0.25">
      <c r="A9" s="20" t="s">
        <v>61</v>
      </c>
      <c r="B9" s="13">
        <v>4</v>
      </c>
      <c r="C9" s="14"/>
      <c r="D9" s="15">
        <f>'MARCH 21'!H9:H25</f>
        <v>0</v>
      </c>
      <c r="E9" s="18">
        <v>1500</v>
      </c>
      <c r="F9" s="16">
        <f t="shared" si="1"/>
        <v>1500</v>
      </c>
      <c r="G9" s="16">
        <f>550+250+100+300+150</f>
        <v>1350</v>
      </c>
      <c r="H9" s="17">
        <f t="shared" si="0"/>
        <v>150</v>
      </c>
      <c r="I9" s="15"/>
    </row>
    <row r="10" spans="1:10" x14ac:dyDescent="0.25">
      <c r="A10" s="20" t="s">
        <v>51</v>
      </c>
      <c r="B10" s="13">
        <v>5</v>
      </c>
      <c r="C10" s="14"/>
      <c r="D10" s="15">
        <f>'MARCH 21'!H10:H26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10" x14ac:dyDescent="0.25">
      <c r="A11" s="60" t="s">
        <v>116</v>
      </c>
      <c r="B11" s="13">
        <v>6</v>
      </c>
      <c r="C11" s="14"/>
      <c r="D11" s="15">
        <f>'MARCH 21'!H11:H27</f>
        <v>0</v>
      </c>
      <c r="E11" s="18">
        <f>400+600</f>
        <v>1000</v>
      </c>
      <c r="F11" s="16">
        <f>C11+D11+E11</f>
        <v>1000</v>
      </c>
      <c r="G11" s="16">
        <f>400+600</f>
        <v>1000</v>
      </c>
      <c r="H11" s="17">
        <f t="shared" si="0"/>
        <v>0</v>
      </c>
      <c r="I11" s="15"/>
    </row>
    <row r="12" spans="1:10" x14ac:dyDescent="0.25">
      <c r="A12" s="22" t="s">
        <v>113</v>
      </c>
      <c r="B12" s="13">
        <v>7</v>
      </c>
      <c r="C12" s="14"/>
      <c r="D12" s="15">
        <f>'MARCH 21'!H12:H28</f>
        <v>0</v>
      </c>
      <c r="E12" s="18">
        <v>1500</v>
      </c>
      <c r="F12" s="16">
        <f>C12+D12+E12</f>
        <v>1500</v>
      </c>
      <c r="G12" s="57">
        <f>1300+200</f>
        <v>1500</v>
      </c>
      <c r="H12" s="17">
        <f t="shared" si="0"/>
        <v>0</v>
      </c>
      <c r="I12" s="15"/>
    </row>
    <row r="13" spans="1:10" x14ac:dyDescent="0.25">
      <c r="A13" s="63" t="s">
        <v>102</v>
      </c>
      <c r="B13" s="13">
        <v>8</v>
      </c>
      <c r="C13" s="14"/>
      <c r="D13" s="15">
        <f>'MARCH 21'!H13:H29</f>
        <v>0</v>
      </c>
      <c r="E13" s="56"/>
      <c r="F13" s="16">
        <f t="shared" si="1"/>
        <v>0</v>
      </c>
      <c r="G13" s="16"/>
      <c r="H13" s="17">
        <f t="shared" si="0"/>
        <v>0</v>
      </c>
      <c r="I13" s="15"/>
      <c r="J13" t="s">
        <v>70</v>
      </c>
    </row>
    <row r="14" spans="1:10" x14ac:dyDescent="0.25">
      <c r="A14" s="21" t="s">
        <v>47</v>
      </c>
      <c r="B14" s="13">
        <v>9</v>
      </c>
      <c r="C14" s="14"/>
      <c r="D14" s="15">
        <f>'MARCH 21'!H14:H30</f>
        <v>0</v>
      </c>
      <c r="E14" s="18">
        <v>1500</v>
      </c>
      <c r="F14" s="16">
        <f t="shared" si="1"/>
        <v>1500</v>
      </c>
      <c r="G14" s="16">
        <v>1500</v>
      </c>
      <c r="H14" s="17">
        <f t="shared" si="0"/>
        <v>0</v>
      </c>
      <c r="I14" s="15"/>
    </row>
    <row r="15" spans="1:10" x14ac:dyDescent="0.25">
      <c r="A15" s="22" t="s">
        <v>48</v>
      </c>
      <c r="B15" s="23">
        <v>10</v>
      </c>
      <c r="C15" s="14"/>
      <c r="D15" s="15">
        <f>'MARCH 21'!H15:H31</f>
        <v>0</v>
      </c>
      <c r="E15" s="18">
        <v>1500</v>
      </c>
      <c r="F15" s="16">
        <f t="shared" si="1"/>
        <v>1500</v>
      </c>
      <c r="G15" s="16">
        <f>500+1000</f>
        <v>1500</v>
      </c>
      <c r="H15" s="17">
        <f t="shared" si="0"/>
        <v>0</v>
      </c>
      <c r="I15" s="15"/>
    </row>
    <row r="16" spans="1:10" x14ac:dyDescent="0.25">
      <c r="A16" s="24" t="s">
        <v>52</v>
      </c>
      <c r="B16" s="13">
        <v>11</v>
      </c>
      <c r="C16" s="14"/>
      <c r="D16" s="15">
        <f>'MARCH 21'!H16:H32</f>
        <v>0</v>
      </c>
      <c r="E16" s="18">
        <v>1500</v>
      </c>
      <c r="F16" s="16">
        <f t="shared" si="1"/>
        <v>1500</v>
      </c>
      <c r="G16" s="16">
        <v>1500</v>
      </c>
      <c r="H16" s="17">
        <f t="shared" si="0"/>
        <v>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'MARCH 21'!H17:H33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96</v>
      </c>
      <c r="B18" s="13">
        <v>13</v>
      </c>
      <c r="C18" s="14"/>
      <c r="D18" s="15">
        <f>'MARCH 21'!H18:H34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'MARCH 21'!H19:H35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'MARCH 21'!H20:H36</f>
        <v>0</v>
      </c>
      <c r="E20" s="18">
        <v>1500</v>
      </c>
      <c r="F20" s="16">
        <f t="shared" si="1"/>
        <v>1500</v>
      </c>
      <c r="G20" s="16">
        <f>1500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'MARCH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'MARCH 21'!H22:H38</f>
        <v>1500</v>
      </c>
      <c r="E22" s="30">
        <f t="shared" si="2"/>
        <v>19000</v>
      </c>
      <c r="F22" s="16">
        <f t="shared" si="2"/>
        <v>19000</v>
      </c>
      <c r="G22" s="16">
        <f>SUM(G6:G21)</f>
        <v>18850</v>
      </c>
      <c r="H22" s="16">
        <f t="shared" si="2"/>
        <v>150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112</v>
      </c>
      <c r="B28" s="41">
        <f>E22</f>
        <v>19000</v>
      </c>
      <c r="C28" s="29"/>
      <c r="D28" s="29"/>
      <c r="E28" s="29" t="s">
        <v>112</v>
      </c>
      <c r="F28" s="41">
        <f>G22</f>
        <v>18850</v>
      </c>
      <c r="G28" s="29"/>
      <c r="H28" s="29"/>
      <c r="I28" s="37"/>
    </row>
    <row r="29" spans="1:10" x14ac:dyDescent="0.25">
      <c r="A29" s="29" t="s">
        <v>19</v>
      </c>
      <c r="B29" s="41">
        <f>'MARCH 21'!D41</f>
        <v>-1350</v>
      </c>
      <c r="C29" s="29"/>
      <c r="D29" s="29"/>
      <c r="E29" s="29" t="s">
        <v>19</v>
      </c>
      <c r="F29" s="41">
        <f>'MARCH 21'!H41</f>
        <v>-1350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2" x14ac:dyDescent="0.25">
      <c r="A33" s="29" t="s">
        <v>21</v>
      </c>
      <c r="B33" s="42">
        <v>0.1</v>
      </c>
      <c r="C33" s="41">
        <f>B33*B28</f>
        <v>1900</v>
      </c>
      <c r="D33" s="29"/>
      <c r="E33" s="29" t="s">
        <v>21</v>
      </c>
      <c r="F33" s="42">
        <v>0.1</v>
      </c>
      <c r="G33" s="41">
        <f>F33*B28</f>
        <v>1900</v>
      </c>
      <c r="H33" s="29"/>
      <c r="I33" s="3"/>
    </row>
    <row r="34" spans="1:12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  <c r="L34" s="62"/>
    </row>
    <row r="35" spans="1:12" x14ac:dyDescent="0.25">
      <c r="A35" s="44"/>
      <c r="C35" s="45"/>
      <c r="D35" s="29"/>
      <c r="E35" s="44"/>
      <c r="G35" s="45"/>
      <c r="H35" s="29"/>
      <c r="I35" s="3"/>
    </row>
    <row r="36" spans="1:12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2" x14ac:dyDescent="0.25">
      <c r="A37" s="43" t="s">
        <v>114</v>
      </c>
      <c r="B37" s="42"/>
      <c r="C37" s="29">
        <v>15210</v>
      </c>
      <c r="D37" s="29"/>
      <c r="E37" s="43" t="s">
        <v>114</v>
      </c>
      <c r="F37" s="42"/>
      <c r="G37" s="29">
        <v>15210</v>
      </c>
      <c r="H37" s="29"/>
      <c r="I37" s="37"/>
    </row>
    <row r="38" spans="1:12" x14ac:dyDescent="0.25">
      <c r="A38" s="43"/>
      <c r="B38" s="42"/>
      <c r="C38" s="29"/>
      <c r="D38" s="29"/>
      <c r="E38" s="43"/>
      <c r="F38" s="42"/>
      <c r="G38" s="29"/>
      <c r="H38" s="29"/>
      <c r="I38" s="46"/>
      <c r="J38" s="31"/>
    </row>
    <row r="39" spans="1:12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2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2" x14ac:dyDescent="0.25">
      <c r="A41" s="40" t="s">
        <v>25</v>
      </c>
      <c r="B41" s="48">
        <f>B32+B28+B29+B30+B31+B35-C33</f>
        <v>15750</v>
      </c>
      <c r="C41" s="48">
        <f>SUM(C35:C40)</f>
        <v>15210</v>
      </c>
      <c r="D41" s="48">
        <f>B41-C41</f>
        <v>540</v>
      </c>
      <c r="E41" s="40" t="s">
        <v>25</v>
      </c>
      <c r="F41" s="48">
        <f>F28+F29+F32+F31+F35-G33</f>
        <v>15600</v>
      </c>
      <c r="G41" s="48">
        <f>SUM(G35:G40)</f>
        <v>15210</v>
      </c>
      <c r="H41" s="48">
        <f>F41-G41</f>
        <v>390</v>
      </c>
      <c r="I41" s="46"/>
      <c r="J41" s="47"/>
    </row>
    <row r="42" spans="1:12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2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7" workbookViewId="0">
      <selection activeCell="I44" sqref="I44"/>
    </sheetView>
  </sheetViews>
  <sheetFormatPr defaultRowHeight="15" x14ac:dyDescent="0.25"/>
  <cols>
    <col min="1" max="1" width="17.28515625" customWidth="1"/>
  </cols>
  <sheetData>
    <row r="2" spans="1:9" ht="15.75" x14ac:dyDescent="0.25">
      <c r="B2" s="1" t="s">
        <v>32</v>
      </c>
      <c r="C2" s="1"/>
      <c r="D2" s="1"/>
      <c r="E2" s="1"/>
      <c r="F2" s="2"/>
      <c r="G2" s="3"/>
      <c r="H2" s="3"/>
      <c r="I2" s="3"/>
    </row>
    <row r="3" spans="1:9" ht="15.75" x14ac:dyDescent="0.25">
      <c r="B3" s="1" t="s">
        <v>0</v>
      </c>
      <c r="D3" s="1"/>
      <c r="E3" s="1"/>
      <c r="F3" s="4"/>
      <c r="G3" s="3"/>
      <c r="H3" s="3"/>
      <c r="I3" s="3"/>
    </row>
    <row r="4" spans="1:9" ht="15.75" x14ac:dyDescent="0.25">
      <c r="A4" s="3"/>
      <c r="B4" s="1" t="s">
        <v>119</v>
      </c>
      <c r="C4" s="1"/>
      <c r="D4" s="52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9" t="s">
        <v>6</v>
      </c>
      <c r="G5" s="10" t="s">
        <v>7</v>
      </c>
      <c r="H5" s="11" t="s">
        <v>8</v>
      </c>
      <c r="I5" s="9" t="s">
        <v>9</v>
      </c>
    </row>
    <row r="6" spans="1:9" x14ac:dyDescent="0.25">
      <c r="A6" s="12" t="s">
        <v>50</v>
      </c>
      <c r="B6" s="13">
        <v>1</v>
      </c>
      <c r="C6" s="14"/>
      <c r="D6" s="15">
        <f>APRIL21!H6:H21</f>
        <v>0</v>
      </c>
      <c r="E6" s="16">
        <v>1500</v>
      </c>
      <c r="F6" s="16">
        <f>C6+D6+E6</f>
        <v>1500</v>
      </c>
      <c r="G6" s="16">
        <f>1500</f>
        <v>1500</v>
      </c>
      <c r="H6" s="17">
        <f t="shared" ref="H6:H20" si="0">F6-G6</f>
        <v>0</v>
      </c>
      <c r="I6" s="15"/>
    </row>
    <row r="7" spans="1:9" x14ac:dyDescent="0.25">
      <c r="A7" s="3" t="s">
        <v>115</v>
      </c>
      <c r="B7" s="13">
        <v>2</v>
      </c>
      <c r="C7" s="14"/>
      <c r="D7" s="15">
        <f>APRIL21!H7:H22</f>
        <v>0</v>
      </c>
      <c r="E7" s="18">
        <v>1500</v>
      </c>
      <c r="F7" s="16">
        <f t="shared" ref="F7:F21" si="1">C7+D7+E7</f>
        <v>1500</v>
      </c>
      <c r="G7" s="16">
        <v>1500</v>
      </c>
      <c r="H7" s="17">
        <f t="shared" si="0"/>
        <v>0</v>
      </c>
      <c r="I7" s="15"/>
    </row>
    <row r="8" spans="1:9" x14ac:dyDescent="0.25">
      <c r="A8" s="19" t="s">
        <v>86</v>
      </c>
      <c r="B8" s="13">
        <v>3</v>
      </c>
      <c r="C8" s="14"/>
      <c r="D8" s="15">
        <f>APRIL21!H8:H23</f>
        <v>0</v>
      </c>
      <c r="E8" s="18">
        <v>1500</v>
      </c>
      <c r="F8" s="16">
        <f t="shared" si="1"/>
        <v>1500</v>
      </c>
      <c r="G8" s="16">
        <f>1000</f>
        <v>1000</v>
      </c>
      <c r="H8" s="17">
        <f t="shared" si="0"/>
        <v>500</v>
      </c>
      <c r="I8" s="15"/>
    </row>
    <row r="9" spans="1:9" x14ac:dyDescent="0.25">
      <c r="A9" s="20" t="s">
        <v>61</v>
      </c>
      <c r="B9" s="13">
        <v>4</v>
      </c>
      <c r="C9" s="14"/>
      <c r="D9" s="15">
        <f>APRIL21!H9:H24</f>
        <v>150</v>
      </c>
      <c r="E9" s="18">
        <v>1500</v>
      </c>
      <c r="F9" s="16">
        <f t="shared" si="1"/>
        <v>1650</v>
      </c>
      <c r="G9" s="16">
        <f>650+250+200+550</f>
        <v>1650</v>
      </c>
      <c r="H9" s="17">
        <f t="shared" si="0"/>
        <v>0</v>
      </c>
      <c r="I9" s="15"/>
    </row>
    <row r="10" spans="1:9" x14ac:dyDescent="0.25">
      <c r="A10" s="20" t="s">
        <v>51</v>
      </c>
      <c r="B10" s="13">
        <v>5</v>
      </c>
      <c r="C10" s="14"/>
      <c r="D10" s="15">
        <f>APRIL21!H10:H25</f>
        <v>0</v>
      </c>
      <c r="E10" s="18">
        <v>1500</v>
      </c>
      <c r="F10" s="16">
        <f t="shared" si="1"/>
        <v>1500</v>
      </c>
      <c r="G10" s="16">
        <f>1500</f>
        <v>1500</v>
      </c>
      <c r="H10" s="17">
        <f t="shared" si="0"/>
        <v>0</v>
      </c>
      <c r="I10" s="15"/>
    </row>
    <row r="11" spans="1:9" x14ac:dyDescent="0.25">
      <c r="A11" s="24" t="s">
        <v>117</v>
      </c>
      <c r="B11" s="13">
        <v>6</v>
      </c>
      <c r="C11" s="14"/>
      <c r="D11" s="15">
        <f>APRIL21!H11:H26</f>
        <v>0</v>
      </c>
      <c r="E11" s="18">
        <v>1500</v>
      </c>
      <c r="F11" s="16">
        <f>C11+D11+E11</f>
        <v>1500</v>
      </c>
      <c r="G11" s="16">
        <f>1500</f>
        <v>1500</v>
      </c>
      <c r="H11" s="17">
        <f t="shared" si="0"/>
        <v>0</v>
      </c>
      <c r="I11" s="15"/>
    </row>
    <row r="12" spans="1:9" x14ac:dyDescent="0.25">
      <c r="A12" s="22" t="s">
        <v>113</v>
      </c>
      <c r="B12" s="13">
        <v>7</v>
      </c>
      <c r="C12" s="14"/>
      <c r="D12" s="15">
        <f>APRIL21!H12:H27</f>
        <v>0</v>
      </c>
      <c r="E12" s="18">
        <v>1500</v>
      </c>
      <c r="F12" s="16">
        <f>C12+D12+E12</f>
        <v>1500</v>
      </c>
      <c r="G12" s="57">
        <v>1500</v>
      </c>
      <c r="H12" s="17">
        <f t="shared" si="0"/>
        <v>0</v>
      </c>
      <c r="I12" s="15"/>
    </row>
    <row r="13" spans="1:9" x14ac:dyDescent="0.25">
      <c r="A13" s="21" t="s">
        <v>118</v>
      </c>
      <c r="B13" s="13">
        <v>8</v>
      </c>
      <c r="C13" s="14"/>
      <c r="D13" s="15"/>
      <c r="E13" s="18">
        <v>1500</v>
      </c>
      <c r="F13" s="16">
        <f t="shared" si="1"/>
        <v>1500</v>
      </c>
      <c r="G13" s="16">
        <v>1500</v>
      </c>
      <c r="H13" s="17">
        <f t="shared" si="0"/>
        <v>0</v>
      </c>
      <c r="I13" s="15"/>
    </row>
    <row r="14" spans="1:9" x14ac:dyDescent="0.25">
      <c r="A14" s="21" t="s">
        <v>47</v>
      </c>
      <c r="B14" s="13">
        <v>9</v>
      </c>
      <c r="C14" s="14"/>
      <c r="D14" s="15">
        <f>APRIL21!H14:H29</f>
        <v>0</v>
      </c>
      <c r="E14" s="18">
        <v>1500</v>
      </c>
      <c r="F14" s="16">
        <f t="shared" si="1"/>
        <v>1500</v>
      </c>
      <c r="G14" s="16">
        <f>1500</f>
        <v>1500</v>
      </c>
      <c r="H14" s="17">
        <f t="shared" si="0"/>
        <v>0</v>
      </c>
      <c r="I14" s="15"/>
    </row>
    <row r="15" spans="1:9" x14ac:dyDescent="0.25">
      <c r="A15" s="22" t="s">
        <v>48</v>
      </c>
      <c r="B15" s="23">
        <v>10</v>
      </c>
      <c r="C15" s="14"/>
      <c r="D15" s="15">
        <f>APRIL21!H15:H30</f>
        <v>0</v>
      </c>
      <c r="E15" s="18">
        <v>1500</v>
      </c>
      <c r="F15" s="16">
        <f t="shared" si="1"/>
        <v>1500</v>
      </c>
      <c r="G15" s="16">
        <f>1200+300</f>
        <v>1500</v>
      </c>
      <c r="H15" s="17">
        <f t="shared" si="0"/>
        <v>0</v>
      </c>
      <c r="I15" s="15"/>
    </row>
    <row r="16" spans="1:9" x14ac:dyDescent="0.25">
      <c r="A16" s="24" t="s">
        <v>52</v>
      </c>
      <c r="B16" s="13">
        <v>11</v>
      </c>
      <c r="C16" s="14"/>
      <c r="D16" s="15">
        <f>APRIL21!H16:H31</f>
        <v>0</v>
      </c>
      <c r="E16" s="18">
        <v>1500</v>
      </c>
      <c r="F16" s="16">
        <f t="shared" si="1"/>
        <v>1500</v>
      </c>
      <c r="G16" s="16">
        <f>500+500</f>
        <v>1000</v>
      </c>
      <c r="H16" s="17">
        <f t="shared" si="0"/>
        <v>500</v>
      </c>
      <c r="I16" s="15"/>
    </row>
    <row r="17" spans="1:10" x14ac:dyDescent="0.25">
      <c r="A17" s="60" t="s">
        <v>40</v>
      </c>
      <c r="B17" s="13">
        <v>12</v>
      </c>
      <c r="C17" s="14"/>
      <c r="D17" s="15">
        <f>APRIL21!H17:H32</f>
        <v>0</v>
      </c>
      <c r="E17" s="18"/>
      <c r="F17" s="16">
        <f t="shared" si="1"/>
        <v>0</v>
      </c>
      <c r="G17" s="16"/>
      <c r="H17" s="17">
        <f t="shared" si="0"/>
        <v>0</v>
      </c>
      <c r="I17" s="15"/>
    </row>
    <row r="18" spans="1:10" x14ac:dyDescent="0.25">
      <c r="A18" s="22" t="s">
        <v>96</v>
      </c>
      <c r="B18" s="13">
        <v>13</v>
      </c>
      <c r="C18" s="14"/>
      <c r="D18" s="15">
        <f>APRIL21!H18:H33</f>
        <v>0</v>
      </c>
      <c r="E18" s="18">
        <v>1500</v>
      </c>
      <c r="F18" s="16">
        <f t="shared" si="1"/>
        <v>1500</v>
      </c>
      <c r="G18" s="16">
        <f>1500</f>
        <v>1500</v>
      </c>
      <c r="H18" s="17">
        <f t="shared" si="0"/>
        <v>0</v>
      </c>
      <c r="I18" s="15"/>
    </row>
    <row r="19" spans="1:10" x14ac:dyDescent="0.25">
      <c r="A19" s="19" t="s">
        <v>95</v>
      </c>
      <c r="B19" s="13">
        <v>14</v>
      </c>
      <c r="C19" s="14"/>
      <c r="D19" s="15">
        <f>APRIL21!H19:H34</f>
        <v>0</v>
      </c>
      <c r="E19" s="18">
        <v>1500</v>
      </c>
      <c r="F19" s="16">
        <f t="shared" si="1"/>
        <v>1500</v>
      </c>
      <c r="G19" s="16">
        <f>1500</f>
        <v>1500</v>
      </c>
      <c r="H19" s="17">
        <f t="shared" si="0"/>
        <v>0</v>
      </c>
      <c r="I19" s="15"/>
    </row>
    <row r="20" spans="1:10" x14ac:dyDescent="0.25">
      <c r="A20" s="12" t="s">
        <v>87</v>
      </c>
      <c r="B20" s="13">
        <v>15</v>
      </c>
      <c r="C20" s="14"/>
      <c r="D20" s="15">
        <f>APRIL21!H20:H35</f>
        <v>0</v>
      </c>
      <c r="E20" s="18">
        <v>1500</v>
      </c>
      <c r="F20" s="16">
        <f t="shared" si="1"/>
        <v>1500</v>
      </c>
      <c r="G20" s="16">
        <f>1500</f>
        <v>1500</v>
      </c>
      <c r="H20" s="17">
        <f t="shared" si="0"/>
        <v>0</v>
      </c>
      <c r="I20" s="15"/>
    </row>
    <row r="21" spans="1:10" x14ac:dyDescent="0.25">
      <c r="A21" s="25" t="s">
        <v>85</v>
      </c>
      <c r="B21" s="26">
        <v>16</v>
      </c>
      <c r="C21" s="14"/>
      <c r="D21" s="15">
        <f>'MARCH 21'!H21:H37</f>
        <v>0</v>
      </c>
      <c r="E21" s="18"/>
      <c r="F21" s="16">
        <f t="shared" si="1"/>
        <v>0</v>
      </c>
      <c r="G21" s="16"/>
      <c r="H21" s="17">
        <f>F21-G21</f>
        <v>0</v>
      </c>
      <c r="I21" s="15"/>
    </row>
    <row r="22" spans="1:10" x14ac:dyDescent="0.25">
      <c r="A22" s="28" t="s">
        <v>25</v>
      </c>
      <c r="B22" s="29"/>
      <c r="C22" s="14">
        <f t="shared" ref="C22:I22" si="2">SUM(C6:C21)</f>
        <v>0</v>
      </c>
      <c r="D22" s="15">
        <f>SUM(D6:D21)</f>
        <v>150</v>
      </c>
      <c r="E22" s="30">
        <f t="shared" si="2"/>
        <v>21000</v>
      </c>
      <c r="F22" s="16">
        <f t="shared" si="2"/>
        <v>21150</v>
      </c>
      <c r="G22" s="16">
        <f>SUM(G6:G21)</f>
        <v>20150</v>
      </c>
      <c r="H22" s="16">
        <f t="shared" si="2"/>
        <v>1000</v>
      </c>
      <c r="I22" s="15">
        <f t="shared" si="2"/>
        <v>0</v>
      </c>
    </row>
    <row r="23" spans="1:10" x14ac:dyDescent="0.25">
      <c r="D23" s="15"/>
      <c r="H23" s="31"/>
      <c r="I23" s="3"/>
    </row>
    <row r="25" spans="1:10" x14ac:dyDescent="0.25">
      <c r="A25" s="3" t="s">
        <v>13</v>
      </c>
      <c r="B25" s="32"/>
      <c r="C25" s="33"/>
      <c r="D25" s="34"/>
      <c r="E25" s="35"/>
      <c r="F25" s="36"/>
      <c r="G25" s="35"/>
      <c r="H25" s="37"/>
      <c r="I25" s="3"/>
    </row>
    <row r="26" spans="1:10" x14ac:dyDescent="0.25">
      <c r="A26" s="38" t="s">
        <v>14</v>
      </c>
      <c r="B26" s="38"/>
      <c r="C26" s="38"/>
      <c r="D26" s="39"/>
      <c r="E26" s="38" t="s">
        <v>7</v>
      </c>
      <c r="F26" s="3"/>
      <c r="G26" s="3"/>
      <c r="H26" s="3"/>
      <c r="I26" s="3"/>
    </row>
    <row r="27" spans="1:10" x14ac:dyDescent="0.25">
      <c r="A27" s="40" t="s">
        <v>15</v>
      </c>
      <c r="B27" s="40" t="s">
        <v>16</v>
      </c>
      <c r="C27" s="40" t="s">
        <v>17</v>
      </c>
      <c r="D27" s="40" t="s">
        <v>18</v>
      </c>
      <c r="E27" s="40" t="s">
        <v>15</v>
      </c>
      <c r="F27" s="40" t="s">
        <v>16</v>
      </c>
      <c r="G27" s="40" t="s">
        <v>17</v>
      </c>
      <c r="H27" s="40" t="s">
        <v>18</v>
      </c>
      <c r="I27" s="3"/>
    </row>
    <row r="28" spans="1:10" x14ac:dyDescent="0.25">
      <c r="A28" s="29" t="s">
        <v>120</v>
      </c>
      <c r="B28" s="41">
        <f>E22</f>
        <v>21000</v>
      </c>
      <c r="C28" s="29"/>
      <c r="D28" s="29"/>
      <c r="E28" s="29" t="s">
        <v>120</v>
      </c>
      <c r="F28" s="41">
        <f>G22</f>
        <v>20150</v>
      </c>
      <c r="G28" s="29"/>
      <c r="H28" s="29"/>
      <c r="I28" s="37"/>
    </row>
    <row r="29" spans="1:10" x14ac:dyDescent="0.25">
      <c r="A29" s="29" t="s">
        <v>19</v>
      </c>
      <c r="B29" s="41">
        <f>APRIL21!D41</f>
        <v>540</v>
      </c>
      <c r="C29" s="29"/>
      <c r="D29" s="29"/>
      <c r="E29" s="29" t="s">
        <v>19</v>
      </c>
      <c r="F29" s="41">
        <f>APRIL21!H41</f>
        <v>390</v>
      </c>
      <c r="G29" s="29"/>
      <c r="H29" s="29"/>
      <c r="I29" s="37"/>
    </row>
    <row r="30" spans="1:10" x14ac:dyDescent="0.25">
      <c r="A30" s="29" t="s">
        <v>9</v>
      </c>
      <c r="B30" s="41"/>
      <c r="C30" s="29"/>
      <c r="D30" s="29"/>
      <c r="E30" s="29"/>
      <c r="F30" s="41"/>
      <c r="G30" s="29"/>
      <c r="H30" s="29"/>
      <c r="I30" s="37" t="s">
        <v>20</v>
      </c>
      <c r="J30" s="47"/>
    </row>
    <row r="31" spans="1:10" x14ac:dyDescent="0.25">
      <c r="A31" s="29"/>
      <c r="B31" s="41"/>
      <c r="C31" s="29"/>
      <c r="D31" s="29"/>
      <c r="E31" s="29"/>
      <c r="F31" s="41"/>
      <c r="G31" s="29"/>
      <c r="H31" s="29"/>
      <c r="I31" s="37"/>
      <c r="J31" s="47"/>
    </row>
    <row r="32" spans="1:10" x14ac:dyDescent="0.25">
      <c r="A32" s="29"/>
      <c r="B32" s="41"/>
      <c r="C32" s="29"/>
      <c r="D32" s="29"/>
      <c r="E32" s="29"/>
      <c r="F32" s="41"/>
      <c r="G32" s="29"/>
      <c r="H32" s="29"/>
      <c r="I32" s="3"/>
      <c r="J32" s="47"/>
    </row>
    <row r="33" spans="1:12" x14ac:dyDescent="0.25">
      <c r="A33" s="29" t="s">
        <v>21</v>
      </c>
      <c r="B33" s="42">
        <v>0.1</v>
      </c>
      <c r="C33" s="41">
        <f>B33*B28</f>
        <v>2100</v>
      </c>
      <c r="D33" s="29"/>
      <c r="E33" s="29" t="s">
        <v>21</v>
      </c>
      <c r="F33" s="42">
        <v>0.1</v>
      </c>
      <c r="G33" s="41">
        <f>F33*B28</f>
        <v>2100</v>
      </c>
      <c r="H33" s="29"/>
      <c r="I33" s="3"/>
    </row>
    <row r="34" spans="1:12" x14ac:dyDescent="0.25">
      <c r="A34" s="40" t="s">
        <v>22</v>
      </c>
      <c r="B34" s="29" t="s">
        <v>23</v>
      </c>
      <c r="C34" s="29"/>
      <c r="D34" s="29"/>
      <c r="E34" s="40" t="s">
        <v>22</v>
      </c>
      <c r="F34" s="43"/>
      <c r="G34" s="29"/>
      <c r="H34" s="29"/>
      <c r="I34" s="37"/>
      <c r="J34" s="47"/>
    </row>
    <row r="35" spans="1:12" x14ac:dyDescent="0.25">
      <c r="A35" s="44" t="s">
        <v>82</v>
      </c>
      <c r="C35" s="45"/>
      <c r="D35" s="29"/>
      <c r="E35" s="44" t="s">
        <v>82</v>
      </c>
      <c r="G35" s="45"/>
      <c r="H35" s="29"/>
      <c r="I35" s="3"/>
    </row>
    <row r="36" spans="1:12" x14ac:dyDescent="0.25">
      <c r="A36" s="44" t="s">
        <v>24</v>
      </c>
      <c r="B36" s="42">
        <v>0.3</v>
      </c>
      <c r="D36" s="45"/>
      <c r="E36" s="43"/>
      <c r="H36" s="29"/>
      <c r="I36" s="3"/>
    </row>
    <row r="37" spans="1:12" x14ac:dyDescent="0.25">
      <c r="A37" s="43" t="s">
        <v>121</v>
      </c>
      <c r="B37" s="42"/>
      <c r="C37" s="29">
        <v>19440</v>
      </c>
      <c r="D37" s="29"/>
      <c r="E37" s="43" t="s">
        <v>121</v>
      </c>
      <c r="F37" s="42"/>
      <c r="G37" s="29">
        <v>19440</v>
      </c>
      <c r="H37" s="29"/>
      <c r="I37" s="37"/>
      <c r="L37" s="47"/>
    </row>
    <row r="38" spans="1:12" x14ac:dyDescent="0.25">
      <c r="A38" s="43"/>
      <c r="B38" s="42"/>
      <c r="C38" s="29"/>
      <c r="D38" s="29"/>
      <c r="E38" s="43"/>
      <c r="F38" s="42"/>
      <c r="G38" s="29"/>
      <c r="H38" s="29"/>
      <c r="I38" s="46"/>
      <c r="J38" s="31"/>
      <c r="L38" s="47"/>
    </row>
    <row r="39" spans="1:12" x14ac:dyDescent="0.25">
      <c r="A39" s="43"/>
      <c r="B39" s="29"/>
      <c r="C39" s="45"/>
      <c r="D39" s="29"/>
      <c r="E39" s="43"/>
      <c r="F39" s="29"/>
      <c r="G39" s="45"/>
      <c r="H39" s="29"/>
      <c r="I39" s="3"/>
    </row>
    <row r="40" spans="1:12" x14ac:dyDescent="0.25">
      <c r="A40" s="43"/>
      <c r="B40" s="29"/>
      <c r="C40" s="45"/>
      <c r="D40" s="29"/>
      <c r="E40" s="43"/>
      <c r="F40" s="29"/>
      <c r="G40" s="45"/>
      <c r="H40" s="29"/>
      <c r="I40" s="3"/>
      <c r="J40" s="47"/>
    </row>
    <row r="41" spans="1:12" x14ac:dyDescent="0.25">
      <c r="A41" s="40" t="s">
        <v>25</v>
      </c>
      <c r="B41" s="48">
        <f>B32+B28+B29+B30+B31+B35-C33</f>
        <v>19440</v>
      </c>
      <c r="C41" s="48">
        <f>SUM(C35:C40)</f>
        <v>19440</v>
      </c>
      <c r="D41" s="48">
        <f>B41-C41</f>
        <v>0</v>
      </c>
      <c r="E41" s="40" t="s">
        <v>25</v>
      </c>
      <c r="F41" s="48">
        <f>F28+F29+F32+F31+F35-G33</f>
        <v>18440</v>
      </c>
      <c r="G41" s="48">
        <f>SUM(G35:G40)</f>
        <v>19440</v>
      </c>
      <c r="H41" s="48">
        <f>F41-G41</f>
        <v>-1000</v>
      </c>
      <c r="I41" s="46"/>
      <c r="J41" s="47"/>
    </row>
    <row r="42" spans="1:12" x14ac:dyDescent="0.25">
      <c r="A42" s="49" t="s">
        <v>26</v>
      </c>
      <c r="B42" s="50"/>
      <c r="C42" s="50" t="s">
        <v>27</v>
      </c>
      <c r="D42" s="51"/>
      <c r="E42" s="49"/>
      <c r="F42" s="49" t="s">
        <v>28</v>
      </c>
      <c r="G42" s="3"/>
      <c r="H42" s="3"/>
      <c r="I42" s="3"/>
    </row>
    <row r="43" spans="1:12" x14ac:dyDescent="0.25">
      <c r="A43" s="49" t="s">
        <v>29</v>
      </c>
      <c r="B43" s="50"/>
      <c r="C43" s="50" t="s">
        <v>11</v>
      </c>
      <c r="D43" s="51"/>
      <c r="E43" s="49"/>
      <c r="F43" s="49" t="s">
        <v>65</v>
      </c>
      <c r="G43" s="3"/>
      <c r="H43" s="3"/>
      <c r="I43" s="4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2021-03-09T06:52:36Z</cp:lastPrinted>
  <dcterms:created xsi:type="dcterms:W3CDTF">2020-08-29T07:28:00Z</dcterms:created>
  <dcterms:modified xsi:type="dcterms:W3CDTF">2021-12-08T09:59:33Z</dcterms:modified>
</cp:coreProperties>
</file>