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360" yWindow="225" windowWidth="12255" windowHeight="6675" firstSheet="99" activeTab="102"/>
  </bookViews>
  <sheets>
    <sheet name="JUNE" sheetId="1" r:id="rId1"/>
    <sheet name="JULY" sheetId="2" r:id="rId2"/>
    <sheet name="AUGUST" sheetId="3" r:id="rId3"/>
    <sheet name="SEPTEMBER" sheetId="4" r:id="rId4"/>
    <sheet name="OCTOBER" sheetId="5" r:id="rId5"/>
    <sheet name="NOVEMBER" sheetId="6" r:id="rId6"/>
    <sheet name="DECEMBER" sheetId="7" r:id="rId7"/>
    <sheet name="JAN-14" sheetId="8" r:id="rId8"/>
    <sheet name="FEBRUARY" sheetId="9" r:id="rId9"/>
    <sheet name="MARCH" sheetId="10" r:id="rId10"/>
    <sheet name="APRIL14" sheetId="11" r:id="rId11"/>
    <sheet name="may14" sheetId="12" r:id="rId12"/>
    <sheet name="JUNE14" sheetId="13" r:id="rId13"/>
    <sheet name="JULY14" sheetId="14" r:id="rId14"/>
    <sheet name="AUGUST14" sheetId="15" r:id="rId15"/>
    <sheet name="SEP 14" sheetId="16" r:id="rId16"/>
    <sheet name="OCT 14" sheetId="17" r:id="rId17"/>
    <sheet name="NOV14" sheetId="18" r:id="rId18"/>
    <sheet name="DEC14" sheetId="19" r:id="rId19"/>
    <sheet name="JAN" sheetId="20" r:id="rId20"/>
    <sheet name="FEB" sheetId="21" r:id="rId21"/>
    <sheet name="MARCH 22015" sheetId="22" r:id="rId22"/>
    <sheet name="APRIL 2015" sheetId="23" r:id="rId23"/>
    <sheet name="MAY 2015" sheetId="24" r:id="rId24"/>
    <sheet name="JUNE 2015" sheetId="25" r:id="rId25"/>
    <sheet name="JULY 2015" sheetId="26" r:id="rId26"/>
    <sheet name="AUGUST2015" sheetId="27" r:id="rId27"/>
    <sheet name="SEPTEMBER 2015" sheetId="28" r:id="rId28"/>
    <sheet name="OCT 2015" sheetId="29" r:id="rId29"/>
    <sheet name="NOV" sheetId="30" r:id="rId30"/>
    <sheet name="DEC 2015" sheetId="31" r:id="rId31"/>
    <sheet name="Sheet1" sheetId="32" r:id="rId32"/>
    <sheet name="feb 2016" sheetId="33" r:id="rId33"/>
    <sheet name="March  2016" sheetId="34" r:id="rId34"/>
    <sheet name="Sheet2" sheetId="35" r:id="rId35"/>
    <sheet name="MAY" sheetId="36" r:id="rId36"/>
    <sheet name="Sheet3" sheetId="37" r:id="rId37"/>
    <sheet name="JULY 2016" sheetId="38" r:id="rId38"/>
    <sheet name="AUGUST 2016" sheetId="39" r:id="rId39"/>
    <sheet name="SEPT" sheetId="40" r:id="rId40"/>
    <sheet name="Sheet4" sheetId="41" r:id="rId41"/>
    <sheet name="Sheet5" sheetId="42" r:id="rId42"/>
    <sheet name="Sheet6" sheetId="43" r:id="rId43"/>
    <sheet name="Sheet7" sheetId="44" r:id="rId44"/>
    <sheet name="Sheet8" sheetId="45" r:id="rId45"/>
    <sheet name="march 2017" sheetId="46" r:id="rId46"/>
    <sheet name="APRIL 2017" sheetId="47" r:id="rId47"/>
    <sheet name="MAY 2017" sheetId="48" r:id="rId48"/>
    <sheet name="JUNE 2017" sheetId="49" r:id="rId49"/>
    <sheet name="JULY 2017" sheetId="50" r:id="rId50"/>
    <sheet name="AUGUST  2017" sheetId="51" r:id="rId51"/>
    <sheet name="SEPTEMBER2011" sheetId="52" r:id="rId52"/>
    <sheet name="OCTOMBER2017" sheetId="53" r:id="rId53"/>
    <sheet name="NOV 2017" sheetId="54" r:id="rId54"/>
    <sheet name="DEC" sheetId="55" r:id="rId55"/>
    <sheet name="JAN " sheetId="56" r:id="rId56"/>
    <sheet name="FEB18" sheetId="57" r:id="rId57"/>
    <sheet name="MAR 18" sheetId="58" r:id="rId58"/>
    <sheet name="APRIL" sheetId="59" r:id="rId59"/>
    <sheet name="MAY 18" sheetId="60" r:id="rId60"/>
    <sheet name="JUNE " sheetId="61" r:id="rId61"/>
    <sheet name="JULY7" sheetId="62" r:id="rId62"/>
    <sheet name="AUG" sheetId="63" r:id="rId63"/>
    <sheet name="SEP" sheetId="64" r:id="rId64"/>
    <sheet name="OCTOBER " sheetId="65" r:id="rId65"/>
    <sheet name="NOVEMBER " sheetId="66" r:id="rId66"/>
    <sheet name="DECEM" sheetId="67" r:id="rId67"/>
    <sheet name="JANUARY" sheetId="68" r:id="rId68"/>
    <sheet name="FEB " sheetId="69" r:id="rId69"/>
    <sheet name="MARCH " sheetId="70" r:id="rId70"/>
    <sheet name="APRIL " sheetId="71" r:id="rId71"/>
    <sheet name="MAY " sheetId="72" r:id="rId72"/>
    <sheet name="JUNEE " sheetId="73" r:id="rId73"/>
    <sheet name="JULY  " sheetId="74" r:id="rId74"/>
    <sheet name="AUGUST19" sheetId="75" r:id="rId75"/>
    <sheet name="SEPTEMBER 19" sheetId="76" r:id="rId76"/>
    <sheet name="OCTOBER19" sheetId="77" r:id="rId77"/>
    <sheet name="NOVEMBER 19" sheetId="78" r:id="rId78"/>
    <sheet name="DECEMBER 19" sheetId="79" r:id="rId79"/>
    <sheet name="JANUARY 20" sheetId="80" r:id="rId80"/>
    <sheet name="FEBRUARY 20" sheetId="81" r:id="rId81"/>
    <sheet name="MARCH 20" sheetId="82" r:id="rId82"/>
    <sheet name="APRIL 20" sheetId="83" r:id="rId83"/>
    <sheet name="MAY 20" sheetId="84" r:id="rId84"/>
    <sheet name="JUNE 20" sheetId="85" r:id="rId85"/>
    <sheet name="JULY 20" sheetId="86" r:id="rId86"/>
    <sheet name="AUGUST 20" sheetId="87" r:id="rId87"/>
    <sheet name="SEPTEMBER 20" sheetId="88" r:id="rId88"/>
    <sheet name="OCTOBER 20" sheetId="89" r:id="rId89"/>
    <sheet name="NOVEMBER 20" sheetId="90" r:id="rId90"/>
    <sheet name="DECEMBER 20" sheetId="91" r:id="rId91"/>
    <sheet name="JANUARY 21" sheetId="92" r:id="rId92"/>
    <sheet name="FEBRUARY 21" sheetId="93" r:id="rId93"/>
    <sheet name="MARCH 21" sheetId="94" r:id="rId94"/>
    <sheet name="APRIL 21" sheetId="95" r:id="rId95"/>
    <sheet name="MAY 21" sheetId="96" r:id="rId96"/>
    <sheet name="JUNE 21" sheetId="97" r:id="rId97"/>
    <sheet name="JULY 21" sheetId="98" r:id="rId98"/>
    <sheet name="AUGUST 21" sheetId="99" r:id="rId99"/>
    <sheet name="SEPTEMBER 21" sheetId="100" r:id="rId100"/>
    <sheet name="OCTOBER 21" sheetId="101" r:id="rId101"/>
    <sheet name="NOVEMBER 21" sheetId="102" r:id="rId102"/>
    <sheet name="DECEMBER 21" sheetId="103" r:id="rId103"/>
  </sheets>
  <calcPr calcId="162913"/>
</workbook>
</file>

<file path=xl/calcChain.xml><?xml version="1.0" encoding="utf-8"?>
<calcChain xmlns="http://schemas.openxmlformats.org/spreadsheetml/2006/main">
  <c r="K32" i="102" l="1"/>
  <c r="K33" i="102" s="1"/>
  <c r="I40" i="103" l="1"/>
  <c r="J37" i="103"/>
  <c r="H34" i="103"/>
  <c r="D34" i="103"/>
  <c r="K21" i="103"/>
  <c r="G18" i="103"/>
  <c r="I16" i="103"/>
  <c r="G16" i="103"/>
  <c r="G21" i="103" s="1"/>
  <c r="E16" i="103"/>
  <c r="B21" i="103" s="1"/>
  <c r="C16" i="103"/>
  <c r="B22" i="103" s="1"/>
  <c r="H25" i="103" l="1"/>
  <c r="D25" i="103"/>
  <c r="G16" i="102"/>
  <c r="H34" i="101"/>
  <c r="I40" i="102" l="1"/>
  <c r="J37" i="102"/>
  <c r="H34" i="102"/>
  <c r="D34" i="102"/>
  <c r="K21" i="102"/>
  <c r="G18" i="102"/>
  <c r="I16" i="102"/>
  <c r="G21" i="102"/>
  <c r="E16" i="102"/>
  <c r="B21" i="102" s="1"/>
  <c r="C16" i="102"/>
  <c r="B22" i="102" s="1"/>
  <c r="D25" i="102" l="1"/>
  <c r="H25" i="102"/>
  <c r="J37" i="101"/>
  <c r="D33" i="101"/>
  <c r="I40" i="101" l="1"/>
  <c r="K21" i="101"/>
  <c r="D34" i="101" l="1"/>
  <c r="G18" i="101"/>
  <c r="I16" i="101"/>
  <c r="E16" i="101"/>
  <c r="B21" i="101" s="1"/>
  <c r="C16" i="101"/>
  <c r="B22" i="101" s="1"/>
  <c r="G16" i="101"/>
  <c r="G21" i="101" s="1"/>
  <c r="D25" i="101" l="1"/>
  <c r="H25" i="101"/>
  <c r="D32" i="100"/>
  <c r="G8" i="100" l="1"/>
  <c r="G10" i="100" l="1"/>
  <c r="G11" i="100" l="1"/>
  <c r="G12" i="100" l="1"/>
  <c r="H34" i="100" l="1"/>
  <c r="D34" i="100"/>
  <c r="G18" i="100"/>
  <c r="I16" i="100"/>
  <c r="E16" i="100"/>
  <c r="B21" i="100" s="1"/>
  <c r="C16" i="100"/>
  <c r="B22" i="100" s="1"/>
  <c r="G16" i="100"/>
  <c r="G21" i="100" s="1"/>
  <c r="H25" i="100" l="1"/>
  <c r="D25" i="100"/>
  <c r="I15" i="96"/>
  <c r="K1" i="93"/>
  <c r="K25" i="96" l="1"/>
  <c r="G9" i="99" l="1"/>
  <c r="G11" i="99" l="1"/>
  <c r="G12" i="99" l="1"/>
  <c r="G10" i="99" l="1"/>
  <c r="K23" i="98" l="1"/>
  <c r="K25" i="98" s="1"/>
  <c r="K27" i="98" s="1"/>
  <c r="K29" i="98" s="1"/>
  <c r="K24" i="97"/>
  <c r="H34" i="99" l="1"/>
  <c r="D34" i="99"/>
  <c r="G18" i="99"/>
  <c r="I16" i="99"/>
  <c r="E16" i="99"/>
  <c r="B21" i="99" s="1"/>
  <c r="C16" i="99"/>
  <c r="B22" i="99" s="1"/>
  <c r="G16" i="99"/>
  <c r="G21" i="99" s="1"/>
  <c r="H25" i="99" l="1"/>
  <c r="D25" i="99"/>
  <c r="G6" i="98"/>
  <c r="G7" i="98" l="1"/>
  <c r="G11" i="98" l="1"/>
  <c r="G10" i="98" l="1"/>
  <c r="D34" i="98" l="1"/>
  <c r="H34" i="98"/>
  <c r="G18" i="98" l="1"/>
  <c r="I16" i="98"/>
  <c r="G16" i="98"/>
  <c r="G21" i="98" s="1"/>
  <c r="E16" i="98"/>
  <c r="B21" i="98" s="1"/>
  <c r="C16" i="98"/>
  <c r="B22" i="98" s="1"/>
  <c r="H25" i="98" l="1"/>
  <c r="D25" i="98"/>
  <c r="L33" i="96"/>
  <c r="L34" i="96" s="1"/>
  <c r="L35" i="96"/>
  <c r="M35" i="96" l="1"/>
  <c r="G8" i="97"/>
  <c r="G6" i="97" l="1"/>
  <c r="G9" i="97" l="1"/>
  <c r="G7" i="97" l="1"/>
  <c r="L26" i="95" l="1"/>
  <c r="L24" i="95"/>
  <c r="L25" i="95" s="1"/>
  <c r="L27" i="95" s="1"/>
  <c r="Q33" i="96" l="1"/>
  <c r="G15" i="96" l="1"/>
  <c r="D34" i="97" l="1"/>
  <c r="H34" i="97"/>
  <c r="G18" i="97"/>
  <c r="I16" i="97"/>
  <c r="K25" i="97" s="1"/>
  <c r="K26" i="97" s="1"/>
  <c r="E16" i="97"/>
  <c r="B21" i="97" s="1"/>
  <c r="C16" i="97"/>
  <c r="B22" i="97" s="1"/>
  <c r="G16" i="97"/>
  <c r="G21" i="97" s="1"/>
  <c r="D25" i="97" l="1"/>
  <c r="H25" i="97"/>
  <c r="H27" i="96"/>
  <c r="D27" i="96"/>
  <c r="G8" i="96" l="1"/>
  <c r="G11" i="96" l="1"/>
  <c r="G6" i="96" l="1"/>
  <c r="H34" i="96" l="1"/>
  <c r="D34" i="96"/>
  <c r="G18" i="96"/>
  <c r="I16" i="96"/>
  <c r="E16" i="96"/>
  <c r="B21" i="96" s="1"/>
  <c r="C16" i="96"/>
  <c r="B22" i="96" s="1"/>
  <c r="G16" i="96"/>
  <c r="G21" i="96" s="1"/>
  <c r="H25" i="96" l="1"/>
  <c r="D25" i="96"/>
  <c r="G11" i="95"/>
  <c r="H27" i="95" l="1"/>
  <c r="D27" i="95"/>
  <c r="H34" i="95" l="1"/>
  <c r="D34" i="95"/>
  <c r="G18" i="95"/>
  <c r="I16" i="95"/>
  <c r="E16" i="95"/>
  <c r="B21" i="95" s="1"/>
  <c r="C16" i="95"/>
  <c r="G16" i="95"/>
  <c r="G21" i="95" s="1"/>
  <c r="D25" i="95" l="1"/>
  <c r="H25" i="95"/>
  <c r="G10" i="94" l="1"/>
  <c r="H27" i="93" l="1"/>
  <c r="D27" i="93"/>
  <c r="H34" i="94" l="1"/>
  <c r="D34" i="94"/>
  <c r="G18" i="94"/>
  <c r="I16" i="94"/>
  <c r="E16" i="94"/>
  <c r="B21" i="94" s="1"/>
  <c r="C16" i="94"/>
  <c r="F15" i="94"/>
  <c r="H15" i="94" s="1"/>
  <c r="D15" i="95" s="1"/>
  <c r="F15" i="95" s="1"/>
  <c r="H15" i="95" s="1"/>
  <c r="D15" i="96" s="1"/>
  <c r="F15" i="96" s="1"/>
  <c r="H15" i="96" s="1"/>
  <c r="D15" i="97" s="1"/>
  <c r="F15" i="97" s="1"/>
  <c r="H15" i="97" s="1"/>
  <c r="F14" i="94"/>
  <c r="H14" i="94" s="1"/>
  <c r="D14" i="95" s="1"/>
  <c r="F14" i="95" s="1"/>
  <c r="H14" i="95" s="1"/>
  <c r="D14" i="96" s="1"/>
  <c r="F14" i="96" s="1"/>
  <c r="H14" i="96" s="1"/>
  <c r="D14" i="97" s="1"/>
  <c r="F14" i="97" s="1"/>
  <c r="H14" i="97" s="1"/>
  <c r="G16" i="94"/>
  <c r="G21" i="94" s="1"/>
  <c r="D15" i="99" l="1"/>
  <c r="F15" i="99" s="1"/>
  <c r="H15" i="99" s="1"/>
  <c r="D15" i="100" s="1"/>
  <c r="F15" i="100" s="1"/>
  <c r="H15" i="100" s="1"/>
  <c r="D15" i="101" s="1"/>
  <c r="F15" i="101" s="1"/>
  <c r="H15" i="101" s="1"/>
  <c r="D15" i="102" s="1"/>
  <c r="F15" i="102" s="1"/>
  <c r="H15" i="102" s="1"/>
  <c r="D15" i="103" s="1"/>
  <c r="F15" i="103" s="1"/>
  <c r="H15" i="103" s="1"/>
  <c r="D15" i="98"/>
  <c r="F15" i="98" s="1"/>
  <c r="H15" i="98" s="1"/>
  <c r="D14" i="99"/>
  <c r="F14" i="99" s="1"/>
  <c r="H14" i="99" s="1"/>
  <c r="D14" i="100" s="1"/>
  <c r="F14" i="100" s="1"/>
  <c r="H14" i="100" s="1"/>
  <c r="D14" i="101" s="1"/>
  <c r="F14" i="101" s="1"/>
  <c r="H14" i="101" s="1"/>
  <c r="D14" i="102" s="1"/>
  <c r="F14" i="102" s="1"/>
  <c r="H14" i="102" s="1"/>
  <c r="D14" i="103" s="1"/>
  <c r="F14" i="103" s="1"/>
  <c r="H14" i="103" s="1"/>
  <c r="D14" i="98"/>
  <c r="F14" i="98" s="1"/>
  <c r="H14" i="98" s="1"/>
  <c r="H25" i="94"/>
  <c r="D25" i="94"/>
  <c r="G8" i="93"/>
  <c r="G6" i="93" l="1"/>
  <c r="G9" i="93" l="1"/>
  <c r="H34" i="93" l="1"/>
  <c r="D34" i="93"/>
  <c r="G18" i="93"/>
  <c r="I16" i="93"/>
  <c r="E16" i="93"/>
  <c r="B21" i="93" s="1"/>
  <c r="C16" i="93"/>
  <c r="B22" i="93" s="1"/>
  <c r="H15" i="93"/>
  <c r="G16" i="93"/>
  <c r="G21" i="93" s="1"/>
  <c r="F7" i="93"/>
  <c r="H7" i="93" s="1"/>
  <c r="D7" i="94" s="1"/>
  <c r="F7" i="94" s="1"/>
  <c r="H7" i="94" s="1"/>
  <c r="D7" i="95" s="1"/>
  <c r="F7" i="95" s="1"/>
  <c r="H7" i="95" s="1"/>
  <c r="D7" i="96" s="1"/>
  <c r="F7" i="96" s="1"/>
  <c r="H7" i="96" s="1"/>
  <c r="D7" i="97" s="1"/>
  <c r="F7" i="97" s="1"/>
  <c r="H7" i="97" s="1"/>
  <c r="D7" i="99" l="1"/>
  <c r="F7" i="99" s="1"/>
  <c r="H7" i="99" s="1"/>
  <c r="D7" i="100" s="1"/>
  <c r="F7" i="100" s="1"/>
  <c r="H7" i="100" s="1"/>
  <c r="D7" i="101" s="1"/>
  <c r="F7" i="101" s="1"/>
  <c r="H7" i="101" s="1"/>
  <c r="D7" i="102" s="1"/>
  <c r="F7" i="102" s="1"/>
  <c r="H7" i="102" s="1"/>
  <c r="D7" i="103" s="1"/>
  <c r="F7" i="103" s="1"/>
  <c r="H7" i="103" s="1"/>
  <c r="D7" i="98"/>
  <c r="F7" i="98" s="1"/>
  <c r="H7" i="98" s="1"/>
  <c r="H25" i="93"/>
  <c r="D25" i="93"/>
  <c r="D11" i="92"/>
  <c r="F11" i="92" s="1"/>
  <c r="H11" i="92" s="1"/>
  <c r="D11" i="93" s="1"/>
  <c r="F11" i="93" s="1"/>
  <c r="H11" i="93" s="1"/>
  <c r="D11" i="94" s="1"/>
  <c r="F11" i="94" s="1"/>
  <c r="H11" i="94" s="1"/>
  <c r="D11" i="95" s="1"/>
  <c r="F11" i="95" s="1"/>
  <c r="H11" i="95" s="1"/>
  <c r="D11" i="96" s="1"/>
  <c r="F11" i="96" s="1"/>
  <c r="H11" i="96" s="1"/>
  <c r="D11" i="97" s="1"/>
  <c r="F11" i="97" s="1"/>
  <c r="H11" i="97" s="1"/>
  <c r="H34" i="92"/>
  <c r="D34" i="92"/>
  <c r="G18" i="92"/>
  <c r="I16" i="92"/>
  <c r="L47" i="96" s="1"/>
  <c r="E16" i="92"/>
  <c r="B21" i="92" s="1"/>
  <c r="C16" i="92"/>
  <c r="H15" i="92"/>
  <c r="D15" i="93" s="1"/>
  <c r="F15" i="93" s="1"/>
  <c r="G15" i="92"/>
  <c r="G16" i="92" s="1"/>
  <c r="D11" i="99" l="1"/>
  <c r="F11" i="99" s="1"/>
  <c r="H11" i="99" s="1"/>
  <c r="D11" i="100" s="1"/>
  <c r="F11" i="100" s="1"/>
  <c r="H11" i="100" s="1"/>
  <c r="D11" i="101" s="1"/>
  <c r="F11" i="101" s="1"/>
  <c r="H11" i="101" s="1"/>
  <c r="D11" i="102" s="1"/>
  <c r="F11" i="102" s="1"/>
  <c r="H11" i="102" s="1"/>
  <c r="D11" i="103" s="1"/>
  <c r="F11" i="103" s="1"/>
  <c r="H11" i="103" s="1"/>
  <c r="D11" i="98"/>
  <c r="F11" i="98" s="1"/>
  <c r="H11" i="98" s="1"/>
  <c r="G21" i="92"/>
  <c r="H25" i="92"/>
  <c r="D25" i="92"/>
  <c r="H15" i="91" l="1"/>
  <c r="D15" i="92" s="1"/>
  <c r="F15" i="92" s="1"/>
  <c r="G15" i="91"/>
  <c r="H34" i="91" l="1"/>
  <c r="D34" i="91"/>
  <c r="G18" i="91"/>
  <c r="I16" i="91"/>
  <c r="E16" i="91"/>
  <c r="B21" i="91" s="1"/>
  <c r="C16" i="91"/>
  <c r="G16" i="91"/>
  <c r="G21" i="91" s="1"/>
  <c r="H25" i="91" l="1"/>
  <c r="D25" i="91"/>
  <c r="G15" i="90"/>
  <c r="G9" i="90" l="1"/>
  <c r="H34" i="90" l="1"/>
  <c r="D34" i="90"/>
  <c r="G18" i="90"/>
  <c r="I16" i="90"/>
  <c r="G24" i="90" s="1"/>
  <c r="G16" i="90"/>
  <c r="G21" i="90" s="1"/>
  <c r="E16" i="90"/>
  <c r="B21" i="90" s="1"/>
  <c r="C16" i="90"/>
  <c r="H15" i="90"/>
  <c r="H25" i="90" l="1"/>
  <c r="D25" i="90"/>
  <c r="B24" i="90"/>
  <c r="H15" i="89"/>
  <c r="D15" i="91" s="1"/>
  <c r="F15" i="91" l="1"/>
  <c r="D15" i="90"/>
  <c r="F15" i="90" s="1"/>
  <c r="D27" i="89"/>
  <c r="G16" i="89" l="1"/>
  <c r="H27" i="89" l="1"/>
  <c r="H34" i="89" l="1"/>
  <c r="D34" i="89"/>
  <c r="G18" i="89"/>
  <c r="I16" i="89"/>
  <c r="G24" i="89" s="1"/>
  <c r="E16" i="89"/>
  <c r="B21" i="89" s="1"/>
  <c r="C16" i="89"/>
  <c r="B22" i="89" s="1"/>
  <c r="G21" i="89"/>
  <c r="H25" i="89" l="1"/>
  <c r="D25" i="89"/>
  <c r="B24" i="89"/>
  <c r="G15" i="88"/>
  <c r="G11" i="88" l="1"/>
  <c r="H34" i="88" l="1"/>
  <c r="D34" i="88"/>
  <c r="G18" i="88"/>
  <c r="I16" i="88"/>
  <c r="G24" i="88" s="1"/>
  <c r="E16" i="88"/>
  <c r="B21" i="88" s="1"/>
  <c r="C16" i="88"/>
  <c r="G16" i="88"/>
  <c r="G21" i="88" s="1"/>
  <c r="H25" i="88" l="1"/>
  <c r="D25" i="88"/>
  <c r="L21" i="88" s="1"/>
  <c r="B24" i="88"/>
  <c r="N8" i="87"/>
  <c r="M18" i="87" l="1"/>
  <c r="M20" i="87" s="1"/>
  <c r="D27" i="87" l="1"/>
  <c r="H27" i="87"/>
  <c r="H34" i="87" s="1"/>
  <c r="G11" i="87" l="1"/>
  <c r="G7" i="87" l="1"/>
  <c r="D34" i="87" l="1"/>
  <c r="G18" i="87"/>
  <c r="I16" i="87"/>
  <c r="G24" i="87" s="1"/>
  <c r="E16" i="87"/>
  <c r="B21" i="87" s="1"/>
  <c r="C16" i="87"/>
  <c r="G16" i="87"/>
  <c r="G21" i="87" s="1"/>
  <c r="F9" i="87"/>
  <c r="H9" i="87" s="1"/>
  <c r="D9" i="88" s="1"/>
  <c r="F9" i="88" s="1"/>
  <c r="H9" i="88" s="1"/>
  <c r="D9" i="89" s="1"/>
  <c r="F9" i="89" s="1"/>
  <c r="H9" i="89" s="1"/>
  <c r="D9" i="91" s="1"/>
  <c r="F9" i="91" l="1"/>
  <c r="H9" i="91" s="1"/>
  <c r="D9" i="92" s="1"/>
  <c r="D9" i="90"/>
  <c r="F9" i="90" s="1"/>
  <c r="H9" i="90" s="1"/>
  <c r="H25" i="87"/>
  <c r="D25" i="87"/>
  <c r="B24" i="87"/>
  <c r="F9" i="92" l="1"/>
  <c r="G15" i="86"/>
  <c r="H9" i="92" l="1"/>
  <c r="D9" i="93" s="1"/>
  <c r="F9" i="93" s="1"/>
  <c r="H9" i="93" s="1"/>
  <c r="D9" i="94" s="1"/>
  <c r="F9" i="94" s="1"/>
  <c r="H9" i="94" s="1"/>
  <c r="D9" i="95" s="1"/>
  <c r="F9" i="95" s="1"/>
  <c r="H9" i="95" s="1"/>
  <c r="D9" i="96" s="1"/>
  <c r="F9" i="96" s="1"/>
  <c r="H9" i="96" s="1"/>
  <c r="D9" i="97" s="1"/>
  <c r="F9" i="97" s="1"/>
  <c r="H9" i="97" s="1"/>
  <c r="E16" i="86"/>
  <c r="D9" i="99" l="1"/>
  <c r="F9" i="99" s="1"/>
  <c r="H9" i="99" s="1"/>
  <c r="D9" i="100" s="1"/>
  <c r="F9" i="100" s="1"/>
  <c r="H9" i="100" s="1"/>
  <c r="D9" i="101" s="1"/>
  <c r="F9" i="101" s="1"/>
  <c r="H9" i="101" s="1"/>
  <c r="D9" i="102" s="1"/>
  <c r="F9" i="102" s="1"/>
  <c r="H9" i="102" s="1"/>
  <c r="D9" i="103" s="1"/>
  <c r="F9" i="103" s="1"/>
  <c r="H9" i="103" s="1"/>
  <c r="D9" i="98"/>
  <c r="F9" i="98" s="1"/>
  <c r="H9" i="98" s="1"/>
  <c r="B22" i="86"/>
  <c r="G9" i="86"/>
  <c r="D28" i="86" l="1"/>
  <c r="H28" i="86" s="1"/>
  <c r="H34" i="86" l="1"/>
  <c r="D34" i="86"/>
  <c r="G18" i="86"/>
  <c r="I16" i="86"/>
  <c r="G24" i="86" s="1"/>
  <c r="B21" i="86"/>
  <c r="C16" i="86"/>
  <c r="G16" i="86"/>
  <c r="G21" i="86" s="1"/>
  <c r="F7" i="86"/>
  <c r="H7" i="86" s="1"/>
  <c r="D7" i="87" s="1"/>
  <c r="F7" i="87" s="1"/>
  <c r="H7" i="87" s="1"/>
  <c r="D7" i="88" s="1"/>
  <c r="F7" i="88" s="1"/>
  <c r="H7" i="88" s="1"/>
  <c r="D7" i="89" s="1"/>
  <c r="F7" i="89" s="1"/>
  <c r="H7" i="89" s="1"/>
  <c r="F6" i="86"/>
  <c r="H6" i="86" s="1"/>
  <c r="D6" i="87" s="1"/>
  <c r="F6" i="87" s="1"/>
  <c r="H6" i="87" s="1"/>
  <c r="D6" i="88" s="1"/>
  <c r="F6" i="88" s="1"/>
  <c r="H6" i="88" s="1"/>
  <c r="D6" i="89" s="1"/>
  <c r="F6" i="89" s="1"/>
  <c r="H6" i="89" s="1"/>
  <c r="D7" i="91" l="1"/>
  <c r="F7" i="91" s="1"/>
  <c r="H7" i="91" s="1"/>
  <c r="D7" i="92" s="1"/>
  <c r="F7" i="92" s="1"/>
  <c r="H7" i="92" s="1"/>
  <c r="D7" i="90"/>
  <c r="F7" i="90" s="1"/>
  <c r="H7" i="90" s="1"/>
  <c r="D6" i="91"/>
  <c r="D6" i="90"/>
  <c r="H25" i="86"/>
  <c r="D25" i="86"/>
  <c r="B24" i="86"/>
  <c r="G15" i="85"/>
  <c r="F6" i="90" l="1"/>
  <c r="F6" i="91"/>
  <c r="F6" i="85"/>
  <c r="F7" i="85"/>
  <c r="H6" i="85"/>
  <c r="H7" i="85"/>
  <c r="D15" i="85"/>
  <c r="H34" i="85"/>
  <c r="D34" i="85"/>
  <c r="G18" i="85"/>
  <c r="I16" i="85"/>
  <c r="G24" i="85" s="1"/>
  <c r="G16" i="85"/>
  <c r="G21" i="85" s="1"/>
  <c r="E16" i="85"/>
  <c r="B21" i="85" s="1"/>
  <c r="C16" i="85"/>
  <c r="H6" i="91" l="1"/>
  <c r="D6" i="92" s="1"/>
  <c r="F6" i="92" s="1"/>
  <c r="H6" i="92" s="1"/>
  <c r="D6" i="93" s="1"/>
  <c r="H6" i="90"/>
  <c r="F15" i="85"/>
  <c r="D15" i="86" s="1"/>
  <c r="H25" i="85"/>
  <c r="D25" i="85"/>
  <c r="B24" i="85"/>
  <c r="F6" i="93" l="1"/>
  <c r="F15" i="86"/>
  <c r="H15" i="86" s="1"/>
  <c r="G14" i="82"/>
  <c r="H6" i="93" l="1"/>
  <c r="D15" i="87"/>
  <c r="H34" i="84"/>
  <c r="D34" i="84"/>
  <c r="G18" i="84"/>
  <c r="I16" i="84"/>
  <c r="G24" i="84" s="1"/>
  <c r="G16" i="84"/>
  <c r="E16" i="84"/>
  <c r="B21" i="84" s="1"/>
  <c r="H25" i="84" s="1"/>
  <c r="C16" i="84"/>
  <c r="F6" i="84"/>
  <c r="H6" i="84" s="1"/>
  <c r="D6" i="94" l="1"/>
  <c r="F15" i="87"/>
  <c r="G21" i="84"/>
  <c r="B24" i="84"/>
  <c r="D25" i="84"/>
  <c r="F6" i="94" l="1"/>
  <c r="H15" i="87"/>
  <c r="H34" i="83"/>
  <c r="D34" i="83"/>
  <c r="G18" i="83"/>
  <c r="I16" i="83"/>
  <c r="G24" i="83" s="1"/>
  <c r="G16" i="83"/>
  <c r="G21" i="83" s="1"/>
  <c r="E16" i="83"/>
  <c r="B21" i="83" s="1"/>
  <c r="C16" i="83"/>
  <c r="H6" i="94" l="1"/>
  <c r="D15" i="88"/>
  <c r="H25" i="83"/>
  <c r="D25" i="83"/>
  <c r="B24" i="83"/>
  <c r="G14" i="81"/>
  <c r="D6" i="95" l="1"/>
  <c r="F15" i="88"/>
  <c r="F6" i="95" l="1"/>
  <c r="H15" i="88"/>
  <c r="H34" i="82"/>
  <c r="D34" i="82"/>
  <c r="G18" i="82"/>
  <c r="I16" i="82"/>
  <c r="G24" i="82" s="1"/>
  <c r="G16" i="82"/>
  <c r="G21" i="82" s="1"/>
  <c r="E16" i="82"/>
  <c r="C16" i="82"/>
  <c r="B22" i="82" s="1"/>
  <c r="H6" i="95" l="1"/>
  <c r="D15" i="89"/>
  <c r="F15" i="89" s="1"/>
  <c r="B21" i="82"/>
  <c r="B24" i="82"/>
  <c r="D25" i="82"/>
  <c r="G14" i="80"/>
  <c r="D6" i="96" l="1"/>
  <c r="H25" i="82"/>
  <c r="H32" i="81"/>
  <c r="D32" i="81"/>
  <c r="G18" i="81"/>
  <c r="I16" i="81"/>
  <c r="G24" i="81" s="1"/>
  <c r="G16" i="81"/>
  <c r="G21" i="81" s="1"/>
  <c r="E16" i="81"/>
  <c r="B21" i="81" s="1"/>
  <c r="C16" i="81"/>
  <c r="F15" i="81"/>
  <c r="H15" i="81" s="1"/>
  <c r="D15" i="82" s="1"/>
  <c r="F15" i="82" s="1"/>
  <c r="H15" i="82" s="1"/>
  <c r="D15" i="83" s="1"/>
  <c r="F15" i="83" s="1"/>
  <c r="H15" i="83" s="1"/>
  <c r="D15" i="84" s="1"/>
  <c r="F15" i="84" s="1"/>
  <c r="F6" i="96" l="1"/>
  <c r="B24" i="81"/>
  <c r="H25" i="81"/>
  <c r="D25" i="81"/>
  <c r="H6" i="96" l="1"/>
  <c r="H32" i="80"/>
  <c r="D32" i="80"/>
  <c r="G18" i="80"/>
  <c r="I16" i="80"/>
  <c r="G24" i="80" s="1"/>
  <c r="G16" i="80"/>
  <c r="G21" i="80" s="1"/>
  <c r="E16" i="80"/>
  <c r="B21" i="80" s="1"/>
  <c r="C16" i="80"/>
  <c r="F15" i="80"/>
  <c r="H15" i="80" s="1"/>
  <c r="F13" i="80"/>
  <c r="H13" i="80" s="1"/>
  <c r="D13" i="81" s="1"/>
  <c r="H30" i="78"/>
  <c r="I30" i="78"/>
  <c r="D30" i="78"/>
  <c r="D6" i="97" l="1"/>
  <c r="F6" i="97" s="1"/>
  <c r="F13" i="81"/>
  <c r="H13" i="81" s="1"/>
  <c r="D13" i="82" s="1"/>
  <c r="F13" i="82" s="1"/>
  <c r="H13" i="82" s="1"/>
  <c r="D13" i="83" s="1"/>
  <c r="F13" i="83" s="1"/>
  <c r="H13" i="83" s="1"/>
  <c r="D13" i="84" s="1"/>
  <c r="F13" i="84" s="1"/>
  <c r="H13" i="84" s="1"/>
  <c r="D13" i="85" s="1"/>
  <c r="F13" i="85" s="1"/>
  <c r="H13" i="85" s="1"/>
  <c r="D13" i="86" s="1"/>
  <c r="F13" i="86" s="1"/>
  <c r="H13" i="86" s="1"/>
  <c r="D13" i="87" s="1"/>
  <c r="F13" i="87" s="1"/>
  <c r="H13" i="87" s="1"/>
  <c r="D13" i="88" s="1"/>
  <c r="F13" i="88" s="1"/>
  <c r="H13" i="88" s="1"/>
  <c r="D13" i="89" s="1"/>
  <c r="F13" i="89" s="1"/>
  <c r="H13" i="89" s="1"/>
  <c r="D13" i="91" s="1"/>
  <c r="H25" i="80"/>
  <c r="D25" i="80"/>
  <c r="B24" i="80"/>
  <c r="G13" i="78"/>
  <c r="H6" i="97" l="1"/>
  <c r="F13" i="91"/>
  <c r="H13" i="91" s="1"/>
  <c r="D13" i="92" s="1"/>
  <c r="F13" i="92" s="1"/>
  <c r="H13" i="92" s="1"/>
  <c r="D13" i="93" s="1"/>
  <c r="F13" i="93" s="1"/>
  <c r="H13" i="93" s="1"/>
  <c r="D13" i="94" s="1"/>
  <c r="F13" i="94" s="1"/>
  <c r="H13" i="94" s="1"/>
  <c r="D13" i="95" s="1"/>
  <c r="F13" i="95" s="1"/>
  <c r="H13" i="95" s="1"/>
  <c r="D13" i="96" s="1"/>
  <c r="F13" i="96" s="1"/>
  <c r="H13" i="96" s="1"/>
  <c r="D13" i="97" s="1"/>
  <c r="F13" i="97" s="1"/>
  <c r="H13" i="97" s="1"/>
  <c r="D13" i="90"/>
  <c r="F13" i="90" s="1"/>
  <c r="H13" i="90" s="1"/>
  <c r="H31" i="79"/>
  <c r="D31" i="79"/>
  <c r="G17" i="79"/>
  <c r="I15" i="79"/>
  <c r="G23" i="79" s="1"/>
  <c r="G15" i="79"/>
  <c r="G20" i="79" s="1"/>
  <c r="E15" i="79"/>
  <c r="B20" i="79" s="1"/>
  <c r="H24" i="79" s="1"/>
  <c r="C15" i="79"/>
  <c r="D6" i="98" l="1"/>
  <c r="D6" i="99"/>
  <c r="D13" i="99"/>
  <c r="F13" i="99" s="1"/>
  <c r="H13" i="99" s="1"/>
  <c r="D13" i="100" s="1"/>
  <c r="F13" i="100" s="1"/>
  <c r="H13" i="100" s="1"/>
  <c r="D13" i="101" s="1"/>
  <c r="F13" i="101" s="1"/>
  <c r="H13" i="101" s="1"/>
  <c r="D13" i="102" s="1"/>
  <c r="F13" i="102" s="1"/>
  <c r="H13" i="102" s="1"/>
  <c r="D13" i="103" s="1"/>
  <c r="F13" i="103" s="1"/>
  <c r="H13" i="103" s="1"/>
  <c r="D13" i="98"/>
  <c r="F13" i="98" s="1"/>
  <c r="H13" i="98" s="1"/>
  <c r="B23" i="79"/>
  <c r="D24" i="79"/>
  <c r="F6" i="98" l="1"/>
  <c r="F6" i="99"/>
  <c r="E15" i="78"/>
  <c r="H6" i="99" l="1"/>
  <c r="H6" i="98"/>
  <c r="G17" i="78"/>
  <c r="C15" i="78"/>
  <c r="D6" i="100" l="1"/>
  <c r="F13" i="77"/>
  <c r="F6" i="100" l="1"/>
  <c r="H31" i="78"/>
  <c r="D31" i="78"/>
  <c r="I15" i="78"/>
  <c r="G23" i="78" s="1"/>
  <c r="G15" i="78"/>
  <c r="B20" i="78"/>
  <c r="H24" i="78" s="1"/>
  <c r="H6" i="100" l="1"/>
  <c r="G20" i="78"/>
  <c r="B23" i="78"/>
  <c r="D24" i="78"/>
  <c r="D6" i="101" l="1"/>
  <c r="F6" i="101" s="1"/>
  <c r="E11" i="77"/>
  <c r="H6" i="101" l="1"/>
  <c r="D6" i="102" s="1"/>
  <c r="F6" i="102" s="1"/>
  <c r="H15" i="77"/>
  <c r="F22" i="77" s="1"/>
  <c r="D15" i="77"/>
  <c r="B20" i="77" s="1"/>
  <c r="F15" i="77"/>
  <c r="F20" i="77" s="1"/>
  <c r="C30" i="77"/>
  <c r="H6" i="102" l="1"/>
  <c r="D6" i="103" s="1"/>
  <c r="G23" i="77"/>
  <c r="C23" i="77"/>
  <c r="G11" i="77"/>
  <c r="D11" i="79" s="1"/>
  <c r="F11" i="79" s="1"/>
  <c r="H11" i="79" s="1"/>
  <c r="D11" i="80" s="1"/>
  <c r="F11" i="80" s="1"/>
  <c r="H11" i="80" s="1"/>
  <c r="D11" i="81" s="1"/>
  <c r="F11" i="81" s="1"/>
  <c r="H11" i="81" s="1"/>
  <c r="D11" i="82" s="1"/>
  <c r="F11" i="82" s="1"/>
  <c r="H11" i="82" s="1"/>
  <c r="D11" i="83" s="1"/>
  <c r="F11" i="83" s="1"/>
  <c r="H11" i="83" s="1"/>
  <c r="D11" i="84" s="1"/>
  <c r="F11" i="84" s="1"/>
  <c r="H11" i="84" s="1"/>
  <c r="D11" i="85" s="1"/>
  <c r="F11" i="85" s="1"/>
  <c r="H11" i="85" s="1"/>
  <c r="D11" i="86" s="1"/>
  <c r="F11" i="86" s="1"/>
  <c r="H11" i="86" s="1"/>
  <c r="D11" i="87" s="1"/>
  <c r="F11" i="87" s="1"/>
  <c r="H11" i="87" s="1"/>
  <c r="D11" i="88" s="1"/>
  <c r="F11" i="88" s="1"/>
  <c r="H11" i="88" s="1"/>
  <c r="D11" i="89" s="1"/>
  <c r="F11" i="89" s="1"/>
  <c r="H11" i="89" s="1"/>
  <c r="D11" i="91" s="1"/>
  <c r="B22" i="77"/>
  <c r="F6" i="103" l="1"/>
  <c r="F11" i="91"/>
  <c r="D11" i="90"/>
  <c r="F11" i="90" s="1"/>
  <c r="H11" i="90" s="1"/>
  <c r="G30" i="77"/>
  <c r="D11" i="78"/>
  <c r="H6" i="103" l="1"/>
  <c r="F11" i="78"/>
  <c r="H11" i="78" s="1"/>
  <c r="H30" i="75"/>
  <c r="F13" i="76" l="1"/>
  <c r="F15" i="76" s="1"/>
  <c r="H15" i="76" l="1"/>
  <c r="F22" i="76" l="1"/>
  <c r="D15" i="76"/>
  <c r="B20" i="76" s="1"/>
  <c r="G23" i="76" l="1"/>
  <c r="C23" i="76"/>
  <c r="F20" i="76"/>
  <c r="B22" i="76"/>
  <c r="D30" i="75" l="1"/>
  <c r="H15" i="75" l="1"/>
  <c r="G22" i="75" s="1"/>
  <c r="F15" i="75"/>
  <c r="D15" i="75"/>
  <c r="C20" i="75" s="1"/>
  <c r="G11" i="75"/>
  <c r="C11" i="76" s="1"/>
  <c r="E11" i="76" l="1"/>
  <c r="C25" i="76"/>
  <c r="C30" i="76" s="1"/>
  <c r="G20" i="75"/>
  <c r="L19" i="75"/>
  <c r="H23" i="75"/>
  <c r="D23" i="75"/>
  <c r="C22" i="75"/>
  <c r="G11" i="76" l="1"/>
  <c r="G25" i="76"/>
  <c r="H30" i="74"/>
  <c r="D30" i="74"/>
  <c r="H15" i="74"/>
  <c r="G22" i="74" s="1"/>
  <c r="F15" i="74"/>
  <c r="G20" i="74" s="1"/>
  <c r="D15" i="74"/>
  <c r="C20" i="74" s="1"/>
  <c r="D23" i="74" s="1"/>
  <c r="E14" i="74"/>
  <c r="G14" i="74" s="1"/>
  <c r="C14" i="75" s="1"/>
  <c r="E14" i="75" s="1"/>
  <c r="G14" i="75" s="1"/>
  <c r="E13" i="74"/>
  <c r="G13" i="74" s="1"/>
  <c r="C13" i="75" s="1"/>
  <c r="E13" i="75" s="1"/>
  <c r="E12" i="74"/>
  <c r="G12" i="74" s="1"/>
  <c r="C12" i="75" s="1"/>
  <c r="E12" i="75" s="1"/>
  <c r="G12" i="75" s="1"/>
  <c r="G11" i="74"/>
  <c r="C11" i="75" s="1"/>
  <c r="E10" i="74"/>
  <c r="G10" i="74" s="1"/>
  <c r="C10" i="75" s="1"/>
  <c r="E10" i="75" s="1"/>
  <c r="G10" i="75" s="1"/>
  <c r="E9" i="74"/>
  <c r="G9" i="74" s="1"/>
  <c r="C9" i="75" s="1"/>
  <c r="E9" i="75" s="1"/>
  <c r="G9" i="75" s="1"/>
  <c r="E8" i="74"/>
  <c r="G8" i="74" s="1"/>
  <c r="C8" i="75" s="1"/>
  <c r="E8" i="75" s="1"/>
  <c r="G8" i="75" s="1"/>
  <c r="E7" i="74"/>
  <c r="G7" i="74" s="1"/>
  <c r="C7" i="75" s="1"/>
  <c r="E7" i="75" s="1"/>
  <c r="G7" i="75" s="1"/>
  <c r="E6" i="74"/>
  <c r="G6" i="74" s="1"/>
  <c r="C6" i="75" s="1"/>
  <c r="E6" i="75" s="1"/>
  <c r="G6" i="75" s="1"/>
  <c r="E5" i="74"/>
  <c r="E15" i="74" l="1"/>
  <c r="G30" i="76"/>
  <c r="C8" i="76"/>
  <c r="E8" i="76" s="1"/>
  <c r="G8" i="76" s="1"/>
  <c r="C8" i="77"/>
  <c r="E8" i="77" s="1"/>
  <c r="G8" i="77" s="1"/>
  <c r="C10" i="76"/>
  <c r="E10" i="76" s="1"/>
  <c r="G10" i="76" s="1"/>
  <c r="C10" i="77"/>
  <c r="E10" i="77" s="1"/>
  <c r="G10" i="77" s="1"/>
  <c r="C6" i="76"/>
  <c r="E6" i="76" s="1"/>
  <c r="G6" i="76" s="1"/>
  <c r="C6" i="77"/>
  <c r="E6" i="77" s="1"/>
  <c r="G6" i="77" s="1"/>
  <c r="C7" i="76"/>
  <c r="E7" i="76" s="1"/>
  <c r="G7" i="76" s="1"/>
  <c r="C7" i="77"/>
  <c r="E7" i="77" s="1"/>
  <c r="G7" i="77" s="1"/>
  <c r="C9" i="76"/>
  <c r="E9" i="76" s="1"/>
  <c r="G9" i="76" s="1"/>
  <c r="C9" i="77"/>
  <c r="E9" i="77" s="1"/>
  <c r="G9" i="77" s="1"/>
  <c r="G5" i="74"/>
  <c r="C5" i="75" s="1"/>
  <c r="E5" i="75" s="1"/>
  <c r="G5" i="75" s="1"/>
  <c r="C12" i="76"/>
  <c r="E12" i="76" s="1"/>
  <c r="G12" i="76" s="1"/>
  <c r="C12" i="77"/>
  <c r="E12" i="77" s="1"/>
  <c r="G12" i="77" s="1"/>
  <c r="C14" i="76"/>
  <c r="E14" i="76" s="1"/>
  <c r="G14" i="76" s="1"/>
  <c r="C14" i="77"/>
  <c r="E14" i="77" s="1"/>
  <c r="G14" i="77" s="1"/>
  <c r="G13" i="75"/>
  <c r="C13" i="77" s="1"/>
  <c r="E15" i="75"/>
  <c r="H23" i="74"/>
  <c r="C22" i="74"/>
  <c r="G15" i="74" l="1"/>
  <c r="C15" i="75" s="1"/>
  <c r="D9" i="78"/>
  <c r="D9" i="79"/>
  <c r="F9" i="79" s="1"/>
  <c r="H9" i="79" s="1"/>
  <c r="D9" i="80" s="1"/>
  <c r="F9" i="80" s="1"/>
  <c r="H9" i="80" s="1"/>
  <c r="D9" i="81" s="1"/>
  <c r="F9" i="81" s="1"/>
  <c r="H9" i="81" s="1"/>
  <c r="D9" i="82" s="1"/>
  <c r="F9" i="82" s="1"/>
  <c r="H9" i="82" s="1"/>
  <c r="D9" i="83" s="1"/>
  <c r="F9" i="83" s="1"/>
  <c r="H9" i="83" s="1"/>
  <c r="D9" i="84" s="1"/>
  <c r="F9" i="84" s="1"/>
  <c r="H9" i="84" s="1"/>
  <c r="D9" i="85" s="1"/>
  <c r="F9" i="85" s="1"/>
  <c r="H9" i="85" s="1"/>
  <c r="D9" i="86" s="1"/>
  <c r="F9" i="86" s="1"/>
  <c r="D7" i="78"/>
  <c r="D7" i="79"/>
  <c r="F7" i="79" s="1"/>
  <c r="H7" i="79" s="1"/>
  <c r="D7" i="80" s="1"/>
  <c r="F7" i="80" s="1"/>
  <c r="H7" i="80" s="1"/>
  <c r="D7" i="81" s="1"/>
  <c r="F7" i="81" s="1"/>
  <c r="H7" i="81" s="1"/>
  <c r="D7" i="82" s="1"/>
  <c r="F7" i="82" s="1"/>
  <c r="H7" i="82" s="1"/>
  <c r="D7" i="83" s="1"/>
  <c r="F7" i="83" s="1"/>
  <c r="H7" i="83" s="1"/>
  <c r="D7" i="84" s="1"/>
  <c r="D6" i="78"/>
  <c r="D6" i="79"/>
  <c r="F6" i="79" s="1"/>
  <c r="H6" i="79" s="1"/>
  <c r="D6" i="80" s="1"/>
  <c r="D10" i="78"/>
  <c r="D10" i="79"/>
  <c r="F10" i="79" s="1"/>
  <c r="H10" i="79" s="1"/>
  <c r="D10" i="80" s="1"/>
  <c r="F10" i="80" s="1"/>
  <c r="H10" i="80" s="1"/>
  <c r="D10" i="81" s="1"/>
  <c r="F10" i="81" s="1"/>
  <c r="H10" i="81" s="1"/>
  <c r="D10" i="82" s="1"/>
  <c r="F10" i="82" s="1"/>
  <c r="H10" i="82" s="1"/>
  <c r="D10" i="83" s="1"/>
  <c r="F10" i="83" s="1"/>
  <c r="H10" i="83" s="1"/>
  <c r="D10" i="84" s="1"/>
  <c r="F10" i="84" s="1"/>
  <c r="H10" i="84" s="1"/>
  <c r="D10" i="85" s="1"/>
  <c r="F10" i="85" s="1"/>
  <c r="H10" i="85" s="1"/>
  <c r="D10" i="86" s="1"/>
  <c r="F10" i="86" s="1"/>
  <c r="H10" i="86" s="1"/>
  <c r="D8" i="78"/>
  <c r="D8" i="79"/>
  <c r="F8" i="79" s="1"/>
  <c r="H8" i="79" s="1"/>
  <c r="D8" i="80" s="1"/>
  <c r="F8" i="80" s="1"/>
  <c r="H8" i="80" s="1"/>
  <c r="D8" i="81" s="1"/>
  <c r="F8" i="81" s="1"/>
  <c r="H8" i="81" s="1"/>
  <c r="D8" i="82" s="1"/>
  <c r="F8" i="82" s="1"/>
  <c r="H8" i="82" s="1"/>
  <c r="D8" i="83" s="1"/>
  <c r="F8" i="83" s="1"/>
  <c r="H8" i="83" s="1"/>
  <c r="D8" i="84" s="1"/>
  <c r="F8" i="84" s="1"/>
  <c r="H8" i="84" s="1"/>
  <c r="D8" i="85" s="1"/>
  <c r="D14" i="78"/>
  <c r="D14" i="79"/>
  <c r="F14" i="79" s="1"/>
  <c r="H14" i="79" s="1"/>
  <c r="D12" i="78"/>
  <c r="D12" i="79"/>
  <c r="F12" i="79" s="1"/>
  <c r="H12" i="79" s="1"/>
  <c r="D12" i="80" s="1"/>
  <c r="F12" i="80" s="1"/>
  <c r="H12" i="80" s="1"/>
  <c r="D12" i="81" s="1"/>
  <c r="F12" i="81" s="1"/>
  <c r="H12" i="81" s="1"/>
  <c r="D12" i="82" s="1"/>
  <c r="F12" i="82" s="1"/>
  <c r="H12" i="82" s="1"/>
  <c r="D12" i="83" s="1"/>
  <c r="F12" i="83" s="1"/>
  <c r="H12" i="83" s="1"/>
  <c r="D12" i="84" s="1"/>
  <c r="F12" i="84" s="1"/>
  <c r="H12" i="84" s="1"/>
  <c r="D12" i="85" s="1"/>
  <c r="F12" i="85" s="1"/>
  <c r="H12" i="85" s="1"/>
  <c r="D12" i="86" s="1"/>
  <c r="F12" i="86" s="1"/>
  <c r="H12" i="86" s="1"/>
  <c r="D12" i="87" s="1"/>
  <c r="F12" i="87" s="1"/>
  <c r="H12" i="87" s="1"/>
  <c r="D12" i="88" s="1"/>
  <c r="F12" i="88" s="1"/>
  <c r="H12" i="88" s="1"/>
  <c r="D12" i="89" s="1"/>
  <c r="F12" i="89" s="1"/>
  <c r="H12" i="89" s="1"/>
  <c r="D12" i="91" s="1"/>
  <c r="C5" i="76"/>
  <c r="E5" i="76" s="1"/>
  <c r="G5" i="76" s="1"/>
  <c r="C5" i="77"/>
  <c r="E5" i="77" s="1"/>
  <c r="G5" i="77" s="1"/>
  <c r="E13" i="77"/>
  <c r="G13" i="77" s="1"/>
  <c r="C15" i="77"/>
  <c r="E15" i="77" s="1"/>
  <c r="G15" i="77" s="1"/>
  <c r="C13" i="76"/>
  <c r="E13" i="76" s="1"/>
  <c r="G13" i="76" s="1"/>
  <c r="G15" i="75"/>
  <c r="C15" i="76" s="1"/>
  <c r="D30" i="73"/>
  <c r="H30" i="73"/>
  <c r="D5" i="78" l="1"/>
  <c r="F5" i="78" s="1"/>
  <c r="H5" i="78" s="1"/>
  <c r="D5" i="79"/>
  <c r="D10" i="87"/>
  <c r="F10" i="87" s="1"/>
  <c r="H10" i="87" s="1"/>
  <c r="D10" i="88" s="1"/>
  <c r="F10" i="88" s="1"/>
  <c r="H10" i="88" s="1"/>
  <c r="D10" i="89" s="1"/>
  <c r="F10" i="89" s="1"/>
  <c r="H10" i="89" s="1"/>
  <c r="D10" i="91" s="1"/>
  <c r="F6" i="80"/>
  <c r="H6" i="80" s="1"/>
  <c r="D6" i="81" s="1"/>
  <c r="F12" i="91"/>
  <c r="H12" i="91" s="1"/>
  <c r="D12" i="92" s="1"/>
  <c r="F12" i="92" s="1"/>
  <c r="H12" i="92" s="1"/>
  <c r="D12" i="93" s="1"/>
  <c r="F12" i="93" s="1"/>
  <c r="H12" i="93" s="1"/>
  <c r="D12" i="94" s="1"/>
  <c r="F12" i="94" s="1"/>
  <c r="H12" i="94" s="1"/>
  <c r="D12" i="95" s="1"/>
  <c r="F12" i="95" s="1"/>
  <c r="H12" i="95" s="1"/>
  <c r="D12" i="96" s="1"/>
  <c r="F12" i="96" s="1"/>
  <c r="H12" i="96" s="1"/>
  <c r="D12" i="97" s="1"/>
  <c r="F12" i="97" s="1"/>
  <c r="H12" i="97" s="1"/>
  <c r="D12" i="90"/>
  <c r="F12" i="90" s="1"/>
  <c r="H12" i="90" s="1"/>
  <c r="F8" i="85"/>
  <c r="H8" i="85" s="1"/>
  <c r="D8" i="86" s="1"/>
  <c r="F7" i="84"/>
  <c r="H7" i="84" s="1"/>
  <c r="D13" i="78"/>
  <c r="F13" i="78" s="1"/>
  <c r="D13" i="79"/>
  <c r="F13" i="79" s="1"/>
  <c r="H13" i="79" s="1"/>
  <c r="D14" i="80" s="1"/>
  <c r="F14" i="80" s="1"/>
  <c r="H14" i="80" s="1"/>
  <c r="D14" i="81" s="1"/>
  <c r="F14" i="81" s="1"/>
  <c r="H14" i="81" s="1"/>
  <c r="D14" i="82" s="1"/>
  <c r="F12" i="78"/>
  <c r="H12" i="78" s="1"/>
  <c r="F14" i="78"/>
  <c r="H14" i="78" s="1"/>
  <c r="F8" i="78"/>
  <c r="H8" i="78" s="1"/>
  <c r="F10" i="78"/>
  <c r="H10" i="78" s="1"/>
  <c r="F6" i="78"/>
  <c r="H6" i="78" s="1"/>
  <c r="F7" i="78"/>
  <c r="H7" i="78" s="1"/>
  <c r="F9" i="78"/>
  <c r="H9" i="78" s="1"/>
  <c r="E15" i="76"/>
  <c r="G15" i="76" s="1"/>
  <c r="H13" i="78"/>
  <c r="H15" i="73"/>
  <c r="C22" i="73" s="1"/>
  <c r="D15" i="78" l="1"/>
  <c r="F15" i="78" s="1"/>
  <c r="H15" i="78" s="1"/>
  <c r="D12" i="99"/>
  <c r="F12" i="99" s="1"/>
  <c r="H12" i="99" s="1"/>
  <c r="D12" i="100" s="1"/>
  <c r="F12" i="100" s="1"/>
  <c r="H12" i="100" s="1"/>
  <c r="D12" i="101" s="1"/>
  <c r="F12" i="101" s="1"/>
  <c r="H12" i="101" s="1"/>
  <c r="D12" i="102" s="1"/>
  <c r="F12" i="102" s="1"/>
  <c r="H12" i="102" s="1"/>
  <c r="D12" i="103" s="1"/>
  <c r="F12" i="103" s="1"/>
  <c r="H12" i="103" s="1"/>
  <c r="D12" i="98"/>
  <c r="F12" i="98" s="1"/>
  <c r="H12" i="98" s="1"/>
  <c r="F14" i="82"/>
  <c r="H14" i="82" s="1"/>
  <c r="D14" i="83" s="1"/>
  <c r="F14" i="83" s="1"/>
  <c r="H14" i="83" s="1"/>
  <c r="D14" i="84" s="1"/>
  <c r="F6" i="81"/>
  <c r="H6" i="81" s="1"/>
  <c r="D6" i="82" s="1"/>
  <c r="F6" i="82" s="1"/>
  <c r="H6" i="82" s="1"/>
  <c r="D6" i="83" s="1"/>
  <c r="D16" i="81"/>
  <c r="F16" i="81" s="1"/>
  <c r="H16" i="81" s="1"/>
  <c r="D15" i="79"/>
  <c r="F15" i="79" s="1"/>
  <c r="H15" i="79" s="1"/>
  <c r="F5" i="79"/>
  <c r="H5" i="79" s="1"/>
  <c r="F8" i="86"/>
  <c r="H8" i="86" s="1"/>
  <c r="D8" i="87" s="1"/>
  <c r="D16" i="80"/>
  <c r="F16" i="80" s="1"/>
  <c r="H16" i="80" s="1"/>
  <c r="F10" i="91"/>
  <c r="H10" i="91" s="1"/>
  <c r="D10" i="92" s="1"/>
  <c r="F10" i="92" s="1"/>
  <c r="H10" i="92" s="1"/>
  <c r="D10" i="93" s="1"/>
  <c r="F10" i="93" s="1"/>
  <c r="H10" i="93" s="1"/>
  <c r="D10" i="94" s="1"/>
  <c r="F10" i="94" s="1"/>
  <c r="H10" i="94" s="1"/>
  <c r="D10" i="95" s="1"/>
  <c r="F10" i="95" s="1"/>
  <c r="H10" i="95" s="1"/>
  <c r="D10" i="96" s="1"/>
  <c r="F10" i="96" s="1"/>
  <c r="H10" i="96" s="1"/>
  <c r="D10" i="97" s="1"/>
  <c r="F10" i="97" s="1"/>
  <c r="H10" i="97" s="1"/>
  <c r="D10" i="90"/>
  <c r="F10" i="90" s="1"/>
  <c r="H10" i="90" s="1"/>
  <c r="G22" i="73"/>
  <c r="F15" i="73"/>
  <c r="G20" i="73" s="1"/>
  <c r="D15" i="73"/>
  <c r="C20" i="73" s="1"/>
  <c r="E14" i="73"/>
  <c r="G14" i="73" s="1"/>
  <c r="E13" i="73"/>
  <c r="G13" i="73" s="1"/>
  <c r="E12" i="73"/>
  <c r="G12" i="73" s="1"/>
  <c r="G11" i="73"/>
  <c r="E10" i="73"/>
  <c r="G10" i="73" s="1"/>
  <c r="E9" i="73"/>
  <c r="G9" i="73" s="1"/>
  <c r="E8" i="73"/>
  <c r="G8" i="73" s="1"/>
  <c r="E7" i="73"/>
  <c r="G7" i="73" s="1"/>
  <c r="E6" i="73"/>
  <c r="G6" i="73" s="1"/>
  <c r="E5" i="73"/>
  <c r="E15" i="73" l="1"/>
  <c r="D10" i="99"/>
  <c r="F10" i="99" s="1"/>
  <c r="H10" i="99" s="1"/>
  <c r="D10" i="100" s="1"/>
  <c r="F10" i="100" s="1"/>
  <c r="H10" i="100" s="1"/>
  <c r="D10" i="101" s="1"/>
  <c r="F10" i="101" s="1"/>
  <c r="H10" i="101" s="1"/>
  <c r="D10" i="102" s="1"/>
  <c r="F10" i="102" s="1"/>
  <c r="H10" i="102" s="1"/>
  <c r="D10" i="103" s="1"/>
  <c r="F10" i="103" s="1"/>
  <c r="H10" i="103" s="1"/>
  <c r="D10" i="98"/>
  <c r="F10" i="98" s="1"/>
  <c r="H10" i="98" s="1"/>
  <c r="F14" i="84"/>
  <c r="H14" i="84" s="1"/>
  <c r="D14" i="85" s="1"/>
  <c r="D16" i="84"/>
  <c r="F16" i="84" s="1"/>
  <c r="H16" i="84" s="1"/>
  <c r="G5" i="73"/>
  <c r="G15" i="73" s="1"/>
  <c r="F8" i="87"/>
  <c r="F6" i="83"/>
  <c r="H6" i="83" s="1"/>
  <c r="D16" i="83"/>
  <c r="F16" i="83" s="1"/>
  <c r="H16" i="83" s="1"/>
  <c r="D16" i="82"/>
  <c r="F16" i="82" s="1"/>
  <c r="H16" i="82" s="1"/>
  <c r="H23" i="73"/>
  <c r="D23" i="73"/>
  <c r="H27" i="66"/>
  <c r="D27" i="66"/>
  <c r="H8" i="87" l="1"/>
  <c r="F14" i="85"/>
  <c r="H14" i="85" s="1"/>
  <c r="D14" i="86" s="1"/>
  <c r="D16" i="85"/>
  <c r="F16" i="85" s="1"/>
  <c r="H16" i="85" s="1"/>
  <c r="H29" i="72"/>
  <c r="D29" i="72"/>
  <c r="F14" i="86" l="1"/>
  <c r="H14" i="86" s="1"/>
  <c r="D16" i="86"/>
  <c r="F16" i="86" s="1"/>
  <c r="D8" i="88"/>
  <c r="F15" i="72"/>
  <c r="G20" i="72" s="1"/>
  <c r="D15" i="72"/>
  <c r="C20" i="72" s="1"/>
  <c r="E14" i="72"/>
  <c r="G14" i="72" s="1"/>
  <c r="E13" i="72"/>
  <c r="G13" i="72" s="1"/>
  <c r="E12" i="72"/>
  <c r="G12" i="72" s="1"/>
  <c r="G11" i="72"/>
  <c r="E10" i="72"/>
  <c r="G10" i="72" s="1"/>
  <c r="E9" i="72"/>
  <c r="G9" i="72" s="1"/>
  <c r="E8" i="72"/>
  <c r="G8" i="72" s="1"/>
  <c r="E7" i="72"/>
  <c r="G7" i="72" s="1"/>
  <c r="E6" i="72"/>
  <c r="G6" i="72" s="1"/>
  <c r="E5" i="72"/>
  <c r="F8" i="88" l="1"/>
  <c r="D14" i="87"/>
  <c r="H16" i="86"/>
  <c r="H17" i="86" s="1"/>
  <c r="E15" i="72"/>
  <c r="G5" i="72"/>
  <c r="G15" i="72" s="1"/>
  <c r="H22" i="72"/>
  <c r="D22" i="72"/>
  <c r="G11" i="71"/>
  <c r="E5" i="71"/>
  <c r="G5" i="71" s="1"/>
  <c r="H29" i="71"/>
  <c r="D29" i="71"/>
  <c r="F15" i="71"/>
  <c r="G20" i="71" s="1"/>
  <c r="D15" i="71"/>
  <c r="C20" i="71" s="1"/>
  <c r="E14" i="71"/>
  <c r="G14" i="71" s="1"/>
  <c r="E13" i="71"/>
  <c r="G13" i="71" s="1"/>
  <c r="E12" i="71"/>
  <c r="G12" i="71" s="1"/>
  <c r="E10" i="71"/>
  <c r="G10" i="71" s="1"/>
  <c r="E9" i="71"/>
  <c r="G9" i="71" s="1"/>
  <c r="E8" i="71"/>
  <c r="G8" i="71" s="1"/>
  <c r="E7" i="71"/>
  <c r="G7" i="71" s="1"/>
  <c r="E6" i="71"/>
  <c r="G6" i="71" s="1"/>
  <c r="F14" i="87" l="1"/>
  <c r="F16" i="87" s="1"/>
  <c r="D16" i="87"/>
  <c r="H8" i="88"/>
  <c r="E15" i="71"/>
  <c r="H22" i="71"/>
  <c r="D22" i="71"/>
  <c r="G15" i="71"/>
  <c r="H29" i="70"/>
  <c r="D29" i="70"/>
  <c r="F15" i="70"/>
  <c r="G20" i="70" s="1"/>
  <c r="D15" i="70"/>
  <c r="C20" i="70" s="1"/>
  <c r="E14" i="70"/>
  <c r="G14" i="70" s="1"/>
  <c r="E13" i="70"/>
  <c r="G13" i="70" s="1"/>
  <c r="E12" i="70"/>
  <c r="G12" i="70" s="1"/>
  <c r="G11" i="70"/>
  <c r="E10" i="70"/>
  <c r="G10" i="70" s="1"/>
  <c r="E9" i="70"/>
  <c r="G9" i="70" s="1"/>
  <c r="E8" i="70"/>
  <c r="G8" i="70" s="1"/>
  <c r="E7" i="70"/>
  <c r="G7" i="70" s="1"/>
  <c r="E6" i="70"/>
  <c r="E15" i="70" l="1"/>
  <c r="D8" i="89"/>
  <c r="F8" i="89" s="1"/>
  <c r="H14" i="87"/>
  <c r="H22" i="70"/>
  <c r="D22" i="70"/>
  <c r="G6" i="70"/>
  <c r="G15" i="70" s="1"/>
  <c r="H29" i="69"/>
  <c r="D29" i="69"/>
  <c r="D14" i="88" l="1"/>
  <c r="H16" i="87"/>
  <c r="H8" i="89"/>
  <c r="D8" i="91" s="1"/>
  <c r="F15" i="69"/>
  <c r="G20" i="69" s="1"/>
  <c r="D15" i="69"/>
  <c r="C20" i="69" s="1"/>
  <c r="E14" i="69"/>
  <c r="G14" i="69" s="1"/>
  <c r="E13" i="69"/>
  <c r="G13" i="69" s="1"/>
  <c r="E12" i="69"/>
  <c r="G12" i="69" s="1"/>
  <c r="G11" i="69"/>
  <c r="E10" i="69"/>
  <c r="G10" i="69" s="1"/>
  <c r="E9" i="69"/>
  <c r="G9" i="69" s="1"/>
  <c r="E8" i="69"/>
  <c r="G8" i="69" s="1"/>
  <c r="E7" i="69"/>
  <c r="G7" i="69" s="1"/>
  <c r="E6" i="69"/>
  <c r="G6" i="69" s="1"/>
  <c r="G15" i="69" l="1"/>
  <c r="E15" i="69"/>
  <c r="D8" i="90"/>
  <c r="F14" i="88"/>
  <c r="D16" i="88"/>
  <c r="H22" i="69"/>
  <c r="D22" i="69"/>
  <c r="D29" i="67"/>
  <c r="H14" i="88" l="1"/>
  <c r="F16" i="88"/>
  <c r="F8" i="90"/>
  <c r="F8" i="91"/>
  <c r="H29" i="68"/>
  <c r="D29" i="68"/>
  <c r="F15" i="68"/>
  <c r="G20" i="68" s="1"/>
  <c r="D15" i="68"/>
  <c r="C20" i="68" s="1"/>
  <c r="E14" i="68"/>
  <c r="G14" i="68" s="1"/>
  <c r="E13" i="68"/>
  <c r="G13" i="68" s="1"/>
  <c r="E12" i="68"/>
  <c r="G12" i="68" s="1"/>
  <c r="G11" i="68"/>
  <c r="E10" i="68"/>
  <c r="G10" i="68" s="1"/>
  <c r="E9" i="68"/>
  <c r="G9" i="68" s="1"/>
  <c r="E8" i="68"/>
  <c r="G8" i="68" s="1"/>
  <c r="E7" i="68"/>
  <c r="G7" i="68" s="1"/>
  <c r="E6" i="68"/>
  <c r="H29" i="67"/>
  <c r="E15" i="68" l="1"/>
  <c r="G6" i="68"/>
  <c r="G15" i="68" s="1"/>
  <c r="H8" i="91"/>
  <c r="D8" i="92" s="1"/>
  <c r="H8" i="90"/>
  <c r="D14" i="89"/>
  <c r="F14" i="89" s="1"/>
  <c r="H16" i="88"/>
  <c r="D16" i="89" s="1"/>
  <c r="H22" i="68"/>
  <c r="D22" i="68"/>
  <c r="F8" i="92" l="1"/>
  <c r="H14" i="89"/>
  <c r="D14" i="91" s="1"/>
  <c r="F16" i="89"/>
  <c r="D15" i="67"/>
  <c r="F15" i="67"/>
  <c r="C20" i="67"/>
  <c r="H22" i="67" s="1"/>
  <c r="H8" i="92" l="1"/>
  <c r="D14" i="90"/>
  <c r="H16" i="89"/>
  <c r="D22" i="67"/>
  <c r="G20" i="67"/>
  <c r="E14" i="67"/>
  <c r="G14" i="67" s="1"/>
  <c r="E13" i="67"/>
  <c r="G13" i="67" s="1"/>
  <c r="E12" i="67"/>
  <c r="G12" i="67" s="1"/>
  <c r="G11" i="67"/>
  <c r="E10" i="67"/>
  <c r="G10" i="67" s="1"/>
  <c r="E9" i="67"/>
  <c r="G9" i="67" s="1"/>
  <c r="E8" i="67"/>
  <c r="G8" i="67" s="1"/>
  <c r="E7" i="67"/>
  <c r="G7" i="67" s="1"/>
  <c r="E6" i="67"/>
  <c r="G6" i="67" s="1"/>
  <c r="D8" i="93" l="1"/>
  <c r="E15" i="67"/>
  <c r="F14" i="90"/>
  <c r="D16" i="90"/>
  <c r="F14" i="91"/>
  <c r="D16" i="91"/>
  <c r="G15" i="67"/>
  <c r="F15" i="66"/>
  <c r="G19" i="66" s="1"/>
  <c r="D15" i="66"/>
  <c r="C19" i="66" s="1"/>
  <c r="E14" i="66"/>
  <c r="G14" i="66" s="1"/>
  <c r="E13" i="66"/>
  <c r="G13" i="66" s="1"/>
  <c r="E12" i="66"/>
  <c r="G12" i="66" s="1"/>
  <c r="G11" i="66"/>
  <c r="E10" i="66"/>
  <c r="G10" i="66" s="1"/>
  <c r="E9" i="66"/>
  <c r="G9" i="66" s="1"/>
  <c r="E8" i="66"/>
  <c r="G8" i="66" s="1"/>
  <c r="E7" i="66"/>
  <c r="G7" i="66" s="1"/>
  <c r="E6" i="66"/>
  <c r="G6" i="66" s="1"/>
  <c r="E5" i="66"/>
  <c r="F8" i="93" l="1"/>
  <c r="E15" i="66"/>
  <c r="H14" i="91"/>
  <c r="F16" i="91"/>
  <c r="H14" i="90"/>
  <c r="H16" i="90" s="1"/>
  <c r="F16" i="90"/>
  <c r="H21" i="66"/>
  <c r="D21" i="66"/>
  <c r="G5" i="66"/>
  <c r="G15" i="66" s="1"/>
  <c r="H16" i="91" l="1"/>
  <c r="D14" i="92"/>
  <c r="H8" i="93"/>
  <c r="F15" i="65"/>
  <c r="G19" i="65" s="1"/>
  <c r="D15" i="65"/>
  <c r="C19" i="65" s="1"/>
  <c r="E14" i="65"/>
  <c r="G14" i="65" s="1"/>
  <c r="E13" i="65"/>
  <c r="G13" i="65" s="1"/>
  <c r="E12" i="65"/>
  <c r="G12" i="65" s="1"/>
  <c r="G11" i="65"/>
  <c r="E10" i="65"/>
  <c r="G10" i="65" s="1"/>
  <c r="E9" i="65"/>
  <c r="G9" i="65" s="1"/>
  <c r="E8" i="65"/>
  <c r="G8" i="65" s="1"/>
  <c r="E7" i="65"/>
  <c r="G7" i="65" s="1"/>
  <c r="E6" i="65"/>
  <c r="G6" i="65" s="1"/>
  <c r="E5" i="65"/>
  <c r="G5" i="65" s="1"/>
  <c r="F14" i="92" l="1"/>
  <c r="D16" i="92"/>
  <c r="D8" i="94"/>
  <c r="E15" i="65"/>
  <c r="G15" i="65"/>
  <c r="H23" i="65"/>
  <c r="H29" i="65" s="1"/>
  <c r="D23" i="65"/>
  <c r="D29" i="65" s="1"/>
  <c r="F15" i="64"/>
  <c r="G19" i="64" s="1"/>
  <c r="D15" i="64"/>
  <c r="C19" i="64" s="1"/>
  <c r="E14" i="64"/>
  <c r="G14" i="64" s="1"/>
  <c r="E13" i="64"/>
  <c r="G13" i="64" s="1"/>
  <c r="E12" i="64"/>
  <c r="G12" i="64" s="1"/>
  <c r="G11" i="64"/>
  <c r="E10" i="64"/>
  <c r="G10" i="64" s="1"/>
  <c r="E9" i="64"/>
  <c r="G9" i="64" s="1"/>
  <c r="E8" i="64"/>
  <c r="G8" i="64" s="1"/>
  <c r="E7" i="64"/>
  <c r="G7" i="64" s="1"/>
  <c r="E6" i="64"/>
  <c r="G6" i="64" s="1"/>
  <c r="E5" i="64"/>
  <c r="E15" i="64" l="1"/>
  <c r="F8" i="94"/>
  <c r="D16" i="94"/>
  <c r="H14" i="92"/>
  <c r="F16" i="92"/>
  <c r="G5" i="64"/>
  <c r="G15" i="64" s="1"/>
  <c r="H23" i="64"/>
  <c r="H30" i="64" s="1"/>
  <c r="D23" i="64"/>
  <c r="D30" i="64" s="1"/>
  <c r="F14" i="63"/>
  <c r="F18" i="63" s="1"/>
  <c r="D14" i="63"/>
  <c r="B18" i="63" s="1"/>
  <c r="C22" i="63" s="1"/>
  <c r="E13" i="63"/>
  <c r="G13" i="63" s="1"/>
  <c r="E12" i="63"/>
  <c r="G12" i="63" s="1"/>
  <c r="E11" i="63"/>
  <c r="G11" i="63" s="1"/>
  <c r="G10" i="63"/>
  <c r="E9" i="63"/>
  <c r="G9" i="63" s="1"/>
  <c r="E8" i="63"/>
  <c r="G8" i="63" s="1"/>
  <c r="E7" i="63"/>
  <c r="G7" i="63" s="1"/>
  <c r="E6" i="63"/>
  <c r="G6" i="63" s="1"/>
  <c r="E5" i="63"/>
  <c r="G5" i="63" s="1"/>
  <c r="E4" i="63"/>
  <c r="D14" i="93" l="1"/>
  <c r="H16" i="92"/>
  <c r="H8" i="94"/>
  <c r="F16" i="94"/>
  <c r="E14" i="63"/>
  <c r="G22" i="63"/>
  <c r="G4" i="63"/>
  <c r="G14" i="63" s="1"/>
  <c r="G33" i="63"/>
  <c r="C33" i="63"/>
  <c r="D8" i="95" l="1"/>
  <c r="H16" i="94"/>
  <c r="F14" i="93"/>
  <c r="D16" i="93"/>
  <c r="F14" i="62"/>
  <c r="F18" i="62" s="1"/>
  <c r="D14" i="62"/>
  <c r="B18" i="62" s="1"/>
  <c r="E13" i="62"/>
  <c r="G13" i="62" s="1"/>
  <c r="E12" i="62"/>
  <c r="G12" i="62" s="1"/>
  <c r="E11" i="62"/>
  <c r="G11" i="62" s="1"/>
  <c r="G10" i="62"/>
  <c r="E9" i="62"/>
  <c r="G9" i="62" s="1"/>
  <c r="E8" i="62"/>
  <c r="G8" i="62" s="1"/>
  <c r="E7" i="62"/>
  <c r="G7" i="62" s="1"/>
  <c r="E6" i="62"/>
  <c r="G6" i="62" s="1"/>
  <c r="E5" i="62"/>
  <c r="G5" i="62" s="1"/>
  <c r="E4" i="62"/>
  <c r="E14" i="62" l="1"/>
  <c r="H14" i="93"/>
  <c r="H16" i="93" s="1"/>
  <c r="F16" i="93"/>
  <c r="F8" i="95"/>
  <c r="D16" i="95"/>
  <c r="G4" i="62"/>
  <c r="G14" i="62" s="1"/>
  <c r="G22" i="62"/>
  <c r="G33" i="62" s="1"/>
  <c r="C22" i="62"/>
  <c r="C33" i="62" s="1"/>
  <c r="D14" i="61"/>
  <c r="H8" i="95" l="1"/>
  <c r="F16" i="95"/>
  <c r="B18" i="61"/>
  <c r="C22" i="61" s="1"/>
  <c r="C33" i="61" s="1"/>
  <c r="D8" i="96" l="1"/>
  <c r="H16" i="95"/>
  <c r="F14" i="61"/>
  <c r="F18" i="61" s="1"/>
  <c r="E13" i="61"/>
  <c r="G13" i="61" s="1"/>
  <c r="E12" i="61"/>
  <c r="G12" i="61" s="1"/>
  <c r="E11" i="61"/>
  <c r="G11" i="61" s="1"/>
  <c r="G10" i="61"/>
  <c r="E9" i="61"/>
  <c r="G9" i="61" s="1"/>
  <c r="E8" i="61"/>
  <c r="G8" i="61" s="1"/>
  <c r="E7" i="61"/>
  <c r="G7" i="61" s="1"/>
  <c r="E6" i="61"/>
  <c r="G6" i="61" s="1"/>
  <c r="E5" i="61"/>
  <c r="G5" i="61" s="1"/>
  <c r="E4" i="61"/>
  <c r="G4" i="61" s="1"/>
  <c r="F8" i="96" l="1"/>
  <c r="D16" i="96"/>
  <c r="E14" i="61"/>
  <c r="G14" i="61"/>
  <c r="G22" i="61"/>
  <c r="G33" i="61" s="1"/>
  <c r="O19" i="60"/>
  <c r="K16" i="60"/>
  <c r="M15" i="60"/>
  <c r="N11" i="60"/>
  <c r="M11" i="60"/>
  <c r="O11" i="60" l="1"/>
  <c r="H8" i="96"/>
  <c r="F16" i="96"/>
  <c r="N15" i="60"/>
  <c r="N16" i="60" s="1"/>
  <c r="N18" i="60" s="1"/>
  <c r="F14" i="60"/>
  <c r="F18" i="60" s="1"/>
  <c r="D14" i="60"/>
  <c r="B18" i="60" s="1"/>
  <c r="E13" i="60"/>
  <c r="G13" i="60" s="1"/>
  <c r="E12" i="60"/>
  <c r="G12" i="60" s="1"/>
  <c r="E11" i="60"/>
  <c r="G11" i="60" s="1"/>
  <c r="G10" i="60"/>
  <c r="E9" i="60"/>
  <c r="G9" i="60" s="1"/>
  <c r="E8" i="60"/>
  <c r="G8" i="60" s="1"/>
  <c r="E7" i="60"/>
  <c r="G7" i="60" s="1"/>
  <c r="E6" i="60"/>
  <c r="G6" i="60" s="1"/>
  <c r="E5" i="60"/>
  <c r="G5" i="60" s="1"/>
  <c r="E4" i="60"/>
  <c r="G4" i="60" s="1"/>
  <c r="D8" i="97" l="1"/>
  <c r="F8" i="97" s="1"/>
  <c r="H16" i="96"/>
  <c r="D16" i="97" s="1"/>
  <c r="E14" i="60"/>
  <c r="G14" i="60"/>
  <c r="G22" i="60"/>
  <c r="G33" i="60" s="1"/>
  <c r="C22" i="60"/>
  <c r="C33" i="60" s="1"/>
  <c r="H8" i="97" l="1"/>
  <c r="F16" i="97"/>
  <c r="F14" i="59"/>
  <c r="F18" i="59" s="1"/>
  <c r="D14" i="59"/>
  <c r="B18" i="59" s="1"/>
  <c r="C22" i="59" s="1"/>
  <c r="C33" i="59" s="1"/>
  <c r="E13" i="59"/>
  <c r="G13" i="59" s="1"/>
  <c r="E12" i="59"/>
  <c r="G12" i="59" s="1"/>
  <c r="E11" i="59"/>
  <c r="G11" i="59" s="1"/>
  <c r="G10" i="59"/>
  <c r="E9" i="59"/>
  <c r="G9" i="59" s="1"/>
  <c r="E8" i="59"/>
  <c r="G8" i="59" s="1"/>
  <c r="E7" i="59"/>
  <c r="G7" i="59" s="1"/>
  <c r="E6" i="59"/>
  <c r="G6" i="59" s="1"/>
  <c r="E5" i="59"/>
  <c r="G5" i="59" s="1"/>
  <c r="E4" i="59"/>
  <c r="E14" i="59" l="1"/>
  <c r="D8" i="99"/>
  <c r="D8" i="98"/>
  <c r="H16" i="97"/>
  <c r="G22" i="59"/>
  <c r="G33" i="59" s="1"/>
  <c r="G4" i="59"/>
  <c r="G14" i="59" s="1"/>
  <c r="H30" i="57"/>
  <c r="F8" i="98" l="1"/>
  <c r="D16" i="98"/>
  <c r="F8" i="99"/>
  <c r="D16" i="99"/>
  <c r="F14" i="58"/>
  <c r="F18" i="58" s="1"/>
  <c r="D14" i="58"/>
  <c r="B18" i="58" s="1"/>
  <c r="G22" i="58" s="1"/>
  <c r="G33" i="58" s="1"/>
  <c r="E13" i="58"/>
  <c r="G13" i="58" s="1"/>
  <c r="E12" i="58"/>
  <c r="G12" i="58" s="1"/>
  <c r="E11" i="58"/>
  <c r="G11" i="58" s="1"/>
  <c r="G10" i="58"/>
  <c r="E9" i="58"/>
  <c r="G9" i="58" s="1"/>
  <c r="E8" i="58"/>
  <c r="G8" i="58" s="1"/>
  <c r="E7" i="58"/>
  <c r="E6" i="58"/>
  <c r="G6" i="58" s="1"/>
  <c r="E5" i="58"/>
  <c r="G5" i="58" s="1"/>
  <c r="E4" i="58"/>
  <c r="E14" i="58" l="1"/>
  <c r="H8" i="99"/>
  <c r="F16" i="99"/>
  <c r="H8" i="98"/>
  <c r="H16" i="98" s="1"/>
  <c r="F16" i="98"/>
  <c r="C22" i="58"/>
  <c r="C33" i="58" s="1"/>
  <c r="G4" i="58"/>
  <c r="G14" i="58" s="1"/>
  <c r="E9" i="57"/>
  <c r="D8" i="100" l="1"/>
  <c r="H16" i="99"/>
  <c r="F14" i="57"/>
  <c r="F18" i="57" s="1"/>
  <c r="D14" i="57"/>
  <c r="B18" i="57" s="1"/>
  <c r="E13" i="57"/>
  <c r="G13" i="57" s="1"/>
  <c r="E12" i="57"/>
  <c r="G12" i="57" s="1"/>
  <c r="E11" i="57"/>
  <c r="G11" i="57" s="1"/>
  <c r="G10" i="57"/>
  <c r="G9" i="57"/>
  <c r="E8" i="57"/>
  <c r="G8" i="57" s="1"/>
  <c r="E7" i="57"/>
  <c r="E6" i="57"/>
  <c r="G6" i="57" s="1"/>
  <c r="E5" i="57"/>
  <c r="G5" i="57" s="1"/>
  <c r="E4" i="57"/>
  <c r="G4" i="57" s="1"/>
  <c r="F8" i="100" l="1"/>
  <c r="D16" i="100"/>
  <c r="E14" i="57"/>
  <c r="C22" i="57"/>
  <c r="C33" i="57" s="1"/>
  <c r="G23" i="57"/>
  <c r="G33" i="57" s="1"/>
  <c r="G14" i="57"/>
  <c r="H8" i="100" l="1"/>
  <c r="F16" i="100"/>
  <c r="E10" i="55"/>
  <c r="E11" i="55"/>
  <c r="E12" i="55"/>
  <c r="E8" i="55"/>
  <c r="E7" i="55"/>
  <c r="E6" i="55"/>
  <c r="E5" i="55"/>
  <c r="E4" i="55"/>
  <c r="F14" i="56"/>
  <c r="F18" i="56" s="1"/>
  <c r="D14" i="56"/>
  <c r="B18" i="56" s="1"/>
  <c r="C14" i="56"/>
  <c r="E13" i="56"/>
  <c r="G13" i="56" s="1"/>
  <c r="E12" i="56"/>
  <c r="G12" i="56" s="1"/>
  <c r="E11" i="56"/>
  <c r="G11" i="56" s="1"/>
  <c r="G10" i="56"/>
  <c r="G9" i="56"/>
  <c r="E8" i="56"/>
  <c r="G8" i="56" s="1"/>
  <c r="E7" i="56"/>
  <c r="E6" i="56"/>
  <c r="G6" i="56" s="1"/>
  <c r="E5" i="56"/>
  <c r="G5" i="56" s="1"/>
  <c r="E4" i="56"/>
  <c r="D8" i="101" l="1"/>
  <c r="F8" i="101" s="1"/>
  <c r="H16" i="100"/>
  <c r="D16" i="101" s="1"/>
  <c r="C22" i="56"/>
  <c r="E14" i="56"/>
  <c r="G4" i="56"/>
  <c r="G14" i="56" s="1"/>
  <c r="F14" i="55"/>
  <c r="F18" i="55" s="1"/>
  <c r="G23" i="55" s="1"/>
  <c r="G33" i="55" s="1"/>
  <c r="D14" i="55"/>
  <c r="B18" i="55" s="1"/>
  <c r="C22" i="55" s="1"/>
  <c r="C33" i="55" s="1"/>
  <c r="C14" i="55"/>
  <c r="E13" i="55"/>
  <c r="G13" i="55" s="1"/>
  <c r="G11" i="55"/>
  <c r="G10" i="55"/>
  <c r="G9" i="55"/>
  <c r="G8" i="55"/>
  <c r="G6" i="55"/>
  <c r="G5" i="55"/>
  <c r="G4" i="55"/>
  <c r="H8" i="101" l="1"/>
  <c r="F16" i="101"/>
  <c r="C33" i="56"/>
  <c r="G23" i="56"/>
  <c r="G33" i="56" s="1"/>
  <c r="G14" i="55"/>
  <c r="E14" i="55"/>
  <c r="E7" i="54"/>
  <c r="E8" i="54"/>
  <c r="E9" i="54"/>
  <c r="E10" i="54"/>
  <c r="E11" i="54"/>
  <c r="E12" i="54"/>
  <c r="E13" i="54"/>
  <c r="E14" i="54"/>
  <c r="E15" i="54"/>
  <c r="E16" i="54"/>
  <c r="E17" i="54"/>
  <c r="E18" i="54"/>
  <c r="E6" i="54"/>
  <c r="G6" i="54" s="1"/>
  <c r="H16" i="101" l="1"/>
  <c r="D16" i="102" s="1"/>
  <c r="D8" i="102"/>
  <c r="F8" i="102" s="1"/>
  <c r="H8" i="102" s="1"/>
  <c r="D8" i="103" s="1"/>
  <c r="C39" i="53"/>
  <c r="B24" i="53"/>
  <c r="F8" i="103" l="1"/>
  <c r="D16" i="103"/>
  <c r="H16" i="102"/>
  <c r="F16" i="102"/>
  <c r="F19" i="54"/>
  <c r="F23" i="54" s="1"/>
  <c r="G29" i="54" s="1"/>
  <c r="G39" i="54" s="1"/>
  <c r="D19" i="54"/>
  <c r="B23" i="54" s="1"/>
  <c r="C19" i="54"/>
  <c r="G18" i="54"/>
  <c r="G16" i="54"/>
  <c r="G15" i="54"/>
  <c r="G14" i="54"/>
  <c r="G12" i="54"/>
  <c r="G11" i="54"/>
  <c r="G10" i="54"/>
  <c r="G8" i="54"/>
  <c r="H8" i="103" l="1"/>
  <c r="H16" i="103" s="1"/>
  <c r="F16" i="103"/>
  <c r="C28" i="54"/>
  <c r="C39" i="54" s="1"/>
  <c r="E19" i="54"/>
  <c r="G7" i="54"/>
  <c r="G19" i="54" s="1"/>
  <c r="E10" i="53" l="1"/>
  <c r="G10" i="53" s="1"/>
  <c r="E11" i="53"/>
  <c r="G11" i="53" s="1"/>
  <c r="E12" i="53"/>
  <c r="G12" i="53" s="1"/>
  <c r="E13" i="53"/>
  <c r="E14" i="53"/>
  <c r="G14" i="53" s="1"/>
  <c r="E15" i="53"/>
  <c r="G15" i="53" s="1"/>
  <c r="E16" i="53"/>
  <c r="G16" i="53" s="1"/>
  <c r="E17" i="53"/>
  <c r="E9" i="53"/>
  <c r="F19" i="53"/>
  <c r="F23" i="53" s="1"/>
  <c r="G25" i="53" s="1"/>
  <c r="G39" i="53" s="1"/>
  <c r="D19" i="53"/>
  <c r="B23" i="53" s="1"/>
  <c r="C28" i="53" s="1"/>
  <c r="C19" i="53"/>
  <c r="E18" i="53"/>
  <c r="G18" i="53" s="1"/>
  <c r="E8" i="53"/>
  <c r="G8" i="53" s="1"/>
  <c r="E7" i="53"/>
  <c r="G6" i="53"/>
  <c r="F39" i="53" l="1"/>
  <c r="E19" i="53"/>
  <c r="G7" i="53"/>
  <c r="G19" i="53" s="1"/>
  <c r="G36" i="52"/>
  <c r="C32" i="52"/>
  <c r="C36" i="52" s="1"/>
  <c r="H39" i="53" l="1"/>
  <c r="F24" i="54" s="1"/>
  <c r="F39" i="54" s="1"/>
  <c r="F19" i="52"/>
  <c r="H39" i="54" l="1"/>
  <c r="F19" i="55" s="1"/>
  <c r="F33" i="55" s="1"/>
  <c r="H33" i="55" s="1"/>
  <c r="F19" i="56" s="1"/>
  <c r="B24" i="54"/>
  <c r="F23" i="52"/>
  <c r="D19" i="52"/>
  <c r="B23" i="52" s="1"/>
  <c r="C19" i="52"/>
  <c r="E18" i="52"/>
  <c r="G18" i="52" s="1"/>
  <c r="G16" i="52"/>
  <c r="G15" i="52"/>
  <c r="E14" i="52"/>
  <c r="G14" i="52" s="1"/>
  <c r="E12" i="52"/>
  <c r="G12" i="52" s="1"/>
  <c r="E11" i="52"/>
  <c r="G11" i="52" s="1"/>
  <c r="E10" i="52"/>
  <c r="G10" i="52" s="1"/>
  <c r="E9" i="52"/>
  <c r="E8" i="52"/>
  <c r="G8" i="52" s="1"/>
  <c r="E7" i="52"/>
  <c r="G6" i="52"/>
  <c r="B32" i="54" l="1"/>
  <c r="B27" i="54"/>
  <c r="B39" i="54" s="1"/>
  <c r="F33" i="56"/>
  <c r="H33" i="56" s="1"/>
  <c r="F19" i="57" s="1"/>
  <c r="F33" i="57" s="1"/>
  <c r="H33" i="57" s="1"/>
  <c r="F19" i="58" s="1"/>
  <c r="E19" i="52"/>
  <c r="G26" i="52"/>
  <c r="C26" i="52"/>
  <c r="G7" i="52"/>
  <c r="G19" i="52" s="1"/>
  <c r="G36" i="51"/>
  <c r="C36" i="51"/>
  <c r="D19" i="51" l="1"/>
  <c r="B23" i="51" s="1"/>
  <c r="C26" i="51" s="1"/>
  <c r="C19" i="51"/>
  <c r="E18" i="51"/>
  <c r="G18" i="51" s="1"/>
  <c r="G16" i="51"/>
  <c r="G15" i="51"/>
  <c r="F19" i="51"/>
  <c r="F23" i="51" s="1"/>
  <c r="E14" i="51"/>
  <c r="G14" i="51" s="1"/>
  <c r="E12" i="51"/>
  <c r="G12" i="51" s="1"/>
  <c r="E11" i="51"/>
  <c r="G11" i="51" s="1"/>
  <c r="E10" i="51"/>
  <c r="G10" i="51" s="1"/>
  <c r="E9" i="51"/>
  <c r="E8" i="51"/>
  <c r="G8" i="51" s="1"/>
  <c r="E7" i="51"/>
  <c r="G7" i="51" s="1"/>
  <c r="G6" i="51"/>
  <c r="F33" i="58" l="1"/>
  <c r="H33" i="58" s="1"/>
  <c r="F19" i="59" s="1"/>
  <c r="F33" i="59" s="1"/>
  <c r="H33" i="59" s="1"/>
  <c r="F19" i="60" s="1"/>
  <c r="F33" i="60" s="1"/>
  <c r="H33" i="60" s="1"/>
  <c r="F19" i="61" s="1"/>
  <c r="F33" i="61" s="1"/>
  <c r="H33" i="61" s="1"/>
  <c r="F19" i="62" s="1"/>
  <c r="F33" i="62" s="1"/>
  <c r="H33" i="62" s="1"/>
  <c r="F19" i="63" s="1"/>
  <c r="F33" i="63" s="1"/>
  <c r="H33" i="63" s="1"/>
  <c r="G20" i="64" s="1"/>
  <c r="G30" i="64" s="1"/>
  <c r="I30" i="64" s="1"/>
  <c r="G20" i="65" s="1"/>
  <c r="G29" i="65" s="1"/>
  <c r="I29" i="65" s="1"/>
  <c r="G20" i="66" s="1"/>
  <c r="G27" i="66" s="1"/>
  <c r="I27" i="66" s="1"/>
  <c r="G21" i="67" s="1"/>
  <c r="G29" i="67" s="1"/>
  <c r="I29" i="67" s="1"/>
  <c r="G21" i="68" s="1"/>
  <c r="G29" i="68" s="1"/>
  <c r="I29" i="68" s="1"/>
  <c r="G21" i="69" s="1"/>
  <c r="G29" i="69" s="1"/>
  <c r="I29" i="69" s="1"/>
  <c r="G21" i="70" s="1"/>
  <c r="G29" i="70" s="1"/>
  <c r="I29" i="70" s="1"/>
  <c r="G21" i="71" s="1"/>
  <c r="G29" i="71" s="1"/>
  <c r="I29" i="71" s="1"/>
  <c r="G21" i="72" s="1"/>
  <c r="G29" i="72" s="1"/>
  <c r="I29" i="72" s="1"/>
  <c r="G21" i="73" s="1"/>
  <c r="G26" i="51"/>
  <c r="G19" i="51"/>
  <c r="E19" i="51"/>
  <c r="C36" i="50"/>
  <c r="E14" i="50"/>
  <c r="G30" i="73" l="1"/>
  <c r="I30" i="73" s="1"/>
  <c r="G21" i="74" s="1"/>
  <c r="G30" i="74" s="1"/>
  <c r="I30" i="74" s="1"/>
  <c r="G21" i="75" s="1"/>
  <c r="G30" i="75" s="1"/>
  <c r="F14" i="50"/>
  <c r="I30" i="75" l="1"/>
  <c r="F21" i="76" s="1"/>
  <c r="F30" i="76" s="1"/>
  <c r="H30" i="76" s="1"/>
  <c r="F21" i="77" s="1"/>
  <c r="F30" i="77" s="1"/>
  <c r="H30" i="77" s="1"/>
  <c r="G22" i="78" s="1"/>
  <c r="G31" i="78" s="1"/>
  <c r="I31" i="78" s="1"/>
  <c r="G36" i="50"/>
  <c r="F19" i="50"/>
  <c r="F23" i="50" s="1"/>
  <c r="F25" i="50" s="1"/>
  <c r="D19" i="50"/>
  <c r="B23" i="50" s="1"/>
  <c r="B25" i="50" s="1"/>
  <c r="C19" i="50"/>
  <c r="E18" i="50"/>
  <c r="G18" i="50" s="1"/>
  <c r="G16" i="50"/>
  <c r="G15" i="50"/>
  <c r="G14" i="50"/>
  <c r="E12" i="50"/>
  <c r="G12" i="50" s="1"/>
  <c r="E11" i="50"/>
  <c r="G11" i="50" s="1"/>
  <c r="E10" i="50"/>
  <c r="G10" i="50" s="1"/>
  <c r="E9" i="50"/>
  <c r="E8" i="50"/>
  <c r="G8" i="50" s="1"/>
  <c r="E7" i="50"/>
  <c r="G6" i="50"/>
  <c r="G22" i="79" l="1"/>
  <c r="G31" i="79" s="1"/>
  <c r="I31" i="79" s="1"/>
  <c r="E19" i="50"/>
  <c r="G26" i="50"/>
  <c r="F27" i="50" s="1"/>
  <c r="F29" i="50" s="1"/>
  <c r="F36" i="50" s="1"/>
  <c r="H36" i="50" s="1"/>
  <c r="C26" i="50"/>
  <c r="B27" i="50" s="1"/>
  <c r="B29" i="50" s="1"/>
  <c r="B36" i="50" s="1"/>
  <c r="G7" i="50"/>
  <c r="G19" i="50" s="1"/>
  <c r="C36" i="49"/>
  <c r="C35" i="47"/>
  <c r="C35" i="48"/>
  <c r="G23" i="80" l="1"/>
  <c r="G32" i="80" s="1"/>
  <c r="I32" i="80" s="1"/>
  <c r="G23" i="81" s="1"/>
  <c r="G32" i="81" s="1"/>
  <c r="I32" i="81" s="1"/>
  <c r="G23" i="82" s="1"/>
  <c r="G34" i="82" s="1"/>
  <c r="I34" i="82" s="1"/>
  <c r="F24" i="51"/>
  <c r="F25" i="51" s="1"/>
  <c r="F27" i="51" s="1"/>
  <c r="F29" i="51" s="1"/>
  <c r="F36" i="51" s="1"/>
  <c r="H36" i="51" s="1"/>
  <c r="F24" i="52" s="1"/>
  <c r="F25" i="52" s="1"/>
  <c r="D36" i="50"/>
  <c r="F19" i="49"/>
  <c r="D19" i="49"/>
  <c r="B23" i="49" s="1"/>
  <c r="C19" i="49"/>
  <c r="E18" i="49"/>
  <c r="G18" i="49" s="1"/>
  <c r="G16" i="49"/>
  <c r="G15" i="49"/>
  <c r="G14" i="49"/>
  <c r="E12" i="49"/>
  <c r="G12" i="49" s="1"/>
  <c r="E11" i="49"/>
  <c r="G11" i="49" s="1"/>
  <c r="E10" i="49"/>
  <c r="G10" i="49" s="1"/>
  <c r="E9" i="49"/>
  <c r="E8" i="49"/>
  <c r="G8" i="49" s="1"/>
  <c r="E7" i="49"/>
  <c r="G7" i="49" s="1"/>
  <c r="G6" i="49"/>
  <c r="F19" i="48"/>
  <c r="D19" i="48"/>
  <c r="B23" i="48" s="1"/>
  <c r="C19" i="48"/>
  <c r="E18" i="48"/>
  <c r="G18" i="48" s="1"/>
  <c r="G16" i="48"/>
  <c r="G15" i="48"/>
  <c r="G14" i="48"/>
  <c r="E12" i="48"/>
  <c r="G12" i="48" s="1"/>
  <c r="E11" i="48"/>
  <c r="G11" i="48" s="1"/>
  <c r="E10" i="48"/>
  <c r="G10" i="48" s="1"/>
  <c r="E9" i="48"/>
  <c r="E8" i="48"/>
  <c r="G8" i="48" s="1"/>
  <c r="E7" i="48"/>
  <c r="G7" i="48" s="1"/>
  <c r="G6" i="48"/>
  <c r="G23" i="83" l="1"/>
  <c r="G34" i="83" s="1"/>
  <c r="I34" i="83" s="1"/>
  <c r="G23" i="84" s="1"/>
  <c r="G34" i="84" s="1"/>
  <c r="I34" i="84" s="1"/>
  <c r="G23" i="85" s="1"/>
  <c r="G34" i="85" s="1"/>
  <c r="I34" i="85" s="1"/>
  <c r="G23" i="86" s="1"/>
  <c r="G34" i="86" s="1"/>
  <c r="I34" i="86" s="1"/>
  <c r="G23" i="87" s="1"/>
  <c r="B27" i="53"/>
  <c r="B29" i="53" s="1"/>
  <c r="F27" i="52"/>
  <c r="F29" i="52" s="1"/>
  <c r="F36" i="52" s="1"/>
  <c r="H36" i="52" s="1"/>
  <c r="B24" i="51"/>
  <c r="B25" i="51" s="1"/>
  <c r="B27" i="51" s="1"/>
  <c r="B29" i="51" s="1"/>
  <c r="B36" i="51" s="1"/>
  <c r="D36" i="51" s="1"/>
  <c r="B24" i="52"/>
  <c r="B25" i="52" s="1"/>
  <c r="B27" i="52" s="1"/>
  <c r="B29" i="52" s="1"/>
  <c r="B36" i="52" s="1"/>
  <c r="D36" i="52" s="1"/>
  <c r="G19" i="48"/>
  <c r="E19" i="48"/>
  <c r="B25" i="48"/>
  <c r="C26" i="48"/>
  <c r="E19" i="49"/>
  <c r="G19" i="49"/>
  <c r="B25" i="49"/>
  <c r="C26" i="49"/>
  <c r="C35" i="46"/>
  <c r="G34" i="87" l="1"/>
  <c r="I34" i="87" s="1"/>
  <c r="G23" i="88" s="1"/>
  <c r="D39" i="54"/>
  <c r="B19" i="55" s="1"/>
  <c r="B21" i="55" s="1"/>
  <c r="B33" i="55" s="1"/>
  <c r="B32" i="53"/>
  <c r="B39" i="53" s="1"/>
  <c r="D39" i="53" s="1"/>
  <c r="B27" i="48"/>
  <c r="B35" i="48" s="1"/>
  <c r="D35" i="48" s="1"/>
  <c r="B27" i="49"/>
  <c r="B29" i="49" s="1"/>
  <c r="B36" i="49" s="1"/>
  <c r="D36" i="49" s="1"/>
  <c r="D19" i="47"/>
  <c r="B23" i="88" l="1"/>
  <c r="B34" i="88" s="1"/>
  <c r="E34" i="88" s="1"/>
  <c r="B23" i="89" s="1"/>
  <c r="B34" i="89" s="1"/>
  <c r="E34" i="89" s="1"/>
  <c r="B23" i="90" s="1"/>
  <c r="B34" i="90" s="1"/>
  <c r="E34" i="90" s="1"/>
  <c r="B23" i="91" s="1"/>
  <c r="B34" i="91" s="1"/>
  <c r="E34" i="91" s="1"/>
  <c r="B23" i="92" s="1"/>
  <c r="B34" i="92" s="1"/>
  <c r="E34" i="92" s="1"/>
  <c r="B23" i="93" s="1"/>
  <c r="B34" i="93" s="1"/>
  <c r="E34" i="93" s="1"/>
  <c r="B23" i="94" s="1"/>
  <c r="B34" i="94" s="1"/>
  <c r="E34" i="94" s="1"/>
  <c r="B23" i="95" s="1"/>
  <c r="B34" i="95" s="1"/>
  <c r="E34" i="95" s="1"/>
  <c r="B23" i="96" s="1"/>
  <c r="G34" i="88"/>
  <c r="I34" i="88" s="1"/>
  <c r="G23" i="89" s="1"/>
  <c r="G34" i="89" s="1"/>
  <c r="I34" i="89" s="1"/>
  <c r="G23" i="90" s="1"/>
  <c r="G34" i="90" s="1"/>
  <c r="I34" i="90" s="1"/>
  <c r="G23" i="91" s="1"/>
  <c r="G34" i="91" s="1"/>
  <c r="I34" i="91" s="1"/>
  <c r="G23" i="92" s="1"/>
  <c r="G34" i="92" s="1"/>
  <c r="I34" i="92" s="1"/>
  <c r="G23" i="93" s="1"/>
  <c r="G34" i="93" s="1"/>
  <c r="I34" i="93" s="1"/>
  <c r="G23" i="94" s="1"/>
  <c r="G34" i="94" s="1"/>
  <c r="I34" i="94" s="1"/>
  <c r="G23" i="95" s="1"/>
  <c r="G34" i="95" s="1"/>
  <c r="I34" i="95" s="1"/>
  <c r="G23" i="96" s="1"/>
  <c r="G34" i="96" s="1"/>
  <c r="I34" i="96" s="1"/>
  <c r="G23" i="97" s="1"/>
  <c r="G34" i="97" s="1"/>
  <c r="I34" i="97" s="1"/>
  <c r="G23" i="98" s="1"/>
  <c r="G34" i="98" s="1"/>
  <c r="I34" i="98" s="1"/>
  <c r="G23" i="99" s="1"/>
  <c r="G34" i="99" s="1"/>
  <c r="I34" i="99" s="1"/>
  <c r="G23" i="100" s="1"/>
  <c r="G34" i="100" s="1"/>
  <c r="I34" i="100" s="1"/>
  <c r="G23" i="101" s="1"/>
  <c r="G34" i="101" s="1"/>
  <c r="I34" i="101" s="1"/>
  <c r="G23" i="102" s="1"/>
  <c r="G34" i="102" s="1"/>
  <c r="I34" i="102" s="1"/>
  <c r="G23" i="103" s="1"/>
  <c r="G34" i="103" s="1"/>
  <c r="I34" i="103" s="1"/>
  <c r="B26" i="55"/>
  <c r="D33" i="55" s="1"/>
  <c r="B19" i="56" s="1"/>
  <c r="B21" i="56" s="1"/>
  <c r="B33" i="56" s="1"/>
  <c r="D33" i="56" s="1"/>
  <c r="B19" i="57" s="1"/>
  <c r="B33" i="57" s="1"/>
  <c r="D33" i="57" s="1"/>
  <c r="B19" i="58" s="1"/>
  <c r="B33" i="58" s="1"/>
  <c r="D33" i="58" s="1"/>
  <c r="B19" i="59" s="1"/>
  <c r="F19" i="47"/>
  <c r="B23" i="47"/>
  <c r="C26" i="47" s="1"/>
  <c r="C19" i="47"/>
  <c r="E18" i="47"/>
  <c r="G18" i="47" s="1"/>
  <c r="G16" i="47"/>
  <c r="G15" i="47"/>
  <c r="G14" i="47"/>
  <c r="E12" i="47"/>
  <c r="G12" i="47" s="1"/>
  <c r="E11" i="47"/>
  <c r="G11" i="47" s="1"/>
  <c r="E10" i="47"/>
  <c r="G10" i="47" s="1"/>
  <c r="E9" i="47"/>
  <c r="E8" i="47"/>
  <c r="G8" i="47" s="1"/>
  <c r="E7" i="47"/>
  <c r="G7" i="47" s="1"/>
  <c r="G6" i="47"/>
  <c r="B34" i="96" l="1"/>
  <c r="E34" i="96" s="1"/>
  <c r="B23" i="97" s="1"/>
  <c r="B34" i="97" s="1"/>
  <c r="E34" i="97" s="1"/>
  <c r="B23" i="98" s="1"/>
  <c r="B34" i="98" s="1"/>
  <c r="E34" i="98" s="1"/>
  <c r="B23" i="99" s="1"/>
  <c r="B34" i="99" s="1"/>
  <c r="E34" i="99" s="1"/>
  <c r="B23" i="100" s="1"/>
  <c r="B34" i="100" s="1"/>
  <c r="E34" i="100" s="1"/>
  <c r="B23" i="101" s="1"/>
  <c r="B34" i="101" s="1"/>
  <c r="E34" i="101" s="1"/>
  <c r="B23" i="102" s="1"/>
  <c r="B34" i="102" s="1"/>
  <c r="E34" i="102" s="1"/>
  <c r="B23" i="103" s="1"/>
  <c r="B34" i="103" s="1"/>
  <c r="E34" i="103" s="1"/>
  <c r="B21" i="59"/>
  <c r="B33" i="59"/>
  <c r="D33" i="59" s="1"/>
  <c r="B19" i="60" s="1"/>
  <c r="G19" i="47"/>
  <c r="B25" i="47"/>
  <c r="B27" i="47" s="1"/>
  <c r="B29" i="47" s="1"/>
  <c r="B35" i="47" s="1"/>
  <c r="E19" i="47"/>
  <c r="F19" i="46"/>
  <c r="D19" i="46"/>
  <c r="B23" i="46" s="1"/>
  <c r="B25" i="46" s="1"/>
  <c r="C19" i="46"/>
  <c r="E18" i="46"/>
  <c r="G18" i="46" s="1"/>
  <c r="G16" i="46"/>
  <c r="G15" i="46"/>
  <c r="G14" i="46"/>
  <c r="E12" i="46"/>
  <c r="G12" i="46" s="1"/>
  <c r="E11" i="46"/>
  <c r="G11" i="46" s="1"/>
  <c r="E10" i="46"/>
  <c r="G10" i="46" s="1"/>
  <c r="E9" i="46"/>
  <c r="E8" i="46"/>
  <c r="G8" i="46" s="1"/>
  <c r="E7" i="46"/>
  <c r="G7" i="46" s="1"/>
  <c r="G6" i="46"/>
  <c r="B21" i="60" l="1"/>
  <c r="B33" i="60"/>
  <c r="D33" i="60" s="1"/>
  <c r="B19" i="61" s="1"/>
  <c r="C26" i="46"/>
  <c r="B27" i="46" s="1"/>
  <c r="B29" i="46" s="1"/>
  <c r="D35" i="47"/>
  <c r="G19" i="46"/>
  <c r="E19" i="46"/>
  <c r="D19" i="45"/>
  <c r="B33" i="61" l="1"/>
  <c r="D33" i="61" s="1"/>
  <c r="B19" i="62" s="1"/>
  <c r="B21" i="61"/>
  <c r="B35" i="46"/>
  <c r="D35" i="46" s="1"/>
  <c r="C34" i="45"/>
  <c r="B33" i="62" l="1"/>
  <c r="D33" i="62" s="1"/>
  <c r="B19" i="63" s="1"/>
  <c r="B21" i="62"/>
  <c r="M14" i="44"/>
  <c r="M16" i="44" s="1"/>
  <c r="K26" i="44"/>
  <c r="L26" i="44" s="1"/>
  <c r="P28" i="44"/>
  <c r="J30" i="44"/>
  <c r="L30" i="44" s="1"/>
  <c r="B33" i="63" l="1"/>
  <c r="D33" i="63" s="1"/>
  <c r="C20" i="64" s="1"/>
  <c r="B21" i="63"/>
  <c r="F19" i="45"/>
  <c r="B23" i="45"/>
  <c r="C19" i="45"/>
  <c r="E18" i="45"/>
  <c r="G18" i="45" s="1"/>
  <c r="G16" i="45"/>
  <c r="G15" i="45"/>
  <c r="G14" i="45"/>
  <c r="E12" i="45"/>
  <c r="G12" i="45" s="1"/>
  <c r="E11" i="45"/>
  <c r="G11" i="45" s="1"/>
  <c r="E10" i="45"/>
  <c r="G10" i="45" s="1"/>
  <c r="E9" i="45"/>
  <c r="E8" i="45"/>
  <c r="G8" i="45" s="1"/>
  <c r="E7" i="45"/>
  <c r="G6" i="45"/>
  <c r="C22" i="64" l="1"/>
  <c r="C30" i="64"/>
  <c r="E30" i="64" s="1"/>
  <c r="C20" i="65" s="1"/>
  <c r="E19" i="45"/>
  <c r="C25" i="45"/>
  <c r="B26" i="45" s="1"/>
  <c r="B28" i="45" s="1"/>
  <c r="G7" i="45"/>
  <c r="G19" i="45" s="1"/>
  <c r="C32" i="44"/>
  <c r="C22" i="65" l="1"/>
  <c r="C29" i="65"/>
  <c r="E29" i="65" s="1"/>
  <c r="C20" i="66" s="1"/>
  <c r="C27" i="66" s="1"/>
  <c r="E27" i="66" s="1"/>
  <c r="C21" i="67" s="1"/>
  <c r="C29" i="67" s="1"/>
  <c r="E29" i="67" s="1"/>
  <c r="C21" i="68" s="1"/>
  <c r="C29" i="68" s="1"/>
  <c r="E29" i="68" s="1"/>
  <c r="C21" i="69" s="1"/>
  <c r="C29" i="69" s="1"/>
  <c r="E29" i="69" s="1"/>
  <c r="C21" i="70" s="1"/>
  <c r="C29" i="70" s="1"/>
  <c r="E29" i="70" s="1"/>
  <c r="C21" i="71" s="1"/>
  <c r="C29" i="71" s="1"/>
  <c r="E29" i="71" s="1"/>
  <c r="C21" i="72" s="1"/>
  <c r="C29" i="72" s="1"/>
  <c r="E29" i="72" s="1"/>
  <c r="C21" i="73" s="1"/>
  <c r="B34" i="45"/>
  <c r="D34" i="45" s="1"/>
  <c r="D19" i="44"/>
  <c r="C30" i="73" l="1"/>
  <c r="E30" i="73" s="1"/>
  <c r="C21" i="74" s="1"/>
  <c r="C30" i="74" s="1"/>
  <c r="E30" i="74" s="1"/>
  <c r="C21" i="75" s="1"/>
  <c r="B23" i="44"/>
  <c r="C30" i="75" l="1"/>
  <c r="E30" i="75" s="1"/>
  <c r="B21" i="76" s="1"/>
  <c r="F19" i="44"/>
  <c r="C19" i="44"/>
  <c r="E18" i="44"/>
  <c r="G18" i="44" s="1"/>
  <c r="G16" i="44"/>
  <c r="G15" i="44"/>
  <c r="G14" i="44"/>
  <c r="E12" i="44"/>
  <c r="G12" i="44" s="1"/>
  <c r="E11" i="44"/>
  <c r="G11" i="44" s="1"/>
  <c r="E10" i="44"/>
  <c r="G10" i="44" s="1"/>
  <c r="E9" i="44"/>
  <c r="E8" i="44"/>
  <c r="G8" i="44" s="1"/>
  <c r="E7" i="44"/>
  <c r="G7" i="44" s="1"/>
  <c r="G6" i="44"/>
  <c r="B30" i="76" l="1"/>
  <c r="D30" i="76" s="1"/>
  <c r="B21" i="77" s="1"/>
  <c r="B30" i="77" s="1"/>
  <c r="D30" i="77" s="1"/>
  <c r="B22" i="78" s="1"/>
  <c r="B31" i="78" s="1"/>
  <c r="E19" i="44"/>
  <c r="C25" i="44"/>
  <c r="B26" i="44" s="1"/>
  <c r="G19" i="44"/>
  <c r="C33" i="42"/>
  <c r="D33" i="42" s="1"/>
  <c r="E31" i="78" l="1"/>
  <c r="B22" i="79" s="1"/>
  <c r="B32" i="44"/>
  <c r="D32" i="44" s="1"/>
  <c r="D20" i="43"/>
  <c r="B24" i="43" s="1"/>
  <c r="F20" i="43"/>
  <c r="C20" i="43"/>
  <c r="E19" i="43"/>
  <c r="G19" i="43" s="1"/>
  <c r="G17" i="43"/>
  <c r="E16" i="43"/>
  <c r="G16" i="43" s="1"/>
  <c r="E15" i="43"/>
  <c r="G15" i="43" s="1"/>
  <c r="E14" i="43"/>
  <c r="G14" i="43" s="1"/>
  <c r="E13" i="43"/>
  <c r="G13" i="43" s="1"/>
  <c r="E12" i="43"/>
  <c r="G12" i="43" s="1"/>
  <c r="E11" i="43"/>
  <c r="G11" i="43" s="1"/>
  <c r="E10" i="43"/>
  <c r="E9" i="43"/>
  <c r="G9" i="43" s="1"/>
  <c r="E8" i="43"/>
  <c r="G7" i="43"/>
  <c r="B31" i="79" l="1"/>
  <c r="E31" i="79" s="1"/>
  <c r="E20" i="43"/>
  <c r="G8" i="43"/>
  <c r="G20" i="43" s="1"/>
  <c r="C26" i="43"/>
  <c r="C33" i="43" s="1"/>
  <c r="B23" i="80" l="1"/>
  <c r="B32" i="80" s="1"/>
  <c r="E32" i="80" s="1"/>
  <c r="B23" i="81" s="1"/>
  <c r="B32" i="81" s="1"/>
  <c r="E32" i="81" s="1"/>
  <c r="B23" i="82" s="1"/>
  <c r="B34" i="82" s="1"/>
  <c r="B27" i="43"/>
  <c r="B33" i="43" s="1"/>
  <c r="D33" i="43" s="1"/>
  <c r="E34" i="82" l="1"/>
  <c r="B23" i="83" s="1"/>
  <c r="B34" i="83" s="1"/>
  <c r="E34" i="83" s="1"/>
  <c r="B23" i="84" s="1"/>
  <c r="B34" i="84" s="1"/>
  <c r="E34" i="84" s="1"/>
  <c r="B23" i="85" s="1"/>
  <c r="B34" i="85" s="1"/>
  <c r="E34" i="85" s="1"/>
  <c r="B34" i="86" s="1"/>
  <c r="E34" i="86" s="1"/>
  <c r="B23" i="87" s="1"/>
  <c r="B34" i="87" s="1"/>
  <c r="E34" i="87" s="1"/>
  <c r="F20" i="42"/>
  <c r="D20" i="42"/>
  <c r="B24" i="42" s="1"/>
  <c r="C20" i="42"/>
  <c r="E19" i="42"/>
  <c r="G19" i="42" s="1"/>
  <c r="G17" i="42"/>
  <c r="E16" i="42"/>
  <c r="G16" i="42" s="1"/>
  <c r="E15" i="42"/>
  <c r="G15" i="42" s="1"/>
  <c r="E14" i="42"/>
  <c r="G14" i="42" s="1"/>
  <c r="E13" i="42"/>
  <c r="G13" i="42" s="1"/>
  <c r="E12" i="42"/>
  <c r="G12" i="42" s="1"/>
  <c r="E11" i="42"/>
  <c r="G11" i="42" s="1"/>
  <c r="E10" i="42"/>
  <c r="E9" i="42"/>
  <c r="G9" i="42" s="1"/>
  <c r="E8" i="42"/>
  <c r="G8" i="42" s="1"/>
  <c r="G7" i="42"/>
  <c r="G20" i="42" l="1"/>
  <c r="E20" i="42"/>
  <c r="C26" i="42"/>
  <c r="B27" i="42" s="1"/>
  <c r="E12" i="41"/>
  <c r="G12" i="41" s="1"/>
  <c r="F20" i="41"/>
  <c r="D20" i="41"/>
  <c r="B24" i="41" s="1"/>
  <c r="C26" i="41" s="1"/>
  <c r="C20" i="41"/>
  <c r="E19" i="41"/>
  <c r="G19" i="41" s="1"/>
  <c r="G17" i="41"/>
  <c r="E16" i="41"/>
  <c r="G16" i="41" s="1"/>
  <c r="E15" i="41"/>
  <c r="G15" i="41" s="1"/>
  <c r="E14" i="41"/>
  <c r="G14" i="41" s="1"/>
  <c r="E13" i="41"/>
  <c r="G13" i="41" s="1"/>
  <c r="E11" i="41"/>
  <c r="G11" i="41" s="1"/>
  <c r="E10" i="41"/>
  <c r="E9" i="41"/>
  <c r="G9" i="41" s="1"/>
  <c r="E8" i="41"/>
  <c r="G7" i="41"/>
  <c r="E20" i="41" l="1"/>
  <c r="C33" i="41"/>
  <c r="B27" i="41"/>
  <c r="B33" i="41" s="1"/>
  <c r="G8" i="41"/>
  <c r="G20" i="41" s="1"/>
  <c r="D33" i="41" l="1"/>
  <c r="F20" i="40"/>
  <c r="D20" i="40"/>
  <c r="B24" i="40" s="1"/>
  <c r="C20" i="40"/>
  <c r="E19" i="40"/>
  <c r="G19" i="40" s="1"/>
  <c r="G17" i="40"/>
  <c r="E16" i="40"/>
  <c r="G16" i="40" s="1"/>
  <c r="E15" i="40"/>
  <c r="G15" i="40" s="1"/>
  <c r="E14" i="40"/>
  <c r="G14" i="40" s="1"/>
  <c r="E13" i="40"/>
  <c r="G13" i="40" s="1"/>
  <c r="G12" i="40"/>
  <c r="E11" i="40"/>
  <c r="G11" i="40" s="1"/>
  <c r="E10" i="40"/>
  <c r="E9" i="40"/>
  <c r="G9" i="40" s="1"/>
  <c r="E8" i="40"/>
  <c r="G7" i="40"/>
  <c r="E20" i="40" l="1"/>
  <c r="C26" i="40"/>
  <c r="C33" i="40" s="1"/>
  <c r="B27" i="40"/>
  <c r="B33" i="40" s="1"/>
  <c r="G8" i="40"/>
  <c r="G20" i="40" s="1"/>
  <c r="F20" i="39"/>
  <c r="D20" i="39"/>
  <c r="B24" i="39" s="1"/>
  <c r="C20" i="39"/>
  <c r="E19" i="39"/>
  <c r="G19" i="39" s="1"/>
  <c r="G17" i="39"/>
  <c r="E16" i="39"/>
  <c r="G16" i="39" s="1"/>
  <c r="E15" i="39"/>
  <c r="G15" i="39" s="1"/>
  <c r="E14" i="39"/>
  <c r="G14" i="39" s="1"/>
  <c r="E13" i="39"/>
  <c r="G13" i="39" s="1"/>
  <c r="G12" i="39"/>
  <c r="E11" i="39"/>
  <c r="G11" i="39" s="1"/>
  <c r="E10" i="39"/>
  <c r="E9" i="39"/>
  <c r="G9" i="39" s="1"/>
  <c r="E8" i="39"/>
  <c r="G7" i="39"/>
  <c r="E20" i="39" l="1"/>
  <c r="D33" i="40"/>
  <c r="B27" i="39"/>
  <c r="B33" i="39" s="1"/>
  <c r="C26" i="39"/>
  <c r="C33" i="39" s="1"/>
  <c r="G8" i="39"/>
  <c r="G20" i="39" s="1"/>
  <c r="D33" i="39" l="1"/>
  <c r="E14" i="38"/>
  <c r="F20" i="38"/>
  <c r="D20" i="38"/>
  <c r="B24" i="38" s="1"/>
  <c r="B27" i="38" s="1"/>
  <c r="C20" i="38"/>
  <c r="E19" i="38"/>
  <c r="G19" i="38" s="1"/>
  <c r="G17" i="38"/>
  <c r="E16" i="38"/>
  <c r="G16" i="38" s="1"/>
  <c r="E15" i="38"/>
  <c r="G15" i="38" s="1"/>
  <c r="G14" i="38"/>
  <c r="E13" i="38"/>
  <c r="G13" i="38" s="1"/>
  <c r="G12" i="38"/>
  <c r="E11" i="38"/>
  <c r="G11" i="38" s="1"/>
  <c r="E10" i="38"/>
  <c r="E9" i="38"/>
  <c r="G9" i="38" s="1"/>
  <c r="E8" i="38"/>
  <c r="G8" i="38" s="1"/>
  <c r="G7" i="38"/>
  <c r="E20" i="38" l="1"/>
  <c r="G20" i="38"/>
  <c r="C26" i="38"/>
  <c r="C33" i="38" s="1"/>
  <c r="F20" i="37"/>
  <c r="D20" i="37"/>
  <c r="B24" i="37" s="1"/>
  <c r="C25" i="37" s="1"/>
  <c r="C31" i="37" s="1"/>
  <c r="C20" i="37"/>
  <c r="E19" i="37"/>
  <c r="G19" i="37" s="1"/>
  <c r="G17" i="37"/>
  <c r="E16" i="37"/>
  <c r="G16" i="37" s="1"/>
  <c r="E15" i="37"/>
  <c r="G15" i="37" s="1"/>
  <c r="G14" i="37"/>
  <c r="E13" i="37"/>
  <c r="G13" i="37" s="1"/>
  <c r="G12" i="37"/>
  <c r="E11" i="37"/>
  <c r="G11" i="37" s="1"/>
  <c r="E10" i="37"/>
  <c r="E9" i="37"/>
  <c r="G9" i="37" s="1"/>
  <c r="E8" i="37"/>
  <c r="G7" i="37"/>
  <c r="B31" i="37" l="1"/>
  <c r="D31" i="37" s="1"/>
  <c r="E20" i="37"/>
  <c r="D33" i="38"/>
  <c r="G8" i="37"/>
  <c r="G20" i="37" s="1"/>
  <c r="D20" i="36"/>
  <c r="B24" i="36" s="1"/>
  <c r="C25" i="36" s="1"/>
  <c r="C31" i="36" s="1"/>
  <c r="D31" i="36" s="1"/>
  <c r="E18" i="35"/>
  <c r="G18" i="35" s="1"/>
  <c r="F20" i="36"/>
  <c r="C20" i="36"/>
  <c r="E19" i="36"/>
  <c r="G19" i="36" s="1"/>
  <c r="G17" i="36"/>
  <c r="E16" i="36"/>
  <c r="G16" i="36" s="1"/>
  <c r="E15" i="36"/>
  <c r="G15" i="36" s="1"/>
  <c r="E14" i="36"/>
  <c r="G14" i="36" s="1"/>
  <c r="E13" i="36"/>
  <c r="G13" i="36" s="1"/>
  <c r="G12" i="36"/>
  <c r="E11" i="36"/>
  <c r="G11" i="36" s="1"/>
  <c r="E10" i="36"/>
  <c r="E9" i="36"/>
  <c r="G9" i="36" s="1"/>
  <c r="E8" i="36"/>
  <c r="G8" i="36" s="1"/>
  <c r="G7" i="36"/>
  <c r="G20" i="36" l="1"/>
  <c r="E20" i="36"/>
  <c r="F20" i="35"/>
  <c r="G12" i="35"/>
  <c r="G17" i="35"/>
  <c r="G7" i="35"/>
  <c r="D20" i="35"/>
  <c r="C20" i="35"/>
  <c r="E19" i="35"/>
  <c r="G19" i="35" s="1"/>
  <c r="E16" i="35"/>
  <c r="G16" i="35" s="1"/>
  <c r="E15" i="35"/>
  <c r="G15" i="35" s="1"/>
  <c r="E14" i="35"/>
  <c r="G14" i="35" s="1"/>
  <c r="E13" i="35"/>
  <c r="G13" i="35" s="1"/>
  <c r="E11" i="35"/>
  <c r="G11" i="35" s="1"/>
  <c r="E10" i="35"/>
  <c r="G10" i="35" s="1"/>
  <c r="E9" i="35"/>
  <c r="G9" i="35" s="1"/>
  <c r="E8" i="35"/>
  <c r="E20" i="35" l="1"/>
  <c r="C23" i="35" s="1"/>
  <c r="C26" i="35" s="1"/>
  <c r="C28" i="35" s="1"/>
  <c r="G8" i="35"/>
  <c r="G20" i="35" s="1"/>
  <c r="D20" i="34"/>
  <c r="C20" i="34"/>
  <c r="E19" i="34"/>
  <c r="G19" i="34" s="1"/>
  <c r="E18" i="34"/>
  <c r="E16" i="34"/>
  <c r="E15" i="34"/>
  <c r="E14" i="34"/>
  <c r="E13" i="34"/>
  <c r="E11" i="34"/>
  <c r="E10" i="34"/>
  <c r="E9" i="34"/>
  <c r="E8" i="34"/>
  <c r="D20" i="33"/>
  <c r="C20" i="33"/>
  <c r="E19" i="33"/>
  <c r="G19" i="33" s="1"/>
  <c r="E18" i="33"/>
  <c r="E16" i="33"/>
  <c r="E15" i="33"/>
  <c r="E14" i="33"/>
  <c r="E13" i="33"/>
  <c r="E11" i="33"/>
  <c r="E10" i="33"/>
  <c r="E9" i="33"/>
  <c r="E8" i="33"/>
  <c r="D20" i="32"/>
  <c r="C20" i="32"/>
  <c r="E19" i="32"/>
  <c r="G19" i="32" s="1"/>
  <c r="E18" i="32"/>
  <c r="E16" i="32"/>
  <c r="E15" i="32"/>
  <c r="E14" i="32"/>
  <c r="E13" i="32"/>
  <c r="E11" i="32"/>
  <c r="E10" i="32"/>
  <c r="E9" i="32"/>
  <c r="E8" i="32"/>
  <c r="D20" i="31"/>
  <c r="C20" i="31"/>
  <c r="E19" i="31"/>
  <c r="G19" i="31" s="1"/>
  <c r="E18" i="31"/>
  <c r="E16" i="31"/>
  <c r="E15" i="31"/>
  <c r="E14" i="31"/>
  <c r="E13" i="31"/>
  <c r="E11" i="31"/>
  <c r="E10" i="31"/>
  <c r="E9" i="31"/>
  <c r="E8" i="31"/>
  <c r="D20" i="30"/>
  <c r="C20" i="30"/>
  <c r="E19" i="30"/>
  <c r="G19" i="30" s="1"/>
  <c r="E18" i="30"/>
  <c r="E16" i="30"/>
  <c r="E15" i="30"/>
  <c r="E14" i="30"/>
  <c r="E13" i="30"/>
  <c r="E11" i="30"/>
  <c r="E10" i="30"/>
  <c r="E9" i="30"/>
  <c r="E8" i="30"/>
  <c r="D20" i="29"/>
  <c r="C20" i="29"/>
  <c r="E19" i="29"/>
  <c r="G19" i="29" s="1"/>
  <c r="E18" i="29"/>
  <c r="E16" i="29"/>
  <c r="E15" i="29"/>
  <c r="E14" i="29"/>
  <c r="E13" i="29"/>
  <c r="E11" i="29"/>
  <c r="E10" i="29"/>
  <c r="E9" i="29"/>
  <c r="E8" i="29"/>
  <c r="D20" i="28"/>
  <c r="C20" i="28"/>
  <c r="E19" i="28"/>
  <c r="G19" i="28" s="1"/>
  <c r="E18" i="28"/>
  <c r="E16" i="28"/>
  <c r="E15" i="28"/>
  <c r="E14" i="28"/>
  <c r="E13" i="28"/>
  <c r="E11" i="28"/>
  <c r="E10" i="28"/>
  <c r="E9" i="28"/>
  <c r="E8" i="28"/>
  <c r="D21" i="27"/>
  <c r="C21" i="27"/>
  <c r="E20" i="27"/>
  <c r="G20" i="27" s="1"/>
  <c r="E19" i="27"/>
  <c r="E17" i="27"/>
  <c r="E16" i="27"/>
  <c r="E15" i="27"/>
  <c r="E14" i="27"/>
  <c r="E12" i="27"/>
  <c r="E11" i="27"/>
  <c r="E10" i="27"/>
  <c r="E9" i="27"/>
  <c r="F28" i="24"/>
  <c r="D21" i="26"/>
  <c r="C24" i="26" s="1"/>
  <c r="C26" i="26" s="1"/>
  <c r="C21" i="26"/>
  <c r="E20" i="26"/>
  <c r="G20" i="26" s="1"/>
  <c r="E19" i="26"/>
  <c r="E17" i="26"/>
  <c r="E16" i="26"/>
  <c r="E15" i="26"/>
  <c r="E14" i="26"/>
  <c r="E12" i="26"/>
  <c r="E11" i="26"/>
  <c r="E10" i="26"/>
  <c r="E9" i="26"/>
  <c r="C34" i="25"/>
  <c r="C21" i="25"/>
  <c r="D21" i="25"/>
  <c r="E20" i="25"/>
  <c r="G20" i="25" s="1"/>
  <c r="E19" i="25"/>
  <c r="E17" i="25"/>
  <c r="E16" i="25"/>
  <c r="E15" i="25"/>
  <c r="E14" i="25"/>
  <c r="E12" i="25"/>
  <c r="E11" i="25"/>
  <c r="E10" i="25"/>
  <c r="E9" i="25"/>
  <c r="G21" i="18"/>
  <c r="L29" i="19"/>
  <c r="E21" i="26" l="1"/>
  <c r="C32" i="35"/>
  <c r="E20" i="28"/>
  <c r="C23" i="28" s="1"/>
  <c r="C25" i="28" s="1"/>
  <c r="E20" i="34"/>
  <c r="C23" i="34" s="1"/>
  <c r="C25" i="34" s="1"/>
  <c r="E21" i="25"/>
  <c r="C24" i="25" s="1"/>
  <c r="C26" i="25" s="1"/>
  <c r="E20" i="31"/>
  <c r="C23" i="31" s="1"/>
  <c r="E20" i="32"/>
  <c r="C23" i="32" s="1"/>
  <c r="C27" i="32" s="1"/>
  <c r="C29" i="32" s="1"/>
  <c r="E20" i="33"/>
  <c r="C23" i="33" s="1"/>
  <c r="C27" i="33" s="1"/>
  <c r="C29" i="33" s="1"/>
  <c r="E21" i="27"/>
  <c r="C24" i="27" s="1"/>
  <c r="C26" i="27" s="1"/>
  <c r="E20" i="29"/>
  <c r="C23" i="29" s="1"/>
  <c r="C27" i="29" s="1"/>
  <c r="C30" i="29" s="1"/>
  <c r="E20" i="30"/>
  <c r="C23" i="30" s="1"/>
  <c r="C25" i="30" s="1"/>
  <c r="C28" i="26"/>
  <c r="C34" i="26" s="1"/>
  <c r="C35" i="26" s="1"/>
  <c r="G21" i="23"/>
  <c r="G23" i="23" s="1"/>
  <c r="F32" i="22"/>
  <c r="F28" i="22"/>
  <c r="I21" i="22"/>
  <c r="K24" i="23"/>
  <c r="G31" i="23"/>
  <c r="C28" i="27" l="1"/>
  <c r="C32" i="27" s="1"/>
  <c r="C25" i="33"/>
  <c r="C33" i="33" s="1"/>
  <c r="C27" i="28"/>
  <c r="C25" i="32"/>
  <c r="C33" i="32" s="1"/>
  <c r="C27" i="34"/>
  <c r="C29" i="34" s="1"/>
  <c r="C33" i="34" s="1"/>
  <c r="C35" i="34" s="1"/>
  <c r="C28" i="25"/>
  <c r="C29" i="25" s="1"/>
  <c r="C35" i="25" s="1"/>
  <c r="F33" i="22"/>
  <c r="C25" i="29"/>
  <c r="C31" i="29" s="1"/>
  <c r="C27" i="31"/>
  <c r="C31" i="31" s="1"/>
  <c r="C25" i="31"/>
  <c r="C33" i="27"/>
  <c r="C27" i="30"/>
  <c r="C28" i="30" s="1"/>
  <c r="H29" i="30" s="1"/>
  <c r="D20" i="24"/>
  <c r="C23" i="24" s="1"/>
  <c r="C25" i="24" s="1"/>
  <c r="F29" i="24" s="1"/>
  <c r="E19" i="24"/>
  <c r="G19" i="24" s="1"/>
  <c r="E18" i="24"/>
  <c r="E16" i="24"/>
  <c r="E15" i="24"/>
  <c r="E14" i="24"/>
  <c r="E13" i="24"/>
  <c r="E12" i="24"/>
  <c r="E11" i="24"/>
  <c r="E10" i="24"/>
  <c r="E9" i="24"/>
  <c r="E8" i="24"/>
  <c r="H15" i="23"/>
  <c r="L15" i="23" s="1"/>
  <c r="G24" i="23"/>
  <c r="G37" i="22"/>
  <c r="F24" i="22"/>
  <c r="F25" i="22" s="1"/>
  <c r="J18" i="22"/>
  <c r="B25" i="22"/>
  <c r="N26" i="22"/>
  <c r="N29" i="22" s="1"/>
  <c r="I21" i="23"/>
  <c r="H20" i="23"/>
  <c r="L20" i="23" s="1"/>
  <c r="H19" i="23"/>
  <c r="L19" i="23" s="1"/>
  <c r="L18" i="23"/>
  <c r="H17" i="23"/>
  <c r="L17" i="23" s="1"/>
  <c r="H16" i="23"/>
  <c r="L16" i="23" s="1"/>
  <c r="H14" i="23"/>
  <c r="L14" i="23" s="1"/>
  <c r="H13" i="23"/>
  <c r="L13" i="23" s="1"/>
  <c r="H12" i="23"/>
  <c r="L12" i="23" s="1"/>
  <c r="H11" i="23"/>
  <c r="L11" i="23" s="1"/>
  <c r="H10" i="23"/>
  <c r="L10" i="23" s="1"/>
  <c r="H9" i="23"/>
  <c r="L9" i="23" s="1"/>
  <c r="J14" i="22"/>
  <c r="N14" i="22" s="1"/>
  <c r="J13" i="22"/>
  <c r="N13" i="22" s="1"/>
  <c r="J9" i="22"/>
  <c r="N9" i="22" s="1"/>
  <c r="J10" i="22"/>
  <c r="N10" i="22" s="1"/>
  <c r="J11" i="22"/>
  <c r="N11" i="22" s="1"/>
  <c r="J12" i="22"/>
  <c r="N12" i="22" s="1"/>
  <c r="J15" i="22"/>
  <c r="N15" i="22" s="1"/>
  <c r="J16" i="22"/>
  <c r="N16" i="22" s="1"/>
  <c r="J17" i="22"/>
  <c r="N17" i="22" s="1"/>
  <c r="J19" i="22"/>
  <c r="N19" i="22" s="1"/>
  <c r="J20" i="22"/>
  <c r="N20" i="22" s="1"/>
  <c r="J8" i="22"/>
  <c r="N8" i="22" s="1"/>
  <c r="J22" i="22"/>
  <c r="K21" i="22"/>
  <c r="L29" i="21"/>
  <c r="H22" i="21"/>
  <c r="I21" i="21"/>
  <c r="H21" i="21"/>
  <c r="G21" i="21"/>
  <c r="G23" i="21" s="1"/>
  <c r="M19" i="21"/>
  <c r="M16" i="21"/>
  <c r="M15" i="21"/>
  <c r="M14" i="21"/>
  <c r="M9" i="21"/>
  <c r="H22" i="20"/>
  <c r="L29" i="20"/>
  <c r="I21" i="20"/>
  <c r="H21" i="20"/>
  <c r="G21" i="20"/>
  <c r="G23" i="20" s="1"/>
  <c r="M19" i="20"/>
  <c r="M16" i="20"/>
  <c r="M15" i="20"/>
  <c r="M14" i="20"/>
  <c r="M9" i="20"/>
  <c r="I21" i="19"/>
  <c r="H21" i="19"/>
  <c r="G21" i="19"/>
  <c r="G23" i="19" s="1"/>
  <c r="M19" i="19"/>
  <c r="M16" i="19"/>
  <c r="M15" i="19"/>
  <c r="M14" i="19"/>
  <c r="M9" i="19"/>
  <c r="K29" i="18"/>
  <c r="I21" i="18"/>
  <c r="H21" i="18"/>
  <c r="M19" i="18"/>
  <c r="M16" i="18"/>
  <c r="M15" i="18"/>
  <c r="M14" i="18"/>
  <c r="M9" i="18"/>
  <c r="L29" i="17"/>
  <c r="I21" i="17"/>
  <c r="H21" i="17"/>
  <c r="G21" i="17"/>
  <c r="G23" i="17" s="1"/>
  <c r="M19" i="17"/>
  <c r="M16" i="17"/>
  <c r="M15" i="17"/>
  <c r="M14" i="17"/>
  <c r="M9" i="17"/>
  <c r="L29" i="16"/>
  <c r="I21" i="16"/>
  <c r="H21" i="16"/>
  <c r="G21" i="16"/>
  <c r="G23" i="16" s="1"/>
  <c r="M19" i="16"/>
  <c r="M16" i="16"/>
  <c r="M15" i="16"/>
  <c r="M14" i="16"/>
  <c r="M9" i="16"/>
  <c r="L29" i="15"/>
  <c r="I21" i="15"/>
  <c r="H21" i="15"/>
  <c r="G21" i="15"/>
  <c r="G23" i="15" s="1"/>
  <c r="M19" i="15"/>
  <c r="M16" i="15"/>
  <c r="M15" i="15"/>
  <c r="M14" i="15"/>
  <c r="M9" i="15"/>
  <c r="M15" i="14"/>
  <c r="L27" i="14"/>
  <c r="I21" i="14"/>
  <c r="H21" i="14"/>
  <c r="G21" i="14"/>
  <c r="G23" i="14" s="1"/>
  <c r="M19" i="14"/>
  <c r="M16" i="14"/>
  <c r="M14" i="14"/>
  <c r="M9" i="14"/>
  <c r="C33" i="31" l="1"/>
  <c r="M21" i="16"/>
  <c r="M21" i="18"/>
  <c r="M21" i="19"/>
  <c r="H21" i="23"/>
  <c r="L21" i="23" s="1"/>
  <c r="M21" i="17"/>
  <c r="M21" i="20"/>
  <c r="M21" i="21"/>
  <c r="G25" i="23"/>
  <c r="G27" i="23" s="1"/>
  <c r="J21" i="22"/>
  <c r="N21" i="22" s="1"/>
  <c r="E20" i="24"/>
  <c r="N18" i="22"/>
  <c r="I24" i="22"/>
  <c r="I25" i="22" s="1"/>
  <c r="G24" i="21"/>
  <c r="G25" i="21" s="1"/>
  <c r="G27" i="21" s="1"/>
  <c r="L30" i="21" s="1"/>
  <c r="G24" i="20"/>
  <c r="G25" i="20" s="1"/>
  <c r="G27" i="20" s="1"/>
  <c r="G24" i="19"/>
  <c r="G25" i="19" s="1"/>
  <c r="G24" i="17"/>
  <c r="G25" i="17" s="1"/>
  <c r="G24" i="16"/>
  <c r="G25" i="16" s="1"/>
  <c r="M21" i="15"/>
  <c r="G24" i="15"/>
  <c r="G25" i="15" s="1"/>
  <c r="M21" i="14"/>
  <c r="G25" i="14"/>
  <c r="G26" i="14" s="1"/>
  <c r="G28" i="14" s="1"/>
  <c r="L28" i="14" s="1"/>
  <c r="L27" i="13"/>
  <c r="I21" i="13"/>
  <c r="H21" i="13"/>
  <c r="G21" i="13"/>
  <c r="G23" i="13" s="1"/>
  <c r="M19" i="13"/>
  <c r="M16" i="13"/>
  <c r="M15" i="13"/>
  <c r="M14" i="13"/>
  <c r="M9" i="13"/>
  <c r="M21" i="13" l="1"/>
  <c r="I27" i="22"/>
  <c r="N30" i="22" s="1"/>
  <c r="G25" i="13"/>
  <c r="G26" i="13" s="1"/>
  <c r="G28" i="13" s="1"/>
  <c r="L28" i="13" s="1"/>
  <c r="I21" i="12" l="1"/>
  <c r="H21" i="12"/>
  <c r="G21" i="12"/>
  <c r="G23" i="12" s="1"/>
  <c r="M19" i="12"/>
  <c r="M16" i="12"/>
  <c r="M15" i="12"/>
  <c r="M14" i="12"/>
  <c r="M9" i="12"/>
  <c r="G25" i="12" l="1"/>
  <c r="G26" i="12" s="1"/>
  <c r="M21" i="12"/>
  <c r="L27" i="12"/>
  <c r="M9" i="11"/>
  <c r="M14" i="11"/>
  <c r="M15" i="11"/>
  <c r="M16" i="11"/>
  <c r="M19" i="11"/>
  <c r="G28" i="12" l="1"/>
  <c r="L28" i="12" s="1"/>
  <c r="M21" i="11"/>
  <c r="I21" i="11" l="1"/>
  <c r="H21" i="11"/>
  <c r="G21" i="11"/>
  <c r="G23" i="11" s="1"/>
  <c r="G26" i="11" l="1"/>
  <c r="G30" i="11" s="1"/>
  <c r="G31" i="11" s="1"/>
  <c r="I21" i="10"/>
  <c r="H21" i="10"/>
  <c r="G21" i="10"/>
  <c r="G23" i="10" s="1"/>
  <c r="M19" i="10"/>
  <c r="M16" i="10"/>
  <c r="M15" i="10"/>
  <c r="M14" i="10"/>
  <c r="M9" i="10"/>
  <c r="G24" i="11" l="1"/>
  <c r="M21" i="10"/>
  <c r="G26" i="10"/>
  <c r="G30" i="10" s="1"/>
  <c r="G31" i="10" s="1"/>
  <c r="I21" i="9"/>
  <c r="H21" i="9"/>
  <c r="G21" i="9"/>
  <c r="G23" i="9" s="1"/>
  <c r="M19" i="9"/>
  <c r="M16" i="9"/>
  <c r="M15" i="9"/>
  <c r="M14" i="9"/>
  <c r="M9" i="9"/>
  <c r="M21" i="9" l="1"/>
  <c r="G24" i="10"/>
  <c r="G26" i="9"/>
  <c r="G30" i="9" s="1"/>
  <c r="G31" i="9" s="1"/>
  <c r="G24" i="9" l="1"/>
  <c r="I20" i="8" l="1"/>
  <c r="H20" i="8"/>
  <c r="G20" i="8"/>
  <c r="G22" i="8" s="1"/>
  <c r="M18" i="8"/>
  <c r="M15" i="8"/>
  <c r="M14" i="8"/>
  <c r="M13" i="8"/>
  <c r="M9" i="8"/>
  <c r="M20" i="8" l="1"/>
  <c r="G25" i="8"/>
  <c r="G29" i="8" s="1"/>
  <c r="G30" i="8" s="1"/>
  <c r="M18" i="7"/>
  <c r="M15" i="7"/>
  <c r="M14" i="7"/>
  <c r="M13" i="7"/>
  <c r="M9" i="7"/>
  <c r="G23" i="8" l="1"/>
  <c r="I20" i="7"/>
  <c r="H20" i="7"/>
  <c r="G20" i="7"/>
  <c r="G22" i="7" s="1"/>
  <c r="M20" i="7"/>
  <c r="G25" i="7" l="1"/>
  <c r="G29" i="7" s="1"/>
  <c r="G30" i="7" s="1"/>
  <c r="M14" i="6"/>
  <c r="M20" i="6" s="1"/>
  <c r="I20" i="6"/>
  <c r="H20" i="6"/>
  <c r="G20" i="6"/>
  <c r="G22" i="6" s="1"/>
  <c r="G23" i="7" l="1"/>
  <c r="G25" i="6"/>
  <c r="G29" i="6" s="1"/>
  <c r="G30" i="6" s="1"/>
  <c r="M21" i="5"/>
  <c r="G23" i="6" l="1"/>
  <c r="L21" i="5"/>
  <c r="I21" i="5"/>
  <c r="H21" i="5"/>
  <c r="G21" i="5"/>
  <c r="G23" i="5" s="1"/>
  <c r="G26" i="5" l="1"/>
  <c r="G31" i="5" s="1"/>
  <c r="G33" i="5" s="1"/>
  <c r="G24" i="5" l="1"/>
  <c r="L21" i="4"/>
  <c r="I21" i="4"/>
  <c r="H21" i="4"/>
  <c r="G21" i="4"/>
  <c r="G22" i="4" s="1"/>
  <c r="G24" i="4" l="1"/>
  <c r="G27" i="4" s="1"/>
  <c r="G29" i="4" s="1"/>
  <c r="L21" i="3"/>
  <c r="G23" i="4" l="1"/>
  <c r="I21" i="3"/>
  <c r="J22" i="3" s="1"/>
  <c r="H21" i="3"/>
  <c r="G21" i="3"/>
  <c r="G22" i="3" s="1"/>
  <c r="G24" i="3" l="1"/>
  <c r="G23" i="3" s="1"/>
  <c r="I21" i="2"/>
  <c r="H21" i="2"/>
  <c r="G21" i="2"/>
  <c r="G27" i="3" l="1"/>
  <c r="G29" i="3" s="1"/>
  <c r="G25" i="2"/>
  <c r="G27" i="2" s="1"/>
  <c r="G23" i="2"/>
  <c r="G29" i="2" l="1"/>
  <c r="L21" i="1"/>
  <c r="I21" i="1"/>
  <c r="G24" i="1" s="1"/>
  <c r="G21" i="1"/>
  <c r="H21" i="1"/>
  <c r="G27" i="1" l="1"/>
  <c r="G28" i="1" s="1"/>
  <c r="L30" i="20"/>
  <c r="G23" i="18"/>
  <c r="G24" i="18" s="1"/>
  <c r="G25" i="18" l="1"/>
  <c r="L30" i="15" l="1"/>
  <c r="G27" i="15"/>
  <c r="G27" i="19"/>
  <c r="L30" i="19"/>
  <c r="L30" i="16"/>
  <c r="G27" i="16"/>
  <c r="K30" i="18"/>
  <c r="L31" i="18"/>
  <c r="G27" i="18"/>
  <c r="G27" i="17"/>
  <c r="L30" i="17"/>
  <c r="C30" i="28"/>
</calcChain>
</file>

<file path=xl/sharedStrings.xml><?xml version="1.0" encoding="utf-8"?>
<sst xmlns="http://schemas.openxmlformats.org/spreadsheetml/2006/main" count="5905" uniqueCount="492">
  <si>
    <t>NAME</t>
  </si>
  <si>
    <t>NO</t>
  </si>
  <si>
    <t>RENT</t>
  </si>
  <si>
    <t>TOTAL</t>
  </si>
  <si>
    <t>PAID</t>
  </si>
  <si>
    <t>7000</t>
  </si>
  <si>
    <t>Mary Mwangi</t>
  </si>
  <si>
    <t>6000</t>
  </si>
  <si>
    <t>Kinyanjui - Hardware</t>
  </si>
  <si>
    <t>Landlord</t>
  </si>
  <si>
    <t>0</t>
  </si>
  <si>
    <t>Mr. Njogu</t>
  </si>
  <si>
    <t>15000</t>
  </si>
  <si>
    <t>Mbugua - Hardware</t>
  </si>
  <si>
    <t>5500</t>
  </si>
  <si>
    <t>Maggie - Club</t>
  </si>
  <si>
    <t>1U</t>
  </si>
  <si>
    <t>2U</t>
  </si>
  <si>
    <t>Steve Gathogo</t>
  </si>
  <si>
    <t>3U</t>
  </si>
  <si>
    <t>Barbara - bakery</t>
  </si>
  <si>
    <t>4U</t>
  </si>
  <si>
    <t>12000</t>
  </si>
  <si>
    <t>5U</t>
  </si>
  <si>
    <t>ASSET FLOW LTD</t>
  </si>
  <si>
    <r>
      <t xml:space="preserve">                            </t>
    </r>
    <r>
      <rPr>
        <sz val="11"/>
        <color rgb="FF984806"/>
        <rFont val="Franklin Gothic Demi Cond"/>
        <family val="2"/>
      </rPr>
      <t>P.O BOX 276-00511 TEL 0707 759 987, 0738 620 900</t>
    </r>
  </si>
  <si>
    <r>
      <t xml:space="preserve">                                     PELIZA FORTRESS BUSINESS CENTRE, 1</t>
    </r>
    <r>
      <rPr>
        <b/>
        <vertAlign val="superscript"/>
        <sz val="9"/>
        <color rgb="FF0070C0"/>
        <rFont val="Times New Roman"/>
        <family val="1"/>
      </rPr>
      <t>ST</t>
    </r>
    <r>
      <rPr>
        <b/>
        <sz val="9"/>
        <color rgb="FF0070C0"/>
        <rFont val="Times New Roman"/>
        <family val="1"/>
      </rPr>
      <t xml:space="preserve"> FLR ROOM B9</t>
    </r>
  </si>
  <si>
    <t xml:space="preserve">                                  Your Ultimate Land And Property Consultant</t>
  </si>
  <si>
    <t>EQUITY A/C 0610161034717</t>
  </si>
  <si>
    <t>Mrs. Nyorani - Hotel</t>
  </si>
  <si>
    <t>DEP. DUE</t>
  </si>
  <si>
    <t>DEP. PAID</t>
  </si>
  <si>
    <t>DEP. BAL</t>
  </si>
  <si>
    <t>BAL B/F</t>
  </si>
  <si>
    <t>DUE BILL</t>
  </si>
  <si>
    <t>PENALTY</t>
  </si>
  <si>
    <t>RENT C/F</t>
  </si>
  <si>
    <t>TOTAL C/F</t>
  </si>
  <si>
    <t>Vacant</t>
  </si>
  <si>
    <t>Grace Musangi</t>
  </si>
  <si>
    <t>TOTAL RENT</t>
  </si>
  <si>
    <t>Prepared BY</t>
  </si>
  <si>
    <t>Approved By</t>
  </si>
  <si>
    <t>Received By</t>
  </si>
  <si>
    <t>George Mukiri</t>
  </si>
  <si>
    <t>L. Mwangi</t>
  </si>
  <si>
    <t>Date</t>
  </si>
  <si>
    <t>…………………………</t>
  </si>
  <si>
    <t>………………………</t>
  </si>
  <si>
    <t>CASH STATEMENT FOR THE MONTH OF JUNE 2013</t>
  </si>
  <si>
    <t>DONALD THEURI  - NKOROI</t>
  </si>
  <si>
    <t>Donald Theuri</t>
  </si>
  <si>
    <t>Agency fee 7%</t>
  </si>
  <si>
    <t>Amount paid to Landlord for Hotel</t>
  </si>
  <si>
    <t>Amount sent to A/c on 10.06.13</t>
  </si>
  <si>
    <t>TOTAL PAYMENT DUE</t>
  </si>
  <si>
    <t xml:space="preserve"> </t>
  </si>
  <si>
    <t>disbursement b/f</t>
  </si>
  <si>
    <t>CASH STATEMENT FOR THE MONTH OF JULY 2013</t>
  </si>
  <si>
    <t xml:space="preserve">Less MPESA PAYMENT </t>
  </si>
  <si>
    <t>TOTAL BISBURSED</t>
  </si>
  <si>
    <t>BALANCE</t>
  </si>
  <si>
    <t>CASH STATEMENT FOR THE MONTH OF AUGUST 2013</t>
  </si>
  <si>
    <t xml:space="preserve"> Grace Wairimu Wanjohi</t>
  </si>
  <si>
    <t xml:space="preserve">Less PAYMENT </t>
  </si>
  <si>
    <t>For Grace Wairimu</t>
  </si>
  <si>
    <t>PAID 2</t>
  </si>
  <si>
    <t>CASH STATEMENT FOR THE MONTH OF SEPTEMBER 2013</t>
  </si>
  <si>
    <t>For Njogu</t>
  </si>
  <si>
    <t>Steven Kinuthia</t>
  </si>
  <si>
    <t>9000</t>
  </si>
  <si>
    <t>25000</t>
  </si>
  <si>
    <t>CASH STATEMENT FOR THE MONTH OF OCTOBER 2013</t>
  </si>
  <si>
    <t>DEDUCTIONS</t>
  </si>
  <si>
    <t>COMMISSION FOR BUSHMAN</t>
  </si>
  <si>
    <t xml:space="preserve">ZIDISHA BIASHARA </t>
  </si>
  <si>
    <t>REMITTANCE ADVICE</t>
  </si>
  <si>
    <t>Double Payment for Mrs Nyorani - No 1 paid in September Hotel</t>
  </si>
  <si>
    <t>PAID ON DEPOSIT</t>
  </si>
  <si>
    <t>VACANT</t>
  </si>
  <si>
    <t>Grace Wanjohi</t>
  </si>
  <si>
    <t>14000</t>
  </si>
  <si>
    <t>with landlord</t>
  </si>
  <si>
    <t>Jane Wanjiku Kiragu</t>
  </si>
  <si>
    <t>less paid to landlord directly</t>
  </si>
  <si>
    <t>CASH STATEMENT FOR THE MONTH OF NOVEMBER 2013</t>
  </si>
  <si>
    <t>CASH STATEMENT FOR THE MONTH OF DECEMBER 2013</t>
  </si>
  <si>
    <t>Kinyajui 7000</t>
  </si>
  <si>
    <t>Selly Odipo</t>
  </si>
  <si>
    <t>18000</t>
  </si>
  <si>
    <t>Deposit refund to Kinyanjui</t>
  </si>
  <si>
    <t>CASH STATEMENT FOR THE MONTH OF JANUARY 2014</t>
  </si>
  <si>
    <t>CASH STATEMENT FOR THE MONTH OF FEBRUARY 2014</t>
  </si>
  <si>
    <t>Lazaro Waiganjo</t>
  </si>
  <si>
    <t>overpayment for selly odipo in jan</t>
  </si>
  <si>
    <t>cheque Payment</t>
  </si>
  <si>
    <t>CASH STATEMENT FOR THE MONTH OF MARCH 2014</t>
  </si>
  <si>
    <t>CASH STATEMENT FOR THE MONTH OF APRIL 2014</t>
  </si>
  <si>
    <t>CASH STATEMENT FOR THE MONTH OF MAY 2014</t>
  </si>
  <si>
    <t>Wacu Gatoto</t>
  </si>
  <si>
    <t>DEPOSIT BY WACU GATOTO</t>
  </si>
  <si>
    <t>DISBURSABLE DUE</t>
  </si>
  <si>
    <t>ADVANCE 1.5.14</t>
  </si>
  <si>
    <t>ADVANCE 3.5.14</t>
  </si>
  <si>
    <t>COMMISSION 7%</t>
  </si>
  <si>
    <t>RENT BISBURSABLE</t>
  </si>
  <si>
    <t>ADVANCE 5.5.14</t>
  </si>
  <si>
    <t>TOTAL DEDUCTIONS</t>
  </si>
  <si>
    <t xml:space="preserve">ADVANCE </t>
  </si>
  <si>
    <t>CASH STATEMENT FOR THE MONTH OF AUGUST 2014</t>
  </si>
  <si>
    <t>16000</t>
  </si>
  <si>
    <t>50000</t>
  </si>
  <si>
    <t>ADVANCE 4.8.14</t>
  </si>
  <si>
    <t>ADVANCE 7.8.14</t>
  </si>
  <si>
    <t>ADVANCE 9.8.14</t>
  </si>
  <si>
    <t>ADVANCE 13.8.14</t>
  </si>
  <si>
    <t>ADVANCE 12.8.14</t>
  </si>
  <si>
    <t>RENT DISBURSABLE</t>
  </si>
  <si>
    <t>TOTAL RENT PAYABLE</t>
  </si>
  <si>
    <t>NET DUE / BALANCE</t>
  </si>
  <si>
    <t>JACKLINE</t>
  </si>
  <si>
    <t>PAYMENT</t>
  </si>
  <si>
    <t>DOUBLE PAYMENT GAKII</t>
  </si>
  <si>
    <t>DEPOSIT</t>
  </si>
  <si>
    <t>CASH STATEMENT FOR THE MONTH OF JUNE 2014</t>
  </si>
  <si>
    <t>CASH STATEMENT FOR THE MONTH OF JULY 2014</t>
  </si>
  <si>
    <t>CASH STATEMENT FOR THE MONTH OF SEPTEMBER 2014</t>
  </si>
  <si>
    <t>CASH STATEMENT FOR THE MONTH OF OCTOBER 2014</t>
  </si>
  <si>
    <t>CASH STATEMENT FOR THE MONTH OF NOVEMBER 2014</t>
  </si>
  <si>
    <t>CASH STATEMENT FOR THE MONTH OF DECEMBER 2014</t>
  </si>
  <si>
    <t>CASH STATEMENT FOR THE MONTH OF FEBRUARY 2015</t>
  </si>
  <si>
    <t>SKEYNET PREMIUM</t>
  </si>
  <si>
    <t>ELECTRICITY DEP</t>
  </si>
  <si>
    <t>WATER DEPOSIT</t>
  </si>
  <si>
    <t>PAYMENY</t>
  </si>
  <si>
    <t xml:space="preserve">                 </t>
  </si>
  <si>
    <t xml:space="preserve">         YYYYYYH</t>
  </si>
  <si>
    <t>OVER  PAYMENT</t>
  </si>
  <si>
    <t>COMMISSION</t>
  </si>
  <si>
    <t xml:space="preserve">George </t>
  </si>
  <si>
    <t>CASH STATEMENT FOR THE MONTH OF MAY 2015</t>
  </si>
  <si>
    <t>DEPOSIT SKEY NET</t>
  </si>
  <si>
    <t xml:space="preserve">PAYMEN ON 6/6/2015 </t>
  </si>
  <si>
    <t>AGNESS MWANGI</t>
  </si>
  <si>
    <t>PAID ON 16TH/6/2015</t>
  </si>
  <si>
    <t>AGNESS MWANGI DEP</t>
  </si>
  <si>
    <r>
      <rPr>
        <sz val="8"/>
        <color rgb="FFFF0000"/>
        <rFont val="Calibri"/>
        <family val="2"/>
        <scheme val="minor"/>
      </rPr>
      <t>LESS</t>
    </r>
    <r>
      <rPr>
        <sz val="8"/>
        <color theme="1"/>
        <rFont val="Calibri"/>
        <family val="2"/>
        <scheme val="minor"/>
      </rPr>
      <t xml:space="preserve"> COMMISSION 7%</t>
    </r>
  </si>
  <si>
    <t xml:space="preserve">TOTAL RENT </t>
  </si>
  <si>
    <t>GRACE</t>
  </si>
  <si>
    <t>PAYMENT ON 3/7/2015</t>
  </si>
  <si>
    <t>PAYMENT ON 6/7/2015</t>
  </si>
  <si>
    <t>PAYMENT ON 13/7/2015</t>
  </si>
  <si>
    <t xml:space="preserve">TOTAL DEDUCTION </t>
  </si>
  <si>
    <t>CASH STATEMENT FOR THE MONTH OF JULY  2015</t>
  </si>
  <si>
    <t>DONARD THEURI</t>
  </si>
  <si>
    <r>
      <t xml:space="preserve">                                     PELIZA FORTRESS BUSINESS CENTRE,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FLR ROOM B9</t>
    </r>
  </si>
  <si>
    <r>
      <t xml:space="preserve">                            </t>
    </r>
    <r>
      <rPr>
        <sz val="11"/>
        <color theme="1"/>
        <rFont val="Franklin Gothic Demi Cond"/>
        <family val="2"/>
      </rPr>
      <t>P.O BOX 276-00511 TEL 0707 759 987, 0738 620 900</t>
    </r>
  </si>
  <si>
    <t>TOTAL DEDUCTION</t>
  </si>
  <si>
    <t>DEDUCTION</t>
  </si>
  <si>
    <t>CASH STATEMENT FOR THE MONTH OF JUNE 2015</t>
  </si>
  <si>
    <t>OVERPAYMENT</t>
  </si>
  <si>
    <t xml:space="preserve">DEPOSIT REFUND </t>
  </si>
  <si>
    <t>CASH STATEMENT FOR THE MONTH OF AUGUST  2015</t>
  </si>
  <si>
    <t>PAID  ON 11/9/2015</t>
  </si>
  <si>
    <t xml:space="preserve">BALANCE </t>
  </si>
  <si>
    <t>CASH STATEMENT FOR THE MONTH OF SEPTEMBER  2015</t>
  </si>
  <si>
    <t>CASH STATEMENT FOR THE MONTH OF  OCTOMBER 2015</t>
  </si>
  <si>
    <t>PAID VIA MPESA  5/10/2015</t>
  </si>
  <si>
    <t>PAID ON 10/10/2015</t>
  </si>
  <si>
    <t>CASH STATEMENT FOR THE MONTH OF  NOVEMBER 2015</t>
  </si>
  <si>
    <t>CASH STATEMENT FOR THE MONTH OF  DEC 2015</t>
  </si>
  <si>
    <t>ADVANCE ON 7TH DEC 2015</t>
  </si>
  <si>
    <t>DEPOSIT REFUND</t>
  </si>
  <si>
    <t>GRACE  RECOVERY</t>
  </si>
  <si>
    <t>BALANCE PAID ON 6TH JAN 2016</t>
  </si>
  <si>
    <t>CASH STATEMENT FOR THE MONTH OF JAN   2016</t>
  </si>
  <si>
    <t>Evelyne Mwangi</t>
  </si>
  <si>
    <t>CASH STATEMENT FOR THE MONTH OF FEB  2016</t>
  </si>
  <si>
    <t>ADVANCE</t>
  </si>
  <si>
    <t>PAID  IN 9/2/2016</t>
  </si>
  <si>
    <t>CASH STATEMENT FOR THE MONTH OF march  2016</t>
  </si>
  <si>
    <t>NET</t>
  </si>
  <si>
    <t>CASH STATEMENT FOR THE MONTH OF APRIL  2016</t>
  </si>
  <si>
    <t>BL</t>
  </si>
  <si>
    <t>SUMMARY</t>
  </si>
  <si>
    <t xml:space="preserve">DETAILS </t>
  </si>
  <si>
    <t xml:space="preserve">CR </t>
  </si>
  <si>
    <t>DR</t>
  </si>
  <si>
    <t>MAY  REMITANCE</t>
  </si>
  <si>
    <t>Amos Waweru</t>
  </si>
  <si>
    <t xml:space="preserve">COMMISION  </t>
  </si>
  <si>
    <t>16/5/2016</t>
  </si>
  <si>
    <t>17/5/2016</t>
  </si>
  <si>
    <t>18/5/2016</t>
  </si>
  <si>
    <t>20/5/2016</t>
  </si>
  <si>
    <t>CASH STATEMENT FOR THE MONTH OF MAY  2016</t>
  </si>
  <si>
    <t>PAYMENTS</t>
  </si>
  <si>
    <t xml:space="preserve">PAYMENT </t>
  </si>
  <si>
    <t>CASH STATEMENT FOR THE MONTH OF JULY   2016</t>
  </si>
  <si>
    <t>GEORGE  IRUNGU</t>
  </si>
  <si>
    <t xml:space="preserve">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</si>
  <si>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</t>
  </si>
  <si>
    <t>CASH STATEMENT FOR THE MONTH OF AUGUST2016</t>
  </si>
  <si>
    <t>new</t>
  </si>
  <si>
    <t>deposit</t>
  </si>
  <si>
    <t>vacant</t>
  </si>
  <si>
    <t>GROSS</t>
  </si>
  <si>
    <t>DEPOSIT  REFUD</t>
  </si>
  <si>
    <t>CASH STATEMENT FOR THE MONTH OF NOV 2016</t>
  </si>
  <si>
    <t xml:space="preserve">      </t>
  </si>
  <si>
    <t>PAYT  ON 10/12/VIA  MPESA</t>
  </si>
  <si>
    <t>EVELINE</t>
  </si>
  <si>
    <t>CASH STATEMENT FOR THE MONTH OF DEC   2016</t>
  </si>
  <si>
    <t>PAID  ON 116</t>
  </si>
  <si>
    <t>PAINT</t>
  </si>
  <si>
    <t>advance</t>
  </si>
  <si>
    <t>CASH STATEMENT FOR THE MONTH OF JAN    2017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</si>
  <si>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</si>
  <si>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DIPOSIT</t>
  </si>
  <si>
    <t>CASH STATEMENT FOR THE MONTH OF feb    2017</t>
  </si>
  <si>
    <t>PAYT  ON 10/2/VIA  MPESA</t>
  </si>
  <si>
    <t>norah</t>
  </si>
  <si>
    <t>new  gym</t>
  </si>
  <si>
    <t>CASH STATEMENT FOR THE MONTH OF MARCH    2017</t>
  </si>
  <si>
    <t>FEB  BF</t>
  </si>
  <si>
    <t>VANT</t>
  </si>
  <si>
    <t>ANN</t>
  </si>
  <si>
    <t>Jane Wanjiku Kiragu/ HITEC H</t>
  </si>
  <si>
    <t>CASH STATEMENT FOR THE MONTH OF APRIL    2017</t>
  </si>
  <si>
    <t>DIPOSIT GYM</t>
  </si>
  <si>
    <t>Prepared BY………………………..</t>
  </si>
  <si>
    <t>GRACE……………………………………</t>
  </si>
  <si>
    <t>PAYT  ON 10/3/VIA  MPESA</t>
  </si>
  <si>
    <t>BF</t>
  </si>
  <si>
    <t>CASH STATEMENT FOR THE MONTH OF MAY    2017</t>
  </si>
  <si>
    <t>27/06/17</t>
  </si>
  <si>
    <t>LOAN</t>
  </si>
  <si>
    <t>CASH STATEMENT FOR THE MONTH OF JULY    2017</t>
  </si>
  <si>
    <t>Jane Wanjiku Kiragu/ HITECH</t>
  </si>
  <si>
    <t>GEDION</t>
  </si>
  <si>
    <t>JAMES MOMANYI</t>
  </si>
  <si>
    <t>PAUL ONDARI</t>
  </si>
  <si>
    <t>JULY REMITANCE</t>
  </si>
  <si>
    <t>PAID 5/7/17 VIA  MPESA</t>
  </si>
  <si>
    <t>CASH STATEMENT FOR THE MONTH OF JULY  2017</t>
  </si>
  <si>
    <t>PAID 16/8/17 VIA  MPESA</t>
  </si>
  <si>
    <t>CASH STATEMENT FOR THE MONTH OF OCT  2017</t>
  </si>
  <si>
    <t>OCT REMITANCE</t>
  </si>
  <si>
    <t>COMISSION</t>
  </si>
  <si>
    <t>PAID ON 10/10/2017</t>
  </si>
  <si>
    <t>13/10/2017</t>
  </si>
  <si>
    <t>24/9/2017</t>
  </si>
  <si>
    <t>ASSETFLOW LOAN</t>
  </si>
  <si>
    <t>AD</t>
  </si>
  <si>
    <t>NOV REMITANCE</t>
  </si>
  <si>
    <t>CASH STATEMENT FOR THE MONTH OF NOV  2017</t>
  </si>
  <si>
    <t>ZIPOORAH</t>
  </si>
  <si>
    <t>DEP</t>
  </si>
  <si>
    <t>CASH STATEMENT FOR THE MONTH OF DEC  2017</t>
  </si>
  <si>
    <t>DEC</t>
  </si>
  <si>
    <t>DONALD THEURI</t>
  </si>
  <si>
    <t>JAN</t>
  </si>
  <si>
    <t>ZIPPORAH</t>
  </si>
  <si>
    <t>RAHAB</t>
  </si>
  <si>
    <t>RENT STATEMENT FOR THE MONTH OF JAN 2018</t>
  </si>
  <si>
    <t>HI TEC</t>
  </si>
  <si>
    <t>FEB</t>
  </si>
  <si>
    <t>AUG</t>
  </si>
  <si>
    <t>CASH STATEMENT FOR THE MONTH OF AUG  2017</t>
  </si>
  <si>
    <t>SEP</t>
  </si>
  <si>
    <t>CASH STATEMENT FOR THE MONTH OF SEP  2017</t>
  </si>
  <si>
    <t>RENT STATEMENT FOR THE MONTH OF FEB 2018</t>
  </si>
  <si>
    <t>TOKEN</t>
  </si>
  <si>
    <t>RECEIVED BY</t>
  </si>
  <si>
    <t>RAHAB(ELEC)</t>
  </si>
  <si>
    <t>MAR</t>
  </si>
  <si>
    <t>RENT STATEMENT FOR THE MONTH OF MARCH 2018</t>
  </si>
  <si>
    <t>RENT STATEMENT FOR THE MONTH OF APRIL 2018</t>
  </si>
  <si>
    <t>APR</t>
  </si>
  <si>
    <t>RUTH……………………………………</t>
  </si>
  <si>
    <t>CONFIRMED</t>
  </si>
  <si>
    <t>GRACE……………………………….</t>
  </si>
  <si>
    <t>ALEX…………………………</t>
  </si>
  <si>
    <t>RENT STATEMENT FOR THE MONTH OF MAY 2018</t>
  </si>
  <si>
    <t>MAY</t>
  </si>
  <si>
    <t>C</t>
  </si>
  <si>
    <t>RENT STATEMENT FOR THE MONTH OF JUNE 2018</t>
  </si>
  <si>
    <t>JUNE</t>
  </si>
  <si>
    <t>HANNAH WANGUI</t>
  </si>
  <si>
    <t>MARY MWANGI</t>
  </si>
  <si>
    <t>MBUGUA-HARDWARE</t>
  </si>
  <si>
    <t>ZIPPORAH GITHAE</t>
  </si>
  <si>
    <t>RAHAB WANJIKU</t>
  </si>
  <si>
    <t>JULY</t>
  </si>
  <si>
    <t>RENT STATEMENT FOR THE MONTH OF JULY 2018</t>
  </si>
  <si>
    <t>RENT STATEMENT FOR THE MONTH OF AUGUST 2018</t>
  </si>
  <si>
    <t xml:space="preserve">RENT STATEMENT </t>
  </si>
  <si>
    <t>FOR THE MONTH OF SEPTEMBER 2018</t>
  </si>
  <si>
    <t xml:space="preserve">NO. </t>
  </si>
  <si>
    <t>THEURI…………………………</t>
  </si>
  <si>
    <t>FOR THE MONTH OF OCTOBER 2018</t>
  </si>
  <si>
    <t>OCT</t>
  </si>
  <si>
    <t>NOV</t>
  </si>
  <si>
    <t>FOR THE MONTH OF NOVEMBER 2018</t>
  </si>
  <si>
    <t>PAUL ODARI</t>
  </si>
  <si>
    <t>FOR THE MONTH OF DECEMBER 2018</t>
  </si>
  <si>
    <t>PAUL-NOVEMBER</t>
  </si>
  <si>
    <t>PAID ON 10/12/18</t>
  </si>
  <si>
    <t>LL</t>
  </si>
  <si>
    <t>PAID ON 312/12/18</t>
  </si>
  <si>
    <t>FOR THE MONTH OF JANUARY 2019</t>
  </si>
  <si>
    <t>paid on 5/1/19</t>
  </si>
  <si>
    <t>paid on 7/1/19</t>
  </si>
  <si>
    <t>paid on 12/1/19</t>
  </si>
  <si>
    <t>PAID ON 21/1/19</t>
  </si>
  <si>
    <t>FOR THE MONTH OF FEBRUARY 2019</t>
  </si>
  <si>
    <t>VIVIAN</t>
  </si>
  <si>
    <t>MARCH</t>
  </si>
  <si>
    <t>FOR THE MONTH OF MARCH 2019</t>
  </si>
  <si>
    <t xml:space="preserve">LOAN </t>
  </si>
  <si>
    <t>HSE 1. PAINTING</t>
  </si>
  <si>
    <t>FOR THE MONTH OF APRIL 2019</t>
  </si>
  <si>
    <t>APRIL</t>
  </si>
  <si>
    <t>PAID ON 5/4/19</t>
  </si>
  <si>
    <t>PAID ON 24-04-2019</t>
  </si>
  <si>
    <t>FOR THE MONTH OF MAY 2019</t>
  </si>
  <si>
    <t>PAID ON 4/5/19</t>
  </si>
  <si>
    <t>PAID ON 7/5/19</t>
  </si>
  <si>
    <t>PAID ON 10/5/19</t>
  </si>
  <si>
    <t>SECURITY</t>
  </si>
  <si>
    <t>FOR THE MONTH OF JUNE 2019</t>
  </si>
  <si>
    <t xml:space="preserve">MPESA CHARGES </t>
  </si>
  <si>
    <t>PAID ON 4/6/19</t>
  </si>
  <si>
    <t>BLUE LACE DRYCLEANERS</t>
  </si>
  <si>
    <t>BEATRICE NDUTA</t>
  </si>
  <si>
    <t>PAIID ON 10/6/19</t>
  </si>
  <si>
    <t>PAID ON 10/6/19</t>
  </si>
  <si>
    <t>PAID KPLC ON 17/6/19</t>
  </si>
  <si>
    <t>PAID ON 28/6/19</t>
  </si>
  <si>
    <t xml:space="preserve">PREPARED BY </t>
  </si>
  <si>
    <t>RUTH</t>
  </si>
  <si>
    <t xml:space="preserve">CONFIRMED BY </t>
  </si>
  <si>
    <t xml:space="preserve">GRACE </t>
  </si>
  <si>
    <t>D. THEURI</t>
  </si>
  <si>
    <t>FOR THE MONTH OF JULY 2019</t>
  </si>
  <si>
    <t>PAID ON 5/7/19</t>
  </si>
  <si>
    <t>PAID ON 12/7/19</t>
  </si>
  <si>
    <t>FOR THE MONTH OF AUGUST 2019</t>
  </si>
  <si>
    <t>PAID ON 3/8/19</t>
  </si>
  <si>
    <t>PAID ON 10/8/19</t>
  </si>
  <si>
    <t>PAID ON 20/8/19</t>
  </si>
  <si>
    <t>FLORENCE</t>
  </si>
  <si>
    <t>hitec</t>
  </si>
  <si>
    <t>FOR THE MONTH OF SEPT 2019</t>
  </si>
  <si>
    <t>PAID ON 4/9</t>
  </si>
  <si>
    <t>PAID ON 6/9</t>
  </si>
  <si>
    <t>SEPT</t>
  </si>
  <si>
    <t>PAID ON 20/9/19</t>
  </si>
  <si>
    <t>OCTOBER</t>
  </si>
  <si>
    <t>FOR THE MONTH OF OCTOBER 2019</t>
  </si>
  <si>
    <t>PAID 4/10</t>
  </si>
  <si>
    <t>PAID ON 8/10</t>
  </si>
  <si>
    <t>HI-TECH</t>
  </si>
  <si>
    <t>PAID ON17/10</t>
  </si>
  <si>
    <t>FOR THE MONTH OF NOVEMBER 2019</t>
  </si>
  <si>
    <t>VACCANT</t>
  </si>
  <si>
    <t>NOVEMBER</t>
  </si>
  <si>
    <t>KENNETH NGANGA</t>
  </si>
  <si>
    <t>PAID ON 6/11</t>
  </si>
  <si>
    <t>PAID ON9/11</t>
  </si>
  <si>
    <t>PAID ON12/11</t>
  </si>
  <si>
    <t>PAID ON 14/11</t>
  </si>
  <si>
    <t>FOR THE MONTH OF DECEMBER 2019</t>
  </si>
  <si>
    <t>DECEMBER</t>
  </si>
  <si>
    <t>LETTING FEE</t>
  </si>
  <si>
    <t>JANUARY</t>
  </si>
  <si>
    <t>FOR THE MONTH OF JANUARY 2020</t>
  </si>
  <si>
    <t>PAID ON 6/1</t>
  </si>
  <si>
    <t>PAID ON11/1</t>
  </si>
  <si>
    <t>FOR THE MONTH OF FEBRUARY 2020</t>
  </si>
  <si>
    <t>FEBRUARY</t>
  </si>
  <si>
    <t>PAID ON 11/12</t>
  </si>
  <si>
    <t>PAID ON 11/13</t>
  </si>
  <si>
    <t>PAID ON 6/02</t>
  </si>
  <si>
    <t>FOR THE MONTH OF MARCH  2020</t>
  </si>
  <si>
    <t>TOKENS</t>
  </si>
  <si>
    <t>SHAMIM</t>
  </si>
  <si>
    <t>paid on4/3</t>
  </si>
  <si>
    <t>PAID ON 6/3</t>
  </si>
  <si>
    <t>CEMENT,PAINTS,TRANSPORT</t>
  </si>
  <si>
    <t>FOR THE MONTH OF APRIL  2020</t>
  </si>
  <si>
    <t xml:space="preserve"> PAINTING&amp;FLOOR REPAIR LABOUR</t>
  </si>
  <si>
    <t>PAID ON 15/4</t>
  </si>
  <si>
    <t>FOR THE MONTH OF MAY  2020</t>
  </si>
  <si>
    <t>PAID ON 24/4</t>
  </si>
  <si>
    <t>NOT AVAILABLE</t>
  </si>
  <si>
    <t>LOCKED</t>
  </si>
  <si>
    <t>TO CLEAR WHEN SHE GETS MONEY</t>
  </si>
  <si>
    <t>PAID ON 6/5</t>
  </si>
  <si>
    <t>SKYNET</t>
  </si>
  <si>
    <t>PAID ON 11/5</t>
  </si>
  <si>
    <t>CARREN DEP</t>
  </si>
  <si>
    <t>HANNAH</t>
  </si>
  <si>
    <t>FOR THE MONTH OF JUNE 2020</t>
  </si>
  <si>
    <t xml:space="preserve">    </t>
  </si>
  <si>
    <t>PAID ON 12/6</t>
  </si>
  <si>
    <t>FOR THE MONTH OF JULY 2020</t>
  </si>
  <si>
    <t>PAID ON 30/6</t>
  </si>
  <si>
    <t>SERVICE COST</t>
  </si>
  <si>
    <t>ELIJAH KARANJA</t>
  </si>
  <si>
    <t>PAID ON 10/7</t>
  </si>
  <si>
    <t>AUGUST</t>
  </si>
  <si>
    <t>FOR THE MONTH OF AUGUST 2020</t>
  </si>
  <si>
    <t>MICHAEL WAKOLI</t>
  </si>
  <si>
    <t>paid on 5/8</t>
  </si>
  <si>
    <t>PAID ON 5/8</t>
  </si>
  <si>
    <t>TILES,GLASS PANE,LABOUR</t>
  </si>
  <si>
    <t>PAID ON 12/8</t>
  </si>
  <si>
    <t>PAID ON 14/8</t>
  </si>
  <si>
    <t>SEPTEMBER</t>
  </si>
  <si>
    <t>PAID ON 28/8</t>
  </si>
  <si>
    <t>FOR THE MONTH OF SEPTEMBER 2020</t>
  </si>
  <si>
    <t>SE[PTEMBER</t>
  </si>
  <si>
    <t>PAID ON 5/9</t>
  </si>
  <si>
    <t>FOR THE MONTH OF OCTOBER 2020</t>
  </si>
  <si>
    <t>OCTOB ER</t>
  </si>
  <si>
    <t>WILLIAM WANGOMBE</t>
  </si>
  <si>
    <t>PAID ON2/10</t>
  </si>
  <si>
    <t>PAID ON 3/10</t>
  </si>
  <si>
    <t>PAID ON 7/10</t>
  </si>
  <si>
    <t>PAID ON 10/10</t>
  </si>
  <si>
    <t>PAID ON 30/10</t>
  </si>
  <si>
    <t>FOR THE MONTH OF NOVEMBER 2020</t>
  </si>
  <si>
    <t>PAID ON 11/11</t>
  </si>
  <si>
    <t>PERIS WAKESHO</t>
  </si>
  <si>
    <t>FOR THE MONTH OF DECEMBER 2020</t>
  </si>
  <si>
    <t>PAID ON 1/12</t>
  </si>
  <si>
    <t>PAID ON 5/12</t>
  </si>
  <si>
    <t>PAID ON 10/12</t>
  </si>
  <si>
    <t>KEMIRWA GLOBAL SECURITY</t>
  </si>
  <si>
    <t>PAID ON 11/1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</si>
  <si>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</si>
  <si>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KEMIRWA GLOBAL PAID LL</t>
  </si>
  <si>
    <t>NOTHING IN THE HSE</t>
  </si>
  <si>
    <t>MICHAEL VACCATED</t>
  </si>
  <si>
    <t>FOR THE MONTH OF JANUARY 2021</t>
  </si>
  <si>
    <t>FOR THE MONTH OF FEBRUARY 2021</t>
  </si>
  <si>
    <t>PAID ON 1/2</t>
  </si>
  <si>
    <t>EPHANTUS NYAGA</t>
  </si>
  <si>
    <t>PAID ON 6/2</t>
  </si>
  <si>
    <t>PAID ON 8/2</t>
  </si>
  <si>
    <t>FOR THE MONTH OF MARCH 2021</t>
  </si>
  <si>
    <t>PAID ON 2/3</t>
  </si>
  <si>
    <t>PAID ON 3/3</t>
  </si>
  <si>
    <t>PAID ON 9/3</t>
  </si>
  <si>
    <t>FOR THE MONTH OF APRIL 2021</t>
  </si>
  <si>
    <t>PAID ON 5/4</t>
  </si>
  <si>
    <t>FOR THE MONTH OF MAY 2021</t>
  </si>
  <si>
    <t>PAID ON 5/5</t>
  </si>
  <si>
    <t>PAID ON 7/5</t>
  </si>
  <si>
    <t>CHRISTINE WANJIRU</t>
  </si>
  <si>
    <t>PAID ON 18/5</t>
  </si>
  <si>
    <t>FOR THE MONTH OF JUNE 2021</t>
  </si>
  <si>
    <t>PAID ON 5/6</t>
  </si>
  <si>
    <t>TOTAL SECURITY FEES TO BE PAID TO KEMIRWA=25200</t>
  </si>
  <si>
    <t>TOTAL SECURITY FEES TO BE PAID TO KEMIRWA=31500</t>
  </si>
  <si>
    <t>FOR THE MONTH OF JULY 2021</t>
  </si>
  <si>
    <t>MARGARET JANE</t>
  </si>
  <si>
    <t>EPHATUS NYAGA</t>
  </si>
  <si>
    <t>PAID ON  11/7</t>
  </si>
  <si>
    <t>PAID ON  14/7</t>
  </si>
  <si>
    <t>FOR THE MONTH OF AUGUST 2021</t>
  </si>
  <si>
    <t>TOTAL SECURITY FEES TO BE PAID TO KEMIRWA=41400</t>
  </si>
  <si>
    <t>TOTAL SECURITY FEES TO BE PAID TO KEMIRWA=47700</t>
  </si>
  <si>
    <t>PAID ON  18/8</t>
  </si>
  <si>
    <t>KEMIRWA GLOBAL SECURITY A/C NO:1460273334735</t>
  </si>
  <si>
    <t>PHONE NO:0710808568</t>
  </si>
  <si>
    <t>PAID ON 3/9/21</t>
  </si>
  <si>
    <t>FOR THE MONTH OF SEPTEMBER 2021</t>
  </si>
  <si>
    <t>1/6KPLC ELECTRICITY</t>
  </si>
  <si>
    <t>PAID ON 10/9</t>
  </si>
  <si>
    <t>PAD ON 18/9</t>
  </si>
  <si>
    <t>FOR THE MONTH OF OCTOBER  2021</t>
  </si>
  <si>
    <t xml:space="preserve">OCTOBER </t>
  </si>
  <si>
    <t>PAID ON 9/10</t>
  </si>
  <si>
    <t>SEPT &amp; OCT</t>
  </si>
  <si>
    <t>PAID ON 15/10</t>
  </si>
  <si>
    <t>PAID ON 21/10</t>
  </si>
  <si>
    <t>FOR THE MONTH OF NOVEMBER  2021</t>
  </si>
  <si>
    <t>paid on 5/11</t>
  </si>
  <si>
    <t>PAID ON 10/11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</si>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</sst>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;\-#,##0.00"/>
    <numFmt numFmtId="165" formatCode="_(* #,##0_);_(* \(#,##0\);_(* &quot;-&quot;??_);_(@_)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sz val="11"/>
      <color rgb="FF0000FF"/>
      <name val="Times New Roman"/>
      <family val="1"/>
    </font>
    <font>
      <sz val="11"/>
      <color rgb="FF984806"/>
      <name val="Franklin Gothic Demi Cond"/>
      <family val="2"/>
    </font>
    <font>
      <b/>
      <i/>
      <sz val="10"/>
      <color theme="1"/>
      <name val="Times New Roman"/>
      <family val="1"/>
    </font>
    <font>
      <sz val="22"/>
      <color theme="1"/>
      <name val="Calibri"/>
      <family val="2"/>
      <scheme val="minor"/>
    </font>
    <font>
      <b/>
      <sz val="9"/>
      <color rgb="FF0070C0"/>
      <name val="Times New Roman"/>
      <family val="1"/>
    </font>
    <font>
      <b/>
      <vertAlign val="superscript"/>
      <sz val="9"/>
      <color rgb="FF0070C0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26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  <scheme val="minor"/>
    </font>
    <font>
      <u/>
      <sz val="8"/>
      <color rgb="FFFF0000"/>
      <name val="Cambria"/>
      <family val="1"/>
      <scheme val="major"/>
    </font>
    <font>
      <b/>
      <sz val="10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7"/>
      <color rgb="FFC00000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 val="singleAccounting"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FF0000"/>
      <name val="Times New Roman"/>
      <family val="1"/>
    </font>
    <font>
      <sz val="16"/>
      <color rgb="FFFF0000"/>
      <name val="Calibri"/>
      <family val="2"/>
      <scheme val="minor"/>
    </font>
    <font>
      <sz val="8"/>
      <color rgb="FFFF0000"/>
      <name val="Times New Roman"/>
      <family val="1"/>
    </font>
    <font>
      <b/>
      <sz val="9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Franklin Gothic Demi Cond"/>
      <family val="2"/>
    </font>
    <font>
      <sz val="18"/>
      <color theme="1"/>
      <name val="Calibri"/>
      <family val="2"/>
      <scheme val="minor"/>
    </font>
    <font>
      <b/>
      <sz val="18"/>
      <color theme="1"/>
      <name val="Times New Roman"/>
      <family val="1"/>
    </font>
    <font>
      <u/>
      <sz val="11"/>
      <color rgb="FFC0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 val="singleAccounting"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9"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0" xfId="0" applyFont="1"/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8" fillId="0" borderId="1" xfId="0" applyFont="1" applyBorder="1"/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/>
    <xf numFmtId="0" fontId="23" fillId="0" borderId="0" xfId="0" applyFont="1" applyBorder="1" applyAlignment="1">
      <alignment vertical="top" wrapText="1"/>
    </xf>
    <xf numFmtId="0" fontId="24" fillId="0" borderId="0" xfId="0" applyFont="1" applyBorder="1"/>
    <xf numFmtId="0" fontId="21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3" fontId="17" fillId="0" borderId="1" xfId="1" applyFont="1" applyFill="1" applyBorder="1" applyAlignment="1">
      <alignment horizontal="center"/>
    </xf>
    <xf numFmtId="43" fontId="3" fillId="0" borderId="1" xfId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/>
    </xf>
    <xf numFmtId="43" fontId="20" fillId="0" borderId="1" xfId="1" applyFont="1" applyBorder="1" applyAlignment="1">
      <alignment horizontal="center"/>
    </xf>
    <xf numFmtId="43" fontId="22" fillId="0" borderId="0" xfId="1" applyFont="1"/>
    <xf numFmtId="43" fontId="21" fillId="0" borderId="0" xfId="1" applyFont="1"/>
    <xf numFmtId="43" fontId="25" fillId="0" borderId="0" xfId="1" applyFont="1"/>
    <xf numFmtId="0" fontId="26" fillId="0" borderId="0" xfId="0" applyFont="1"/>
    <xf numFmtId="43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43" fontId="3" fillId="0" borderId="0" xfId="1" applyFont="1"/>
    <xf numFmtId="43" fontId="27" fillId="0" borderId="0" xfId="1" applyFont="1"/>
    <xf numFmtId="43" fontId="28" fillId="0" borderId="0" xfId="1" applyFont="1"/>
    <xf numFmtId="43" fontId="29" fillId="0" borderId="0" xfId="0" applyNumberFormat="1" applyFont="1"/>
    <xf numFmtId="0" fontId="3" fillId="0" borderId="1" xfId="0" applyFont="1" applyBorder="1"/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30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26" fillId="0" borderId="0" xfId="0" applyFont="1" applyAlignment="1">
      <alignment vertical="top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43" fontId="20" fillId="0" borderId="0" xfId="1" applyFont="1" applyBorder="1" applyAlignment="1">
      <alignment horizontal="center"/>
    </xf>
    <xf numFmtId="0" fontId="20" fillId="0" borderId="0" xfId="0" applyFont="1" applyBorder="1"/>
    <xf numFmtId="43" fontId="17" fillId="0" borderId="1" xfId="1" applyFont="1" applyFill="1" applyBorder="1" applyAlignment="1">
      <alignment horizontal="left"/>
    </xf>
    <xf numFmtId="43" fontId="18" fillId="0" borderId="1" xfId="1" applyFont="1" applyBorder="1"/>
    <xf numFmtId="43" fontId="28" fillId="0" borderId="1" xfId="1" applyFont="1" applyBorder="1"/>
    <xf numFmtId="43" fontId="3" fillId="0" borderId="1" xfId="1" applyFont="1" applyBorder="1"/>
    <xf numFmtId="43" fontId="0" fillId="0" borderId="1" xfId="1" applyFont="1" applyBorder="1"/>
    <xf numFmtId="43" fontId="20" fillId="0" borderId="1" xfId="1" applyFont="1" applyBorder="1"/>
    <xf numFmtId="0" fontId="31" fillId="0" borderId="0" xfId="0" applyFont="1" applyAlignment="1">
      <alignment vertical="top"/>
    </xf>
    <xf numFmtId="43" fontId="3" fillId="0" borderId="1" xfId="1" applyFont="1" applyBorder="1" applyAlignment="1">
      <alignment horizontal="left" vertical="center"/>
    </xf>
    <xf numFmtId="0" fontId="31" fillId="0" borderId="0" xfId="0" applyFont="1"/>
    <xf numFmtId="43" fontId="31" fillId="0" borderId="0" xfId="0" applyNumberFormat="1" applyFont="1"/>
    <xf numFmtId="0" fontId="31" fillId="0" borderId="0" xfId="0" applyFont="1" applyAlignment="1">
      <alignment vertical="center"/>
    </xf>
    <xf numFmtId="43" fontId="32" fillId="0" borderId="0" xfId="0" applyNumberFormat="1" applyFont="1"/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43" fontId="33" fillId="0" borderId="1" xfId="1" applyFont="1" applyBorder="1" applyAlignment="1">
      <alignment horizontal="center"/>
    </xf>
    <xf numFmtId="43" fontId="33" fillId="0" borderId="1" xfId="1" applyFont="1" applyBorder="1"/>
    <xf numFmtId="43" fontId="34" fillId="0" borderId="0" xfId="1" applyFont="1"/>
    <xf numFmtId="0" fontId="35" fillId="0" borderId="0" xfId="0" applyFont="1"/>
    <xf numFmtId="0" fontId="36" fillId="0" borderId="0" xfId="0" applyFont="1"/>
    <xf numFmtId="0" fontId="37" fillId="0" borderId="0" xfId="0" applyFont="1" applyBorder="1" applyAlignment="1">
      <alignment horizontal="center"/>
    </xf>
    <xf numFmtId="17" fontId="0" fillId="0" borderId="0" xfId="0" applyNumberFormat="1" applyAlignment="1">
      <alignment horizontal="center"/>
    </xf>
    <xf numFmtId="0" fontId="38" fillId="0" borderId="0" xfId="0" applyFont="1" applyFill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9" fillId="0" borderId="0" xfId="0" applyFont="1"/>
    <xf numFmtId="43" fontId="3" fillId="0" borderId="3" xfId="1" applyFont="1" applyFill="1" applyBorder="1" applyAlignment="1">
      <alignment horizontal="center" vertical="center"/>
    </xf>
    <xf numFmtId="49" fontId="44" fillId="0" borderId="0" xfId="0" applyNumberFormat="1" applyFont="1"/>
    <xf numFmtId="0" fontId="0" fillId="0" borderId="0" xfId="0"/>
    <xf numFmtId="49" fontId="42" fillId="0" borderId="0" xfId="0" applyNumberFormat="1" applyFont="1"/>
    <xf numFmtId="49" fontId="43" fillId="0" borderId="0" xfId="0" applyNumberFormat="1" applyFont="1"/>
    <xf numFmtId="164" fontId="43" fillId="0" borderId="0" xfId="0" applyNumberFormat="1" applyFont="1"/>
    <xf numFmtId="164" fontId="43" fillId="0" borderId="0" xfId="0" applyNumberFormat="1" applyFont="1" applyBorder="1"/>
    <xf numFmtId="164" fontId="43" fillId="0" borderId="4" xfId="0" applyNumberFormat="1" applyFont="1" applyBorder="1"/>
    <xf numFmtId="164" fontId="42" fillId="0" borderId="5" xfId="0" applyNumberFormat="1" applyFont="1" applyBorder="1"/>
    <xf numFmtId="49" fontId="43" fillId="0" borderId="1" xfId="0" applyNumberFormat="1" applyFont="1" applyBorder="1"/>
    <xf numFmtId="49" fontId="42" fillId="0" borderId="1" xfId="0" applyNumberFormat="1" applyFont="1" applyBorder="1"/>
    <xf numFmtId="43" fontId="0" fillId="0" borderId="1" xfId="0" applyNumberFormat="1" applyBorder="1"/>
    <xf numFmtId="49" fontId="3" fillId="0" borderId="0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43" fontId="45" fillId="0" borderId="0" xfId="1" applyFont="1"/>
    <xf numFmtId="3" fontId="21" fillId="0" borderId="0" xfId="0" applyNumberFormat="1" applyFont="1" applyBorder="1"/>
    <xf numFmtId="3" fontId="3" fillId="0" borderId="0" xfId="0" applyNumberFormat="1" applyFont="1"/>
    <xf numFmtId="43" fontId="21" fillId="0" borderId="0" xfId="1" applyFont="1" applyBorder="1"/>
    <xf numFmtId="9" fontId="0" fillId="0" borderId="0" xfId="0" applyNumberFormat="1"/>
    <xf numFmtId="9" fontId="21" fillId="0" borderId="0" xfId="0" applyNumberFormat="1" applyFont="1" applyBorder="1"/>
    <xf numFmtId="3" fontId="0" fillId="0" borderId="0" xfId="0" applyNumberFormat="1"/>
    <xf numFmtId="43" fontId="0" fillId="0" borderId="0" xfId="1" applyFont="1"/>
    <xf numFmtId="0" fontId="46" fillId="0" borderId="0" xfId="0" applyFont="1"/>
    <xf numFmtId="0" fontId="46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9" fillId="0" borderId="1" xfId="0" applyFont="1" applyFill="1" applyBorder="1" applyAlignment="1">
      <alignment horizontal="left" vertical="center"/>
    </xf>
    <xf numFmtId="0" fontId="49" fillId="0" borderId="1" xfId="0" applyFont="1" applyFill="1" applyBorder="1" applyAlignment="1">
      <alignment horizontal="center" vertical="center"/>
    </xf>
    <xf numFmtId="49" fontId="49" fillId="0" borderId="1" xfId="1" applyNumberFormat="1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43" fontId="45" fillId="0" borderId="1" xfId="1" applyFont="1" applyBorder="1" applyAlignment="1">
      <alignment horizontal="center" vertical="center"/>
    </xf>
    <xf numFmtId="0" fontId="49" fillId="0" borderId="1" xfId="0" applyFont="1" applyBorder="1" applyAlignment="1">
      <alignment horizontal="left"/>
    </xf>
    <xf numFmtId="0" fontId="49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horizontal="left" vertical="center"/>
    </xf>
    <xf numFmtId="0" fontId="45" fillId="0" borderId="2" xfId="0" applyFont="1" applyBorder="1" applyAlignment="1">
      <alignment horizontal="left" vertical="center"/>
    </xf>
    <xf numFmtId="43" fontId="38" fillId="0" borderId="0" xfId="0" applyNumberFormat="1" applyFont="1"/>
    <xf numFmtId="0" fontId="45" fillId="0" borderId="0" xfId="0" applyFont="1" applyFill="1" applyBorder="1"/>
    <xf numFmtId="0" fontId="50" fillId="0" borderId="0" xfId="0" applyFont="1"/>
    <xf numFmtId="0" fontId="51" fillId="0" borderId="0" xfId="0" applyFont="1" applyFill="1" applyBorder="1"/>
    <xf numFmtId="43" fontId="51" fillId="0" borderId="0" xfId="1" applyFont="1"/>
    <xf numFmtId="43" fontId="38" fillId="0" borderId="0" xfId="1" applyFont="1"/>
    <xf numFmtId="0" fontId="45" fillId="0" borderId="0" xfId="0" applyFont="1"/>
    <xf numFmtId="0" fontId="52" fillId="0" borderId="0" xfId="0" applyFont="1"/>
    <xf numFmtId="43" fontId="52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54" fillId="0" borderId="0" xfId="0" applyFont="1" applyAlignment="1">
      <alignment horizontal="center"/>
    </xf>
    <xf numFmtId="0" fontId="55" fillId="0" borderId="0" xfId="0" applyFont="1"/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horizontal="center"/>
    </xf>
    <xf numFmtId="0" fontId="59" fillId="0" borderId="0" xfId="0" applyFont="1"/>
    <xf numFmtId="0" fontId="59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61" fillId="0" borderId="0" xfId="0" applyFont="1"/>
    <xf numFmtId="14" fontId="3" fillId="0" borderId="0" xfId="0" applyNumberFormat="1" applyFont="1"/>
    <xf numFmtId="43" fontId="6" fillId="0" borderId="0" xfId="0" applyNumberFormat="1" applyFont="1"/>
    <xf numFmtId="0" fontId="62" fillId="0" borderId="0" xfId="0" applyFont="1"/>
    <xf numFmtId="14" fontId="0" fillId="0" borderId="0" xfId="0" applyNumberFormat="1" applyAlignment="1">
      <alignment horizontal="left"/>
    </xf>
    <xf numFmtId="0" fontId="63" fillId="0" borderId="0" xfId="0" applyFont="1"/>
    <xf numFmtId="0" fontId="0" fillId="0" borderId="0" xfId="0" applyBorder="1"/>
    <xf numFmtId="0" fontId="64" fillId="0" borderId="1" xfId="0" applyFont="1" applyBorder="1"/>
    <xf numFmtId="0" fontId="52" fillId="0" borderId="1" xfId="0" applyFont="1" applyBorder="1"/>
    <xf numFmtId="0" fontId="31" fillId="0" borderId="1" xfId="0" applyFont="1" applyBorder="1"/>
    <xf numFmtId="43" fontId="65" fillId="0" borderId="0" xfId="0" applyNumberFormat="1" applyFont="1"/>
    <xf numFmtId="43" fontId="52" fillId="0" borderId="1" xfId="0" applyNumberFormat="1" applyFont="1" applyBorder="1"/>
    <xf numFmtId="9" fontId="0" fillId="0" borderId="1" xfId="0" applyNumberFormat="1" applyBorder="1"/>
    <xf numFmtId="0" fontId="0" fillId="0" borderId="1" xfId="0" applyFont="1" applyBorder="1"/>
    <xf numFmtId="3" fontId="0" fillId="0" borderId="1" xfId="0" applyNumberFormat="1" applyFont="1" applyBorder="1"/>
    <xf numFmtId="0" fontId="63" fillId="0" borderId="1" xfId="0" applyFont="1" applyBorder="1"/>
    <xf numFmtId="0" fontId="0" fillId="0" borderId="1" xfId="0" applyFont="1" applyFill="1" applyBorder="1"/>
    <xf numFmtId="14" fontId="0" fillId="0" borderId="1" xfId="0" applyNumberFormat="1" applyFont="1" applyBorder="1"/>
    <xf numFmtId="0" fontId="0" fillId="0" borderId="3" xfId="0" applyFont="1" applyFill="1" applyBorder="1"/>
    <xf numFmtId="14" fontId="0" fillId="0" borderId="1" xfId="0" applyNumberFormat="1" applyBorder="1"/>
    <xf numFmtId="0" fontId="66" fillId="0" borderId="1" xfId="0" applyFont="1" applyBorder="1"/>
    <xf numFmtId="9" fontId="52" fillId="0" borderId="1" xfId="0" applyNumberFormat="1" applyFont="1" applyBorder="1"/>
    <xf numFmtId="14" fontId="0" fillId="0" borderId="1" xfId="0" applyNumberFormat="1" applyFont="1" applyFill="1" applyBorder="1"/>
    <xf numFmtId="3" fontId="0" fillId="0" borderId="3" xfId="0" applyNumberFormat="1" applyFont="1" applyFill="1" applyBorder="1"/>
    <xf numFmtId="0" fontId="31" fillId="0" borderId="0" xfId="0" applyFont="1" applyBorder="1"/>
    <xf numFmtId="43" fontId="0" fillId="0" borderId="0" xfId="1" applyFont="1" applyBorder="1"/>
    <xf numFmtId="43" fontId="0" fillId="0" borderId="0" xfId="0" applyNumberFormat="1" applyBorder="1"/>
    <xf numFmtId="165" fontId="0" fillId="0" borderId="1" xfId="0" applyNumberFormat="1" applyBorder="1"/>
    <xf numFmtId="165" fontId="0" fillId="0" borderId="1" xfId="1" applyNumberFormat="1" applyFont="1" applyBorder="1"/>
    <xf numFmtId="165" fontId="52" fillId="0" borderId="1" xfId="0" applyNumberFormat="1" applyFont="1" applyBorder="1"/>
    <xf numFmtId="165" fontId="17" fillId="0" borderId="1" xfId="1" applyNumberFormat="1" applyFont="1" applyFill="1" applyBorder="1" applyAlignment="1">
      <alignment horizontal="center"/>
    </xf>
    <xf numFmtId="165" fontId="3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/>
    </xf>
    <xf numFmtId="3" fontId="0" fillId="0" borderId="0" xfId="0" applyNumberFormat="1" applyFont="1" applyBorder="1"/>
    <xf numFmtId="14" fontId="0" fillId="0" borderId="3" xfId="0" applyNumberFormat="1" applyFont="1" applyFill="1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4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Border="1" applyAlignment="1">
      <alignment horizontal="right" indent="1"/>
    </xf>
    <xf numFmtId="0" fontId="68" fillId="0" borderId="0" xfId="0" applyFont="1"/>
    <xf numFmtId="0" fontId="68" fillId="0" borderId="1" xfId="0" applyFont="1" applyBorder="1"/>
    <xf numFmtId="0" fontId="69" fillId="0" borderId="1" xfId="0" applyFont="1" applyBorder="1" applyAlignment="1">
      <alignment horizontal="center"/>
    </xf>
    <xf numFmtId="0" fontId="69" fillId="0" borderId="1" xfId="0" applyFont="1" applyFill="1" applyBorder="1" applyAlignment="1">
      <alignment horizontal="center"/>
    </xf>
    <xf numFmtId="0" fontId="70" fillId="0" borderId="1" xfId="0" applyFont="1" applyBorder="1" applyAlignment="1">
      <alignment horizontal="left"/>
    </xf>
    <xf numFmtId="0" fontId="70" fillId="0" borderId="1" xfId="0" applyFont="1" applyBorder="1" applyAlignment="1">
      <alignment horizontal="center"/>
    </xf>
    <xf numFmtId="165" fontId="70" fillId="0" borderId="1" xfId="1" applyNumberFormat="1" applyFont="1" applyFill="1" applyBorder="1" applyAlignment="1">
      <alignment horizontal="center"/>
    </xf>
    <xf numFmtId="165" fontId="6" fillId="0" borderId="1" xfId="0" applyNumberFormat="1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7" fillId="0" borderId="1" xfId="0" applyFont="1" applyBorder="1" applyAlignment="1">
      <alignment horizontal="left"/>
    </xf>
    <xf numFmtId="0" fontId="67" fillId="0" borderId="1" xfId="0" applyFont="1" applyBorder="1" applyAlignment="1">
      <alignment horizontal="center"/>
    </xf>
    <xf numFmtId="165" fontId="67" fillId="0" borderId="1" xfId="1" applyNumberFormat="1" applyFont="1" applyBorder="1" applyAlignment="1">
      <alignment horizontal="center"/>
    </xf>
    <xf numFmtId="165" fontId="67" fillId="0" borderId="1" xfId="0" applyNumberFormat="1" applyFont="1" applyBorder="1"/>
    <xf numFmtId="0" fontId="67" fillId="0" borderId="0" xfId="0" applyFont="1"/>
    <xf numFmtId="0" fontId="71" fillId="0" borderId="0" xfId="0" applyFont="1"/>
    <xf numFmtId="43" fontId="72" fillId="0" borderId="0" xfId="1" applyFont="1"/>
    <xf numFmtId="0" fontId="6" fillId="0" borderId="0" xfId="0" applyFont="1" applyBorder="1"/>
    <xf numFmtId="0" fontId="62" fillId="0" borderId="1" xfId="0" applyFont="1" applyBorder="1"/>
    <xf numFmtId="0" fontId="70" fillId="0" borderId="1" xfId="0" applyFont="1" applyBorder="1"/>
    <xf numFmtId="165" fontId="70" fillId="0" borderId="1" xfId="0" applyNumberFormat="1" applyFont="1" applyBorder="1"/>
    <xf numFmtId="0" fontId="6" fillId="0" borderId="1" xfId="0" applyFont="1" applyBorder="1"/>
    <xf numFmtId="43" fontId="70" fillId="0" borderId="1" xfId="0" applyNumberFormat="1" applyFont="1" applyBorder="1"/>
    <xf numFmtId="9" fontId="70" fillId="0" borderId="1" xfId="0" applyNumberFormat="1" applyFont="1" applyBorder="1"/>
    <xf numFmtId="0" fontId="69" fillId="0" borderId="1" xfId="0" applyFont="1" applyBorder="1"/>
    <xf numFmtId="14" fontId="70" fillId="0" borderId="1" xfId="0" applyNumberFormat="1" applyFont="1" applyBorder="1"/>
    <xf numFmtId="14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 indent="1"/>
    </xf>
    <xf numFmtId="0" fontId="72" fillId="0" borderId="1" xfId="0" applyFont="1" applyBorder="1"/>
    <xf numFmtId="165" fontId="6" fillId="0" borderId="1" xfId="1" applyNumberFormat="1" applyFont="1" applyBorder="1"/>
    <xf numFmtId="0" fontId="72" fillId="0" borderId="0" xfId="0" applyFont="1" applyBorder="1"/>
    <xf numFmtId="43" fontId="6" fillId="0" borderId="0" xfId="1" applyFont="1" applyBorder="1"/>
    <xf numFmtId="43" fontId="6" fillId="0" borderId="0" xfId="0" applyNumberFormat="1" applyFont="1" applyBorder="1"/>
    <xf numFmtId="3" fontId="6" fillId="0" borderId="0" xfId="0" applyNumberFormat="1" applyFont="1" applyBorder="1"/>
    <xf numFmtId="165" fontId="6" fillId="0" borderId="1" xfId="0" applyNumberFormat="1" applyFont="1" applyBorder="1" applyAlignment="1"/>
    <xf numFmtId="0" fontId="73" fillId="0" borderId="0" xfId="0" applyFont="1"/>
    <xf numFmtId="14" fontId="6" fillId="0" borderId="1" xfId="0" applyNumberFormat="1" applyFont="1" applyBorder="1" applyAlignment="1">
      <alignment horizontal="left"/>
    </xf>
    <xf numFmtId="0" fontId="69" fillId="0" borderId="0" xfId="0" applyFont="1"/>
    <xf numFmtId="0" fontId="67" fillId="0" borderId="1" xfId="0" applyFont="1" applyBorder="1"/>
    <xf numFmtId="0" fontId="66" fillId="0" borderId="1" xfId="0" applyFont="1" applyBorder="1" applyAlignment="1">
      <alignment horizontal="center"/>
    </xf>
    <xf numFmtId="0" fontId="66" fillId="0" borderId="1" xfId="0" applyFont="1" applyFill="1" applyBorder="1" applyAlignment="1">
      <alignment horizontal="center"/>
    </xf>
    <xf numFmtId="43" fontId="31" fillId="0" borderId="0" xfId="1" applyFont="1"/>
    <xf numFmtId="0" fontId="0" fillId="0" borderId="0" xfId="0" applyFont="1" applyBorder="1"/>
    <xf numFmtId="0" fontId="66" fillId="0" borderId="0" xfId="0" applyFont="1"/>
    <xf numFmtId="43" fontId="0" fillId="0" borderId="0" xfId="0" applyNumberFormat="1" applyFont="1" applyBorder="1"/>
    <xf numFmtId="0" fontId="0" fillId="0" borderId="0" xfId="0" applyFont="1" applyFill="1" applyBorder="1"/>
    <xf numFmtId="14" fontId="6" fillId="0" borderId="1" xfId="0" applyNumberFormat="1" applyFont="1" applyBorder="1"/>
    <xf numFmtId="165" fontId="72" fillId="0" borderId="1" xfId="1" applyNumberFormat="1" applyFont="1" applyBorder="1"/>
    <xf numFmtId="165" fontId="72" fillId="0" borderId="1" xfId="0" applyNumberFormat="1" applyFont="1" applyBorder="1"/>
    <xf numFmtId="165" fontId="0" fillId="0" borderId="0" xfId="0" applyNumberFormat="1"/>
    <xf numFmtId="0" fontId="70" fillId="0" borderId="3" xfId="0" applyFont="1" applyFill="1" applyBorder="1"/>
    <xf numFmtId="165" fontId="6" fillId="0" borderId="1" xfId="0" applyNumberFormat="1" applyFont="1" applyBorder="1" applyAlignment="1">
      <alignment horizontal="left"/>
    </xf>
    <xf numFmtId="0" fontId="74" fillId="0" borderId="1" xfId="0" applyFont="1" applyFill="1" applyBorder="1" applyAlignment="1">
      <alignment horizontal="left" vertical="center"/>
    </xf>
    <xf numFmtId="0" fontId="70" fillId="0" borderId="1" xfId="0" applyFont="1" applyFill="1" applyBorder="1" applyAlignment="1">
      <alignment horizontal="left" vertical="center"/>
    </xf>
    <xf numFmtId="165" fontId="0" fillId="0" borderId="0" xfId="0" applyNumberFormat="1" applyFont="1"/>
    <xf numFmtId="9" fontId="6" fillId="0" borderId="1" xfId="0" applyNumberFormat="1" applyFont="1" applyBorder="1"/>
    <xf numFmtId="0" fontId="74" fillId="0" borderId="2" xfId="0" applyFont="1" applyBorder="1" applyAlignment="1">
      <alignment horizontal="left" vertical="center"/>
    </xf>
    <xf numFmtId="0" fontId="74" fillId="0" borderId="1" xfId="0" applyFont="1" applyBorder="1" applyAlignment="1">
      <alignment horizontal="center"/>
    </xf>
    <xf numFmtId="165" fontId="74" fillId="0" borderId="2" xfId="1" applyNumberFormat="1" applyFont="1" applyBorder="1" applyAlignment="1">
      <alignment horizontal="center" vertical="center"/>
    </xf>
    <xf numFmtId="165" fontId="74" fillId="0" borderId="1" xfId="1" applyNumberFormat="1" applyFont="1" applyFill="1" applyBorder="1" applyAlignment="1">
      <alignment horizontal="center"/>
    </xf>
    <xf numFmtId="0" fontId="74" fillId="0" borderId="3" xfId="0" applyFont="1" applyFill="1" applyBorder="1"/>
    <xf numFmtId="165" fontId="74" fillId="0" borderId="1" xfId="0" applyNumberFormat="1" applyFont="1" applyBorder="1"/>
    <xf numFmtId="165" fontId="70" fillId="0" borderId="1" xfId="1" applyNumberFormat="1" applyFont="1" applyBorder="1" applyAlignment="1">
      <alignment horizontal="center"/>
    </xf>
    <xf numFmtId="16" fontId="70" fillId="0" borderId="3" xfId="0" applyNumberFormat="1" applyFont="1" applyFill="1" applyBorder="1"/>
    <xf numFmtId="43" fontId="6" fillId="0" borderId="6" xfId="0" applyNumberFormat="1" applyFont="1" applyFill="1" applyBorder="1" applyAlignment="1">
      <alignment horizontal="right"/>
    </xf>
    <xf numFmtId="0" fontId="62" fillId="0" borderId="3" xfId="0" applyFont="1" applyFill="1" applyBorder="1"/>
    <xf numFmtId="0" fontId="74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66675</xdr:rowOff>
    </xdr:from>
    <xdr:to>
      <xdr:col>2</xdr:col>
      <xdr:colOff>104775</xdr:colOff>
      <xdr:row>3</xdr:row>
      <xdr:rowOff>114300</xdr:rowOff>
    </xdr:to>
    <xdr:pic>
      <xdr:nvPicPr>
        <xdr:cNvPr id="2" name="Picture 1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66675"/>
          <a:ext cx="1123951" cy="676275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314326</xdr:colOff>
      <xdr:row>0</xdr:row>
      <xdr:rowOff>85725</xdr:rowOff>
    </xdr:from>
    <xdr:to>
      <xdr:col>9</xdr:col>
      <xdr:colOff>571501</xdr:colOff>
      <xdr:row>3</xdr:row>
      <xdr:rowOff>123825</xdr:rowOff>
    </xdr:to>
    <xdr:pic>
      <xdr:nvPicPr>
        <xdr:cNvPr id="3" name="Picture 2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610226" y="85725"/>
          <a:ext cx="1104900" cy="6667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742949</xdr:colOff>
      <xdr:row>0</xdr:row>
      <xdr:rowOff>57152</xdr:rowOff>
    </xdr:from>
    <xdr:to>
      <xdr:col>2</xdr:col>
      <xdr:colOff>504825</xdr:colOff>
      <xdr:row>3</xdr:row>
      <xdr:rowOff>47625</xdr:rowOff>
    </xdr:to>
    <xdr:pic>
      <xdr:nvPicPr>
        <xdr:cNvPr id="2" name="Picture 1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2949" y="57152"/>
          <a:ext cx="1066801" cy="676273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0</xdr:row>
      <xdr:rowOff>209553</xdr:rowOff>
    </xdr:from>
    <xdr:to>
      <xdr:col>11</xdr:col>
      <xdr:colOff>457200</xdr:colOff>
      <xdr:row>4</xdr:row>
      <xdr:rowOff>9525</xdr:rowOff>
    </xdr:to>
    <xdr:pic>
      <xdr:nvPicPr>
        <xdr:cNvPr id="3" name="Picture 2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53100" y="209553"/>
          <a:ext cx="1114425" cy="6762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257177</xdr:rowOff>
    </xdr:from>
    <xdr:to>
      <xdr:col>3</xdr:col>
      <xdr:colOff>190501</xdr:colOff>
      <xdr:row>3</xdr:row>
      <xdr:rowOff>57150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800" y="257177"/>
          <a:ext cx="866776" cy="619123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0</xdr:row>
      <xdr:rowOff>171453</xdr:rowOff>
    </xdr:from>
    <xdr:to>
      <xdr:col>10</xdr:col>
      <xdr:colOff>476250</xdr:colOff>
      <xdr:row>2</xdr:row>
      <xdr:rowOff>152400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67425" y="171453"/>
          <a:ext cx="885825" cy="609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657224</xdr:colOff>
      <xdr:row>0</xdr:row>
      <xdr:rowOff>66675</xdr:rowOff>
    </xdr:from>
    <xdr:to>
      <xdr:col>2</xdr:col>
      <xdr:colOff>390525</xdr:colOff>
      <xdr:row>3</xdr:row>
      <xdr:rowOff>171450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7224" y="66675"/>
          <a:ext cx="1123951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0</xdr:row>
      <xdr:rowOff>85725</xdr:rowOff>
    </xdr:from>
    <xdr:to>
      <xdr:col>10</xdr:col>
      <xdr:colOff>485774</xdr:colOff>
      <xdr:row>3</xdr:row>
      <xdr:rowOff>180975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81600" y="85725"/>
          <a:ext cx="1314449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66675</xdr:rowOff>
    </xdr:from>
    <xdr:to>
      <xdr:col>2</xdr:col>
      <xdr:colOff>219075</xdr:colOff>
      <xdr:row>3</xdr:row>
      <xdr:rowOff>114300</xdr:rowOff>
    </xdr:to>
    <xdr:pic>
      <xdr:nvPicPr>
        <xdr:cNvPr id="6" name="Picture 5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599" y="66675"/>
          <a:ext cx="1123951" cy="86677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0</xdr:row>
      <xdr:rowOff>0</xdr:rowOff>
    </xdr:from>
    <xdr:to>
      <xdr:col>11</xdr:col>
      <xdr:colOff>228599</xdr:colOff>
      <xdr:row>3</xdr:row>
      <xdr:rowOff>171450</xdr:rowOff>
    </xdr:to>
    <xdr:pic>
      <xdr:nvPicPr>
        <xdr:cNvPr id="7" name="Picture 6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24500" y="0"/>
          <a:ext cx="1314449" cy="99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1066799</xdr:colOff>
      <xdr:row>0</xdr:row>
      <xdr:rowOff>47626</xdr:rowOff>
    </xdr:from>
    <xdr:to>
      <xdr:col>3</xdr:col>
      <xdr:colOff>104775</xdr:colOff>
      <xdr:row>3</xdr:row>
      <xdr:rowOff>47625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799" y="47626"/>
          <a:ext cx="1123951" cy="742949"/>
        </a:xfrm>
        <a:prstGeom prst="rect">
          <a:avLst/>
        </a:prstGeom>
      </xdr:spPr>
    </xdr:pic>
    <xdr:clientData/>
  </xdr:twoCellAnchor>
  <xdr:twoCellAnchor editAs="oneCell">
    <xdr:from>
      <xdr:col>8</xdr:col>
      <xdr:colOff>628650</xdr:colOff>
      <xdr:row>0</xdr:row>
      <xdr:rowOff>95250</xdr:rowOff>
    </xdr:from>
    <xdr:to>
      <xdr:col>10</xdr:col>
      <xdr:colOff>561974</xdr:colOff>
      <xdr:row>2</xdr:row>
      <xdr:rowOff>161925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86450" y="95250"/>
          <a:ext cx="1314449" cy="619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1066799</xdr:colOff>
      <xdr:row>0</xdr:row>
      <xdr:rowOff>180976</xdr:rowOff>
    </xdr:from>
    <xdr:to>
      <xdr:col>3</xdr:col>
      <xdr:colOff>142875</xdr:colOff>
      <xdr:row>3</xdr:row>
      <xdr:rowOff>95250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799" y="180976"/>
          <a:ext cx="1123951" cy="638174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0</xdr:row>
      <xdr:rowOff>161926</xdr:rowOff>
    </xdr:from>
    <xdr:to>
      <xdr:col>11</xdr:col>
      <xdr:colOff>152399</xdr:colOff>
      <xdr:row>3</xdr:row>
      <xdr:rowOff>66675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72150" y="161926"/>
          <a:ext cx="1314449" cy="6286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171451</xdr:rowOff>
    </xdr:from>
    <xdr:to>
      <xdr:col>2</xdr:col>
      <xdr:colOff>600075</xdr:colOff>
      <xdr:row>3</xdr:row>
      <xdr:rowOff>85725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0</xdr:row>
      <xdr:rowOff>47626</xdr:rowOff>
    </xdr:from>
    <xdr:to>
      <xdr:col>10</xdr:col>
      <xdr:colOff>581025</xdr:colOff>
      <xdr:row>2</xdr:row>
      <xdr:rowOff>133350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05575" y="47626"/>
          <a:ext cx="1323975" cy="647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171451</xdr:rowOff>
    </xdr:from>
    <xdr:to>
      <xdr:col>2</xdr:col>
      <xdr:colOff>209550</xdr:colOff>
      <xdr:row>3</xdr:row>
      <xdr:rowOff>28575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1"/>
          <a:ext cx="1400176" cy="609599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0</xdr:row>
      <xdr:rowOff>47626</xdr:rowOff>
    </xdr:from>
    <xdr:to>
      <xdr:col>11</xdr:col>
      <xdr:colOff>95250</xdr:colOff>
      <xdr:row>2</xdr:row>
      <xdr:rowOff>114300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3175" y="47626"/>
          <a:ext cx="1323975" cy="6286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171452</xdr:rowOff>
    </xdr:from>
    <xdr:to>
      <xdr:col>2</xdr:col>
      <xdr:colOff>390525</xdr:colOff>
      <xdr:row>3</xdr:row>
      <xdr:rowOff>28576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2"/>
          <a:ext cx="1162051" cy="676274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152402</xdr:rowOff>
    </xdr:from>
    <xdr:to>
      <xdr:col>10</xdr:col>
      <xdr:colOff>552450</xdr:colOff>
      <xdr:row>2</xdr:row>
      <xdr:rowOff>180976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72175" y="152402"/>
          <a:ext cx="1114425" cy="6572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781049</xdr:colOff>
      <xdr:row>0</xdr:row>
      <xdr:rowOff>57152</xdr:rowOff>
    </xdr:from>
    <xdr:to>
      <xdr:col>2</xdr:col>
      <xdr:colOff>514350</xdr:colOff>
      <xdr:row>3</xdr:row>
      <xdr:rowOff>123825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49" y="57152"/>
          <a:ext cx="1066801" cy="752473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0</xdr:row>
      <xdr:rowOff>76202</xdr:rowOff>
    </xdr:from>
    <xdr:to>
      <xdr:col>11</xdr:col>
      <xdr:colOff>180975</xdr:colOff>
      <xdr:row>3</xdr:row>
      <xdr:rowOff>85725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67400" y="76202"/>
          <a:ext cx="1114425" cy="695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J28" sqref="J28"/>
    </sheetView>
  </sheetViews>
  <sheetFormatPr defaultRowHeight="15" x14ac:dyDescent="0.25"/>
  <cols>
    <col min="1" max="1" width="17.42578125" customWidth="1"/>
    <col min="2" max="2" width="4.7109375" customWidth="1"/>
    <col min="7" max="7" width="11.5703125" bestFit="1" customWidth="1"/>
    <col min="8" max="8" width="11" bestFit="1" customWidth="1"/>
    <col min="9" max="9" width="12.7109375" customWidth="1"/>
    <col min="11" max="11" width="7.85546875" customWidth="1"/>
  </cols>
  <sheetData>
    <row r="1" spans="1:15" ht="24" customHeight="1" x14ac:dyDescent="0.5">
      <c r="A1" s="18"/>
      <c r="B1" s="29"/>
      <c r="C1" s="29"/>
      <c r="D1" s="55"/>
      <c r="E1" s="55"/>
      <c r="F1" s="56" t="s">
        <v>24</v>
      </c>
      <c r="G1" s="56"/>
      <c r="H1" s="55"/>
      <c r="I1" s="30"/>
      <c r="J1" s="18"/>
      <c r="K1" s="18"/>
      <c r="L1" s="18"/>
      <c r="M1" s="18"/>
      <c r="N1" s="18"/>
      <c r="O1" s="1"/>
    </row>
    <row r="2" spans="1:15" ht="13.5" customHeight="1" x14ac:dyDescent="0.3">
      <c r="A2" s="18"/>
      <c r="B2" s="18"/>
      <c r="C2" s="18"/>
      <c r="D2" s="21"/>
      <c r="E2" s="20" t="s">
        <v>25</v>
      </c>
      <c r="F2" s="20"/>
      <c r="G2" s="21"/>
      <c r="H2" s="21"/>
      <c r="I2" s="21"/>
      <c r="J2" s="18"/>
      <c r="K2" s="18"/>
      <c r="L2" s="18"/>
      <c r="M2" s="18"/>
      <c r="N2" s="18"/>
      <c r="O2" s="18"/>
    </row>
    <row r="3" spans="1:15" ht="12" customHeight="1" x14ac:dyDescent="0.25">
      <c r="A3" s="1"/>
      <c r="B3" s="1"/>
      <c r="C3" s="23"/>
      <c r="D3" s="23"/>
      <c r="E3" s="26" t="s">
        <v>26</v>
      </c>
      <c r="F3" s="24"/>
      <c r="G3" s="24"/>
      <c r="H3" s="23"/>
      <c r="I3" s="1"/>
      <c r="J3" s="1"/>
      <c r="K3" s="1"/>
      <c r="L3" s="1"/>
      <c r="M3" s="1"/>
      <c r="N3" s="1"/>
      <c r="O3" s="1"/>
    </row>
    <row r="4" spans="1:15" ht="10.5" customHeight="1" x14ac:dyDescent="0.25">
      <c r="A4" s="1"/>
      <c r="B4" s="1"/>
      <c r="C4" s="1"/>
      <c r="D4" s="22"/>
      <c r="E4" s="25" t="s">
        <v>27</v>
      </c>
      <c r="F4" s="25"/>
      <c r="G4" s="22"/>
      <c r="H4" s="22"/>
      <c r="I4" s="22"/>
      <c r="J4" s="1"/>
      <c r="K4" s="1"/>
      <c r="L4" s="1"/>
      <c r="M4" s="1"/>
      <c r="N4" s="1"/>
      <c r="O4" s="1"/>
    </row>
    <row r="5" spans="1:15" ht="15.75" x14ac:dyDescent="0.25">
      <c r="A5" s="2"/>
      <c r="B5" s="2"/>
      <c r="C5" s="19" t="s">
        <v>50</v>
      </c>
      <c r="D5" s="2"/>
      <c r="E5" s="2"/>
      <c r="F5" s="2"/>
      <c r="G5" s="2"/>
      <c r="H5" s="2" t="s">
        <v>28</v>
      </c>
      <c r="J5" s="2"/>
      <c r="K5" s="2"/>
    </row>
    <row r="6" spans="1:15" ht="17.25" customHeight="1" x14ac:dyDescent="0.35">
      <c r="A6" s="1"/>
      <c r="B6" s="1"/>
      <c r="C6" s="1"/>
      <c r="D6" s="27"/>
      <c r="E6" s="27"/>
      <c r="F6" s="28" t="s">
        <v>49</v>
      </c>
      <c r="G6" s="27"/>
      <c r="H6" s="27"/>
      <c r="I6" s="27"/>
      <c r="J6" s="27"/>
      <c r="K6" s="1"/>
      <c r="L6" s="1"/>
      <c r="M6" s="1"/>
      <c r="N6" s="1"/>
      <c r="O6" s="1"/>
    </row>
    <row r="7" spans="1:15" s="2" customForma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1" t="s">
        <v>35</v>
      </c>
      <c r="K7" s="41" t="s">
        <v>36</v>
      </c>
      <c r="L7" s="41" t="s">
        <v>37</v>
      </c>
      <c r="M7" s="3"/>
    </row>
    <row r="8" spans="1:15" s="38" customFormat="1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37"/>
      <c r="K8" s="37"/>
      <c r="L8" s="42"/>
    </row>
    <row r="9" spans="1:15" s="38" customForma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37"/>
      <c r="K9" s="37"/>
      <c r="L9" s="42"/>
    </row>
    <row r="10" spans="1:15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9"/>
      <c r="K10" s="9"/>
      <c r="L10" s="4"/>
    </row>
    <row r="11" spans="1:15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9"/>
      <c r="K11" s="9"/>
      <c r="L11" s="4"/>
    </row>
    <row r="12" spans="1:15" x14ac:dyDescent="0.25">
      <c r="A12" s="32" t="s">
        <v>9</v>
      </c>
      <c r="B12" s="10">
        <v>5</v>
      </c>
      <c r="C12" s="11" t="s">
        <v>10</v>
      </c>
      <c r="D12" s="9"/>
      <c r="E12" s="11"/>
      <c r="F12" s="9"/>
      <c r="G12" s="58"/>
      <c r="H12" s="58"/>
      <c r="I12" s="58"/>
      <c r="J12" s="9"/>
      <c r="K12" s="9"/>
      <c r="L12" s="4"/>
    </row>
    <row r="13" spans="1:15" x14ac:dyDescent="0.25">
      <c r="A13" s="32" t="s">
        <v>11</v>
      </c>
      <c r="B13" s="10">
        <v>6</v>
      </c>
      <c r="C13" s="11" t="s">
        <v>12</v>
      </c>
      <c r="D13" s="9"/>
      <c r="E13" s="11" t="s">
        <v>12</v>
      </c>
      <c r="F13" s="9"/>
      <c r="G13" s="58">
        <v>15000</v>
      </c>
      <c r="H13" s="58">
        <v>15000</v>
      </c>
      <c r="I13" s="58">
        <v>15000</v>
      </c>
      <c r="J13" s="9"/>
      <c r="K13" s="9"/>
      <c r="L13" s="4"/>
    </row>
    <row r="14" spans="1:15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9"/>
      <c r="K14" s="9"/>
      <c r="L14" s="4"/>
    </row>
    <row r="15" spans="1:15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>
        <v>30000</v>
      </c>
      <c r="G15" s="58">
        <v>15000</v>
      </c>
      <c r="H15" s="58">
        <v>45000</v>
      </c>
      <c r="I15" s="58">
        <v>35000</v>
      </c>
      <c r="J15" s="9"/>
      <c r="K15" s="9"/>
      <c r="L15" s="4">
        <v>4500</v>
      </c>
    </row>
    <row r="16" spans="1:15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9"/>
      <c r="K16" s="9"/>
      <c r="L16" s="4"/>
    </row>
    <row r="17" spans="1:12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9"/>
      <c r="K17" s="9"/>
      <c r="L17" s="4"/>
    </row>
    <row r="18" spans="1:12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>
        <v>0</v>
      </c>
      <c r="G18" s="59">
        <v>12000</v>
      </c>
      <c r="H18" s="59">
        <v>12000</v>
      </c>
      <c r="I18" s="59">
        <v>12000</v>
      </c>
      <c r="J18" s="14"/>
      <c r="K18" s="14"/>
      <c r="L18" s="4"/>
    </row>
    <row r="19" spans="1:12" x14ac:dyDescent="0.25">
      <c r="A19" s="33" t="s">
        <v>38</v>
      </c>
      <c r="B19" s="9" t="s">
        <v>23</v>
      </c>
      <c r="C19" s="12"/>
      <c r="D19" s="9"/>
      <c r="E19" s="12"/>
      <c r="F19" s="13"/>
      <c r="G19" s="58"/>
      <c r="H19" s="58"/>
      <c r="I19" s="58"/>
      <c r="J19" s="9"/>
      <c r="K19" s="9"/>
      <c r="L19" s="4"/>
    </row>
    <row r="20" spans="1:12" x14ac:dyDescent="0.25">
      <c r="A20" s="33"/>
      <c r="B20" s="5"/>
      <c r="C20" s="5"/>
      <c r="D20" s="5"/>
      <c r="E20" s="17"/>
      <c r="F20" s="5"/>
      <c r="G20" s="60"/>
      <c r="H20" s="60"/>
      <c r="I20" s="60"/>
      <c r="J20" s="5"/>
      <c r="K20" s="5"/>
      <c r="L20" s="4"/>
    </row>
    <row r="21" spans="1:12" s="46" customFormat="1" ht="12.75" x14ac:dyDescent="0.2">
      <c r="A21" s="43" t="s">
        <v>3</v>
      </c>
      <c r="B21" s="44"/>
      <c r="C21" s="44"/>
      <c r="D21" s="44"/>
      <c r="E21" s="44"/>
      <c r="F21" s="44"/>
      <c r="G21" s="61">
        <f>SUM(G8:G20)</f>
        <v>85500</v>
      </c>
      <c r="H21" s="61">
        <f>SUM(H8:H20)</f>
        <v>115500</v>
      </c>
      <c r="I21" s="61">
        <f>SUM(I8:I20)</f>
        <v>105500</v>
      </c>
      <c r="J21" s="44"/>
      <c r="K21" s="44"/>
      <c r="L21" s="45">
        <f>SUM(L8:L20)</f>
        <v>4500</v>
      </c>
    </row>
    <row r="22" spans="1:12" x14ac:dyDescent="0.25">
      <c r="A22" s="35"/>
      <c r="B22" s="5"/>
      <c r="C22" s="17"/>
      <c r="D22" s="5"/>
      <c r="E22" s="17"/>
      <c r="F22" s="13"/>
      <c r="G22" s="60"/>
      <c r="H22" s="5"/>
      <c r="I22" s="5"/>
      <c r="J22" s="5"/>
      <c r="K22" s="5"/>
      <c r="L22" s="4"/>
    </row>
    <row r="23" spans="1:12" x14ac:dyDescent="0.25">
      <c r="B23" s="47" t="s">
        <v>40</v>
      </c>
      <c r="D23" s="48"/>
      <c r="E23" s="48"/>
      <c r="F23" s="48"/>
      <c r="G23" s="62">
        <v>105500</v>
      </c>
      <c r="I23" s="2"/>
      <c r="J23" s="2"/>
      <c r="K23" s="2"/>
    </row>
    <row r="24" spans="1:12" x14ac:dyDescent="0.25">
      <c r="B24" s="47" t="s">
        <v>52</v>
      </c>
      <c r="D24" s="48"/>
      <c r="E24" s="49"/>
      <c r="F24" s="50"/>
      <c r="G24" s="63">
        <f>SUM(I21*7%)</f>
        <v>7385.0000000000009</v>
      </c>
    </row>
    <row r="25" spans="1:12" x14ac:dyDescent="0.25">
      <c r="B25" s="47" t="s">
        <v>53</v>
      </c>
      <c r="D25" s="48"/>
      <c r="E25" s="50"/>
      <c r="F25" s="50"/>
      <c r="G25" s="63">
        <v>9000</v>
      </c>
    </row>
    <row r="26" spans="1:12" x14ac:dyDescent="0.25">
      <c r="B26" s="51" t="s">
        <v>54</v>
      </c>
      <c r="G26" s="63">
        <v>25000</v>
      </c>
    </row>
    <row r="27" spans="1:12" x14ac:dyDescent="0.25">
      <c r="B27" s="47" t="s">
        <v>3</v>
      </c>
      <c r="D27" s="47"/>
      <c r="E27" s="47"/>
      <c r="F27" s="47"/>
      <c r="G27" s="63">
        <f>SUM(G24:G26)</f>
        <v>41385</v>
      </c>
    </row>
    <row r="28" spans="1:12" ht="15.75" x14ac:dyDescent="0.25">
      <c r="B28" s="51" t="s">
        <v>55</v>
      </c>
      <c r="D28" s="47"/>
      <c r="E28" s="47"/>
      <c r="F28" s="47"/>
      <c r="G28" s="64">
        <f>SUM(G23-G27)</f>
        <v>64115</v>
      </c>
      <c r="I28" t="s">
        <v>56</v>
      </c>
    </row>
    <row r="29" spans="1:12" x14ac:dyDescent="0.25">
      <c r="A29" s="2"/>
      <c r="B29" s="51" t="s">
        <v>57</v>
      </c>
      <c r="C29" s="2"/>
      <c r="D29" s="2"/>
      <c r="E29" s="2"/>
      <c r="F29" s="2"/>
      <c r="G29" s="2">
        <v>4650</v>
      </c>
    </row>
    <row r="30" spans="1:12" x14ac:dyDescent="0.25">
      <c r="A30" s="52"/>
      <c r="B30" s="53" t="s">
        <v>41</v>
      </c>
      <c r="E30" s="52" t="s">
        <v>42</v>
      </c>
      <c r="F30" s="52"/>
      <c r="G30" s="52"/>
      <c r="H30" s="52" t="s">
        <v>43</v>
      </c>
      <c r="I30" s="52"/>
    </row>
    <row r="31" spans="1:12" x14ac:dyDescent="0.25">
      <c r="A31" s="52"/>
      <c r="B31" s="52"/>
      <c r="E31" s="52"/>
      <c r="F31" s="52"/>
      <c r="G31" s="52"/>
      <c r="H31" s="52"/>
      <c r="I31" s="52"/>
    </row>
    <row r="32" spans="1:12" x14ac:dyDescent="0.25">
      <c r="A32" s="52"/>
      <c r="B32" s="52"/>
      <c r="E32" s="52"/>
      <c r="F32" s="52"/>
      <c r="G32" s="52"/>
      <c r="H32" s="52"/>
      <c r="I32" s="52"/>
    </row>
    <row r="33" spans="1:9" x14ac:dyDescent="0.25">
      <c r="A33" s="52"/>
      <c r="B33" s="52" t="s">
        <v>44</v>
      </c>
      <c r="E33" s="52" t="s">
        <v>45</v>
      </c>
      <c r="F33" s="52"/>
      <c r="G33" s="52"/>
      <c r="H33" s="52" t="s">
        <v>51</v>
      </c>
      <c r="I33" s="52"/>
    </row>
    <row r="34" spans="1:9" x14ac:dyDescent="0.25">
      <c r="A34" s="54" t="s">
        <v>46</v>
      </c>
      <c r="B34" s="52" t="s">
        <v>47</v>
      </c>
      <c r="E34" s="52" t="s">
        <v>47</v>
      </c>
      <c r="F34" s="52"/>
      <c r="G34" s="52"/>
      <c r="H34" s="52" t="s">
        <v>48</v>
      </c>
      <c r="I34" s="52"/>
    </row>
    <row r="35" spans="1:9" x14ac:dyDescent="0.25">
      <c r="A35" s="2"/>
      <c r="B35" s="2"/>
      <c r="C35" s="2"/>
      <c r="D35" s="2"/>
      <c r="E35" s="2"/>
      <c r="F35" s="2"/>
      <c r="G35" s="2"/>
    </row>
  </sheetData>
  <pageMargins left="0.7" right="0.7" top="0.75" bottom="0.75" header="0.3" footer="0.3"/>
  <pageSetup orientation="landscape" horizontalDpi="0" verticalDpi="0" r:id="rId1"/>
  <ignoredErrors>
    <ignoredError sqref="C12 C10:C11 C13:C14 C18 E10:E11 E13:E14 E18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A8" sqref="A8"/>
    </sheetView>
  </sheetViews>
  <sheetFormatPr defaultRowHeight="15" x14ac:dyDescent="0.25"/>
  <cols>
    <col min="1" max="1" width="14.85546875" customWidth="1"/>
    <col min="2" max="2" width="4.7109375" customWidth="1"/>
    <col min="7" max="7" width="12.28515625" customWidth="1"/>
    <col min="8" max="8" width="11.140625" customWidth="1"/>
    <col min="9" max="9" width="11" customWidth="1"/>
    <col min="10" max="10" width="6.140625" customWidth="1"/>
    <col min="11" max="11" width="6.42578125" customWidth="1"/>
    <col min="12" max="12" width="8" customWidth="1"/>
    <col min="13" max="13" width="12" customWidth="1"/>
  </cols>
  <sheetData>
    <row r="1" spans="1:13" ht="23.2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13.5" customHeight="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18" customHeight="1" x14ac:dyDescent="0.25">
      <c r="A6" s="74"/>
      <c r="B6" s="74"/>
      <c r="C6" s="74"/>
      <c r="D6" s="77"/>
      <c r="E6" s="77"/>
      <c r="F6" s="78" t="s">
        <v>96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6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>
        <v>9000</v>
      </c>
    </row>
    <row r="14" spans="1:13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>
        <v>7000</v>
      </c>
      <c r="J14" s="92"/>
      <c r="K14" s="9"/>
      <c r="L14" s="9"/>
      <c r="M14" s="88">
        <f>SUM(H14-I14)</f>
        <v>0</v>
      </c>
    </row>
    <row r="15" spans="1:13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>
        <v>3000</v>
      </c>
      <c r="G16" s="58"/>
      <c r="H16" s="58">
        <v>23000</v>
      </c>
      <c r="I16" s="58"/>
      <c r="J16" s="58"/>
      <c r="K16" s="9"/>
      <c r="L16" s="9"/>
      <c r="M16" s="88">
        <f>SUM(H16-I16)</f>
        <v>23000</v>
      </c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/>
      <c r="G18" s="58">
        <v>9000</v>
      </c>
      <c r="H18" s="58">
        <v>9000</v>
      </c>
      <c r="I18" s="58">
        <v>9000</v>
      </c>
      <c r="J18" s="58"/>
      <c r="K18" s="9"/>
      <c r="L18" s="9"/>
      <c r="M18" s="88"/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9"/>
    </row>
    <row r="21" spans="1:13" x14ac:dyDescent="0.25">
      <c r="A21" s="43" t="s">
        <v>3</v>
      </c>
      <c r="B21" s="44"/>
      <c r="C21" s="44"/>
      <c r="D21" s="44"/>
      <c r="E21" s="44"/>
      <c r="F21" s="44"/>
      <c r="G21" s="61">
        <f>SUM(G8:G20)</f>
        <v>104000</v>
      </c>
      <c r="H21" s="61">
        <f>SUM(H8:H20)</f>
        <v>127000</v>
      </c>
      <c r="I21" s="61">
        <f>SUM(I8:I20)</f>
        <v>104000</v>
      </c>
      <c r="J21" s="61"/>
      <c r="K21" s="44"/>
      <c r="L21" s="44"/>
      <c r="M21" s="90">
        <f>SUM(M8:M20)</f>
        <v>32000</v>
      </c>
    </row>
    <row r="22" spans="1:13" x14ac:dyDescent="0.25">
      <c r="A22" s="2"/>
      <c r="B22" s="2"/>
      <c r="C22" s="2"/>
      <c r="D22" s="81"/>
      <c r="E22" s="82" t="s">
        <v>76</v>
      </c>
      <c r="F22" s="82"/>
      <c r="G22" s="83"/>
      <c r="H22" s="83"/>
      <c r="I22" s="83"/>
      <c r="J22" s="83"/>
      <c r="K22" s="83"/>
      <c r="L22" s="83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104000</v>
      </c>
      <c r="H23" s="66"/>
      <c r="I23" s="2"/>
      <c r="J23" s="2"/>
      <c r="K23" s="2"/>
      <c r="L23" s="2"/>
      <c r="M23" s="2"/>
    </row>
    <row r="24" spans="1:13" x14ac:dyDescent="0.25">
      <c r="A24" s="2"/>
      <c r="B24" s="3"/>
      <c r="C24" s="67"/>
      <c r="D24" s="3" t="s">
        <v>60</v>
      </c>
      <c r="E24" s="48"/>
      <c r="F24" s="2"/>
      <c r="G24" s="70">
        <f>SUM(G23-G26)</f>
        <v>96720</v>
      </c>
      <c r="H24" s="2"/>
      <c r="I24" s="66"/>
      <c r="J24" s="66"/>
      <c r="K24" s="66"/>
      <c r="L24" s="66"/>
      <c r="M24" s="66"/>
    </row>
    <row r="25" spans="1:13" ht="14.25" customHeight="1" x14ac:dyDescent="0.25">
      <c r="A25" s="2"/>
      <c r="B25" s="3"/>
      <c r="C25" s="67"/>
      <c r="D25" s="76" t="s">
        <v>73</v>
      </c>
      <c r="E25" s="48"/>
      <c r="F25" s="2"/>
      <c r="G25" s="70"/>
      <c r="H25" s="2"/>
      <c r="I25" s="66"/>
      <c r="J25" s="66"/>
      <c r="K25" s="66"/>
      <c r="L25" s="66"/>
      <c r="M25" s="66"/>
    </row>
    <row r="26" spans="1:13" x14ac:dyDescent="0.25">
      <c r="A26" s="2"/>
      <c r="B26" s="3"/>
      <c r="C26" s="67"/>
      <c r="D26" s="3" t="s">
        <v>52</v>
      </c>
      <c r="E26" s="50"/>
      <c r="F26" s="2"/>
      <c r="G26" s="69">
        <f>SUM(G23*7%)</f>
        <v>7280.0000000000009</v>
      </c>
      <c r="H26" s="2"/>
      <c r="I26" s="2"/>
      <c r="J26" s="2"/>
      <c r="K26" s="2"/>
      <c r="L26" s="2"/>
      <c r="M26" s="2"/>
    </row>
    <row r="27" spans="1:13" hidden="1" x14ac:dyDescent="0.25">
      <c r="A27" s="2"/>
      <c r="B27" s="3"/>
      <c r="C27" s="67"/>
      <c r="D27" s="3"/>
      <c r="E27" s="50"/>
      <c r="F27" s="2"/>
      <c r="G27" s="69"/>
      <c r="H27" s="2"/>
      <c r="I27" s="2"/>
      <c r="J27" s="2"/>
      <c r="K27" s="2"/>
      <c r="L27" s="2"/>
      <c r="M27" s="2"/>
    </row>
    <row r="28" spans="1:13" x14ac:dyDescent="0.25">
      <c r="A28" s="2"/>
      <c r="B28" s="3"/>
      <c r="C28" s="3"/>
      <c r="D28" s="68" t="s">
        <v>64</v>
      </c>
      <c r="E28" s="47"/>
      <c r="F28" s="2"/>
      <c r="G28" s="71">
        <v>20000</v>
      </c>
      <c r="H28" s="2"/>
      <c r="I28" s="2" t="s">
        <v>56</v>
      </c>
      <c r="J28" s="2" t="s">
        <v>56</v>
      </c>
      <c r="K28" s="2" t="s">
        <v>56</v>
      </c>
      <c r="L28" s="2" t="s">
        <v>56</v>
      </c>
      <c r="M28" s="2" t="s">
        <v>56</v>
      </c>
    </row>
    <row r="29" spans="1:13" x14ac:dyDescent="0.25">
      <c r="A29" s="2"/>
      <c r="B29" s="3"/>
      <c r="C29" s="3"/>
      <c r="D29" s="68" t="s">
        <v>95</v>
      </c>
      <c r="E29" s="47"/>
      <c r="F29" s="2"/>
      <c r="G29" s="71">
        <v>20000</v>
      </c>
      <c r="H29" s="2"/>
      <c r="I29" s="66"/>
      <c r="J29" s="66"/>
      <c r="K29" s="66"/>
      <c r="L29" s="66"/>
      <c r="M29" s="66"/>
    </row>
    <row r="30" spans="1:13" x14ac:dyDescent="0.25">
      <c r="A30" s="93"/>
      <c r="B30" s="93"/>
      <c r="C30" s="93"/>
      <c r="D30" s="93" t="s">
        <v>3</v>
      </c>
      <c r="E30" s="93"/>
      <c r="F30" s="93"/>
      <c r="G30" s="94">
        <f>SUM(G26:G29)</f>
        <v>47280</v>
      </c>
      <c r="H30" s="93"/>
      <c r="I30" s="93"/>
      <c r="J30" s="93"/>
      <c r="K30" s="93"/>
      <c r="L30" s="93"/>
      <c r="M30" s="93"/>
    </row>
    <row r="31" spans="1:13" ht="18" x14ac:dyDescent="0.4">
      <c r="A31" s="2"/>
      <c r="B31" s="3"/>
      <c r="C31" s="3"/>
      <c r="D31" s="68" t="s">
        <v>61</v>
      </c>
      <c r="E31" s="2"/>
      <c r="F31" s="2"/>
      <c r="G31" s="96">
        <f>SUM(G23-G30)</f>
        <v>56720</v>
      </c>
      <c r="H31" s="2"/>
      <c r="I31" s="2"/>
      <c r="J31" s="2"/>
      <c r="K31" s="2"/>
      <c r="L31" s="2"/>
      <c r="M31" s="2"/>
    </row>
    <row r="32" spans="1:13" x14ac:dyDescent="0.25">
      <c r="A32" s="52"/>
      <c r="B32" s="53" t="s">
        <v>41</v>
      </c>
      <c r="C32" s="2"/>
      <c r="D32" s="2"/>
      <c r="E32" s="2"/>
      <c r="F32" s="52" t="s">
        <v>42</v>
      </c>
      <c r="G32" s="52"/>
      <c r="H32" s="52"/>
      <c r="I32" s="52" t="s">
        <v>43</v>
      </c>
      <c r="J32" s="5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I34" sqref="I34"/>
    </sheetView>
  </sheetViews>
  <sheetFormatPr defaultRowHeight="15" x14ac:dyDescent="0.25"/>
  <cols>
    <col min="2" max="2" width="23.140625" customWidth="1"/>
    <col min="8" max="8" width="10" bestFit="1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  <c r="N3" s="113"/>
    </row>
    <row r="4" spans="1:14" ht="15.75" x14ac:dyDescent="0.25">
      <c r="A4" s="156"/>
      <c r="B4" s="156"/>
      <c r="C4" s="156"/>
      <c r="D4" s="19" t="s">
        <v>478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15" t="s">
        <v>426</v>
      </c>
      <c r="C6" s="215"/>
      <c r="D6" s="216">
        <f>'AUGUST 21'!H6:H15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'AUGUST 21'!H7:H16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'AUGUST 21'!H8:H17</f>
        <v>8100</v>
      </c>
      <c r="E8" s="222">
        <v>8100</v>
      </c>
      <c r="F8" s="217">
        <f t="shared" si="0"/>
        <v>16200</v>
      </c>
      <c r="G8" s="222">
        <f>10000</f>
        <v>10000</v>
      </c>
      <c r="H8" s="218">
        <f t="shared" si="1"/>
        <v>6200</v>
      </c>
      <c r="I8" s="239">
        <v>900</v>
      </c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'AUGUST 21'!H9:H18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'AUGUST 21'!H10:H19</f>
        <v>0</v>
      </c>
      <c r="E10" s="222">
        <v>9000</v>
      </c>
      <c r="F10" s="217">
        <f t="shared" si="0"/>
        <v>9000</v>
      </c>
      <c r="G10" s="222">
        <f>9000</f>
        <v>9000</v>
      </c>
      <c r="H10" s="218">
        <f t="shared" si="1"/>
        <v>0</v>
      </c>
      <c r="I10" s="239">
        <v>900</v>
      </c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'AUGUST 21'!H11:H20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'AUGUST 21'!H12:H21</f>
        <v>0</v>
      </c>
      <c r="E12" s="222">
        <v>10000</v>
      </c>
      <c r="F12" s="217">
        <f t="shared" si="0"/>
        <v>10000</v>
      </c>
      <c r="G12" s="222">
        <f>10000</f>
        <v>10000</v>
      </c>
      <c r="H12" s="218">
        <f t="shared" si="1"/>
        <v>0</v>
      </c>
      <c r="I12" s="239"/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'AUGUST 21'!H13:H22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'AUGUST 21'!H14:H23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'AUGUST 21'!H15:H24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8100</v>
      </c>
      <c r="E16" s="230">
        <f t="shared" si="2"/>
        <v>107100</v>
      </c>
      <c r="F16" s="217">
        <f t="shared" si="2"/>
        <v>115200</v>
      </c>
      <c r="G16" s="273">
        <f>SUM(G6:G15)</f>
        <v>109000</v>
      </c>
      <c r="H16" s="218">
        <f>SUM(H6:H15)</f>
        <v>6200</v>
      </c>
      <c r="I16" s="246">
        <f t="shared" si="2"/>
        <v>5400</v>
      </c>
      <c r="J16" s="211" t="s">
        <v>56</v>
      </c>
      <c r="K16" s="113"/>
      <c r="L16" s="113"/>
      <c r="M16" s="113"/>
      <c r="N16" s="113"/>
    </row>
    <row r="17" spans="1:14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4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4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4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  <c r="L20" s="113"/>
      <c r="M20" s="113"/>
      <c r="N20" s="113"/>
    </row>
    <row r="21" spans="1:14" x14ac:dyDescent="0.25">
      <c r="A21" s="237" t="s">
        <v>419</v>
      </c>
      <c r="B21" s="238">
        <f>E16</f>
        <v>107100</v>
      </c>
      <c r="C21" s="238"/>
      <c r="D21" s="238"/>
      <c r="E21" s="237"/>
      <c r="F21" s="237" t="s">
        <v>419</v>
      </c>
      <c r="G21" s="238">
        <f>G16</f>
        <v>109000</v>
      </c>
      <c r="H21" s="237"/>
      <c r="I21" s="239"/>
      <c r="J21" s="153" t="s">
        <v>477</v>
      </c>
      <c r="K21" s="153"/>
      <c r="L21" s="153">
        <v>47700</v>
      </c>
      <c r="M21" s="113"/>
      <c r="N21" s="113"/>
    </row>
    <row r="22" spans="1:14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4" x14ac:dyDescent="0.25">
      <c r="A23" s="237" t="s">
        <v>233</v>
      </c>
      <c r="B23" s="238">
        <f>'AUGUST 21'!E34</f>
        <v>-23684</v>
      </c>
      <c r="C23" s="238"/>
      <c r="D23" s="238"/>
      <c r="E23" s="237"/>
      <c r="F23" s="237" t="s">
        <v>233</v>
      </c>
      <c r="G23" s="238">
        <f>'AUGUST 21'!I34</f>
        <v>-31784</v>
      </c>
      <c r="H23" s="237"/>
      <c r="I23" s="239"/>
      <c r="J23" s="113"/>
      <c r="K23" s="113"/>
      <c r="L23" s="113"/>
      <c r="M23" s="113"/>
      <c r="N23" s="113"/>
    </row>
    <row r="24" spans="1:14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  <c r="N24" s="113"/>
    </row>
    <row r="25" spans="1:14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/>
      <c r="L25" s="113"/>
      <c r="M25" s="113"/>
      <c r="N25" s="113"/>
    </row>
    <row r="26" spans="1:14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  <c r="L26" s="113"/>
      <c r="M26" s="113"/>
      <c r="N26" s="113"/>
    </row>
    <row r="27" spans="1:14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  <c r="M27" s="113"/>
      <c r="N27" s="113"/>
    </row>
    <row r="28" spans="1:14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  <c r="L28" s="113"/>
      <c r="M28" s="113"/>
      <c r="N28" s="113"/>
    </row>
    <row r="29" spans="1:14" x14ac:dyDescent="0.25">
      <c r="A29" s="258" t="s">
        <v>479</v>
      </c>
      <c r="B29" s="113"/>
      <c r="C29" s="113"/>
      <c r="D29" s="237">
        <v>7935</v>
      </c>
      <c r="E29" s="237"/>
      <c r="F29" s="258" t="s">
        <v>479</v>
      </c>
      <c r="G29" s="113"/>
      <c r="H29" s="113">
        <v>7935</v>
      </c>
      <c r="I29" s="237"/>
      <c r="J29" s="113"/>
      <c r="K29" s="113"/>
      <c r="L29" s="113"/>
      <c r="M29" s="113"/>
      <c r="N29" s="113"/>
    </row>
    <row r="30" spans="1:14" x14ac:dyDescent="0.25">
      <c r="A30" s="258" t="s">
        <v>354</v>
      </c>
      <c r="B30" s="272"/>
      <c r="C30" s="245"/>
      <c r="D30" s="246">
        <v>20102</v>
      </c>
      <c r="E30" s="247"/>
      <c r="F30" s="258" t="s">
        <v>354</v>
      </c>
      <c r="G30" s="272"/>
      <c r="H30" s="245">
        <v>20102</v>
      </c>
      <c r="I30" s="246"/>
      <c r="J30" s="113"/>
      <c r="K30" s="113"/>
      <c r="L30" s="113"/>
      <c r="M30" s="113"/>
      <c r="N30" s="113"/>
    </row>
    <row r="31" spans="1:14" x14ac:dyDescent="0.25">
      <c r="A31" s="258" t="s">
        <v>480</v>
      </c>
      <c r="B31" s="245"/>
      <c r="C31" s="245"/>
      <c r="D31" s="246">
        <v>44774</v>
      </c>
      <c r="E31" s="247"/>
      <c r="F31" s="258" t="s">
        <v>480</v>
      </c>
      <c r="G31" s="245"/>
      <c r="H31" s="245">
        <v>44774</v>
      </c>
      <c r="I31" s="246"/>
      <c r="J31" s="113"/>
      <c r="K31" s="113"/>
      <c r="L31" s="113"/>
      <c r="M31" s="113"/>
      <c r="N31" s="113"/>
    </row>
    <row r="32" spans="1:14" x14ac:dyDescent="0.25">
      <c r="A32" s="258" t="s">
        <v>481</v>
      </c>
      <c r="B32" s="245"/>
      <c r="C32" s="245"/>
      <c r="D32" s="246">
        <f>4055+1012</f>
        <v>5067</v>
      </c>
      <c r="E32" s="247"/>
      <c r="F32" s="258" t="s">
        <v>481</v>
      </c>
      <c r="G32" s="245"/>
      <c r="H32" s="245">
        <v>5067</v>
      </c>
      <c r="I32" s="246"/>
      <c r="J32" s="113"/>
      <c r="K32" s="113"/>
      <c r="L32" s="113"/>
      <c r="M32" s="113"/>
      <c r="N32" s="113"/>
    </row>
    <row r="33" spans="1:14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72706</v>
      </c>
      <c r="C34" s="269"/>
      <c r="D34" s="270">
        <f>SUM(D27:D33)</f>
        <v>77878</v>
      </c>
      <c r="E34" s="270">
        <f>B34-D34</f>
        <v>-5172</v>
      </c>
      <c r="F34" s="250" t="s">
        <v>3</v>
      </c>
      <c r="G34" s="269">
        <f>G21+G23+G24-H25</f>
        <v>66506</v>
      </c>
      <c r="H34" s="270">
        <f>SUM(H27:H33)</f>
        <v>77878</v>
      </c>
      <c r="I34" s="270">
        <f>G34-H34</f>
        <v>-11372</v>
      </c>
      <c r="J34" s="113"/>
      <c r="K34" s="113"/>
      <c r="L34" s="113"/>
      <c r="M34" s="113"/>
      <c r="N34" s="113"/>
    </row>
    <row r="35" spans="1:14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  <c r="M35" s="113"/>
      <c r="N35" s="113"/>
    </row>
    <row r="36" spans="1:14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  <c r="M36" s="113"/>
      <c r="N36" s="113"/>
    </row>
    <row r="37" spans="1:14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  <c r="M37" s="113"/>
      <c r="N37" s="113"/>
    </row>
    <row r="38" spans="1:14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  <c r="K38" s="113"/>
      <c r="L38" s="113"/>
      <c r="M38" s="113"/>
      <c r="N38" s="113"/>
    </row>
    <row r="39" spans="1:14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K27" sqref="K27"/>
    </sheetView>
  </sheetViews>
  <sheetFormatPr defaultRowHeight="15" x14ac:dyDescent="0.25"/>
  <cols>
    <col min="8" max="8" width="11.140625" customWidth="1"/>
    <col min="10" max="10" width="13.42578125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  <c r="N3" s="113"/>
    </row>
    <row r="4" spans="1:14" ht="15.75" x14ac:dyDescent="0.25">
      <c r="A4" s="156"/>
      <c r="B4" s="156"/>
      <c r="C4" s="156"/>
      <c r="D4" s="19" t="s">
        <v>482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15" t="s">
        <v>426</v>
      </c>
      <c r="C6" s="215"/>
      <c r="D6" s="216">
        <f>'SEPTEMBER 21'!H6:H16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'SEPTEMBER 21'!H7:H17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'SEPTEMBER 21'!H8:H18</f>
        <v>6200</v>
      </c>
      <c r="E8" s="222">
        <v>8100</v>
      </c>
      <c r="F8" s="217">
        <f t="shared" si="0"/>
        <v>14300</v>
      </c>
      <c r="G8" s="222">
        <v>14300</v>
      </c>
      <c r="H8" s="218">
        <f t="shared" si="1"/>
        <v>0</v>
      </c>
      <c r="I8" s="239">
        <v>900</v>
      </c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'SEPTEMBER 21'!H9:H19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'SEPTEMBER 21'!H10:H20</f>
        <v>0</v>
      </c>
      <c r="E10" s="222">
        <v>9000</v>
      </c>
      <c r="F10" s="217">
        <f t="shared" si="0"/>
        <v>9000</v>
      </c>
      <c r="G10" s="222">
        <v>9000</v>
      </c>
      <c r="H10" s="218">
        <f t="shared" si="1"/>
        <v>0</v>
      </c>
      <c r="I10" s="239">
        <v>900</v>
      </c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'SEPTEMBER 21'!H11:H21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'SEPTEMBER 21'!H12:H22</f>
        <v>0</v>
      </c>
      <c r="E12" s="222">
        <v>10000</v>
      </c>
      <c r="F12" s="217">
        <f t="shared" si="0"/>
        <v>10000</v>
      </c>
      <c r="G12" s="222">
        <v>10000</v>
      </c>
      <c r="H12" s="218">
        <f t="shared" si="1"/>
        <v>0</v>
      </c>
      <c r="I12" s="239"/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'SEPTEMBER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'SEPTEMBER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'SEPTEMBER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'SEPTEMBER 21'!H16:H26</f>
        <v>6200</v>
      </c>
      <c r="E16" s="230">
        <f t="shared" si="2"/>
        <v>107100</v>
      </c>
      <c r="F16" s="217">
        <f t="shared" si="2"/>
        <v>113300</v>
      </c>
      <c r="G16" s="273">
        <f>SUM(G6:G15)</f>
        <v>113300</v>
      </c>
      <c r="H16" s="218">
        <f>SUM(H6:H15)</f>
        <v>0</v>
      </c>
      <c r="I16" s="246">
        <f t="shared" si="2"/>
        <v>5400</v>
      </c>
      <c r="J16" s="211" t="s">
        <v>56</v>
      </c>
      <c r="K16" s="113"/>
      <c r="L16" s="113"/>
      <c r="M16" s="113"/>
      <c r="N16" s="113"/>
    </row>
    <row r="17" spans="1:15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5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5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5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  <c r="L20" s="113"/>
      <c r="M20" s="113"/>
      <c r="N20" s="113"/>
    </row>
    <row r="21" spans="1:15" x14ac:dyDescent="0.25">
      <c r="A21" s="237" t="s">
        <v>483</v>
      </c>
      <c r="B21" s="238">
        <f>E16</f>
        <v>107100</v>
      </c>
      <c r="C21" s="238"/>
      <c r="D21" s="238"/>
      <c r="E21" s="237"/>
      <c r="F21" s="237" t="s">
        <v>483</v>
      </c>
      <c r="G21" s="238">
        <f>G16</f>
        <v>113300</v>
      </c>
      <c r="H21" s="237"/>
      <c r="I21" s="239"/>
      <c r="J21" s="153" t="s">
        <v>485</v>
      </c>
      <c r="K21" s="153">
        <f>6300*2</f>
        <v>12600</v>
      </c>
      <c r="L21" s="153"/>
      <c r="M21" s="113"/>
      <c r="N21" s="113"/>
    </row>
    <row r="22" spans="1:15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5" x14ac:dyDescent="0.25">
      <c r="A23" s="237" t="s">
        <v>233</v>
      </c>
      <c r="B23" s="238">
        <f>'SEPTEMBER 21'!E34</f>
        <v>-5172</v>
      </c>
      <c r="C23" s="238"/>
      <c r="D23" s="238"/>
      <c r="E23" s="237"/>
      <c r="F23" s="237" t="s">
        <v>233</v>
      </c>
      <c r="G23" s="238">
        <f>'SEPTEMBER 21'!I34</f>
        <v>-11372</v>
      </c>
      <c r="H23" s="237"/>
      <c r="I23" s="239"/>
      <c r="J23" s="113"/>
      <c r="K23" s="113"/>
      <c r="L23" s="113"/>
      <c r="M23" s="113"/>
      <c r="N23" s="113"/>
    </row>
    <row r="24" spans="1:15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  <c r="N24" s="113"/>
    </row>
    <row r="25" spans="1:15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/>
      <c r="L25" s="113"/>
      <c r="M25" s="113"/>
      <c r="N25" s="113"/>
    </row>
    <row r="26" spans="1:15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  <c r="L26" s="113"/>
      <c r="M26" s="113"/>
      <c r="N26" s="113"/>
    </row>
    <row r="27" spans="1:15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  <c r="M27" s="113"/>
      <c r="N27" s="113"/>
    </row>
    <row r="28" spans="1:15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  <c r="L28" s="113"/>
      <c r="M28" s="113"/>
      <c r="N28" s="113"/>
    </row>
    <row r="29" spans="1:15" x14ac:dyDescent="0.25">
      <c r="A29" s="258" t="s">
        <v>429</v>
      </c>
      <c r="B29" s="113"/>
      <c r="C29" s="113"/>
      <c r="D29" s="237">
        <v>40105</v>
      </c>
      <c r="E29" s="237"/>
      <c r="F29" s="258" t="s">
        <v>429</v>
      </c>
      <c r="G29" s="113"/>
      <c r="H29" s="113">
        <v>40105</v>
      </c>
      <c r="I29" s="237"/>
      <c r="J29" s="113"/>
      <c r="K29" s="113"/>
      <c r="L29" s="113"/>
      <c r="M29" s="113"/>
      <c r="N29" s="113"/>
    </row>
    <row r="30" spans="1:15" x14ac:dyDescent="0.25">
      <c r="A30" s="258" t="s">
        <v>484</v>
      </c>
      <c r="B30" s="272"/>
      <c r="C30" s="245"/>
      <c r="D30" s="246">
        <v>50105</v>
      </c>
      <c r="E30" s="247"/>
      <c r="F30" s="258" t="s">
        <v>484</v>
      </c>
      <c r="G30" s="272"/>
      <c r="H30" s="245">
        <v>50105</v>
      </c>
      <c r="I30" s="246"/>
      <c r="J30" s="113"/>
      <c r="K30" s="113"/>
      <c r="L30" s="113"/>
      <c r="M30" s="113"/>
      <c r="N30" s="113"/>
    </row>
    <row r="31" spans="1:15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  <c r="L31" s="113"/>
      <c r="M31" s="113"/>
      <c r="N31" s="113"/>
    </row>
    <row r="32" spans="1:15" x14ac:dyDescent="0.25">
      <c r="A32" s="258" t="s">
        <v>486</v>
      </c>
      <c r="B32" s="245"/>
      <c r="C32" s="245"/>
      <c r="D32" s="246">
        <v>15097</v>
      </c>
      <c r="E32" s="247"/>
      <c r="F32" s="258" t="s">
        <v>486</v>
      </c>
      <c r="G32" s="245"/>
      <c r="H32" s="245">
        <v>15097</v>
      </c>
      <c r="I32" s="246"/>
      <c r="J32" s="113"/>
      <c r="K32" s="113"/>
      <c r="L32" s="113"/>
      <c r="M32" s="113"/>
      <c r="N32" s="113"/>
      <c r="O32" s="248"/>
    </row>
    <row r="33" spans="1:14" x14ac:dyDescent="0.25">
      <c r="A33" s="258" t="s">
        <v>487</v>
      </c>
      <c r="B33" s="248"/>
      <c r="C33" s="248"/>
      <c r="D33" s="249">
        <f>5030+75</f>
        <v>5105</v>
      </c>
      <c r="E33" s="247"/>
      <c r="F33" s="258" t="s">
        <v>487</v>
      </c>
      <c r="G33" s="248"/>
      <c r="H33" s="286">
        <v>5105</v>
      </c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91218</v>
      </c>
      <c r="C34" s="269"/>
      <c r="D34" s="270">
        <f>SUM(D27:D33)</f>
        <v>110412</v>
      </c>
      <c r="E34" s="270">
        <f>B34-D34</f>
        <v>-19194</v>
      </c>
      <c r="F34" s="250" t="s">
        <v>3</v>
      </c>
      <c r="G34" s="269">
        <f>G21+G23+G24-H25</f>
        <v>91218</v>
      </c>
      <c r="H34" s="270">
        <f>SUM(H27:H33)</f>
        <v>110412</v>
      </c>
      <c r="I34" s="270">
        <f>G34-H34</f>
        <v>-19194</v>
      </c>
      <c r="J34" s="113"/>
      <c r="K34" s="113"/>
      <c r="L34" s="113"/>
      <c r="M34" s="113"/>
      <c r="N34" s="113"/>
    </row>
    <row r="37" spans="1:14" x14ac:dyDescent="0.25">
      <c r="J37">
        <f>2700+320+200+270</f>
        <v>3490</v>
      </c>
    </row>
    <row r="40" spans="1:14" x14ac:dyDescent="0.25">
      <c r="I40">
        <f>7500-75</f>
        <v>7425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opLeftCell="B1" workbookViewId="0">
      <selection activeCell="H11" sqref="H11"/>
    </sheetView>
  </sheetViews>
  <sheetFormatPr defaultRowHeight="15" x14ac:dyDescent="0.25"/>
  <cols>
    <col min="1" max="2" width="9.140625" style="113"/>
    <col min="3" max="3" width="11.5703125" style="113" customWidth="1"/>
    <col min="4" max="7" width="9.140625" style="113"/>
    <col min="8" max="8" width="11.140625" style="113" customWidth="1"/>
    <col min="9" max="16384" width="9.140625" style="113"/>
  </cols>
  <sheetData>
    <row r="2" spans="1:13" ht="15.75" x14ac:dyDescent="0.25"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</row>
    <row r="3" spans="1:13" ht="15.75" x14ac:dyDescent="0.25">
      <c r="A3" s="156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</row>
    <row r="4" spans="1:13" ht="15.75" x14ac:dyDescent="0.25">
      <c r="A4" s="156"/>
      <c r="B4" s="156"/>
      <c r="C4" s="156"/>
      <c r="D4" s="19" t="s">
        <v>488</v>
      </c>
      <c r="E4" s="19"/>
      <c r="F4" s="19"/>
      <c r="G4" s="19"/>
      <c r="H4" s="156"/>
      <c r="I4" s="156"/>
      <c r="J4" s="156"/>
    </row>
    <row r="5" spans="1:13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3" x14ac:dyDescent="0.25">
      <c r="A6" s="178">
        <v>1</v>
      </c>
      <c r="B6" s="215" t="s">
        <v>426</v>
      </c>
      <c r="C6" s="215"/>
      <c r="D6" s="216">
        <f>'OCTOBER 21'!H6:H16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</row>
    <row r="7" spans="1:13" x14ac:dyDescent="0.25">
      <c r="A7" s="178">
        <v>2</v>
      </c>
      <c r="B7" s="215" t="s">
        <v>290</v>
      </c>
      <c r="C7" s="215"/>
      <c r="D7" s="216">
        <f>'OCTOBER 21'!H7:H17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</row>
    <row r="8" spans="1:13" x14ac:dyDescent="0.25">
      <c r="A8" s="178">
        <v>3</v>
      </c>
      <c r="B8" s="219" t="s">
        <v>460</v>
      </c>
      <c r="C8" s="219"/>
      <c r="D8" s="216">
        <f>'OCTOBER 21'!H8:H18</f>
        <v>0</v>
      </c>
      <c r="E8" s="222">
        <v>8100</v>
      </c>
      <c r="F8" s="217">
        <f t="shared" si="0"/>
        <v>8100</v>
      </c>
      <c r="G8" s="222">
        <v>8100</v>
      </c>
      <c r="H8" s="218">
        <f>F8-G8</f>
        <v>0</v>
      </c>
      <c r="I8" s="239">
        <v>900</v>
      </c>
    </row>
    <row r="9" spans="1:13" x14ac:dyDescent="0.25">
      <c r="A9" s="178">
        <v>4</v>
      </c>
      <c r="B9" s="275" t="s">
        <v>467</v>
      </c>
      <c r="C9" s="274"/>
      <c r="D9" s="216">
        <f>'OCTOBER 21'!H9:H19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</row>
    <row r="10" spans="1:13" x14ac:dyDescent="0.25">
      <c r="A10" s="178">
        <v>5</v>
      </c>
      <c r="B10" s="219" t="s">
        <v>468</v>
      </c>
      <c r="C10" s="219"/>
      <c r="D10" s="216">
        <f>'OCTOBER 21'!H10:H20</f>
        <v>0</v>
      </c>
      <c r="E10" s="222">
        <v>9000</v>
      </c>
      <c r="F10" s="217">
        <f t="shared" si="0"/>
        <v>9000</v>
      </c>
      <c r="G10" s="222">
        <v>9000</v>
      </c>
      <c r="H10" s="218">
        <f t="shared" si="1"/>
        <v>0</v>
      </c>
      <c r="I10" s="239">
        <v>900</v>
      </c>
      <c r="J10" s="156"/>
    </row>
    <row r="11" spans="1:13" x14ac:dyDescent="0.25">
      <c r="A11" s="178">
        <v>6</v>
      </c>
      <c r="B11" s="223" t="s">
        <v>292</v>
      </c>
      <c r="C11" s="223"/>
      <c r="D11" s="216">
        <f>'OCTOBER 21'!H11:H21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3" x14ac:dyDescent="0.25">
      <c r="A12" s="178">
        <v>7</v>
      </c>
      <c r="B12" s="275" t="s">
        <v>434</v>
      </c>
      <c r="C12" s="275"/>
      <c r="D12" s="216">
        <f>'OCTOBER 21'!H12:H22</f>
        <v>0</v>
      </c>
      <c r="E12" s="222">
        <v>10000</v>
      </c>
      <c r="F12" s="217">
        <f t="shared" si="0"/>
        <v>10000</v>
      </c>
      <c r="G12" s="222">
        <v>10000</v>
      </c>
      <c r="H12" s="218">
        <f t="shared" si="1"/>
        <v>0</v>
      </c>
      <c r="I12" s="239"/>
      <c r="J12" s="156"/>
    </row>
    <row r="13" spans="1:13" x14ac:dyDescent="0.25">
      <c r="A13" s="178">
        <v>8</v>
      </c>
      <c r="B13" s="219" t="s">
        <v>439</v>
      </c>
      <c r="C13" s="219"/>
      <c r="D13" s="216">
        <f>'OCTOBER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</row>
    <row r="14" spans="1:13" x14ac:dyDescent="0.25">
      <c r="A14" s="178"/>
      <c r="B14" s="278"/>
      <c r="C14" s="278"/>
      <c r="D14" s="216">
        <f>'OCTOBER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</row>
    <row r="15" spans="1:13" x14ac:dyDescent="0.25">
      <c r="A15" s="178"/>
      <c r="B15" s="219"/>
      <c r="C15" s="219"/>
      <c r="D15" s="216">
        <f>'OCTOBER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</row>
    <row r="16" spans="1:13" x14ac:dyDescent="0.25">
      <c r="A16" s="212"/>
      <c r="B16" s="228" t="s">
        <v>3</v>
      </c>
      <c r="C16" s="228">
        <f t="shared" ref="C16:I16" si="2">SUM(C6:C15)</f>
        <v>0</v>
      </c>
      <c r="D16" s="216">
        <f>'OCTOBER 21'!H16:H26</f>
        <v>0</v>
      </c>
      <c r="E16" s="230">
        <f t="shared" si="2"/>
        <v>107100</v>
      </c>
      <c r="F16" s="217">
        <f t="shared" si="2"/>
        <v>107100</v>
      </c>
      <c r="G16" s="273">
        <f>SUM(G6:G15)</f>
        <v>107100</v>
      </c>
      <c r="H16" s="218">
        <f>SUM(H6:H15)</f>
        <v>0</v>
      </c>
      <c r="I16" s="246">
        <f t="shared" si="2"/>
        <v>5400</v>
      </c>
      <c r="J16" s="211" t="s">
        <v>56</v>
      </c>
    </row>
    <row r="17" spans="1:15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5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5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</row>
    <row r="20" spans="1:15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</row>
    <row r="21" spans="1:15" x14ac:dyDescent="0.25">
      <c r="A21" s="237" t="s">
        <v>302</v>
      </c>
      <c r="B21" s="238">
        <f>E16</f>
        <v>107100</v>
      </c>
      <c r="C21" s="238"/>
      <c r="D21" s="238"/>
      <c r="E21" s="237"/>
      <c r="F21" s="237" t="s">
        <v>302</v>
      </c>
      <c r="G21" s="238">
        <f>G16</f>
        <v>107100</v>
      </c>
      <c r="H21" s="237"/>
      <c r="I21" s="239"/>
      <c r="J21" s="153" t="s">
        <v>485</v>
      </c>
      <c r="K21" s="153">
        <f>6300*2</f>
        <v>12600</v>
      </c>
      <c r="L21" s="153"/>
    </row>
    <row r="22" spans="1:15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</row>
    <row r="23" spans="1:15" x14ac:dyDescent="0.25">
      <c r="A23" s="237" t="s">
        <v>233</v>
      </c>
      <c r="B23" s="238">
        <f>'OCTOBER 21'!E34</f>
        <v>-19194</v>
      </c>
      <c r="C23" s="238"/>
      <c r="D23" s="238"/>
      <c r="E23" s="237"/>
      <c r="F23" s="237" t="s">
        <v>233</v>
      </c>
      <c r="G23" s="238">
        <f>'OCTOBER 21'!I34</f>
        <v>-19194</v>
      </c>
      <c r="H23" s="237"/>
      <c r="I23" s="239"/>
    </row>
    <row r="24" spans="1:15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</row>
    <row r="25" spans="1:15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K25" s="271"/>
    </row>
    <row r="26" spans="1:15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K26" s="271"/>
    </row>
    <row r="27" spans="1:15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</row>
    <row r="28" spans="1:15" x14ac:dyDescent="0.25">
      <c r="A28" s="285"/>
      <c r="B28" s="268"/>
      <c r="C28" s="239"/>
      <c r="D28" s="218"/>
      <c r="E28" s="239"/>
      <c r="F28" s="285"/>
      <c r="G28" s="268"/>
      <c r="H28" s="239"/>
      <c r="I28" s="218"/>
    </row>
    <row r="29" spans="1:15" x14ac:dyDescent="0.25">
      <c r="A29" s="258" t="s">
        <v>489</v>
      </c>
      <c r="D29" s="237">
        <v>25105</v>
      </c>
      <c r="E29" s="237"/>
      <c r="F29" s="258" t="s">
        <v>489</v>
      </c>
      <c r="H29" s="113">
        <v>25105</v>
      </c>
      <c r="I29" s="237"/>
    </row>
    <row r="30" spans="1:15" x14ac:dyDescent="0.25">
      <c r="A30" s="258" t="s">
        <v>490</v>
      </c>
      <c r="B30" s="272"/>
      <c r="C30" s="245"/>
      <c r="D30" s="246">
        <v>52105</v>
      </c>
      <c r="E30" s="247"/>
      <c r="F30" s="258" t="s">
        <v>490</v>
      </c>
      <c r="G30" s="272"/>
      <c r="H30" s="245">
        <v>52105</v>
      </c>
      <c r="I30" s="246"/>
    </row>
    <row r="31" spans="1:15" x14ac:dyDescent="0.25">
      <c r="A31" s="258"/>
      <c r="B31" s="245"/>
      <c r="C31" s="245"/>
      <c r="D31" s="246"/>
      <c r="E31" s="247"/>
      <c r="F31" s="258"/>
      <c r="G31" s="245"/>
      <c r="H31" s="245"/>
      <c r="I31" s="246"/>
    </row>
    <row r="32" spans="1:15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K32" s="113">
        <f>7*900</f>
        <v>6300</v>
      </c>
      <c r="O32" s="248"/>
    </row>
    <row r="33" spans="1:11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K33" s="113">
        <f>K32*3</f>
        <v>18900</v>
      </c>
    </row>
    <row r="34" spans="1:11" x14ac:dyDescent="0.25">
      <c r="A34" s="250" t="s">
        <v>3</v>
      </c>
      <c r="B34" s="269">
        <f>B21+B23+B22+B24-D25</f>
        <v>77196</v>
      </c>
      <c r="C34" s="269"/>
      <c r="D34" s="270">
        <f>SUM(D27:D33)</f>
        <v>77210</v>
      </c>
      <c r="E34" s="270">
        <f>B34-D34</f>
        <v>-14</v>
      </c>
      <c r="F34" s="250" t="s">
        <v>3</v>
      </c>
      <c r="G34" s="269">
        <f>G21+G23+G24-H25</f>
        <v>77196</v>
      </c>
      <c r="H34" s="270">
        <f>SUM(H27:H33)</f>
        <v>77210</v>
      </c>
      <c r="I34" s="270">
        <f>G34-H34</f>
        <v>-14</v>
      </c>
    </row>
    <row r="37" spans="1:11" x14ac:dyDescent="0.25">
      <c r="J37" s="113">
        <f>2700+320+200+270</f>
        <v>3490</v>
      </c>
    </row>
    <row r="40" spans="1:11" x14ac:dyDescent="0.25">
      <c r="I40" s="113">
        <f>7500-75</f>
        <v>7425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I10" sqref="I10"/>
    </sheetView>
  </sheetViews>
  <sheetFormatPr defaultRowHeight="15" x14ac:dyDescent="0.25"/>
  <cols>
    <col min="2" max="2" width="17.85546875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  <c r="N3" s="113"/>
    </row>
    <row r="4" spans="1:14" ht="15.75" x14ac:dyDescent="0.25">
      <c r="A4" s="156"/>
      <c r="B4" s="156"/>
      <c r="C4" s="156"/>
      <c r="D4" s="19" t="s">
        <v>491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88" t="s">
        <v>365</v>
      </c>
      <c r="C6" s="215"/>
      <c r="D6" s="216">
        <f>'NOVEMBER 21'!H6:H15</f>
        <v>0</v>
      </c>
      <c r="E6" s="217"/>
      <c r="F6" s="217">
        <f t="shared" ref="F6:F15" si="0">D6+E6+C6</f>
        <v>0</v>
      </c>
      <c r="G6" s="217"/>
      <c r="H6" s="218">
        <f t="shared" ref="H6:H15" si="1">F6-G6</f>
        <v>0</v>
      </c>
      <c r="I6" s="239"/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'NOVEMBER 21'!H7:H16</f>
        <v>0</v>
      </c>
      <c r="E7" s="217">
        <v>8000</v>
      </c>
      <c r="F7" s="217">
        <f t="shared" si="0"/>
        <v>8000</v>
      </c>
      <c r="G7" s="217"/>
      <c r="H7" s="218">
        <f t="shared" si="1"/>
        <v>8000</v>
      </c>
      <c r="I7" s="239"/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'NOVEMBER 21'!H8:H17</f>
        <v>0</v>
      </c>
      <c r="E8" s="222">
        <v>8100</v>
      </c>
      <c r="F8" s="217">
        <f t="shared" si="0"/>
        <v>8100</v>
      </c>
      <c r="G8" s="222"/>
      <c r="H8" s="218">
        <f>F8-G8</f>
        <v>8100</v>
      </c>
      <c r="I8" s="239"/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'NOVEMBER 21'!H9:H18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'NOVEMBER 21'!H10:H19</f>
        <v>0</v>
      </c>
      <c r="E10" s="222">
        <v>9000</v>
      </c>
      <c r="F10" s="217">
        <f t="shared" si="0"/>
        <v>9000</v>
      </c>
      <c r="G10" s="222"/>
      <c r="H10" s="218">
        <f t="shared" si="1"/>
        <v>9000</v>
      </c>
      <c r="I10" s="239"/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'NOVEMBER 21'!H11:H20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'NOVEMBER 21'!H12:H21</f>
        <v>0</v>
      </c>
      <c r="E12" s="222">
        <v>10000</v>
      </c>
      <c r="F12" s="217">
        <f t="shared" si="0"/>
        <v>10000</v>
      </c>
      <c r="G12" s="222"/>
      <c r="H12" s="218">
        <f t="shared" si="1"/>
        <v>10000</v>
      </c>
      <c r="I12" s="239"/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'NOVEMBER 21'!H13:H22</f>
        <v>0</v>
      </c>
      <c r="E13" s="222">
        <v>40000</v>
      </c>
      <c r="F13" s="217">
        <f>D13+E13+C13</f>
        <v>40000</v>
      </c>
      <c r="G13" s="4"/>
      <c r="H13" s="218">
        <f t="shared" si="1"/>
        <v>40000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'NOVEMBER 21'!H14:H23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'NOVEMBER 21'!H15:H24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89100</v>
      </c>
      <c r="F16" s="217">
        <f t="shared" si="2"/>
        <v>89100</v>
      </c>
      <c r="G16" s="273">
        <f>SUM(G6:G15)</f>
        <v>14000</v>
      </c>
      <c r="H16" s="218">
        <f>SUM(H6:H15)</f>
        <v>75100</v>
      </c>
      <c r="I16" s="246">
        <f t="shared" si="2"/>
        <v>1800</v>
      </c>
      <c r="J16" s="211" t="s">
        <v>56</v>
      </c>
      <c r="K16" s="113"/>
      <c r="L16" s="113"/>
      <c r="M16" s="113"/>
      <c r="N16" s="113"/>
    </row>
    <row r="17" spans="1:14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4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4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4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  <c r="L20" s="113"/>
      <c r="M20" s="113"/>
      <c r="N20" s="113"/>
    </row>
    <row r="21" spans="1:14" x14ac:dyDescent="0.25">
      <c r="A21" s="237" t="s">
        <v>259</v>
      </c>
      <c r="B21" s="238">
        <f>E16</f>
        <v>89100</v>
      </c>
      <c r="C21" s="238"/>
      <c r="D21" s="238"/>
      <c r="E21" s="237"/>
      <c r="F21" s="237" t="s">
        <v>259</v>
      </c>
      <c r="G21" s="238">
        <f>G16</f>
        <v>14000</v>
      </c>
      <c r="H21" s="237"/>
      <c r="I21" s="239"/>
      <c r="J21" s="153" t="s">
        <v>485</v>
      </c>
      <c r="K21" s="153">
        <f>6300*2</f>
        <v>12600</v>
      </c>
      <c r="L21" s="153"/>
      <c r="M21" s="113"/>
      <c r="N21" s="113"/>
    </row>
    <row r="22" spans="1:14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4" x14ac:dyDescent="0.25">
      <c r="A23" s="237" t="s">
        <v>233</v>
      </c>
      <c r="B23" s="238">
        <f>'NOVEMBER 21'!E34</f>
        <v>-14</v>
      </c>
      <c r="C23" s="238"/>
      <c r="D23" s="238"/>
      <c r="E23" s="237"/>
      <c r="F23" s="237" t="s">
        <v>233</v>
      </c>
      <c r="G23" s="238">
        <f>'NOVEMBER 21'!I34</f>
        <v>-14</v>
      </c>
      <c r="H23" s="237"/>
      <c r="I23" s="239"/>
      <c r="J23" s="113"/>
      <c r="K23" s="113"/>
      <c r="L23" s="113"/>
      <c r="M23" s="113"/>
      <c r="N23" s="113"/>
    </row>
    <row r="24" spans="1:14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  <c r="N24" s="113"/>
    </row>
    <row r="25" spans="1:14" x14ac:dyDescent="0.25">
      <c r="A25" s="237" t="s">
        <v>190</v>
      </c>
      <c r="B25" s="241">
        <v>0.1</v>
      </c>
      <c r="C25" s="241"/>
      <c r="D25" s="238">
        <f>B21*B25</f>
        <v>8910</v>
      </c>
      <c r="E25" s="237"/>
      <c r="F25" s="237" t="s">
        <v>248</v>
      </c>
      <c r="G25" s="241">
        <v>0.1</v>
      </c>
      <c r="H25" s="238">
        <f>B25*B21</f>
        <v>8910</v>
      </c>
      <c r="I25" s="239"/>
      <c r="J25" s="113"/>
      <c r="K25" s="271"/>
      <c r="L25" s="113"/>
      <c r="M25" s="113"/>
      <c r="N25" s="113"/>
    </row>
    <row r="26" spans="1:14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  <c r="L26" s="113"/>
      <c r="M26" s="113"/>
      <c r="N26" s="113"/>
    </row>
    <row r="27" spans="1:14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  <c r="M27" s="113"/>
      <c r="N27" s="113"/>
    </row>
    <row r="28" spans="1:14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  <c r="L28" s="113"/>
      <c r="M28" s="113"/>
      <c r="N28" s="113"/>
    </row>
    <row r="29" spans="1:14" x14ac:dyDescent="0.25">
      <c r="A29" s="258"/>
      <c r="B29" s="113"/>
      <c r="C29" s="113"/>
      <c r="D29" s="237"/>
      <c r="E29" s="237"/>
      <c r="F29" s="258"/>
      <c r="G29" s="113"/>
      <c r="H29" s="113"/>
      <c r="I29" s="237"/>
      <c r="J29" s="113"/>
      <c r="K29" s="113"/>
      <c r="L29" s="113"/>
      <c r="M29" s="113"/>
      <c r="N29" s="113"/>
    </row>
    <row r="30" spans="1:14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  <c r="K30" s="113"/>
      <c r="L30" s="113"/>
      <c r="M30" s="113"/>
      <c r="N30" s="113"/>
    </row>
    <row r="31" spans="1:14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  <c r="L31" s="113"/>
      <c r="M31" s="113"/>
      <c r="N31" s="113"/>
    </row>
    <row r="32" spans="1:14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  <c r="M32" s="113"/>
      <c r="N32" s="113"/>
    </row>
    <row r="33" spans="1:14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80176</v>
      </c>
      <c r="C34" s="269"/>
      <c r="D34" s="270">
        <f>SUM(D27:D33)</f>
        <v>0</v>
      </c>
      <c r="E34" s="270">
        <f>B34-D34</f>
        <v>80176</v>
      </c>
      <c r="F34" s="250" t="s">
        <v>3</v>
      </c>
      <c r="G34" s="269">
        <f>G21+G23+G24-H25</f>
        <v>5076</v>
      </c>
      <c r="H34" s="270">
        <f>SUM(H27:H33)</f>
        <v>0</v>
      </c>
      <c r="I34" s="270">
        <f>G34-H34</f>
        <v>5076</v>
      </c>
      <c r="J34" s="113"/>
      <c r="K34" s="113"/>
      <c r="L34" s="113"/>
      <c r="M34" s="113"/>
      <c r="N34" s="113"/>
    </row>
    <row r="35" spans="1:14" x14ac:dyDescent="0.25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</row>
    <row r="36" spans="1:14" x14ac:dyDescent="0.25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</row>
    <row r="37" spans="1:14" x14ac:dyDescent="0.25">
      <c r="A37" s="113"/>
      <c r="B37" s="113"/>
      <c r="C37" s="113"/>
      <c r="D37" s="113"/>
      <c r="E37" s="113"/>
      <c r="F37" s="113"/>
      <c r="G37" s="113"/>
      <c r="H37" s="113"/>
      <c r="I37" s="113"/>
      <c r="J37" s="113">
        <f>2700+320+200+270</f>
        <v>3490</v>
      </c>
      <c r="K37" s="113"/>
      <c r="L37" s="113"/>
      <c r="M37" s="113"/>
      <c r="N37" s="113"/>
    </row>
    <row r="38" spans="1:14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</row>
    <row r="39" spans="1:14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25">
      <c r="A40" s="113"/>
      <c r="B40" s="113"/>
      <c r="C40" s="113"/>
      <c r="D40" s="113"/>
      <c r="E40" s="113"/>
      <c r="F40" s="113"/>
      <c r="G40" s="113"/>
      <c r="H40" s="113"/>
      <c r="I40" s="113">
        <f>7500-75</f>
        <v>7425</v>
      </c>
      <c r="J40" s="113"/>
      <c r="K40" s="113"/>
      <c r="L40" s="113"/>
      <c r="M40" s="113"/>
      <c r="N40" s="1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38" sqref="B38"/>
    </sheetView>
  </sheetViews>
  <sheetFormatPr defaultRowHeight="15" x14ac:dyDescent="0.25"/>
  <cols>
    <col min="1" max="1" width="14.85546875" customWidth="1"/>
    <col min="2" max="2" width="3.28515625" customWidth="1"/>
    <col min="3" max="3" width="8" customWidth="1"/>
    <col min="6" max="6" width="7.42578125" customWidth="1"/>
    <col min="7" max="7" width="11.28515625" customWidth="1"/>
    <col min="8" max="9" width="11.5703125" customWidth="1"/>
    <col min="11" max="11" width="7.7109375" customWidth="1"/>
    <col min="13" max="13" width="10.5703125" customWidth="1"/>
  </cols>
  <sheetData>
    <row r="1" spans="1:14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  <c r="N1" s="2"/>
    </row>
    <row r="2" spans="1:14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  <c r="N2" s="2"/>
    </row>
    <row r="3" spans="1:14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  <c r="N4" s="2"/>
    </row>
    <row r="5" spans="1:14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  <c r="N5" s="2"/>
    </row>
    <row r="6" spans="1:14" ht="21" x14ac:dyDescent="0.25">
      <c r="A6" s="74"/>
      <c r="B6" s="74"/>
      <c r="C6" s="74"/>
      <c r="D6" s="77"/>
      <c r="E6" s="77"/>
      <c r="F6" s="78" t="s">
        <v>97</v>
      </c>
      <c r="G6" s="77"/>
      <c r="H6" s="77"/>
      <c r="I6" s="77"/>
      <c r="J6" s="77"/>
      <c r="K6" s="77"/>
      <c r="L6" s="74"/>
      <c r="M6" s="74"/>
      <c r="N6" s="2"/>
    </row>
    <row r="7" spans="1:14" s="3" customFormat="1" ht="11.25" x14ac:dyDescent="0.2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4" s="3" customFormat="1" ht="11.25" x14ac:dyDescent="0.2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4" s="3" customFormat="1" ht="11.25" x14ac:dyDescent="0.2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4" s="3" customFormat="1" ht="11.25" x14ac:dyDescent="0.2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4" s="3" customFormat="1" ht="11.25" x14ac:dyDescent="0.2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4" s="3" customFormat="1" ht="11.25" x14ac:dyDescent="0.2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4" s="3" customFormat="1" ht="11.25" x14ac:dyDescent="0.2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4" s="3" customFormat="1" ht="11.25" x14ac:dyDescent="0.2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>
        <v>7000</v>
      </c>
      <c r="J14" s="92"/>
      <c r="K14" s="9"/>
      <c r="L14" s="9"/>
      <c r="M14" s="88">
        <f>SUM(H14-I14)</f>
        <v>0</v>
      </c>
    </row>
    <row r="15" spans="1:14" s="3" customFormat="1" ht="11.25" x14ac:dyDescent="0.2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4" s="3" customFormat="1" ht="11.25" x14ac:dyDescent="0.2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4" s="3" customFormat="1" ht="11.25" x14ac:dyDescent="0.2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4" s="3" customFormat="1" ht="11.25" x14ac:dyDescent="0.2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>
        <v>9000</v>
      </c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4" s="3" customFormat="1" ht="11.25" x14ac:dyDescent="0.2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4" s="3" customFormat="1" ht="11.25" x14ac:dyDescent="0.2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8"/>
    </row>
    <row r="21" spans="1:14" s="3" customFormat="1" ht="11.25" x14ac:dyDescent="0.2">
      <c r="A21" s="97" t="s">
        <v>3</v>
      </c>
      <c r="B21" s="98"/>
      <c r="C21" s="98"/>
      <c r="D21" s="98"/>
      <c r="E21" s="98"/>
      <c r="F21" s="98"/>
      <c r="G21" s="99">
        <f>SUM(G8:G20)</f>
        <v>124000</v>
      </c>
      <c r="H21" s="99">
        <f>SUM(H8:H20)</f>
        <v>128000</v>
      </c>
      <c r="I21" s="99">
        <f>SUM(I8:I20)</f>
        <v>104000</v>
      </c>
      <c r="J21" s="99"/>
      <c r="K21" s="98"/>
      <c r="L21" s="98"/>
      <c r="M21" s="100">
        <f>SUM(M8:M20)</f>
        <v>24000</v>
      </c>
    </row>
    <row r="22" spans="1:14" x14ac:dyDescent="0.25">
      <c r="A22" s="2"/>
      <c r="B22" s="2"/>
      <c r="C22" s="2"/>
      <c r="D22" s="81"/>
      <c r="E22" s="82" t="s">
        <v>76</v>
      </c>
      <c r="F22" s="82"/>
      <c r="G22" s="83"/>
      <c r="H22" s="83"/>
      <c r="I22" s="83"/>
      <c r="J22" s="83"/>
      <c r="K22" s="83"/>
      <c r="L22" s="83"/>
      <c r="M22" s="83"/>
      <c r="N22" s="2"/>
    </row>
    <row r="23" spans="1:14" x14ac:dyDescent="0.25">
      <c r="A23" s="2"/>
      <c r="B23" s="3"/>
      <c r="C23" s="67"/>
      <c r="D23" s="3" t="s">
        <v>40</v>
      </c>
      <c r="E23" s="48"/>
      <c r="F23" s="2"/>
      <c r="G23" s="62">
        <f>SUM(G21)</f>
        <v>124000</v>
      </c>
      <c r="H23" s="66"/>
      <c r="I23" s="2"/>
      <c r="J23" s="2"/>
      <c r="K23" s="2"/>
      <c r="L23" s="2"/>
      <c r="M23" s="2"/>
      <c r="N23" s="2"/>
    </row>
    <row r="24" spans="1:14" x14ac:dyDescent="0.25">
      <c r="A24" s="2"/>
      <c r="B24" s="3"/>
      <c r="C24" s="67"/>
      <c r="D24" s="3" t="s">
        <v>60</v>
      </c>
      <c r="E24" s="48"/>
      <c r="F24" s="2"/>
      <c r="G24" s="70">
        <f>SUM(G23-G26)</f>
        <v>115320</v>
      </c>
      <c r="H24" s="2"/>
      <c r="I24" s="66"/>
      <c r="J24" s="66"/>
      <c r="K24" s="66"/>
      <c r="L24" s="66"/>
      <c r="M24" s="66"/>
      <c r="N24" s="2"/>
    </row>
    <row r="25" spans="1:14" x14ac:dyDescent="0.25">
      <c r="A25" s="2"/>
      <c r="B25" s="3"/>
      <c r="C25" s="67"/>
      <c r="D25" s="76" t="s">
        <v>73</v>
      </c>
      <c r="E25" s="48"/>
      <c r="F25" s="2"/>
      <c r="G25" s="70"/>
      <c r="H25" s="2"/>
      <c r="I25" s="66"/>
      <c r="J25" s="66"/>
      <c r="K25" s="66"/>
      <c r="L25" s="66"/>
      <c r="M25" s="66"/>
      <c r="N25" s="2"/>
    </row>
    <row r="26" spans="1:14" x14ac:dyDescent="0.25">
      <c r="A26" s="2"/>
      <c r="B26" s="3"/>
      <c r="C26" s="67"/>
      <c r="D26" s="3" t="s">
        <v>52</v>
      </c>
      <c r="E26" s="50"/>
      <c r="F26" s="2"/>
      <c r="G26" s="69">
        <f>SUM(G23*7%)</f>
        <v>8680</v>
      </c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3"/>
      <c r="C27" s="67"/>
      <c r="D27" s="3"/>
      <c r="E27" s="50"/>
      <c r="F27" s="2"/>
      <c r="G27" s="69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3"/>
      <c r="C28" s="3"/>
      <c r="D28" s="68" t="s">
        <v>64</v>
      </c>
      <c r="E28" s="47"/>
      <c r="F28" s="2"/>
      <c r="G28" s="71">
        <v>10000</v>
      </c>
      <c r="H28" s="2"/>
      <c r="I28" s="2" t="s">
        <v>56</v>
      </c>
      <c r="J28" s="2" t="s">
        <v>56</v>
      </c>
      <c r="K28" s="2" t="s">
        <v>56</v>
      </c>
      <c r="L28" s="2" t="s">
        <v>56</v>
      </c>
      <c r="M28" s="2" t="s">
        <v>56</v>
      </c>
      <c r="N28" s="2"/>
    </row>
    <row r="29" spans="1:14" x14ac:dyDescent="0.25">
      <c r="A29" s="2"/>
      <c r="B29" s="3"/>
      <c r="C29" s="3"/>
      <c r="D29" s="68" t="s">
        <v>95</v>
      </c>
      <c r="E29" s="47"/>
      <c r="F29" s="2"/>
      <c r="G29" s="71">
        <v>20000</v>
      </c>
      <c r="H29" s="2"/>
      <c r="I29" s="66"/>
      <c r="J29" s="66"/>
      <c r="K29" s="66"/>
      <c r="L29" s="66"/>
      <c r="M29" s="66"/>
      <c r="N29" s="2"/>
    </row>
    <row r="30" spans="1:14" x14ac:dyDescent="0.25">
      <c r="A30" s="93"/>
      <c r="B30" s="93"/>
      <c r="C30" s="93"/>
      <c r="D30" s="93" t="s">
        <v>3</v>
      </c>
      <c r="E30" s="93"/>
      <c r="F30" s="93"/>
      <c r="G30" s="94">
        <f>SUM(G26:G29)</f>
        <v>38680</v>
      </c>
      <c r="H30" s="93"/>
      <c r="I30" s="93"/>
      <c r="J30" s="93"/>
      <c r="K30" s="93"/>
      <c r="L30" s="93"/>
      <c r="M30" s="93"/>
      <c r="N30" s="2"/>
    </row>
    <row r="31" spans="1:14" ht="18" x14ac:dyDescent="0.4">
      <c r="A31" s="2"/>
      <c r="B31" s="3"/>
      <c r="C31" s="3"/>
      <c r="D31" s="68" t="s">
        <v>61</v>
      </c>
      <c r="E31" s="2"/>
      <c r="F31" s="2"/>
      <c r="G31" s="96">
        <f>SUM(G23-G30)</f>
        <v>85320</v>
      </c>
      <c r="H31" s="2"/>
      <c r="I31" s="2"/>
      <c r="J31" s="2"/>
      <c r="K31" s="2"/>
      <c r="L31" s="2"/>
      <c r="M31" s="2"/>
      <c r="N31" s="2"/>
    </row>
    <row r="32" spans="1:14" x14ac:dyDescent="0.25">
      <c r="A32" s="52"/>
      <c r="B32" s="53" t="s">
        <v>41</v>
      </c>
      <c r="C32" s="2"/>
      <c r="D32" s="2"/>
      <c r="E32" s="2"/>
      <c r="F32" s="52" t="s">
        <v>42</v>
      </c>
      <c r="G32" s="52"/>
      <c r="H32" s="52"/>
      <c r="I32" s="52" t="s">
        <v>43</v>
      </c>
      <c r="J32" s="5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  <c r="N34" s="2"/>
    </row>
    <row r="35" spans="1:14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pageMargins left="0.7" right="0.7" top="0.75" bottom="0.75" header="0.3" footer="0.3"/>
  <pageSetup orientation="landscape" horizontalDpi="0" verticalDpi="0" r:id="rId1"/>
  <ignoredErrors>
    <ignoredError sqref="C10:C19 E10:E12 E14:E20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4" workbookViewId="0">
      <selection activeCell="F24" sqref="F24"/>
    </sheetView>
  </sheetViews>
  <sheetFormatPr defaultRowHeight="15" x14ac:dyDescent="0.25"/>
  <cols>
    <col min="1" max="1" width="14.140625" customWidth="1"/>
    <col min="2" max="2" width="4.5703125" customWidth="1"/>
    <col min="3" max="3" width="8.140625" customWidth="1"/>
    <col min="6" max="6" width="7.42578125" customWidth="1"/>
    <col min="7" max="7" width="13" customWidth="1"/>
    <col min="8" max="8" width="10.140625" customWidth="1"/>
    <col min="9" max="9" width="10" customWidth="1"/>
    <col min="10" max="10" width="8" customWidth="1"/>
    <col min="11" max="11" width="7.28515625" customWidth="1"/>
    <col min="12" max="12" width="12.85546875" customWidth="1"/>
  </cols>
  <sheetData>
    <row r="1" spans="1:13" ht="28.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19.5" customHeight="1" x14ac:dyDescent="0.25">
      <c r="A6" s="74"/>
      <c r="B6" s="74"/>
      <c r="C6" s="74"/>
      <c r="D6" s="77"/>
      <c r="E6" s="77"/>
      <c r="F6" s="78" t="s">
        <v>98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4000</v>
      </c>
      <c r="J9" s="57"/>
      <c r="K9" s="37"/>
      <c r="L9" s="37"/>
      <c r="M9" s="87">
        <f>SUM(H9-I9)</f>
        <v>3000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4000</v>
      </c>
      <c r="J11" s="58"/>
      <c r="K11" s="9"/>
      <c r="L11" s="9"/>
      <c r="M11" s="88"/>
    </row>
    <row r="12" spans="1:13" ht="12.95" customHeight="1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/>
    </row>
    <row r="14" spans="1:13" ht="12.95" customHeight="1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ht="12.95" customHeight="1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/>
      <c r="J15" s="58"/>
      <c r="K15" s="9"/>
      <c r="L15" s="9"/>
      <c r="M15" s="88">
        <f>SUM(H15-I15)</f>
        <v>30000</v>
      </c>
    </row>
    <row r="16" spans="1:13" ht="12.95" customHeight="1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>
        <v>9000</v>
      </c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/>
      <c r="H20" s="60"/>
      <c r="I20" s="60"/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124000</v>
      </c>
      <c r="H21" s="99">
        <f>SUM(H8:H20)</f>
        <v>128000</v>
      </c>
      <c r="I21" s="99">
        <f>SUM(I8:I20)</f>
        <v>51000</v>
      </c>
      <c r="J21" s="99"/>
      <c r="K21" s="98"/>
      <c r="L21" s="98"/>
      <c r="M21" s="100">
        <f>SUM(M8:M20)</f>
        <v>64000</v>
      </c>
    </row>
    <row r="22" spans="1:13" ht="12.95" customHeight="1" x14ac:dyDescent="0.25">
      <c r="A22" s="2"/>
      <c r="B22" s="2"/>
      <c r="C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ht="12.95" customHeight="1" x14ac:dyDescent="0.25">
      <c r="A23" s="2"/>
      <c r="B23" s="3"/>
      <c r="C23" s="67"/>
      <c r="D23" s="3" t="s">
        <v>40</v>
      </c>
      <c r="E23" s="48"/>
      <c r="F23" s="2"/>
      <c r="G23" s="62">
        <f>SUM(G21)</f>
        <v>124000</v>
      </c>
      <c r="H23" s="66"/>
      <c r="I23" s="3"/>
      <c r="J23" s="50"/>
      <c r="K23" s="2"/>
      <c r="L23" s="69"/>
      <c r="M23" s="2"/>
    </row>
    <row r="24" spans="1:13" s="2" customFormat="1" ht="12.95" customHeight="1" x14ac:dyDescent="0.25">
      <c r="B24" s="3"/>
      <c r="C24" s="67"/>
      <c r="D24" s="3"/>
      <c r="E24" s="48"/>
      <c r="G24" s="62"/>
      <c r="H24" s="66"/>
      <c r="I24" s="3" t="s">
        <v>102</v>
      </c>
      <c r="J24" s="50"/>
      <c r="L24" s="69">
        <v>10000</v>
      </c>
    </row>
    <row r="25" spans="1:13" s="2" customFormat="1" ht="12.95" customHeight="1" x14ac:dyDescent="0.25">
      <c r="B25" s="3"/>
      <c r="C25" s="67"/>
      <c r="D25" s="3" t="s">
        <v>104</v>
      </c>
      <c r="E25" s="48"/>
      <c r="G25" s="62">
        <f>SUM(G23*7%)</f>
        <v>8680</v>
      </c>
      <c r="H25" s="66"/>
      <c r="I25" s="68" t="s">
        <v>103</v>
      </c>
      <c r="J25" s="47"/>
      <c r="L25" s="71">
        <v>30000</v>
      </c>
    </row>
    <row r="26" spans="1:13" ht="12.95" customHeight="1" x14ac:dyDescent="0.25">
      <c r="A26" s="2"/>
      <c r="B26" s="3"/>
      <c r="C26" s="67"/>
      <c r="D26" s="3" t="s">
        <v>105</v>
      </c>
      <c r="E26" s="48"/>
      <c r="F26" s="2"/>
      <c r="G26" s="70">
        <f>SUM(G23-G25)</f>
        <v>115320</v>
      </c>
      <c r="H26" s="2"/>
      <c r="I26" s="68" t="s">
        <v>106</v>
      </c>
      <c r="J26" s="47"/>
      <c r="K26" s="2"/>
      <c r="L26" s="71">
        <v>50000</v>
      </c>
      <c r="M26" s="66"/>
    </row>
    <row r="27" spans="1:13" s="2" customFormat="1" ht="12.95" customHeight="1" x14ac:dyDescent="0.35">
      <c r="B27" s="3"/>
      <c r="C27" s="67"/>
      <c r="D27" s="3" t="s">
        <v>100</v>
      </c>
      <c r="E27" s="48"/>
      <c r="G27" s="101">
        <v>55000</v>
      </c>
      <c r="I27" s="102" t="s">
        <v>107</v>
      </c>
      <c r="J27" s="93"/>
      <c r="K27" s="93"/>
      <c r="L27" s="94">
        <f>SUM(L23:L26)</f>
        <v>90000</v>
      </c>
      <c r="M27" s="66"/>
    </row>
    <row r="28" spans="1:13" s="2" customFormat="1" ht="18.75" customHeight="1" x14ac:dyDescent="0.4">
      <c r="B28" s="3"/>
      <c r="C28" s="67"/>
      <c r="D28" s="3" t="s">
        <v>101</v>
      </c>
      <c r="E28" s="48"/>
      <c r="G28" s="101">
        <f>SUM(G26:G27)</f>
        <v>170320</v>
      </c>
      <c r="I28" s="68" t="s">
        <v>61</v>
      </c>
      <c r="L28" s="96">
        <f>SUM(G28-L27)</f>
        <v>80320</v>
      </c>
      <c r="M28" s="66"/>
    </row>
    <row r="29" spans="1:13" ht="12.95" customHeight="1" x14ac:dyDescent="0.25">
      <c r="A29" s="2"/>
      <c r="B29" s="3"/>
      <c r="C29" s="67"/>
      <c r="H29" s="2"/>
      <c r="M29" s="66"/>
    </row>
    <row r="30" spans="1:13" ht="20.25" customHeight="1" x14ac:dyDescent="0.25">
      <c r="A30" s="2"/>
      <c r="B30" s="3"/>
      <c r="C30" s="67"/>
      <c r="H30" s="2"/>
      <c r="M30" s="2"/>
    </row>
    <row r="31" spans="1:13" ht="12.95" customHeight="1" x14ac:dyDescent="0.25">
      <c r="A31" s="2"/>
      <c r="B31" s="3"/>
      <c r="C31" s="67"/>
      <c r="H31" s="2"/>
      <c r="I31" s="2"/>
      <c r="J31" s="2"/>
      <c r="K31" s="2"/>
      <c r="L31" s="2"/>
      <c r="M31" s="2"/>
    </row>
    <row r="32" spans="1:13" ht="12.95" customHeight="1" x14ac:dyDescent="0.25">
      <c r="A32" s="2"/>
      <c r="B32" s="3"/>
      <c r="C32" s="3"/>
      <c r="H32" s="2"/>
      <c r="I32" s="2" t="s">
        <v>56</v>
      </c>
      <c r="J32" s="2" t="s">
        <v>56</v>
      </c>
      <c r="K32" s="2" t="s">
        <v>56</v>
      </c>
      <c r="L32" s="2" t="s">
        <v>56</v>
      </c>
      <c r="M32" s="2" t="s">
        <v>56</v>
      </c>
    </row>
    <row r="33" spans="1:13" ht="12.95" customHeight="1" x14ac:dyDescent="0.25">
      <c r="A33" s="2"/>
      <c r="B33" s="52"/>
      <c r="C33" s="53" t="s">
        <v>41</v>
      </c>
      <c r="D33" s="2"/>
      <c r="E33" s="2"/>
      <c r="F33" s="2"/>
      <c r="G33" s="52" t="s">
        <v>42</v>
      </c>
      <c r="H33" s="52"/>
      <c r="I33" s="52"/>
      <c r="J33" s="52" t="s">
        <v>43</v>
      </c>
      <c r="K33" s="52"/>
      <c r="L33" s="66"/>
      <c r="M33" s="66"/>
    </row>
    <row r="34" spans="1:13" ht="12.95" customHeight="1" x14ac:dyDescent="0.25">
      <c r="A34" s="93"/>
      <c r="B34" s="2"/>
      <c r="C34" s="2"/>
      <c r="D34" s="2"/>
      <c r="E34" s="2"/>
      <c r="F34" s="2"/>
      <c r="G34" s="2"/>
      <c r="H34" s="2"/>
      <c r="I34" s="2"/>
      <c r="J34" s="2"/>
      <c r="K34" s="2"/>
      <c r="L34" s="93"/>
      <c r="M34" s="93"/>
    </row>
    <row r="35" spans="1:13" ht="13.5" customHeight="1" x14ac:dyDescent="0.25">
      <c r="A35" s="2"/>
      <c r="B35" s="52"/>
      <c r="C35" s="52" t="s">
        <v>44</v>
      </c>
      <c r="D35" s="2"/>
      <c r="E35" s="2"/>
      <c r="F35" s="2"/>
      <c r="G35" s="52" t="s">
        <v>45</v>
      </c>
      <c r="H35" s="52"/>
      <c r="I35" s="52"/>
      <c r="J35" s="52" t="s">
        <v>51</v>
      </c>
      <c r="K35" s="52"/>
      <c r="L35" s="2"/>
      <c r="M35" s="2"/>
    </row>
    <row r="36" spans="1:13" x14ac:dyDescent="0.25">
      <c r="B36" s="54" t="s">
        <v>46</v>
      </c>
      <c r="C36" s="52" t="s">
        <v>47</v>
      </c>
      <c r="D36" s="2"/>
      <c r="E36" s="2"/>
      <c r="F36" s="2"/>
      <c r="G36" s="52" t="s">
        <v>47</v>
      </c>
      <c r="H36" s="52"/>
      <c r="I36" s="52"/>
      <c r="J36" s="52" t="s">
        <v>48</v>
      </c>
      <c r="K36" s="52"/>
      <c r="L36" s="2"/>
      <c r="M36" s="2"/>
    </row>
    <row r="37" spans="1:13" x14ac:dyDescent="0.25">
      <c r="K37" s="2"/>
      <c r="L37" s="2"/>
      <c r="M37" s="2"/>
    </row>
    <row r="38" spans="1:13" x14ac:dyDescent="0.25">
      <c r="K38" s="2"/>
      <c r="L38" s="2"/>
      <c r="M38" s="2"/>
    </row>
    <row r="39" spans="1:13" x14ac:dyDescent="0.25">
      <c r="K39" s="2"/>
      <c r="L39" s="2"/>
      <c r="M39" s="2"/>
    </row>
  </sheetData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7" workbookViewId="0">
      <selection activeCell="G15" sqref="G15"/>
    </sheetView>
  </sheetViews>
  <sheetFormatPr defaultRowHeight="15" x14ac:dyDescent="0.25"/>
  <cols>
    <col min="1" max="1" width="14.85546875" customWidth="1"/>
    <col min="2" max="2" width="4" customWidth="1"/>
    <col min="7" max="7" width="11.85546875" customWidth="1"/>
    <col min="8" max="8" width="11.28515625" customWidth="1"/>
    <col min="12" max="12" width="12" customWidth="1"/>
  </cols>
  <sheetData>
    <row r="1" spans="1:13" ht="33.75" x14ac:dyDescent="0.45">
      <c r="A1" s="105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124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4000</v>
      </c>
      <c r="J9" s="57"/>
      <c r="K9" s="37"/>
      <c r="L9" s="37"/>
      <c r="M9" s="87">
        <f>SUM(H9-I9)</f>
        <v>3000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4000</v>
      </c>
      <c r="J11" s="58"/>
      <c r="K11" s="9"/>
      <c r="L11" s="9"/>
      <c r="M11" s="88"/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/>
    </row>
    <row r="14" spans="1:13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/>
      <c r="J15" s="58"/>
      <c r="K15" s="9"/>
      <c r="L15" s="9"/>
      <c r="M15" s="88">
        <f>SUM(H15-I15)</f>
        <v>30000</v>
      </c>
    </row>
    <row r="16" spans="1:13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>
        <v>9000</v>
      </c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/>
      <c r="J20" s="60"/>
      <c r="K20" s="5"/>
      <c r="L20" s="5"/>
      <c r="M20" s="88"/>
    </row>
    <row r="21" spans="1:13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149000</v>
      </c>
      <c r="H21" s="99">
        <f>SUM(H8:H20)</f>
        <v>153000</v>
      </c>
      <c r="I21" s="99">
        <f>SUM(I8:I20)</f>
        <v>51000</v>
      </c>
      <c r="J21" s="99"/>
      <c r="K21" s="98"/>
      <c r="L21" s="98"/>
      <c r="M21" s="100">
        <f>SUM(M8:M20)</f>
        <v>64000</v>
      </c>
    </row>
    <row r="22" spans="1:13" ht="15.75" x14ac:dyDescent="0.25">
      <c r="A22" s="2"/>
      <c r="B22" s="2"/>
      <c r="C22" s="2"/>
      <c r="D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149000</v>
      </c>
      <c r="H23" s="66"/>
      <c r="I23" s="3"/>
      <c r="J23" s="50"/>
      <c r="K23" s="2"/>
      <c r="L23" s="69"/>
      <c r="M23" s="2"/>
    </row>
    <row r="24" spans="1:13" x14ac:dyDescent="0.25">
      <c r="A24" s="2"/>
      <c r="B24" s="3"/>
      <c r="C24" s="67"/>
      <c r="D24" s="3"/>
      <c r="E24" s="48"/>
      <c r="F24" s="2"/>
      <c r="G24" s="62"/>
      <c r="H24" s="66"/>
      <c r="I24" s="3" t="s">
        <v>108</v>
      </c>
      <c r="J24" s="50"/>
      <c r="K24" s="2"/>
      <c r="L24" s="69">
        <v>5000</v>
      </c>
      <c r="M24" s="2"/>
    </row>
    <row r="25" spans="1:13" x14ac:dyDescent="0.25">
      <c r="A25" s="2"/>
      <c r="B25" s="3"/>
      <c r="C25" s="67"/>
      <c r="D25" s="3" t="s">
        <v>104</v>
      </c>
      <c r="E25" s="48"/>
      <c r="F25" s="2"/>
      <c r="G25" s="62">
        <f>SUM(G23*7%)</f>
        <v>10430.000000000002</v>
      </c>
      <c r="H25" s="66"/>
      <c r="I25" s="68" t="s">
        <v>108</v>
      </c>
      <c r="J25" s="47"/>
      <c r="K25" s="2"/>
      <c r="L25" s="71">
        <v>50000</v>
      </c>
      <c r="M25" s="2"/>
    </row>
    <row r="26" spans="1:13" x14ac:dyDescent="0.25">
      <c r="A26" s="2"/>
      <c r="B26" s="3"/>
      <c r="C26" s="67"/>
      <c r="D26" s="3" t="s">
        <v>105</v>
      </c>
      <c r="E26" s="48"/>
      <c r="F26" s="2"/>
      <c r="G26" s="70">
        <f>SUM(G23-G25)</f>
        <v>138570</v>
      </c>
      <c r="H26" s="2"/>
      <c r="I26" s="68" t="s">
        <v>108</v>
      </c>
      <c r="J26" s="47"/>
      <c r="K26" s="2"/>
      <c r="L26" s="71">
        <v>25000</v>
      </c>
      <c r="M26" s="66"/>
    </row>
    <row r="27" spans="1:13" ht="16.5" x14ac:dyDescent="0.35">
      <c r="A27" s="2"/>
      <c r="B27" s="3"/>
      <c r="C27" s="67"/>
      <c r="D27" s="3"/>
      <c r="E27" s="48"/>
      <c r="F27" s="2"/>
      <c r="G27" s="101"/>
      <c r="H27" s="2"/>
      <c r="I27" s="102" t="s">
        <v>107</v>
      </c>
      <c r="J27" s="93"/>
      <c r="K27" s="93"/>
      <c r="L27" s="94">
        <f>SUM(L23:L26)</f>
        <v>80000</v>
      </c>
      <c r="M27" s="66"/>
    </row>
    <row r="28" spans="1:13" ht="18" x14ac:dyDescent="0.4">
      <c r="A28" s="2"/>
      <c r="B28" s="3"/>
      <c r="C28" s="67"/>
      <c r="D28" s="3" t="s">
        <v>101</v>
      </c>
      <c r="E28" s="48"/>
      <c r="F28" s="2"/>
      <c r="G28" s="101">
        <f>SUM(G26:G27)</f>
        <v>138570</v>
      </c>
      <c r="H28" s="2"/>
      <c r="I28" s="68" t="s">
        <v>61</v>
      </c>
      <c r="J28" s="2"/>
      <c r="K28" s="2"/>
      <c r="L28" s="96">
        <f>SUM(G28-L27)</f>
        <v>58570</v>
      </c>
      <c r="M28" s="66"/>
    </row>
    <row r="29" spans="1:13" x14ac:dyDescent="0.25">
      <c r="A29" s="2"/>
      <c r="B29" s="3"/>
      <c r="C29" s="67"/>
      <c r="D29" s="2"/>
      <c r="E29" s="2"/>
      <c r="F29" s="2"/>
      <c r="G29" s="2"/>
      <c r="H29" s="2"/>
      <c r="I29" s="2"/>
      <c r="J29" s="2"/>
      <c r="K29" s="2"/>
      <c r="L29" s="2"/>
      <c r="M29" s="66"/>
    </row>
    <row r="30" spans="1:13" x14ac:dyDescent="0.25">
      <c r="A30" s="2"/>
      <c r="B30" s="3"/>
      <c r="C30" s="67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3"/>
      <c r="C31" s="67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3"/>
      <c r="C32" s="3"/>
      <c r="D32" s="2"/>
      <c r="E32" s="2"/>
      <c r="F32" s="2"/>
      <c r="G32" s="2"/>
      <c r="H32" s="2"/>
      <c r="I32" s="2" t="s">
        <v>56</v>
      </c>
      <c r="J32" s="2" t="s">
        <v>56</v>
      </c>
      <c r="K32" s="2" t="s">
        <v>56</v>
      </c>
      <c r="L32" s="2" t="s">
        <v>56</v>
      </c>
      <c r="M32" s="2" t="s">
        <v>56</v>
      </c>
    </row>
    <row r="33" spans="1:13" x14ac:dyDescent="0.25">
      <c r="A33" s="2"/>
      <c r="B33" s="52"/>
      <c r="C33" s="53" t="s">
        <v>41</v>
      </c>
      <c r="D33" s="2"/>
      <c r="E33" s="2"/>
      <c r="F33" s="2"/>
      <c r="G33" s="52" t="s">
        <v>42</v>
      </c>
      <c r="H33" s="52"/>
      <c r="I33" s="52"/>
      <c r="J33" s="52" t="s">
        <v>43</v>
      </c>
      <c r="K33" s="52"/>
      <c r="L33" s="66"/>
      <c r="M33" s="66"/>
    </row>
    <row r="34" spans="1:13" x14ac:dyDescent="0.25">
      <c r="A34" s="93"/>
      <c r="B34" s="2"/>
      <c r="C34" s="2"/>
      <c r="D34" s="2"/>
      <c r="E34" s="2"/>
      <c r="F34" s="2"/>
      <c r="G34" s="2"/>
      <c r="H34" s="2"/>
      <c r="I34" s="2"/>
      <c r="J34" s="2"/>
      <c r="K34" s="2"/>
      <c r="L34" s="93"/>
      <c r="M34" s="93"/>
    </row>
    <row r="35" spans="1:13" x14ac:dyDescent="0.25">
      <c r="A35" s="2"/>
      <c r="B35" s="52"/>
      <c r="C35" s="52" t="s">
        <v>44</v>
      </c>
      <c r="D35" s="2"/>
      <c r="E35" s="2"/>
      <c r="F35" s="2"/>
      <c r="G35" s="52" t="s">
        <v>45</v>
      </c>
      <c r="H35" s="52"/>
      <c r="I35" s="52"/>
      <c r="J35" s="52" t="s">
        <v>51</v>
      </c>
      <c r="K35" s="52"/>
      <c r="L35" s="2"/>
      <c r="M35" s="2"/>
    </row>
    <row r="36" spans="1:13" x14ac:dyDescent="0.25">
      <c r="A36" s="2"/>
      <c r="B36" s="54" t="s">
        <v>46</v>
      </c>
      <c r="C36" s="52" t="s">
        <v>47</v>
      </c>
      <c r="D36" s="2"/>
      <c r="E36" s="2"/>
      <c r="F36" s="2"/>
      <c r="G36" s="52" t="s">
        <v>47</v>
      </c>
      <c r="H36" s="52"/>
      <c r="I36" s="52"/>
      <c r="J36" s="52" t="s">
        <v>48</v>
      </c>
      <c r="K36" s="5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pageMargins left="0.7" right="0.7" top="0.75" bottom="0.75" header="0.3" footer="0.3"/>
  <ignoredErrors>
    <ignoredError sqref="C10:E1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4" workbookViewId="0">
      <selection activeCell="I5" sqref="I5"/>
    </sheetView>
  </sheetViews>
  <sheetFormatPr defaultRowHeight="15" x14ac:dyDescent="0.25"/>
  <cols>
    <col min="1" max="1" width="16.28515625" customWidth="1"/>
    <col min="7" max="8" width="11.5703125" customWidth="1"/>
    <col min="12" max="12" width="13.42578125" customWidth="1"/>
  </cols>
  <sheetData>
    <row r="1" spans="1:13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125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4000</v>
      </c>
      <c r="J9" s="57"/>
      <c r="K9" s="37"/>
      <c r="L9" s="37"/>
      <c r="M9" s="87">
        <f>SUM(H9-I9)</f>
        <v>3000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4000</v>
      </c>
      <c r="J11" s="58"/>
      <c r="K11" s="9"/>
      <c r="L11" s="9"/>
      <c r="M11" s="88"/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/>
    </row>
    <row r="14" spans="1:13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/>
      <c r="J15" s="58"/>
      <c r="K15" s="9"/>
      <c r="L15" s="9"/>
      <c r="M15" s="88">
        <f>SUM(H15-I15)</f>
        <v>30000</v>
      </c>
    </row>
    <row r="16" spans="1:13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/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/>
      <c r="J20" s="60"/>
      <c r="K20" s="5"/>
      <c r="L20" s="5"/>
      <c r="M20" s="88"/>
    </row>
    <row r="21" spans="1:13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153000</v>
      </c>
      <c r="I21" s="99">
        <f>SUM(I8:I20)</f>
        <v>51000</v>
      </c>
      <c r="J21" s="99"/>
      <c r="K21" s="98"/>
      <c r="L21" s="98"/>
      <c r="M21" s="100">
        <f>SUM(M8:M20)</f>
        <v>64000</v>
      </c>
    </row>
    <row r="22" spans="1:13" ht="15.75" x14ac:dyDescent="0.25">
      <c r="A22" s="2"/>
      <c r="B22" s="2"/>
      <c r="C22" s="2"/>
      <c r="D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140000</v>
      </c>
      <c r="H23" s="66"/>
      <c r="I23" s="3"/>
      <c r="J23" s="50"/>
      <c r="K23" s="2"/>
      <c r="L23" s="69"/>
      <c r="M23" s="2"/>
    </row>
    <row r="24" spans="1:13" x14ac:dyDescent="0.25">
      <c r="A24" s="2"/>
      <c r="B24" s="3"/>
      <c r="C24" s="67"/>
      <c r="D24" s="3"/>
      <c r="E24" s="48"/>
      <c r="F24" s="2"/>
      <c r="G24" s="62"/>
      <c r="H24" s="66"/>
      <c r="I24" s="3" t="s">
        <v>108</v>
      </c>
      <c r="J24" s="50"/>
      <c r="K24" s="2"/>
      <c r="L24" s="69">
        <v>10000</v>
      </c>
      <c r="M24" s="2"/>
    </row>
    <row r="25" spans="1:13" x14ac:dyDescent="0.25">
      <c r="A25" s="2"/>
      <c r="B25" s="3"/>
      <c r="C25" s="67"/>
      <c r="D25" s="3" t="s">
        <v>104</v>
      </c>
      <c r="E25" s="48"/>
      <c r="F25" s="2"/>
      <c r="G25" s="62">
        <f>SUM(G23*7%)</f>
        <v>9800.0000000000018</v>
      </c>
      <c r="H25" s="66"/>
      <c r="I25" s="68" t="s">
        <v>108</v>
      </c>
      <c r="J25" s="47"/>
      <c r="K25" s="2"/>
      <c r="L25" s="71">
        <v>50000</v>
      </c>
      <c r="M25" s="2"/>
    </row>
    <row r="26" spans="1:13" x14ac:dyDescent="0.25">
      <c r="A26" s="2"/>
      <c r="B26" s="3"/>
      <c r="C26" s="67"/>
      <c r="D26" s="3" t="s">
        <v>105</v>
      </c>
      <c r="E26" s="48"/>
      <c r="F26" s="2"/>
      <c r="G26" s="70">
        <f>SUM(G23-G25)</f>
        <v>130200</v>
      </c>
      <c r="H26" s="2"/>
      <c r="I26" s="68" t="s">
        <v>108</v>
      </c>
      <c r="J26" s="47"/>
      <c r="K26" s="2"/>
      <c r="L26" s="71">
        <v>20000</v>
      </c>
      <c r="M26" s="66"/>
    </row>
    <row r="27" spans="1:13" ht="16.5" x14ac:dyDescent="0.35">
      <c r="A27" s="2"/>
      <c r="B27" s="3"/>
      <c r="C27" s="67"/>
      <c r="D27" s="3"/>
      <c r="E27" s="48"/>
      <c r="F27" s="2"/>
      <c r="G27" s="101"/>
      <c r="H27" s="2"/>
      <c r="I27" s="102" t="s">
        <v>107</v>
      </c>
      <c r="J27" s="93"/>
      <c r="K27" s="93"/>
      <c r="L27" s="94">
        <f>SUM(L23:L26)</f>
        <v>80000</v>
      </c>
      <c r="M27" s="66"/>
    </row>
    <row r="28" spans="1:13" ht="18" x14ac:dyDescent="0.4">
      <c r="A28" s="2"/>
      <c r="B28" s="3"/>
      <c r="C28" s="67"/>
      <c r="D28" s="3" t="s">
        <v>101</v>
      </c>
      <c r="E28" s="48"/>
      <c r="F28" s="2"/>
      <c r="G28" s="101">
        <f>SUM(G26:G27)</f>
        <v>130200</v>
      </c>
      <c r="H28" s="2"/>
      <c r="I28" s="68" t="s">
        <v>61</v>
      </c>
      <c r="J28" s="2"/>
      <c r="K28" s="2"/>
      <c r="L28" s="96">
        <f>SUM(G28-L27)</f>
        <v>50200</v>
      </c>
      <c r="M28" s="66"/>
    </row>
    <row r="29" spans="1:13" x14ac:dyDescent="0.25">
      <c r="A29" s="2"/>
      <c r="B29" s="3"/>
      <c r="C29" s="67"/>
      <c r="D29" s="2"/>
      <c r="E29" s="2"/>
      <c r="F29" s="2"/>
      <c r="G29" s="2"/>
      <c r="H29" s="2"/>
      <c r="I29" s="2"/>
      <c r="J29" s="2"/>
      <c r="K29" s="2"/>
      <c r="L29" s="2"/>
      <c r="M29" s="66"/>
    </row>
    <row r="30" spans="1:13" x14ac:dyDescent="0.25">
      <c r="A30" s="2"/>
      <c r="B30" s="3"/>
      <c r="C30" s="67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3"/>
      <c r="C31" s="67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3"/>
      <c r="C32" s="3"/>
      <c r="D32" s="2"/>
      <c r="E32" s="2"/>
      <c r="F32" s="2"/>
      <c r="G32" s="2"/>
      <c r="H32" s="2"/>
      <c r="I32" s="2" t="s">
        <v>56</v>
      </c>
      <c r="J32" s="2" t="s">
        <v>56</v>
      </c>
      <c r="K32" s="2" t="s">
        <v>56</v>
      </c>
      <c r="L32" s="2" t="s">
        <v>56</v>
      </c>
      <c r="M32" s="2" t="s">
        <v>56</v>
      </c>
    </row>
    <row r="33" spans="1:13" x14ac:dyDescent="0.25">
      <c r="A33" s="2"/>
      <c r="B33" s="52"/>
      <c r="C33" s="53" t="s">
        <v>41</v>
      </c>
      <c r="D33" s="2"/>
      <c r="E33" s="2"/>
      <c r="F33" s="2"/>
      <c r="G33" s="52" t="s">
        <v>42</v>
      </c>
      <c r="H33" s="52"/>
      <c r="I33" s="52"/>
      <c r="J33" s="52" t="s">
        <v>43</v>
      </c>
      <c r="K33" s="52"/>
      <c r="L33" s="66"/>
      <c r="M33" s="66"/>
    </row>
    <row r="34" spans="1:13" x14ac:dyDescent="0.25">
      <c r="A34" s="93"/>
      <c r="B34" s="2"/>
      <c r="C34" s="2"/>
      <c r="D34" s="2"/>
      <c r="E34" s="2"/>
      <c r="F34" s="2"/>
      <c r="G34" s="2"/>
      <c r="H34" s="2"/>
      <c r="I34" s="2"/>
      <c r="J34" s="2"/>
      <c r="K34" s="2"/>
      <c r="L34" s="93"/>
      <c r="M34" s="93"/>
    </row>
    <row r="35" spans="1:13" x14ac:dyDescent="0.25">
      <c r="A35" s="2"/>
      <c r="B35" s="52"/>
      <c r="C35" s="52" t="s">
        <v>44</v>
      </c>
      <c r="D35" s="2"/>
      <c r="E35" s="2"/>
      <c r="F35" s="2"/>
      <c r="G35" s="52" t="s">
        <v>45</v>
      </c>
      <c r="H35" s="52"/>
      <c r="I35" s="52"/>
      <c r="J35" s="52" t="s">
        <v>51</v>
      </c>
      <c r="K35" s="52"/>
      <c r="L35" s="2"/>
      <c r="M35" s="2"/>
    </row>
    <row r="36" spans="1:13" x14ac:dyDescent="0.25">
      <c r="A36" s="2"/>
      <c r="B36" s="54" t="s">
        <v>46</v>
      </c>
      <c r="C36" s="52" t="s">
        <v>47</v>
      </c>
      <c r="D36" s="2"/>
      <c r="E36" s="2"/>
      <c r="F36" s="2"/>
      <c r="G36" s="52" t="s">
        <v>47</v>
      </c>
      <c r="H36" s="52"/>
      <c r="I36" s="52"/>
      <c r="J36" s="52" t="s">
        <v>48</v>
      </c>
      <c r="K36" s="52"/>
      <c r="L36" s="2"/>
      <c r="M3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4" workbookViewId="0">
      <selection activeCell="D23" sqref="D23"/>
    </sheetView>
  </sheetViews>
  <sheetFormatPr defaultRowHeight="15" x14ac:dyDescent="0.25"/>
  <cols>
    <col min="1" max="1" width="15.7109375" customWidth="1"/>
    <col min="2" max="2" width="3.85546875" customWidth="1"/>
    <col min="5" max="6" width="7.7109375" customWidth="1"/>
    <col min="7" max="7" width="10.85546875" customWidth="1"/>
    <col min="8" max="8" width="9.5703125" customWidth="1"/>
    <col min="9" max="9" width="10.5703125" customWidth="1"/>
    <col min="10" max="10" width="6.85546875" customWidth="1"/>
    <col min="12" max="12" width="12.140625" customWidth="1"/>
  </cols>
  <sheetData>
    <row r="1" spans="1:13" ht="27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109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A22" s="2"/>
      <c r="B22" s="2"/>
      <c r="C22" s="2"/>
      <c r="D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x14ac:dyDescent="0.25">
      <c r="B23" s="3"/>
      <c r="C23" s="67"/>
      <c r="D23" s="3" t="s">
        <v>118</v>
      </c>
      <c r="E23" s="48"/>
      <c r="F23" s="2"/>
      <c r="G23" s="62">
        <f>SUM(G21)</f>
        <v>140000</v>
      </c>
      <c r="H23" s="66"/>
      <c r="I23" s="3" t="s">
        <v>112</v>
      </c>
      <c r="J23" s="50"/>
      <c r="K23" s="2"/>
      <c r="L23" s="69">
        <v>20000</v>
      </c>
      <c r="M23" s="2"/>
    </row>
    <row r="24" spans="1:13" x14ac:dyDescent="0.25">
      <c r="A24" s="2"/>
      <c r="B24" s="3"/>
      <c r="C24" s="67"/>
      <c r="D24" s="3" t="s">
        <v>104</v>
      </c>
      <c r="E24" s="48"/>
      <c r="F24" s="2"/>
      <c r="G24" s="62">
        <f>SUM(G23*7%)</f>
        <v>9800.0000000000018</v>
      </c>
      <c r="H24" s="66"/>
      <c r="I24" s="68" t="s">
        <v>113</v>
      </c>
      <c r="J24" s="47"/>
      <c r="K24" s="2"/>
      <c r="L24" s="69">
        <v>10000</v>
      </c>
      <c r="M24" s="2"/>
    </row>
    <row r="25" spans="1:13" x14ac:dyDescent="0.25">
      <c r="A25" s="2"/>
      <c r="B25" s="3"/>
      <c r="C25" s="67"/>
      <c r="D25" s="3" t="s">
        <v>117</v>
      </c>
      <c r="E25" s="48"/>
      <c r="F25" s="2"/>
      <c r="G25" s="70">
        <f>SUM(G23-G24)</f>
        <v>130200</v>
      </c>
      <c r="H25" s="66"/>
      <c r="I25" s="68" t="s">
        <v>114</v>
      </c>
      <c r="J25" s="47"/>
      <c r="K25" s="2"/>
      <c r="L25" s="71">
        <v>50000</v>
      </c>
      <c r="M25" s="2"/>
    </row>
    <row r="26" spans="1:13" x14ac:dyDescent="0.25">
      <c r="A26" s="2"/>
      <c r="B26" s="3"/>
      <c r="C26" s="67"/>
      <c r="H26" s="2"/>
      <c r="I26" s="68" t="s">
        <v>116</v>
      </c>
      <c r="L26" s="71">
        <v>10000</v>
      </c>
      <c r="M26" s="66"/>
    </row>
    <row r="27" spans="1:13" ht="16.5" x14ac:dyDescent="0.35">
      <c r="A27" s="2"/>
      <c r="B27" s="3"/>
      <c r="C27" s="67"/>
      <c r="D27" s="3" t="s">
        <v>101</v>
      </c>
      <c r="E27" s="48"/>
      <c r="F27" s="2"/>
      <c r="G27" s="101">
        <f ca="1">SUM(G25:G27)</f>
        <v>1231562581200</v>
      </c>
      <c r="H27" s="2"/>
      <c r="I27" s="68" t="s">
        <v>115</v>
      </c>
      <c r="L27" s="69">
        <v>20000</v>
      </c>
      <c r="M27" s="66"/>
    </row>
    <row r="28" spans="1:13" x14ac:dyDescent="0.25">
      <c r="A28" s="2"/>
      <c r="B28" s="3"/>
      <c r="C28" s="67"/>
      <c r="H28" s="2"/>
      <c r="L28" s="69"/>
      <c r="M28" s="66"/>
    </row>
    <row r="29" spans="1:13" x14ac:dyDescent="0.25">
      <c r="A29" s="2"/>
      <c r="B29" s="3"/>
      <c r="C29" s="67"/>
      <c r="D29" s="2"/>
      <c r="E29" s="2"/>
      <c r="F29" s="2"/>
      <c r="G29" s="2"/>
      <c r="H29" s="2"/>
      <c r="I29" s="102" t="s">
        <v>107</v>
      </c>
      <c r="J29" s="93"/>
      <c r="K29" s="93"/>
      <c r="L29" s="94">
        <f>SUM(L23:L28)</f>
        <v>110000</v>
      </c>
      <c r="M29" s="66"/>
    </row>
    <row r="30" spans="1:13" ht="18" x14ac:dyDescent="0.4">
      <c r="A30" s="2"/>
      <c r="B30" s="3"/>
      <c r="C30" s="67"/>
      <c r="D30" s="2"/>
      <c r="E30" s="2"/>
      <c r="F30" s="2"/>
      <c r="G30" s="2"/>
      <c r="H30" s="2"/>
      <c r="I30" s="106" t="s">
        <v>119</v>
      </c>
      <c r="J30" s="2"/>
      <c r="K30" s="2"/>
      <c r="L30" s="96">
        <f ca="1">SUM(G27-L29)</f>
        <v>1231562471200</v>
      </c>
      <c r="M30" s="2"/>
    </row>
    <row r="31" spans="1:13" x14ac:dyDescent="0.25">
      <c r="A31" s="2"/>
      <c r="B31" s="3"/>
      <c r="C31" s="3"/>
      <c r="D31" s="2"/>
      <c r="E31" s="2"/>
      <c r="F31" s="2"/>
      <c r="G31" s="2"/>
      <c r="H31" s="2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A32" s="2"/>
      <c r="B32" s="52"/>
      <c r="C32" s="53" t="s">
        <v>41</v>
      </c>
      <c r="D32" s="2"/>
      <c r="E32" s="2"/>
      <c r="F32" s="2"/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B33" s="2"/>
      <c r="C33" s="2"/>
      <c r="D33" s="2"/>
      <c r="E33" s="2"/>
      <c r="F33" s="2"/>
      <c r="G33" s="2"/>
      <c r="H33" s="2"/>
      <c r="I33" s="2"/>
      <c r="J33" s="2"/>
      <c r="K33" s="2"/>
      <c r="L33" s="93"/>
      <c r="M33" s="93"/>
    </row>
    <row r="34" spans="1:13" x14ac:dyDescent="0.25">
      <c r="A34" s="2"/>
      <c r="B34" s="52"/>
      <c r="C34" s="52" t="s">
        <v>44</v>
      </c>
      <c r="D34" s="2"/>
      <c r="E34" s="2"/>
      <c r="F34" s="2"/>
      <c r="G34" s="52" t="s">
        <v>45</v>
      </c>
      <c r="H34" s="52"/>
      <c r="I34" s="52"/>
      <c r="J34" s="52" t="s">
        <v>51</v>
      </c>
      <c r="K34" s="52"/>
      <c r="L34" s="2"/>
      <c r="M34" s="2"/>
    </row>
    <row r="35" spans="1:13" x14ac:dyDescent="0.25">
      <c r="A35" s="2"/>
      <c r="B35" s="54" t="s">
        <v>46</v>
      </c>
      <c r="C35" s="52" t="s">
        <v>47</v>
      </c>
      <c r="D35" s="2"/>
      <c r="E35" s="2"/>
      <c r="F35" s="2"/>
      <c r="G35" s="52" t="s">
        <v>47</v>
      </c>
      <c r="H35" s="52"/>
      <c r="I35" s="52"/>
      <c r="J35" s="52" t="s">
        <v>48</v>
      </c>
      <c r="K35" s="5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6" sqref="H6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126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 t="s">
        <v>112</v>
      </c>
      <c r="J23" s="50"/>
      <c r="L23" s="69">
        <v>20000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 t="s">
        <v>113</v>
      </c>
      <c r="J24" s="47"/>
      <c r="L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 t="s">
        <v>114</v>
      </c>
      <c r="J25" s="47"/>
      <c r="L25" s="71">
        <v>50000</v>
      </c>
    </row>
    <row r="26" spans="1:13" x14ac:dyDescent="0.25">
      <c r="B26" s="3"/>
      <c r="C26" s="67"/>
      <c r="I26" s="68" t="s">
        <v>116</v>
      </c>
      <c r="L26" s="71">
        <v>10000</v>
      </c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1231561669800</v>
      </c>
      <c r="I27" s="68" t="s">
        <v>115</v>
      </c>
      <c r="L27" s="69">
        <v>20000</v>
      </c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110000</v>
      </c>
      <c r="M29" s="66"/>
    </row>
    <row r="30" spans="1:13" ht="18" x14ac:dyDescent="0.4">
      <c r="B30" s="3"/>
      <c r="C30" s="67"/>
      <c r="I30" s="106" t="s">
        <v>119</v>
      </c>
      <c r="L30" s="96">
        <f ca="1">SUM(G27-L29)</f>
        <v>1231561559800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3" workbookViewId="0">
      <selection activeCell="G16" sqref="G16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127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137" t="s">
        <v>69</v>
      </c>
      <c r="B15" s="138">
        <v>6</v>
      </c>
      <c r="C15" s="139" t="s">
        <v>111</v>
      </c>
      <c r="D15" s="140">
        <v>50000</v>
      </c>
      <c r="E15" s="139"/>
      <c r="F15" s="140"/>
      <c r="G15" s="141">
        <v>30000</v>
      </c>
      <c r="H15" s="141">
        <v>30000</v>
      </c>
      <c r="I15" s="141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/>
      <c r="J23" s="50"/>
      <c r="L23" s="69">
        <v>40000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/>
      <c r="J24" s="47"/>
      <c r="L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/>
      <c r="J25" s="47"/>
      <c r="L25" s="71">
        <v>30000</v>
      </c>
    </row>
    <row r="26" spans="1:13" x14ac:dyDescent="0.25">
      <c r="B26" s="3"/>
      <c r="C26" s="67"/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1231561669800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80000</v>
      </c>
      <c r="M29" s="66"/>
    </row>
    <row r="30" spans="1:13" ht="18" x14ac:dyDescent="0.4">
      <c r="B30" s="3"/>
      <c r="C30" s="67"/>
      <c r="I30" s="106" t="s">
        <v>119</v>
      </c>
      <c r="L30" s="96">
        <f ca="1">SUM(G27-L29)</f>
        <v>1231561589800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K29" sqref="K29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11.140625" style="2" customWidth="1"/>
    <col min="12" max="12" width="8.8554687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s="110" customFormat="1" ht="20.25" x14ac:dyDescent="0.2">
      <c r="A5" s="107"/>
      <c r="B5" s="107"/>
      <c r="C5" s="108" t="s">
        <v>50</v>
      </c>
      <c r="D5" s="107"/>
      <c r="E5" s="107"/>
      <c r="F5" s="107"/>
      <c r="G5" s="107"/>
      <c r="H5" s="107"/>
      <c r="I5" s="107"/>
      <c r="J5" s="109" t="s">
        <v>28</v>
      </c>
      <c r="K5" s="107"/>
      <c r="L5" s="107"/>
      <c r="M5" s="107"/>
    </row>
    <row r="6" spans="1:13" ht="21" x14ac:dyDescent="0.25">
      <c r="A6" s="74"/>
      <c r="B6" s="74"/>
      <c r="C6" s="74"/>
      <c r="D6" s="77"/>
      <c r="E6" s="77"/>
      <c r="F6" s="78" t="s">
        <v>128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142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142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143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137" t="s">
        <v>88</v>
      </c>
      <c r="B11" s="6">
        <v>4</v>
      </c>
      <c r="C11" s="7" t="s">
        <v>110</v>
      </c>
      <c r="D11" s="6">
        <v>16000</v>
      </c>
      <c r="E11" s="7"/>
      <c r="F11" s="58">
        <v>8000</v>
      </c>
      <c r="G11" s="58">
        <v>8000</v>
      </c>
      <c r="H11" s="58">
        <v>8000</v>
      </c>
      <c r="I11" s="111">
        <v>8000</v>
      </c>
      <c r="J11" s="58"/>
      <c r="K11" s="9"/>
      <c r="L11" s="9"/>
      <c r="M11" s="88"/>
    </row>
    <row r="12" spans="1:13" ht="12.95" customHeight="1" x14ac:dyDescent="0.25">
      <c r="A12" s="144" t="s">
        <v>13</v>
      </c>
      <c r="B12" s="10">
        <v>5</v>
      </c>
      <c r="C12" s="11" t="s">
        <v>81</v>
      </c>
      <c r="D12" s="9">
        <v>14000</v>
      </c>
      <c r="E12" s="11"/>
      <c r="F12" s="58">
        <v>7000</v>
      </c>
      <c r="G12" s="58">
        <v>7000</v>
      </c>
      <c r="H12" s="58">
        <v>7000</v>
      </c>
      <c r="I12" s="111">
        <v>7000</v>
      </c>
      <c r="J12" s="92"/>
      <c r="K12" s="9"/>
      <c r="L12" s="9"/>
      <c r="M12" s="88"/>
    </row>
    <row r="13" spans="1:13" ht="12.95" customHeight="1" x14ac:dyDescent="0.25">
      <c r="A13" s="137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137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137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145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144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 t="s">
        <v>121</v>
      </c>
      <c r="J23" s="50"/>
      <c r="K23" s="69">
        <v>20000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 t="s">
        <v>121</v>
      </c>
      <c r="J24" s="47"/>
      <c r="K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 t="s">
        <v>121</v>
      </c>
      <c r="J25" s="47"/>
      <c r="K25" s="71">
        <v>40000</v>
      </c>
    </row>
    <row r="26" spans="1:13" x14ac:dyDescent="0.25">
      <c r="B26" s="3"/>
      <c r="C26" s="67"/>
      <c r="I26" s="68" t="s">
        <v>121</v>
      </c>
      <c r="K26" s="71">
        <v>10000</v>
      </c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1231562320800</v>
      </c>
      <c r="I27" s="68" t="s">
        <v>121</v>
      </c>
      <c r="K27" s="69">
        <v>25000</v>
      </c>
      <c r="M27" s="66"/>
    </row>
    <row r="28" spans="1:13" x14ac:dyDescent="0.25">
      <c r="B28" s="3"/>
      <c r="C28" s="67"/>
      <c r="K28" s="69"/>
      <c r="M28" s="66"/>
    </row>
    <row r="29" spans="1:13" x14ac:dyDescent="0.25">
      <c r="B29" s="3"/>
      <c r="C29" s="67"/>
      <c r="I29" s="102" t="s">
        <v>107</v>
      </c>
      <c r="J29" s="93"/>
      <c r="K29" s="146">
        <f>SUM(K23:K28)</f>
        <v>105000</v>
      </c>
      <c r="M29" s="66"/>
    </row>
    <row r="30" spans="1:13" ht="18" x14ac:dyDescent="0.4">
      <c r="B30" s="3"/>
      <c r="C30" s="67"/>
      <c r="I30" s="106" t="s">
        <v>119</v>
      </c>
      <c r="K30" s="96">
        <f ca="1">SUM(G27-K29)</f>
        <v>1231562215800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66">
        <f ca="1">SUM(G27-K29)</f>
        <v>1231562215800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  <pageSetup orientation="landscape" horizontalDpi="0" verticalDpi="0" r:id="rId1"/>
  <ignoredErrors>
    <ignoredError sqref="C10:C19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0" workbookViewId="0">
      <selection activeCell="G29" sqref="G29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129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/>
      <c r="J23" s="50"/>
      <c r="L23" s="69">
        <v>40000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/>
      <c r="J24" s="47"/>
      <c r="L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/>
      <c r="J25" s="47"/>
      <c r="L25" s="71">
        <v>30000</v>
      </c>
    </row>
    <row r="26" spans="1:13" x14ac:dyDescent="0.25">
      <c r="B26" s="3"/>
      <c r="C26" s="67"/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1231562581200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G29" s="66"/>
      <c r="I29" s="102" t="s">
        <v>107</v>
      </c>
      <c r="J29" s="93"/>
      <c r="K29" s="93"/>
      <c r="L29" s="94">
        <f>SUM(L23:L28)</f>
        <v>80000</v>
      </c>
      <c r="M29" s="66"/>
    </row>
    <row r="30" spans="1:13" ht="18" x14ac:dyDescent="0.4">
      <c r="B30" s="3"/>
      <c r="C30" s="67"/>
      <c r="I30" s="106" t="s">
        <v>119</v>
      </c>
      <c r="L30" s="96">
        <f ca="1">SUM(G27-L29)</f>
        <v>1231562501200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J15" sqref="J15"/>
    </sheetView>
  </sheetViews>
  <sheetFormatPr defaultRowHeight="15" x14ac:dyDescent="0.25"/>
  <cols>
    <col min="1" max="1" width="16.7109375" customWidth="1"/>
    <col min="2" max="2" width="4.140625" customWidth="1"/>
    <col min="3" max="3" width="6.85546875" customWidth="1"/>
    <col min="4" max="4" width="6.140625" customWidth="1"/>
    <col min="5" max="5" width="7.28515625" customWidth="1"/>
    <col min="6" max="6" width="6.5703125" customWidth="1"/>
    <col min="7" max="7" width="13.28515625" customWidth="1"/>
    <col min="8" max="8" width="10.7109375" customWidth="1"/>
    <col min="9" max="9" width="12.42578125" customWidth="1"/>
  </cols>
  <sheetData>
    <row r="1" spans="1:13" ht="33.75" x14ac:dyDescent="0.45">
      <c r="A1" s="18"/>
      <c r="B1" s="29"/>
      <c r="E1" s="29"/>
      <c r="F1" s="55"/>
      <c r="G1" s="56" t="s">
        <v>24</v>
      </c>
      <c r="H1" s="56"/>
      <c r="I1" s="55"/>
      <c r="J1" s="18"/>
      <c r="K1" s="18"/>
      <c r="L1" s="18"/>
      <c r="M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18"/>
      <c r="K2" s="18"/>
      <c r="L2" s="18"/>
      <c r="M2" s="18"/>
    </row>
    <row r="3" spans="1:13" x14ac:dyDescent="0.25">
      <c r="A3" s="2"/>
      <c r="B3" s="2"/>
      <c r="E3" s="23"/>
      <c r="F3" s="26" t="s">
        <v>26</v>
      </c>
      <c r="G3" s="24"/>
      <c r="H3" s="24"/>
      <c r="I3" s="23"/>
      <c r="J3" s="2"/>
      <c r="K3" s="2"/>
      <c r="L3" s="2"/>
      <c r="M3" s="2"/>
    </row>
    <row r="4" spans="1:13" x14ac:dyDescent="0.25">
      <c r="A4" s="2"/>
      <c r="B4" s="2"/>
      <c r="E4" s="2"/>
      <c r="F4" s="25" t="s">
        <v>27</v>
      </c>
      <c r="G4" s="25"/>
      <c r="H4" s="22"/>
      <c r="I4" s="22"/>
      <c r="J4" s="2"/>
      <c r="K4" s="2"/>
      <c r="L4" s="2"/>
      <c r="M4" s="2"/>
    </row>
    <row r="5" spans="1:13" s="74" customFormat="1" ht="15" customHeight="1" x14ac:dyDescent="0.25">
      <c r="C5" s="75" t="s">
        <v>50</v>
      </c>
      <c r="J5" s="74" t="s">
        <v>28</v>
      </c>
    </row>
    <row r="6" spans="1:13" ht="17.25" customHeight="1" x14ac:dyDescent="0.35">
      <c r="A6" s="2"/>
      <c r="B6" s="2"/>
      <c r="C6" s="2"/>
      <c r="D6" s="27"/>
      <c r="E6" s="27"/>
      <c r="F6" s="28" t="s">
        <v>58</v>
      </c>
      <c r="G6" s="27"/>
      <c r="H6" s="27"/>
      <c r="I6" s="27"/>
      <c r="J6" s="27"/>
      <c r="K6" s="2"/>
      <c r="L6" s="2"/>
      <c r="M6" s="2"/>
    </row>
    <row r="7" spans="1:13" ht="14.1" customHeigh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1" t="s">
        <v>35</v>
      </c>
      <c r="K7" s="41" t="s">
        <v>36</v>
      </c>
      <c r="L7" s="41" t="s">
        <v>37</v>
      </c>
      <c r="M7" s="3"/>
    </row>
    <row r="8" spans="1:13" ht="14.1" customHeight="1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37"/>
      <c r="K8" s="37"/>
      <c r="L8" s="42"/>
      <c r="M8" s="38"/>
    </row>
    <row r="9" spans="1:13" ht="14.1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37"/>
      <c r="K9" s="37"/>
      <c r="L9" s="42"/>
      <c r="M9" s="38"/>
    </row>
    <row r="10" spans="1:13" ht="14.1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9"/>
      <c r="K10" s="9"/>
      <c r="L10" s="4"/>
      <c r="M10" s="2"/>
    </row>
    <row r="11" spans="1:13" ht="14.1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9"/>
      <c r="K11" s="9"/>
      <c r="L11" s="4"/>
      <c r="M11" s="2"/>
    </row>
    <row r="12" spans="1:13" ht="14.1" customHeight="1" x14ac:dyDescent="0.25">
      <c r="A12" s="32" t="s">
        <v>9</v>
      </c>
      <c r="B12" s="10">
        <v>5</v>
      </c>
      <c r="C12" s="11" t="s">
        <v>10</v>
      </c>
      <c r="D12" s="9"/>
      <c r="E12" s="11"/>
      <c r="F12" s="9"/>
      <c r="G12" s="58"/>
      <c r="H12" s="58"/>
      <c r="I12" s="58"/>
      <c r="J12" s="9"/>
      <c r="K12" s="9"/>
      <c r="L12" s="4"/>
      <c r="M12" s="2"/>
    </row>
    <row r="13" spans="1:13" ht="14.1" customHeight="1" x14ac:dyDescent="0.25">
      <c r="A13" s="32" t="s">
        <v>11</v>
      </c>
      <c r="B13" s="10">
        <v>6</v>
      </c>
      <c r="C13" s="11" t="s">
        <v>12</v>
      </c>
      <c r="D13" s="9"/>
      <c r="E13" s="11" t="s">
        <v>12</v>
      </c>
      <c r="F13" s="9"/>
      <c r="G13" s="58">
        <v>15000</v>
      </c>
      <c r="H13" s="58">
        <v>15000</v>
      </c>
      <c r="I13" s="58">
        <v>15000</v>
      </c>
      <c r="J13" s="9"/>
      <c r="K13" s="9"/>
      <c r="L13" s="4"/>
      <c r="M13" s="2"/>
    </row>
    <row r="14" spans="1:13" ht="14.1" customHeight="1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9"/>
      <c r="K14" s="9"/>
      <c r="L14" s="4"/>
      <c r="M14" s="2"/>
    </row>
    <row r="15" spans="1:13" ht="14.1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>
        <v>10000</v>
      </c>
      <c r="G15" s="58">
        <v>15000</v>
      </c>
      <c r="H15" s="58">
        <v>25000</v>
      </c>
      <c r="I15" s="58">
        <v>15000</v>
      </c>
      <c r="J15" s="9"/>
      <c r="K15" s="9"/>
      <c r="L15" s="4"/>
      <c r="M15" s="2"/>
    </row>
    <row r="16" spans="1:13" ht="14.1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9"/>
      <c r="K16" s="9"/>
      <c r="L16" s="4"/>
      <c r="M16" s="2"/>
    </row>
    <row r="17" spans="1:13" ht="14.1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9"/>
      <c r="K17" s="9"/>
      <c r="L17" s="4"/>
      <c r="M17" s="2"/>
    </row>
    <row r="18" spans="1:13" ht="14.1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>
        <v>0</v>
      </c>
      <c r="G18" s="59">
        <v>12000</v>
      </c>
      <c r="H18" s="59">
        <v>12000</v>
      </c>
      <c r="I18" s="59">
        <v>12000</v>
      </c>
      <c r="J18" s="14"/>
      <c r="K18" s="14"/>
      <c r="L18" s="4"/>
      <c r="M18" s="2"/>
    </row>
    <row r="19" spans="1:13" ht="14.1" customHeight="1" x14ac:dyDescent="0.25">
      <c r="A19" s="33" t="s">
        <v>38</v>
      </c>
      <c r="B19" s="9" t="s">
        <v>23</v>
      </c>
      <c r="C19" s="12"/>
      <c r="D19" s="9"/>
      <c r="E19" s="12"/>
      <c r="F19" s="13"/>
      <c r="G19" s="58"/>
      <c r="H19" s="58"/>
      <c r="I19" s="58"/>
      <c r="J19" s="9"/>
      <c r="K19" s="9"/>
      <c r="L19" s="4"/>
      <c r="M19" s="2"/>
    </row>
    <row r="20" spans="1:13" ht="14.1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5"/>
      <c r="K20" s="5"/>
      <c r="L20" s="4"/>
      <c r="M20" s="2"/>
    </row>
    <row r="21" spans="1:13" ht="14.1" customHeight="1" x14ac:dyDescent="0.25">
      <c r="A21" s="43" t="s">
        <v>3</v>
      </c>
      <c r="B21" s="44"/>
      <c r="C21" s="44"/>
      <c r="D21" s="44"/>
      <c r="E21" s="44"/>
      <c r="F21" s="44"/>
      <c r="G21" s="61">
        <f>SUM(G8:G20)</f>
        <v>85500</v>
      </c>
      <c r="H21" s="61">
        <f>SUM(H8:H20)</f>
        <v>95500</v>
      </c>
      <c r="I21" s="61">
        <f>SUM(I8:I20)</f>
        <v>85500</v>
      </c>
      <c r="J21" s="44"/>
      <c r="K21" s="44"/>
      <c r="L21" s="45"/>
      <c r="M21" s="46"/>
    </row>
    <row r="22" spans="1:13" ht="14.1" customHeight="1" x14ac:dyDescent="0.25">
      <c r="A22" s="35"/>
      <c r="B22" s="5"/>
      <c r="C22" s="17"/>
      <c r="D22" s="5"/>
      <c r="E22" s="17"/>
      <c r="F22" s="13"/>
      <c r="G22" s="60"/>
      <c r="H22" s="5"/>
      <c r="I22" s="5"/>
      <c r="J22" s="5"/>
      <c r="K22" s="5"/>
      <c r="L22" s="4"/>
      <c r="M22" s="2"/>
    </row>
    <row r="23" spans="1:13" ht="14.1" customHeight="1" x14ac:dyDescent="0.25">
      <c r="A23" s="2"/>
      <c r="B23" s="3" t="s">
        <v>40</v>
      </c>
      <c r="C23" s="3"/>
      <c r="D23" s="67"/>
      <c r="E23" s="67"/>
      <c r="F23" s="48"/>
      <c r="G23" s="62">
        <f>SUM(I21)</f>
        <v>85500</v>
      </c>
      <c r="H23" s="2"/>
      <c r="I23" s="2"/>
      <c r="J23" s="2"/>
      <c r="K23" s="2"/>
      <c r="L23" s="2"/>
      <c r="M23" s="2"/>
    </row>
    <row r="24" spans="1:13" s="2" customFormat="1" ht="14.1" customHeight="1" x14ac:dyDescent="0.25">
      <c r="B24" s="3" t="s">
        <v>60</v>
      </c>
      <c r="C24" s="3"/>
      <c r="D24" s="67"/>
      <c r="E24" s="67"/>
      <c r="F24" s="48"/>
      <c r="G24" s="70">
        <v>79515</v>
      </c>
    </row>
    <row r="25" spans="1:13" ht="14.1" customHeight="1" x14ac:dyDescent="0.25">
      <c r="A25" s="2"/>
      <c r="B25" s="3" t="s">
        <v>52</v>
      </c>
      <c r="C25" s="3"/>
      <c r="D25" s="67"/>
      <c r="E25" s="49"/>
      <c r="F25" s="50"/>
      <c r="G25" s="69">
        <f>SUM(I21*7%)</f>
        <v>5985.0000000000009</v>
      </c>
      <c r="H25" s="2"/>
      <c r="I25" s="66"/>
      <c r="J25" s="2"/>
      <c r="K25" s="2"/>
      <c r="L25" s="2"/>
      <c r="M25" s="2"/>
    </row>
    <row r="26" spans="1:13" ht="14.1" customHeight="1" x14ac:dyDescent="0.25">
      <c r="A26" s="2"/>
      <c r="B26" s="68" t="s">
        <v>59</v>
      </c>
      <c r="C26" s="3"/>
      <c r="D26" s="3"/>
      <c r="E26" s="3"/>
      <c r="F26" s="47"/>
      <c r="G26" s="71">
        <v>40082</v>
      </c>
      <c r="H26" s="2"/>
      <c r="I26" s="2" t="s">
        <v>56</v>
      </c>
      <c r="J26" s="2"/>
      <c r="K26" s="2"/>
      <c r="L26" s="2"/>
      <c r="M26" s="2"/>
    </row>
    <row r="27" spans="1:13" s="2" customFormat="1" ht="14.1" customHeight="1" x14ac:dyDescent="0.25">
      <c r="C27" s="2" t="s">
        <v>3</v>
      </c>
      <c r="G27" s="66">
        <f>SUM(G25:G26)</f>
        <v>46067</v>
      </c>
    </row>
    <row r="28" spans="1:13" ht="14.1" customHeight="1" x14ac:dyDescent="0.25">
      <c r="A28" s="2"/>
      <c r="B28" s="68" t="s">
        <v>57</v>
      </c>
      <c r="C28" s="3"/>
      <c r="D28" s="3"/>
      <c r="E28" s="3"/>
      <c r="F28" s="2"/>
      <c r="G28" s="2">
        <v>4650</v>
      </c>
      <c r="H28" s="2"/>
      <c r="I28" s="2"/>
      <c r="J28" s="2"/>
      <c r="K28" s="2"/>
      <c r="L28" s="2"/>
      <c r="M28" s="2"/>
    </row>
    <row r="29" spans="1:13" s="2" customFormat="1" ht="22.5" customHeight="1" x14ac:dyDescent="0.4">
      <c r="B29" s="68" t="s">
        <v>61</v>
      </c>
      <c r="C29" s="3"/>
      <c r="D29" s="3"/>
      <c r="E29" s="3"/>
      <c r="G29" s="72">
        <f>SUM(G23-G27+G28)</f>
        <v>44083</v>
      </c>
    </row>
    <row r="30" spans="1:13" ht="14.1" customHeight="1" x14ac:dyDescent="0.25">
      <c r="A30" s="52"/>
      <c r="B30" s="53" t="s">
        <v>41</v>
      </c>
      <c r="C30" s="2"/>
      <c r="D30" s="2"/>
      <c r="F30" s="52" t="s">
        <v>42</v>
      </c>
      <c r="G30" s="52"/>
      <c r="H30" s="52"/>
      <c r="I30" s="52" t="s">
        <v>43</v>
      </c>
      <c r="J30" s="2"/>
      <c r="K30" s="2"/>
      <c r="L30" s="2"/>
      <c r="M30" s="2"/>
    </row>
    <row r="31" spans="1:13" ht="14.1" customHeight="1" x14ac:dyDescent="0.25">
      <c r="A31" s="52"/>
      <c r="B31" s="52"/>
      <c r="C31" s="2"/>
      <c r="D31" s="2"/>
      <c r="F31" s="52"/>
      <c r="G31" s="52"/>
      <c r="H31" s="52"/>
      <c r="I31" s="52"/>
      <c r="J31" s="2"/>
      <c r="K31" s="2"/>
      <c r="L31" s="2"/>
      <c r="M31" s="2"/>
    </row>
    <row r="32" spans="1:13" ht="14.1" customHeight="1" x14ac:dyDescent="0.25">
      <c r="A32" s="52"/>
      <c r="B32" s="52"/>
      <c r="C32" s="2"/>
      <c r="D32" s="2"/>
      <c r="F32" s="52"/>
      <c r="G32" s="52"/>
      <c r="H32" s="52"/>
      <c r="I32" s="52"/>
      <c r="J32" s="2"/>
      <c r="K32" s="2"/>
      <c r="L32" s="2"/>
      <c r="M32" s="2"/>
    </row>
    <row r="33" spans="1:13" ht="14.1" customHeight="1" x14ac:dyDescent="0.25">
      <c r="A33" s="52"/>
      <c r="B33" s="52" t="s">
        <v>44</v>
      </c>
      <c r="C33" s="2"/>
      <c r="D33" s="2"/>
      <c r="F33" s="52" t="s">
        <v>45</v>
      </c>
      <c r="G33" s="52"/>
      <c r="H33" s="52"/>
      <c r="I33" s="52" t="s">
        <v>51</v>
      </c>
      <c r="J33" s="2"/>
      <c r="K33" s="2"/>
      <c r="L33" s="2"/>
      <c r="M33" s="2"/>
    </row>
    <row r="34" spans="1:13" ht="14.1" customHeight="1" x14ac:dyDescent="0.25">
      <c r="A34" s="54" t="s">
        <v>46</v>
      </c>
      <c r="B34" s="52" t="s">
        <v>47</v>
      </c>
      <c r="C34" s="2"/>
      <c r="D34" s="2"/>
      <c r="F34" s="52" t="s">
        <v>47</v>
      </c>
      <c r="G34" s="52"/>
      <c r="H34" s="52"/>
      <c r="I34" s="52" t="s">
        <v>48</v>
      </c>
      <c r="J34" s="2"/>
      <c r="K34" s="2"/>
      <c r="L34" s="2"/>
      <c r="M34" s="2"/>
    </row>
    <row r="35" spans="1:13" ht="14.1" customHeight="1" x14ac:dyDescent="0.25"/>
    <row r="36" spans="1:13" ht="14.1" customHeight="1" x14ac:dyDescent="0.25"/>
    <row r="37" spans="1:13" ht="14.1" customHeight="1" x14ac:dyDescent="0.25"/>
    <row r="38" spans="1:13" ht="14.1" customHeight="1" x14ac:dyDescent="0.25"/>
    <row r="39" spans="1:13" ht="14.1" customHeight="1" x14ac:dyDescent="0.25"/>
    <row r="40" spans="1:13" ht="14.1" customHeight="1" x14ac:dyDescent="0.25"/>
  </sheetData>
  <pageMargins left="0.7" right="0.7" top="0.75" bottom="0.75" header="0.3" footer="0.3"/>
  <pageSetup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36" sqref="A1:XFD1048576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12.42578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109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120</v>
      </c>
      <c r="B11" s="6">
        <v>4</v>
      </c>
      <c r="C11" s="7" t="s">
        <v>110</v>
      </c>
      <c r="D11" s="6">
        <v>16000</v>
      </c>
      <c r="E11" s="7"/>
      <c r="F11" s="8"/>
      <c r="G11" s="58">
        <v>4000</v>
      </c>
      <c r="H11" s="58">
        <v>4000</v>
      </c>
      <c r="I11" s="58">
        <v>4000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91000</v>
      </c>
      <c r="H21" s="99">
        <f>SUM(H8:H20)</f>
        <v>91000</v>
      </c>
      <c r="I21" s="99">
        <f>SUM(I8:I20)</f>
        <v>91000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>
        <f>SUM(G8:G19)</f>
        <v>91000</v>
      </c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91000</v>
      </c>
      <c r="H23" s="66"/>
      <c r="I23" s="3" t="s">
        <v>121</v>
      </c>
      <c r="J23" s="50"/>
      <c r="L23" s="69">
        <v>39000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6370.0000000000009</v>
      </c>
      <c r="H24" s="66"/>
      <c r="I24" s="68"/>
      <c r="J24" s="47"/>
      <c r="L24" s="69"/>
    </row>
    <row r="25" spans="1:13" x14ac:dyDescent="0.25">
      <c r="B25" s="3"/>
      <c r="C25" s="67"/>
      <c r="D25" s="3" t="s">
        <v>117</v>
      </c>
      <c r="E25" s="48"/>
      <c r="G25" s="70">
        <f>SUM(G23-G24)</f>
        <v>84630</v>
      </c>
      <c r="H25" s="66"/>
      <c r="I25" s="68" t="s">
        <v>122</v>
      </c>
      <c r="J25" s="47"/>
      <c r="L25" s="71">
        <v>20000</v>
      </c>
    </row>
    <row r="26" spans="1:13" x14ac:dyDescent="0.25">
      <c r="B26" s="3"/>
      <c r="C26" s="67"/>
      <c r="D26" s="68" t="s">
        <v>123</v>
      </c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>SUM(G25:G26)</f>
        <v>84630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59000</v>
      </c>
      <c r="M29" s="66"/>
    </row>
    <row r="30" spans="1:13" ht="18" x14ac:dyDescent="0.4">
      <c r="B30" s="3"/>
      <c r="C30" s="67"/>
      <c r="I30" s="106" t="s">
        <v>119</v>
      </c>
      <c r="L30" s="96">
        <f>SUM(G27-L29)</f>
        <v>25630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A18" sqref="A18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12.42578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130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120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95000</v>
      </c>
      <c r="H21" s="99">
        <f>SUM(H8:H20)</f>
        <v>95000</v>
      </c>
      <c r="I21" s="99">
        <f>SUM(I8:I20)</f>
        <v>95000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>
        <f>SUM(G8:G19)</f>
        <v>95000</v>
      </c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95000</v>
      </c>
      <c r="H23" s="66"/>
      <c r="I23" s="3" t="s">
        <v>121</v>
      </c>
      <c r="J23" s="50"/>
      <c r="L23" s="69">
        <v>39000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6650.0000000000009</v>
      </c>
      <c r="H24" s="66"/>
      <c r="I24" s="68"/>
      <c r="J24" s="47"/>
      <c r="L24" s="69"/>
    </row>
    <row r="25" spans="1:13" x14ac:dyDescent="0.25">
      <c r="B25" s="3"/>
      <c r="C25" s="67"/>
      <c r="D25" s="3" t="s">
        <v>117</v>
      </c>
      <c r="E25" s="48"/>
      <c r="G25" s="70">
        <f>SUM(G23-G24)</f>
        <v>88350</v>
      </c>
      <c r="H25" s="66"/>
      <c r="I25" s="68" t="s">
        <v>122</v>
      </c>
      <c r="J25" s="47"/>
      <c r="L25" s="71">
        <v>20000</v>
      </c>
    </row>
    <row r="26" spans="1:13" x14ac:dyDescent="0.25">
      <c r="B26" s="3"/>
      <c r="C26" s="67"/>
      <c r="D26" s="68" t="s">
        <v>123</v>
      </c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>SUM(G25:G26)</f>
        <v>88350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59000</v>
      </c>
      <c r="M29" s="66"/>
    </row>
    <row r="30" spans="1:13" ht="18" x14ac:dyDescent="0.4">
      <c r="B30" s="3"/>
      <c r="C30" s="67"/>
      <c r="I30" s="106" t="s">
        <v>119</v>
      </c>
      <c r="L30" s="96">
        <f>SUM(G27-L29)</f>
        <v>29350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C7" workbookViewId="0">
      <selection activeCell="J19" sqref="J19"/>
    </sheetView>
  </sheetViews>
  <sheetFormatPr defaultRowHeight="15" x14ac:dyDescent="0.25"/>
  <cols>
    <col min="1" max="1" width="16" customWidth="1"/>
    <col min="6" max="7" width="15" style="113" customWidth="1"/>
    <col min="9" max="9" width="12.85546875" customWidth="1"/>
    <col min="10" max="10" width="11.28515625" customWidth="1"/>
    <col min="11" max="11" width="11.5703125" customWidth="1"/>
    <col min="14" max="14" width="11.7109375" customWidth="1"/>
  </cols>
  <sheetData>
    <row r="1" spans="1:20" ht="33.75" x14ac:dyDescent="0.45">
      <c r="A1" s="18"/>
      <c r="B1" s="29"/>
      <c r="C1" s="2"/>
      <c r="D1" s="2"/>
      <c r="E1" s="29"/>
      <c r="F1" s="29"/>
      <c r="G1" s="29"/>
      <c r="H1" s="55"/>
      <c r="I1" s="56" t="s">
        <v>24</v>
      </c>
      <c r="J1" s="56"/>
      <c r="K1" s="55"/>
      <c r="L1" s="55"/>
      <c r="M1" s="18"/>
      <c r="N1" s="2"/>
      <c r="O1" s="2"/>
    </row>
    <row r="2" spans="1:20" ht="15.75" x14ac:dyDescent="0.3">
      <c r="A2" s="18"/>
      <c r="B2" s="18"/>
      <c r="C2" s="2"/>
      <c r="D2" s="2"/>
      <c r="E2" s="18"/>
      <c r="F2" s="18"/>
      <c r="G2" s="18"/>
      <c r="H2" s="20" t="s">
        <v>25</v>
      </c>
      <c r="I2" s="20"/>
      <c r="J2" s="21"/>
      <c r="K2" s="21"/>
      <c r="L2" s="21"/>
      <c r="M2" s="18"/>
      <c r="N2" s="2"/>
      <c r="O2" s="2"/>
    </row>
    <row r="3" spans="1:20" x14ac:dyDescent="0.25">
      <c r="A3" s="2"/>
      <c r="B3" s="2"/>
      <c r="C3" s="2"/>
      <c r="D3" s="2"/>
      <c r="E3" s="23"/>
      <c r="F3" s="23"/>
      <c r="G3" s="23"/>
      <c r="H3" s="26" t="s">
        <v>26</v>
      </c>
      <c r="I3" s="24"/>
      <c r="J3" s="24"/>
      <c r="K3" s="23"/>
      <c r="L3" s="23"/>
      <c r="M3" s="2"/>
      <c r="N3" s="2"/>
      <c r="O3" s="2"/>
    </row>
    <row r="4" spans="1:20" x14ac:dyDescent="0.25">
      <c r="A4" s="2"/>
      <c r="B4" s="2"/>
      <c r="C4" s="2"/>
      <c r="D4" s="2"/>
      <c r="E4" s="2"/>
      <c r="H4" s="25" t="s">
        <v>27</v>
      </c>
      <c r="I4" s="25"/>
      <c r="J4" s="22"/>
      <c r="K4" s="22"/>
      <c r="L4" s="22"/>
      <c r="M4" s="2"/>
      <c r="N4" s="2"/>
      <c r="O4" s="2"/>
    </row>
    <row r="5" spans="1:20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74"/>
      <c r="K5" s="74"/>
      <c r="L5" s="95" t="s">
        <v>28</v>
      </c>
      <c r="M5" s="74"/>
      <c r="N5" s="74"/>
      <c r="O5" s="74"/>
    </row>
    <row r="6" spans="1:20" ht="21" x14ac:dyDescent="0.25">
      <c r="A6" s="74"/>
      <c r="B6" s="74"/>
      <c r="C6" s="74"/>
      <c r="D6" s="77"/>
      <c r="E6" s="77"/>
      <c r="F6" s="77"/>
      <c r="G6" s="77"/>
      <c r="H6" s="78" t="s">
        <v>130</v>
      </c>
      <c r="I6" s="77"/>
      <c r="J6" s="77"/>
      <c r="K6" s="77"/>
      <c r="L6" s="77"/>
      <c r="M6" s="77"/>
      <c r="N6" s="74"/>
      <c r="O6" s="74"/>
    </row>
    <row r="7" spans="1:20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132</v>
      </c>
      <c r="G7" s="40" t="s">
        <v>133</v>
      </c>
      <c r="H7" s="40" t="s">
        <v>33</v>
      </c>
      <c r="I7" s="40" t="s">
        <v>2</v>
      </c>
      <c r="J7" s="41" t="s">
        <v>34</v>
      </c>
      <c r="K7" s="40" t="s">
        <v>4</v>
      </c>
      <c r="L7" s="40" t="s">
        <v>66</v>
      </c>
      <c r="M7" s="41" t="s">
        <v>35</v>
      </c>
      <c r="N7" s="41" t="s">
        <v>36</v>
      </c>
      <c r="O7" s="41" t="s">
        <v>37</v>
      </c>
    </row>
    <row r="8" spans="1:20" x14ac:dyDescent="0.25">
      <c r="A8" s="39" t="s">
        <v>93</v>
      </c>
      <c r="B8" s="36">
        <v>1</v>
      </c>
      <c r="C8" s="36"/>
      <c r="D8" s="37"/>
      <c r="E8" s="37"/>
      <c r="F8" s="37"/>
      <c r="G8" s="37"/>
      <c r="H8" s="36">
        <v>0</v>
      </c>
      <c r="I8" s="57">
        <v>7000</v>
      </c>
      <c r="J8" s="57">
        <f>H8+I8</f>
        <v>7000</v>
      </c>
      <c r="K8" s="57">
        <v>7000</v>
      </c>
      <c r="L8" s="120"/>
      <c r="M8" s="4"/>
      <c r="N8" s="122">
        <f>J8-K8</f>
        <v>0</v>
      </c>
      <c r="O8" s="4"/>
      <c r="R8" s="115"/>
      <c r="S8" s="115"/>
      <c r="T8" s="116"/>
    </row>
    <row r="9" spans="1:20" x14ac:dyDescent="0.25">
      <c r="A9" s="39" t="s">
        <v>39</v>
      </c>
      <c r="B9" s="36">
        <v>2</v>
      </c>
      <c r="C9" s="36"/>
      <c r="D9" s="37"/>
      <c r="E9" s="37"/>
      <c r="F9" s="37"/>
      <c r="G9" s="37"/>
      <c r="H9" s="36">
        <v>0</v>
      </c>
      <c r="I9" s="57">
        <v>7000</v>
      </c>
      <c r="J9" s="57">
        <f t="shared" ref="J9:J20" si="0">H9+I9</f>
        <v>7000</v>
      </c>
      <c r="K9" s="57">
        <v>7000</v>
      </c>
      <c r="L9" s="120"/>
      <c r="M9" s="4"/>
      <c r="N9" s="122">
        <f t="shared" ref="N9:N21" si="1">J9-K9</f>
        <v>0</v>
      </c>
      <c r="O9" s="4"/>
      <c r="R9" s="115"/>
      <c r="S9" s="115"/>
      <c r="T9" s="116"/>
    </row>
    <row r="10" spans="1:20" x14ac:dyDescent="0.25">
      <c r="A10" s="31" t="s">
        <v>6</v>
      </c>
      <c r="B10" s="6">
        <v>3</v>
      </c>
      <c r="C10" s="7"/>
      <c r="D10" s="6"/>
      <c r="E10" s="7"/>
      <c r="F10" s="7"/>
      <c r="G10" s="7"/>
      <c r="H10" s="8">
        <v>0</v>
      </c>
      <c r="I10" s="58">
        <v>6000</v>
      </c>
      <c r="J10" s="57">
        <f t="shared" si="0"/>
        <v>6000</v>
      </c>
      <c r="K10" s="58">
        <v>6000</v>
      </c>
      <c r="L10" s="120"/>
      <c r="M10" s="4"/>
      <c r="N10" s="122">
        <f t="shared" si="1"/>
        <v>0</v>
      </c>
      <c r="O10" s="4"/>
      <c r="R10" s="115"/>
      <c r="S10" s="112"/>
      <c r="T10" s="116"/>
    </row>
    <row r="11" spans="1:20" x14ac:dyDescent="0.25">
      <c r="A11" s="32" t="s">
        <v>120</v>
      </c>
      <c r="B11" s="6">
        <v>4</v>
      </c>
      <c r="C11" s="7"/>
      <c r="D11" s="6"/>
      <c r="E11" s="7"/>
      <c r="F11" s="7"/>
      <c r="G11" s="7"/>
      <c r="H11" s="8">
        <v>0</v>
      </c>
      <c r="I11" s="58">
        <v>8000</v>
      </c>
      <c r="J11" s="57">
        <f t="shared" si="0"/>
        <v>8000</v>
      </c>
      <c r="K11" s="58">
        <v>4500</v>
      </c>
      <c r="L11" s="120"/>
      <c r="M11" s="4"/>
      <c r="N11" s="122">
        <f t="shared" si="1"/>
        <v>3500</v>
      </c>
      <c r="O11" s="4"/>
      <c r="R11" s="115"/>
      <c r="S11" s="112"/>
      <c r="T11" s="116"/>
    </row>
    <row r="12" spans="1:20" x14ac:dyDescent="0.25">
      <c r="A12" s="33" t="s">
        <v>13</v>
      </c>
      <c r="B12" s="10">
        <v>5</v>
      </c>
      <c r="C12" s="11"/>
      <c r="D12" s="9"/>
      <c r="E12" s="11"/>
      <c r="F12" s="11"/>
      <c r="G12" s="11"/>
      <c r="H12" s="9">
        <v>0</v>
      </c>
      <c r="I12" s="58">
        <v>7000</v>
      </c>
      <c r="J12" s="57">
        <f t="shared" si="0"/>
        <v>7000</v>
      </c>
      <c r="K12" s="58">
        <v>7000</v>
      </c>
      <c r="L12" s="120"/>
      <c r="M12" s="4"/>
      <c r="N12" s="122">
        <f t="shared" si="1"/>
        <v>0</v>
      </c>
      <c r="O12" s="4"/>
      <c r="R12" s="115"/>
      <c r="S12" s="112"/>
      <c r="T12" s="116"/>
    </row>
    <row r="13" spans="1:20" x14ac:dyDescent="0.25">
      <c r="A13" s="32" t="s">
        <v>80</v>
      </c>
      <c r="B13" s="10"/>
      <c r="C13" s="11"/>
      <c r="D13" s="9"/>
      <c r="E13" s="11"/>
      <c r="F13" s="11"/>
      <c r="G13" s="11"/>
      <c r="H13" s="9">
        <v>5000</v>
      </c>
      <c r="I13" s="58">
        <v>9000</v>
      </c>
      <c r="J13" s="57">
        <f>H13+I13</f>
        <v>14000</v>
      </c>
      <c r="K13" s="58">
        <v>14000</v>
      </c>
      <c r="L13" s="120"/>
      <c r="M13" s="4"/>
      <c r="N13" s="122">
        <f t="shared" si="1"/>
        <v>0</v>
      </c>
      <c r="O13" s="4"/>
      <c r="R13" s="115"/>
      <c r="S13" s="112"/>
      <c r="T13" s="116"/>
    </row>
    <row r="14" spans="1:20" x14ac:dyDescent="0.25">
      <c r="A14" s="32" t="s">
        <v>83</v>
      </c>
      <c r="B14" s="10">
        <v>7</v>
      </c>
      <c r="C14" s="11"/>
      <c r="D14" s="9"/>
      <c r="E14" s="11"/>
      <c r="F14" s="11"/>
      <c r="G14" s="11"/>
      <c r="H14" s="9">
        <v>0</v>
      </c>
      <c r="I14" s="58">
        <v>9000</v>
      </c>
      <c r="J14" s="57">
        <f t="shared" si="0"/>
        <v>9000</v>
      </c>
      <c r="K14" s="58">
        <v>0</v>
      </c>
      <c r="L14" s="120"/>
      <c r="M14" s="4"/>
      <c r="N14" s="122">
        <f t="shared" si="1"/>
        <v>9000</v>
      </c>
      <c r="O14" s="4"/>
      <c r="R14" s="115"/>
      <c r="S14" s="112"/>
      <c r="T14" s="116"/>
    </row>
    <row r="15" spans="1:20" x14ac:dyDescent="0.25">
      <c r="A15" s="32" t="s">
        <v>69</v>
      </c>
      <c r="B15" s="10">
        <v>6</v>
      </c>
      <c r="C15" s="11"/>
      <c r="D15" s="9"/>
      <c r="E15" s="11"/>
      <c r="F15" s="11"/>
      <c r="G15" s="11"/>
      <c r="H15" s="9">
        <v>0</v>
      </c>
      <c r="I15" s="58">
        <v>30000</v>
      </c>
      <c r="J15" s="57">
        <f t="shared" si="0"/>
        <v>30000</v>
      </c>
      <c r="K15" s="58">
        <v>25000</v>
      </c>
      <c r="L15" s="120"/>
      <c r="M15" s="4"/>
      <c r="N15" s="122">
        <f t="shared" si="1"/>
        <v>5000</v>
      </c>
      <c r="O15" s="4"/>
      <c r="R15" s="115"/>
      <c r="S15" s="115"/>
      <c r="T15" s="116"/>
    </row>
    <row r="16" spans="1:20" x14ac:dyDescent="0.25">
      <c r="A16" s="32" t="s">
        <v>15</v>
      </c>
      <c r="B16" s="10" t="s">
        <v>16</v>
      </c>
      <c r="C16" s="9"/>
      <c r="D16" s="9"/>
      <c r="E16" s="9"/>
      <c r="F16" s="9"/>
      <c r="G16" s="9"/>
      <c r="H16" s="9">
        <v>0</v>
      </c>
      <c r="I16" s="58"/>
      <c r="J16" s="57">
        <f t="shared" si="0"/>
        <v>0</v>
      </c>
      <c r="K16" s="58"/>
      <c r="L16" s="120"/>
      <c r="M16" s="4"/>
      <c r="N16" s="122">
        <f t="shared" si="1"/>
        <v>0</v>
      </c>
      <c r="O16" s="4"/>
      <c r="R16" s="115"/>
      <c r="S16" s="115"/>
      <c r="T16" s="116"/>
    </row>
    <row r="17" spans="1:20" x14ac:dyDescent="0.25">
      <c r="A17" s="33" t="s">
        <v>9</v>
      </c>
      <c r="B17" s="9" t="s">
        <v>17</v>
      </c>
      <c r="C17" s="9"/>
      <c r="D17" s="9"/>
      <c r="E17" s="9"/>
      <c r="F17" s="9"/>
      <c r="G17" s="9"/>
      <c r="H17" s="9">
        <v>0</v>
      </c>
      <c r="I17" s="58"/>
      <c r="J17" s="57">
        <f t="shared" si="0"/>
        <v>0</v>
      </c>
      <c r="K17" s="58"/>
      <c r="L17" s="120"/>
      <c r="M17" s="4"/>
      <c r="N17" s="122">
        <f t="shared" si="1"/>
        <v>0</v>
      </c>
      <c r="O17" s="4"/>
      <c r="R17" s="115"/>
      <c r="S17" s="115"/>
      <c r="T17" s="116"/>
    </row>
    <row r="18" spans="1:20" ht="15.75" thickBot="1" x14ac:dyDescent="0.3">
      <c r="A18" s="33" t="s">
        <v>131</v>
      </c>
      <c r="B18" s="9" t="s">
        <v>19</v>
      </c>
      <c r="C18" s="9"/>
      <c r="D18" s="124">
        <v>34000</v>
      </c>
      <c r="E18" s="9"/>
      <c r="F18" s="9"/>
      <c r="G18" s="9"/>
      <c r="H18" s="9">
        <v>0</v>
      </c>
      <c r="I18" s="58">
        <v>17000</v>
      </c>
      <c r="J18" s="57">
        <f>I18+G18+F18+D18</f>
        <v>51000</v>
      </c>
      <c r="K18" s="58">
        <v>34000</v>
      </c>
      <c r="L18" s="120"/>
      <c r="M18" s="4"/>
      <c r="N18" s="122">
        <f>J18-K18</f>
        <v>17000</v>
      </c>
      <c r="O18" s="4"/>
      <c r="R18" s="115"/>
      <c r="S18" s="115"/>
      <c r="T18" s="117"/>
    </row>
    <row r="19" spans="1:20" ht="15.75" thickBot="1" x14ac:dyDescent="0.3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23"/>
      <c r="G19" s="123"/>
      <c r="H19" s="16"/>
      <c r="I19" s="59">
        <v>12000</v>
      </c>
      <c r="J19" s="57">
        <f t="shared" si="0"/>
        <v>12000</v>
      </c>
      <c r="K19" s="59">
        <v>12000</v>
      </c>
      <c r="L19" s="120"/>
      <c r="M19" s="4"/>
      <c r="N19" s="122">
        <f t="shared" si="1"/>
        <v>0</v>
      </c>
      <c r="O19" s="4"/>
      <c r="R19" s="115"/>
      <c r="S19" s="115"/>
      <c r="T19" s="118"/>
    </row>
    <row r="20" spans="1:20" ht="15.75" thickBot="1" x14ac:dyDescent="0.3">
      <c r="A20" s="33"/>
      <c r="B20" s="5"/>
      <c r="C20" s="5"/>
      <c r="D20" s="5"/>
      <c r="E20" s="17"/>
      <c r="F20" s="17"/>
      <c r="G20" s="17"/>
      <c r="H20" s="5"/>
      <c r="I20" s="60"/>
      <c r="J20" s="57">
        <f t="shared" si="0"/>
        <v>0</v>
      </c>
      <c r="K20" s="60"/>
      <c r="L20" s="121"/>
      <c r="M20" s="4"/>
      <c r="N20" s="122">
        <f t="shared" si="1"/>
        <v>0</v>
      </c>
      <c r="O20" s="4"/>
      <c r="R20" s="114"/>
      <c r="S20" s="114"/>
      <c r="T20" s="119"/>
    </row>
    <row r="21" spans="1:20" ht="15.75" thickTop="1" x14ac:dyDescent="0.25">
      <c r="A21" s="97" t="s">
        <v>3</v>
      </c>
      <c r="B21" s="98"/>
      <c r="C21" s="98"/>
      <c r="D21" s="98"/>
      <c r="E21" s="98"/>
      <c r="F21" s="98"/>
      <c r="G21" s="98"/>
      <c r="H21" s="98"/>
      <c r="I21" s="99">
        <f>SUM(I8:I20)</f>
        <v>112000</v>
      </c>
      <c r="J21" s="99">
        <f>SUM(J8:J20)</f>
        <v>151000</v>
      </c>
      <c r="K21" s="99">
        <f>SUM(K8:K20)</f>
        <v>116500</v>
      </c>
      <c r="L21" s="4"/>
      <c r="M21" s="4"/>
      <c r="N21" s="122">
        <f t="shared" si="1"/>
        <v>34500</v>
      </c>
      <c r="O21" s="4"/>
      <c r="R21" s="113"/>
      <c r="S21" s="113"/>
      <c r="T21" s="113"/>
    </row>
    <row r="22" spans="1:20" ht="15.75" x14ac:dyDescent="0.25">
      <c r="A22" s="2"/>
      <c r="B22" s="2"/>
      <c r="C22" s="2"/>
      <c r="D22" s="2"/>
      <c r="E22" s="104" t="s">
        <v>76</v>
      </c>
      <c r="F22" s="104"/>
      <c r="G22" s="104"/>
      <c r="H22" s="82"/>
      <c r="I22" s="83"/>
      <c r="J22" s="83">
        <f>SUM(I8:I19)</f>
        <v>112000</v>
      </c>
      <c r="K22" s="103" t="s">
        <v>73</v>
      </c>
      <c r="L22" s="48"/>
      <c r="M22" s="2"/>
      <c r="N22" s="70"/>
      <c r="O22" s="83"/>
    </row>
    <row r="23" spans="1:20" x14ac:dyDescent="0.25">
      <c r="A23" s="2"/>
      <c r="B23" s="127">
        <v>20000</v>
      </c>
      <c r="C23" s="67"/>
      <c r="D23" s="3" t="s">
        <v>118</v>
      </c>
      <c r="E23" s="48"/>
      <c r="F23" s="128">
        <v>112000</v>
      </c>
      <c r="G23" s="130">
        <v>7.0000000000000007E-2</v>
      </c>
      <c r="H23" s="2"/>
      <c r="I23" s="62">
        <v>129000</v>
      </c>
      <c r="J23" s="66"/>
      <c r="K23" s="3" t="s">
        <v>121</v>
      </c>
      <c r="L23" s="50"/>
      <c r="M23" s="2"/>
      <c r="N23" s="69">
        <v>70000</v>
      </c>
      <c r="O23" s="2"/>
    </row>
    <row r="24" spans="1:20" x14ac:dyDescent="0.25">
      <c r="A24" s="2"/>
      <c r="B24" s="3">
        <v>14000</v>
      </c>
      <c r="C24" s="67"/>
      <c r="D24" s="3" t="s">
        <v>104</v>
      </c>
      <c r="E24" s="48"/>
      <c r="F24" s="128">
        <f>F23*G23</f>
        <v>7840.0000000000009</v>
      </c>
      <c r="G24" s="126"/>
      <c r="H24" s="2"/>
      <c r="I24" s="62">
        <f>SUM(I23*7%)</f>
        <v>9030</v>
      </c>
      <c r="J24" s="66"/>
      <c r="K24" s="68" t="s">
        <v>134</v>
      </c>
      <c r="L24" s="47"/>
      <c r="M24" s="2"/>
      <c r="N24" s="69">
        <v>47700</v>
      </c>
      <c r="O24" s="2"/>
    </row>
    <row r="25" spans="1:20" x14ac:dyDescent="0.25">
      <c r="A25" s="2"/>
      <c r="B25" s="127">
        <f>SUM(B23:B24)</f>
        <v>34000</v>
      </c>
      <c r="C25" s="67"/>
      <c r="D25" s="3" t="s">
        <v>117</v>
      </c>
      <c r="E25" s="48"/>
      <c r="F25" s="128">
        <f>F23-F24</f>
        <v>104160</v>
      </c>
      <c r="G25" s="126"/>
      <c r="H25" s="2"/>
      <c r="I25" s="70">
        <f>SUM(I23-I24)</f>
        <v>119970</v>
      </c>
      <c r="J25" s="66"/>
      <c r="K25" s="68" t="s">
        <v>134</v>
      </c>
      <c r="L25" s="47"/>
      <c r="M25" s="2"/>
      <c r="N25" s="71">
        <v>3000</v>
      </c>
      <c r="O25" s="2"/>
    </row>
    <row r="26" spans="1:20" x14ac:dyDescent="0.25">
      <c r="A26" s="2"/>
      <c r="B26" s="3"/>
      <c r="C26" s="67"/>
      <c r="D26" s="68" t="s">
        <v>123</v>
      </c>
      <c r="E26" s="2"/>
      <c r="F26" s="66">
        <v>17000</v>
      </c>
      <c r="H26" s="2"/>
      <c r="I26" s="2"/>
      <c r="J26" s="2"/>
      <c r="K26" s="68"/>
      <c r="L26" s="2"/>
      <c r="M26" s="2"/>
      <c r="N26" s="71">
        <f>SUM(N23:N25)</f>
        <v>120700</v>
      </c>
      <c r="O26" s="66"/>
    </row>
    <row r="27" spans="1:20" ht="16.5" x14ac:dyDescent="0.35">
      <c r="A27" s="2"/>
      <c r="B27" s="3"/>
      <c r="C27" s="67"/>
      <c r="D27" s="3" t="s">
        <v>101</v>
      </c>
      <c r="E27" s="48"/>
      <c r="F27" s="48"/>
      <c r="G27" s="126"/>
      <c r="H27" s="2"/>
      <c r="I27" s="101">
        <f>SUM(I25:I26)</f>
        <v>119970</v>
      </c>
      <c r="J27" s="2"/>
      <c r="K27" s="68"/>
      <c r="L27" s="2"/>
      <c r="M27" s="2"/>
      <c r="N27" s="69"/>
      <c r="O27" s="66"/>
    </row>
    <row r="28" spans="1:20" x14ac:dyDescent="0.25">
      <c r="A28" s="2"/>
      <c r="B28" s="3"/>
      <c r="C28" s="67"/>
      <c r="D28" s="2"/>
      <c r="E28" s="2"/>
      <c r="F28" s="66">
        <f>F23+F26</f>
        <v>129000</v>
      </c>
      <c r="G28" s="129"/>
      <c r="H28" s="2"/>
      <c r="I28" s="2"/>
      <c r="J28" s="2"/>
      <c r="K28" s="2"/>
      <c r="L28" s="2"/>
      <c r="M28" s="2"/>
      <c r="N28" s="69"/>
      <c r="O28" s="66"/>
    </row>
    <row r="29" spans="1:20" x14ac:dyDescent="0.25">
      <c r="A29" s="2"/>
      <c r="B29" s="3"/>
      <c r="C29" s="67"/>
      <c r="D29" s="3" t="s">
        <v>121</v>
      </c>
      <c r="E29" s="50"/>
      <c r="F29" s="69">
        <v>70000</v>
      </c>
      <c r="H29" s="2"/>
      <c r="I29" s="2"/>
      <c r="J29" s="2"/>
      <c r="K29" s="102" t="s">
        <v>107</v>
      </c>
      <c r="L29" s="93"/>
      <c r="M29" s="93"/>
      <c r="N29" s="94">
        <f>SUM(N23:N28)</f>
        <v>241400</v>
      </c>
      <c r="O29" s="66"/>
    </row>
    <row r="30" spans="1:20" ht="18" x14ac:dyDescent="0.4">
      <c r="A30" s="2"/>
      <c r="B30" s="3"/>
      <c r="C30" s="67"/>
      <c r="D30" s="68" t="s">
        <v>134</v>
      </c>
      <c r="E30" s="47"/>
      <c r="F30" s="69">
        <v>47700</v>
      </c>
      <c r="H30" s="2"/>
      <c r="I30" s="2"/>
      <c r="J30" s="2"/>
      <c r="K30" s="106" t="s">
        <v>119</v>
      </c>
      <c r="L30" s="2"/>
      <c r="M30" s="2"/>
      <c r="N30" s="96">
        <f>SUM(I27-N29)</f>
        <v>-121430</v>
      </c>
      <c r="O30" s="2"/>
    </row>
    <row r="31" spans="1:20" x14ac:dyDescent="0.25">
      <c r="A31" s="2"/>
      <c r="B31" s="3"/>
      <c r="C31" s="3"/>
      <c r="D31" s="68" t="s">
        <v>134</v>
      </c>
      <c r="E31" s="47"/>
      <c r="F31" s="71">
        <v>3000</v>
      </c>
      <c r="H31" s="2"/>
      <c r="I31" s="2"/>
      <c r="J31" s="2"/>
      <c r="K31" s="2" t="s">
        <v>56</v>
      </c>
      <c r="L31" s="2" t="s">
        <v>56</v>
      </c>
      <c r="M31" s="2" t="s">
        <v>56</v>
      </c>
      <c r="N31" s="2" t="s">
        <v>56</v>
      </c>
      <c r="O31" s="2" t="s">
        <v>56</v>
      </c>
    </row>
    <row r="32" spans="1:20" x14ac:dyDescent="0.25">
      <c r="A32" s="2"/>
      <c r="B32" s="52"/>
      <c r="C32" s="53" t="s">
        <v>41</v>
      </c>
      <c r="D32" s="68"/>
      <c r="E32" s="113"/>
      <c r="F32" s="71">
        <f>SUM(F29:F31)</f>
        <v>120700</v>
      </c>
      <c r="H32" s="2"/>
      <c r="I32" s="52" t="s">
        <v>42</v>
      </c>
      <c r="J32" s="52"/>
      <c r="K32" s="52"/>
      <c r="L32" s="52" t="s">
        <v>43</v>
      </c>
      <c r="M32" s="52"/>
      <c r="N32" s="66"/>
      <c r="O32" s="66"/>
    </row>
    <row r="33" spans="1:15" x14ac:dyDescent="0.25">
      <c r="A33" s="93"/>
      <c r="B33" s="2"/>
      <c r="C33" s="113" t="s">
        <v>61</v>
      </c>
      <c r="D33" s="2"/>
      <c r="E33" s="2"/>
      <c r="F33" s="66">
        <f>F28-F32</f>
        <v>8300</v>
      </c>
      <c r="H33" s="2"/>
      <c r="I33" s="2"/>
      <c r="J33" s="2"/>
      <c r="K33" s="2"/>
      <c r="L33" s="2"/>
      <c r="M33" s="2"/>
      <c r="N33" s="93"/>
      <c r="O33" s="93"/>
    </row>
    <row r="34" spans="1:15" x14ac:dyDescent="0.25">
      <c r="A34" s="2"/>
      <c r="B34" s="52"/>
      <c r="C34" s="52" t="s">
        <v>61</v>
      </c>
      <c r="D34" s="2"/>
      <c r="E34" s="2"/>
      <c r="F34" s="131"/>
      <c r="H34" s="2"/>
      <c r="I34" s="52" t="s">
        <v>45</v>
      </c>
      <c r="J34" s="52"/>
      <c r="K34" s="52"/>
      <c r="L34" s="52" t="s">
        <v>51</v>
      </c>
      <c r="M34" s="52"/>
      <c r="N34" s="2"/>
      <c r="O34" s="2"/>
    </row>
    <row r="35" spans="1:15" x14ac:dyDescent="0.25">
      <c r="A35" s="2"/>
      <c r="B35" s="54" t="s">
        <v>46</v>
      </c>
      <c r="C35" s="52" t="s">
        <v>47</v>
      </c>
      <c r="D35" s="2"/>
      <c r="E35" s="2"/>
      <c r="H35" s="2"/>
      <c r="I35" s="52" t="s">
        <v>47</v>
      </c>
      <c r="J35" s="52"/>
      <c r="K35" s="52"/>
      <c r="L35" s="52" t="s">
        <v>48</v>
      </c>
      <c r="M35" s="52"/>
      <c r="N35" s="2"/>
      <c r="O35" s="2"/>
    </row>
    <row r="36" spans="1:15" x14ac:dyDescent="0.25">
      <c r="G36" s="113">
        <v>17000</v>
      </c>
    </row>
    <row r="37" spans="1:15" x14ac:dyDescent="0.25">
      <c r="G37" s="131">
        <f>F34-G36</f>
        <v>-17000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workbookViewId="0">
      <selection activeCell="G22" sqref="G22"/>
    </sheetView>
  </sheetViews>
  <sheetFormatPr defaultRowHeight="15" x14ac:dyDescent="0.25"/>
  <cols>
    <col min="1" max="1" width="15" customWidth="1"/>
    <col min="7" max="7" width="11.7109375" customWidth="1"/>
    <col min="8" max="8" width="12.140625" customWidth="1"/>
    <col min="11" max="11" width="11.5703125" bestFit="1" customWidth="1"/>
    <col min="12" max="12" width="12.7109375" customWidth="1"/>
  </cols>
  <sheetData>
    <row r="1" spans="1:13" ht="33.75" x14ac:dyDescent="0.45">
      <c r="A1" s="18"/>
      <c r="B1" s="29"/>
      <c r="C1" s="113"/>
      <c r="D1" s="113"/>
      <c r="E1" s="29"/>
      <c r="F1" s="55"/>
      <c r="G1" s="56" t="s">
        <v>24</v>
      </c>
      <c r="H1" s="56"/>
      <c r="I1" s="55"/>
      <c r="J1" s="55"/>
      <c r="K1" s="18"/>
      <c r="L1" s="113"/>
      <c r="M1" s="113"/>
    </row>
    <row r="2" spans="1:13" ht="15.75" x14ac:dyDescent="0.3">
      <c r="A2" s="18"/>
      <c r="B2" s="18"/>
      <c r="C2" s="113"/>
      <c r="D2" s="113"/>
      <c r="E2" s="18"/>
      <c r="F2" s="20" t="s">
        <v>25</v>
      </c>
      <c r="G2" s="20"/>
      <c r="H2" s="21"/>
      <c r="I2" s="21"/>
      <c r="J2" s="21"/>
      <c r="K2" s="18"/>
      <c r="L2" s="113"/>
      <c r="M2" s="113"/>
    </row>
    <row r="3" spans="1:13" x14ac:dyDescent="0.25">
      <c r="A3" s="113"/>
      <c r="B3" s="113"/>
      <c r="C3" s="113"/>
      <c r="D3" s="113"/>
      <c r="E3" s="23"/>
      <c r="F3" s="26" t="s">
        <v>26</v>
      </c>
      <c r="G3" s="24"/>
      <c r="H3" s="24"/>
      <c r="I3" s="23"/>
      <c r="J3" s="23"/>
      <c r="K3" s="113"/>
      <c r="L3" s="113"/>
      <c r="M3" s="113"/>
    </row>
    <row r="4" spans="1:13" x14ac:dyDescent="0.25">
      <c r="A4" s="113"/>
      <c r="B4" s="113"/>
      <c r="C4" s="113"/>
      <c r="D4" s="113"/>
      <c r="E4" s="113"/>
      <c r="F4" s="25" t="s">
        <v>27</v>
      </c>
      <c r="G4" s="25"/>
      <c r="H4" s="22"/>
      <c r="I4" s="22"/>
      <c r="J4" s="22"/>
      <c r="K4" s="113"/>
      <c r="L4" s="113"/>
      <c r="M4" s="113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130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/>
      <c r="D8" s="37"/>
      <c r="E8" s="37"/>
      <c r="F8" s="36">
        <v>0</v>
      </c>
      <c r="G8" s="57" t="s">
        <v>123</v>
      </c>
      <c r="H8" s="57"/>
      <c r="I8" s="57">
        <v>7000</v>
      </c>
      <c r="J8" s="120"/>
      <c r="K8" s="4"/>
      <c r="L8" s="122" t="s">
        <v>136</v>
      </c>
      <c r="M8" s="4"/>
    </row>
    <row r="9" spans="1:13" x14ac:dyDescent="0.25">
      <c r="A9" s="39" t="s">
        <v>39</v>
      </c>
      <c r="B9" s="36">
        <v>2</v>
      </c>
      <c r="C9" s="36"/>
      <c r="D9" s="37"/>
      <c r="E9" s="37"/>
      <c r="F9" s="36">
        <v>0</v>
      </c>
      <c r="G9" s="57">
        <v>7000</v>
      </c>
      <c r="H9" s="57">
        <f t="shared" ref="H9:H20" si="0">F9+G9</f>
        <v>7000</v>
      </c>
      <c r="I9" s="57">
        <v>7000</v>
      </c>
      <c r="J9" s="120"/>
      <c r="K9" s="4"/>
      <c r="L9" s="122">
        <f t="shared" ref="L9:L21" si="1">H9-I9</f>
        <v>0</v>
      </c>
      <c r="M9" s="4"/>
    </row>
    <row r="10" spans="1:13" x14ac:dyDescent="0.25">
      <c r="A10" s="31" t="s">
        <v>6</v>
      </c>
      <c r="B10" s="6">
        <v>3</v>
      </c>
      <c r="C10" s="7"/>
      <c r="D10" s="6"/>
      <c r="E10" s="7"/>
      <c r="F10" s="8">
        <v>0</v>
      </c>
      <c r="G10" s="58">
        <v>6000</v>
      </c>
      <c r="H10" s="57">
        <f t="shared" si="0"/>
        <v>6000</v>
      </c>
      <c r="I10" s="58">
        <v>6000</v>
      </c>
      <c r="J10" s="120"/>
      <c r="K10" s="4"/>
      <c r="L10" s="122">
        <f t="shared" si="1"/>
        <v>0</v>
      </c>
      <c r="M10" s="4"/>
    </row>
    <row r="11" spans="1:13" x14ac:dyDescent="0.25">
      <c r="A11" s="32" t="s">
        <v>120</v>
      </c>
      <c r="B11" s="6">
        <v>4</v>
      </c>
      <c r="C11" s="7"/>
      <c r="D11" s="6"/>
      <c r="E11" s="7"/>
      <c r="F11" s="8">
        <v>0</v>
      </c>
      <c r="G11" s="58">
        <v>8000</v>
      </c>
      <c r="H11" s="57">
        <f t="shared" si="0"/>
        <v>8000</v>
      </c>
      <c r="I11" s="58">
        <v>4500</v>
      </c>
      <c r="J11" s="120"/>
      <c r="K11" s="4"/>
      <c r="L11" s="122">
        <f t="shared" si="1"/>
        <v>3500</v>
      </c>
      <c r="M11" s="4"/>
    </row>
    <row r="12" spans="1:13" x14ac:dyDescent="0.25">
      <c r="A12" s="33" t="s">
        <v>13</v>
      </c>
      <c r="B12" s="10">
        <v>5</v>
      </c>
      <c r="C12" s="11"/>
      <c r="D12" s="9"/>
      <c r="E12" s="11"/>
      <c r="F12" s="9">
        <v>0</v>
      </c>
      <c r="G12" s="58">
        <v>7000</v>
      </c>
      <c r="H12" s="57">
        <f t="shared" si="0"/>
        <v>7000</v>
      </c>
      <c r="I12" s="58">
        <v>7000</v>
      </c>
      <c r="J12" s="120"/>
      <c r="K12" s="4"/>
      <c r="L12" s="122">
        <f t="shared" si="1"/>
        <v>0</v>
      </c>
      <c r="M12" s="4"/>
    </row>
    <row r="13" spans="1:13" x14ac:dyDescent="0.25">
      <c r="A13" s="32" t="s">
        <v>80</v>
      </c>
      <c r="B13" s="10"/>
      <c r="C13" s="11"/>
      <c r="D13" s="9"/>
      <c r="E13" s="11"/>
      <c r="F13" s="9">
        <v>5000</v>
      </c>
      <c r="G13" s="58">
        <v>9000</v>
      </c>
      <c r="H13" s="57">
        <f>F13+G13</f>
        <v>14000</v>
      </c>
      <c r="I13" s="58">
        <v>14000</v>
      </c>
      <c r="J13" s="120"/>
      <c r="K13" s="4"/>
      <c r="L13" s="122">
        <f t="shared" si="1"/>
        <v>0</v>
      </c>
      <c r="M13" s="4"/>
    </row>
    <row r="14" spans="1:13" x14ac:dyDescent="0.25">
      <c r="A14" s="32" t="s">
        <v>83</v>
      </c>
      <c r="B14" s="10">
        <v>7</v>
      </c>
      <c r="C14" s="11"/>
      <c r="D14" s="9"/>
      <c r="E14" s="11"/>
      <c r="F14" s="9">
        <v>0</v>
      </c>
      <c r="G14" s="58">
        <v>9000</v>
      </c>
      <c r="H14" s="57">
        <f t="shared" si="0"/>
        <v>9000</v>
      </c>
      <c r="I14" s="58">
        <v>0</v>
      </c>
      <c r="J14" s="120"/>
      <c r="K14" s="4"/>
      <c r="L14" s="122">
        <f t="shared" si="1"/>
        <v>9000</v>
      </c>
      <c r="M14" s="4"/>
    </row>
    <row r="15" spans="1:13" x14ac:dyDescent="0.25">
      <c r="A15" s="32" t="s">
        <v>69</v>
      </c>
      <c r="B15" s="10">
        <v>6</v>
      </c>
      <c r="C15" s="11"/>
      <c r="D15" s="9"/>
      <c r="E15" s="11"/>
      <c r="F15" s="9">
        <v>0</v>
      </c>
      <c r="G15" s="58">
        <v>25000</v>
      </c>
      <c r="H15" s="57">
        <f t="shared" si="0"/>
        <v>25000</v>
      </c>
      <c r="I15" s="58">
        <v>25000</v>
      </c>
      <c r="J15" s="120"/>
      <c r="K15" s="4"/>
      <c r="L15" s="122">
        <f t="shared" si="1"/>
        <v>0</v>
      </c>
      <c r="M15" s="4"/>
    </row>
    <row r="16" spans="1:13" x14ac:dyDescent="0.25">
      <c r="A16" s="32" t="s">
        <v>79</v>
      </c>
      <c r="B16" s="10" t="s">
        <v>16</v>
      </c>
      <c r="C16" s="9"/>
      <c r="D16" s="9"/>
      <c r="E16" s="9"/>
      <c r="F16" s="9">
        <v>0</v>
      </c>
      <c r="G16" s="58">
        <v>0</v>
      </c>
      <c r="H16" s="57">
        <f t="shared" si="0"/>
        <v>0</v>
      </c>
      <c r="I16" s="58"/>
      <c r="J16" s="120"/>
      <c r="K16" s="4"/>
      <c r="L16" s="122">
        <f t="shared" si="1"/>
        <v>0</v>
      </c>
      <c r="M16" s="4"/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>
        <v>0</v>
      </c>
      <c r="G17" s="58">
        <v>0</v>
      </c>
      <c r="H17" s="57">
        <f t="shared" si="0"/>
        <v>0</v>
      </c>
      <c r="I17" s="58"/>
      <c r="J17" s="120"/>
      <c r="K17" s="4"/>
      <c r="L17" s="122">
        <f t="shared" si="1"/>
        <v>0</v>
      </c>
      <c r="M17" s="4"/>
    </row>
    <row r="18" spans="1:13" x14ac:dyDescent="0.25">
      <c r="A18" s="33" t="s">
        <v>131</v>
      </c>
      <c r="B18" s="9" t="s">
        <v>19</v>
      </c>
      <c r="C18" s="9"/>
      <c r="D18" s="9"/>
      <c r="E18" s="9"/>
      <c r="F18" s="9"/>
      <c r="G18" s="58">
        <v>0</v>
      </c>
      <c r="H18" s="57">
        <v>0</v>
      </c>
      <c r="I18" s="58"/>
      <c r="J18" s="120"/>
      <c r="K18" s="4"/>
      <c r="L18" s="122">
        <f t="shared" si="1"/>
        <v>0</v>
      </c>
      <c r="M18" s="4"/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7">
        <f t="shared" si="0"/>
        <v>12000</v>
      </c>
      <c r="I19" s="59">
        <v>12000</v>
      </c>
      <c r="J19" s="120"/>
      <c r="K19" s="4"/>
      <c r="L19" s="122">
        <f t="shared" si="1"/>
        <v>0</v>
      </c>
      <c r="M19" s="4"/>
    </row>
    <row r="20" spans="1:13" x14ac:dyDescent="0.25">
      <c r="A20" s="33"/>
      <c r="B20" s="5"/>
      <c r="C20" s="5"/>
      <c r="D20" s="5"/>
      <c r="E20" s="17"/>
      <c r="F20" s="5"/>
      <c r="G20" s="60"/>
      <c r="H20" s="57">
        <f t="shared" si="0"/>
        <v>0</v>
      </c>
      <c r="I20" s="60"/>
      <c r="J20" s="121"/>
      <c r="K20" s="4"/>
      <c r="L20" s="122">
        <f t="shared" si="1"/>
        <v>0</v>
      </c>
      <c r="M20" s="4"/>
    </row>
    <row r="21" spans="1:13" x14ac:dyDescent="0.25">
      <c r="A21" s="97" t="s">
        <v>3</v>
      </c>
      <c r="B21" s="98"/>
      <c r="C21" s="98"/>
      <c r="D21" s="98"/>
      <c r="E21" s="98"/>
      <c r="F21" s="98"/>
      <c r="G21" s="99">
        <f>SUM(G8:G20)</f>
        <v>83000</v>
      </c>
      <c r="H21" s="99">
        <f>SUM(H8:H20)</f>
        <v>88000</v>
      </c>
      <c r="I21" s="99">
        <f>SUM(I8:I20)</f>
        <v>82500</v>
      </c>
      <c r="J21" s="4"/>
      <c r="K21" s="4"/>
      <c r="L21" s="122">
        <f t="shared" si="1"/>
        <v>5500</v>
      </c>
      <c r="M21" s="4"/>
    </row>
    <row r="22" spans="1:13" ht="15.75" x14ac:dyDescent="0.25">
      <c r="A22" s="113"/>
      <c r="B22" s="113"/>
      <c r="C22" s="113"/>
      <c r="D22" s="113"/>
      <c r="E22" s="104" t="s">
        <v>76</v>
      </c>
      <c r="F22" s="82"/>
      <c r="G22" s="83"/>
      <c r="H22" s="83"/>
      <c r="I22" s="113" t="s">
        <v>40</v>
      </c>
      <c r="K22" s="132">
        <v>77190</v>
      </c>
      <c r="L22" s="70"/>
      <c r="M22" s="83"/>
    </row>
    <row r="23" spans="1:13" x14ac:dyDescent="0.25">
      <c r="A23" s="113"/>
      <c r="B23" s="3"/>
      <c r="C23" s="67"/>
      <c r="D23" s="3" t="s">
        <v>118</v>
      </c>
      <c r="E23" s="48"/>
      <c r="F23" s="113"/>
      <c r="G23" s="62">
        <f>G21</f>
        <v>83000</v>
      </c>
      <c r="H23" s="66"/>
      <c r="I23" s="103" t="s">
        <v>73</v>
      </c>
      <c r="J23" s="48"/>
      <c r="K23" s="132">
        <v>100110</v>
      </c>
      <c r="L23" s="69"/>
      <c r="M23" s="113"/>
    </row>
    <row r="24" spans="1:13" x14ac:dyDescent="0.25">
      <c r="A24" s="113"/>
      <c r="B24" s="3"/>
      <c r="C24" s="67"/>
      <c r="D24" s="3" t="s">
        <v>104</v>
      </c>
      <c r="E24" s="48"/>
      <c r="F24" s="113"/>
      <c r="G24" s="62">
        <f>SUM(G23*7%)</f>
        <v>5810.0000000000009</v>
      </c>
      <c r="H24" s="66"/>
      <c r="I24" s="68" t="s">
        <v>61</v>
      </c>
      <c r="J24" s="47"/>
      <c r="K24" s="66">
        <f>K22-K23</f>
        <v>-22920</v>
      </c>
      <c r="L24" s="69"/>
      <c r="M24" s="113"/>
    </row>
    <row r="25" spans="1:13" x14ac:dyDescent="0.25">
      <c r="A25" s="113"/>
      <c r="B25" s="3"/>
      <c r="C25" s="67"/>
      <c r="D25" s="3" t="s">
        <v>117</v>
      </c>
      <c r="E25" s="48"/>
      <c r="F25" s="113"/>
      <c r="G25" s="70">
        <f>SUM(G23-G24)</f>
        <v>77190</v>
      </c>
      <c r="H25" s="66"/>
      <c r="I25" s="68"/>
      <c r="J25" s="47"/>
      <c r="K25" s="113"/>
      <c r="L25" s="125"/>
      <c r="M25" s="113"/>
    </row>
    <row r="26" spans="1:13" x14ac:dyDescent="0.25">
      <c r="A26" s="113"/>
      <c r="B26" s="3"/>
      <c r="C26" s="67"/>
      <c r="D26" s="68"/>
      <c r="E26" s="113"/>
      <c r="F26" s="113"/>
      <c r="G26" s="113"/>
      <c r="H26" s="113"/>
      <c r="I26" s="68"/>
      <c r="J26" s="113"/>
      <c r="K26" s="113"/>
      <c r="L26" s="71"/>
      <c r="M26" s="66"/>
    </row>
    <row r="27" spans="1:13" ht="16.5" x14ac:dyDescent="0.35">
      <c r="A27" s="113"/>
      <c r="B27" s="3"/>
      <c r="C27" s="67"/>
      <c r="D27" s="3" t="s">
        <v>101</v>
      </c>
      <c r="E27" s="48"/>
      <c r="F27" s="113"/>
      <c r="G27" s="101">
        <f>SUM(G25:G26)</f>
        <v>77190</v>
      </c>
      <c r="H27" s="113"/>
      <c r="I27" s="68"/>
      <c r="J27" s="113"/>
      <c r="K27" s="113"/>
      <c r="L27" s="69"/>
      <c r="M27" s="66"/>
    </row>
    <row r="28" spans="1:13" x14ac:dyDescent="0.25">
      <c r="A28" s="113"/>
      <c r="B28" s="3"/>
      <c r="C28" s="67"/>
      <c r="D28" s="113"/>
      <c r="E28" s="113"/>
      <c r="F28" s="113"/>
      <c r="G28" s="113"/>
      <c r="H28" s="113"/>
      <c r="I28" s="113"/>
      <c r="J28" s="113"/>
      <c r="K28" s="113"/>
      <c r="L28" s="69"/>
      <c r="M28" s="66"/>
    </row>
    <row r="29" spans="1:13" x14ac:dyDescent="0.25">
      <c r="A29" s="113"/>
      <c r="B29" s="3"/>
      <c r="C29" s="67"/>
      <c r="D29" s="3" t="s">
        <v>121</v>
      </c>
      <c r="E29" s="50"/>
      <c r="F29" s="113"/>
      <c r="G29" s="69">
        <v>70000</v>
      </c>
      <c r="H29" s="113"/>
      <c r="I29" s="102"/>
      <c r="J29" s="93"/>
      <c r="K29" s="93"/>
      <c r="L29" s="94"/>
      <c r="M29" s="66"/>
    </row>
    <row r="30" spans="1:13" ht="18" x14ac:dyDescent="0.4">
      <c r="A30" s="113"/>
      <c r="B30" s="3"/>
      <c r="C30" s="67"/>
      <c r="D30" s="68" t="s">
        <v>121</v>
      </c>
      <c r="E30" s="47"/>
      <c r="F30" s="113"/>
      <c r="G30" s="69">
        <v>30110</v>
      </c>
      <c r="H30" s="113"/>
      <c r="I30" s="106"/>
      <c r="J30" s="113"/>
      <c r="K30" s="113"/>
      <c r="L30" s="96"/>
      <c r="M30" s="113"/>
    </row>
    <row r="31" spans="1:13" x14ac:dyDescent="0.25">
      <c r="A31" s="113"/>
      <c r="B31" s="3"/>
      <c r="C31" s="3"/>
      <c r="D31" s="113"/>
      <c r="E31" s="113"/>
      <c r="F31" s="113"/>
      <c r="G31" s="66">
        <f>SUM(G29:G30)</f>
        <v>100110</v>
      </c>
      <c r="H31" s="113"/>
      <c r="I31" s="113" t="s">
        <v>56</v>
      </c>
      <c r="J31" s="113" t="s">
        <v>56</v>
      </c>
      <c r="K31" s="113" t="s">
        <v>56</v>
      </c>
      <c r="L31" s="113"/>
      <c r="M31" s="113" t="s">
        <v>56</v>
      </c>
    </row>
    <row r="32" spans="1:13" x14ac:dyDescent="0.25">
      <c r="A32" s="113"/>
      <c r="B32" s="52"/>
      <c r="C32" s="53" t="s">
        <v>41</v>
      </c>
      <c r="D32" s="113"/>
      <c r="E32" s="113"/>
      <c r="F32" s="113"/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93"/>
      <c r="M33" s="93"/>
    </row>
    <row r="34" spans="1:13" x14ac:dyDescent="0.25">
      <c r="A34" s="113"/>
      <c r="B34" s="52"/>
      <c r="C34" s="52" t="s">
        <v>44</v>
      </c>
      <c r="D34" s="113"/>
      <c r="E34" s="113"/>
      <c r="F34" s="113"/>
      <c r="G34" s="52" t="s">
        <v>45</v>
      </c>
      <c r="H34" s="52"/>
      <c r="I34" s="52"/>
      <c r="J34" s="52" t="s">
        <v>51</v>
      </c>
      <c r="K34" s="52"/>
      <c r="L34" s="113"/>
      <c r="M34" s="113"/>
    </row>
    <row r="35" spans="1:13" x14ac:dyDescent="0.25">
      <c r="A35" s="113"/>
      <c r="B35" s="54" t="s">
        <v>46</v>
      </c>
      <c r="C35" s="52" t="s">
        <v>47</v>
      </c>
      <c r="D35" s="113"/>
      <c r="E35" s="113"/>
      <c r="F35" s="113"/>
      <c r="G35" s="52" t="s">
        <v>47</v>
      </c>
      <c r="H35" s="52"/>
      <c r="I35" s="52"/>
      <c r="J35" s="52" t="s">
        <v>48</v>
      </c>
      <c r="K35" s="52"/>
      <c r="L35" s="113"/>
      <c r="M35" s="113"/>
    </row>
    <row r="36" spans="1:13" x14ac:dyDescent="0.25">
      <c r="A36" s="113"/>
      <c r="B36" s="113"/>
      <c r="C36" s="113" t="s">
        <v>135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</row>
    <row r="37" spans="1:13" x14ac:dyDescent="0.25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</row>
    <row r="38" spans="1:13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13" sqref="H13"/>
    </sheetView>
  </sheetViews>
  <sheetFormatPr defaultRowHeight="15" x14ac:dyDescent="0.25"/>
  <cols>
    <col min="1" max="1" width="12.5703125" style="113" customWidth="1"/>
    <col min="2" max="2" width="14.7109375" bestFit="1" customWidth="1"/>
    <col min="3" max="3" width="10" customWidth="1"/>
    <col min="4" max="4" width="12.28515625" customWidth="1"/>
    <col min="5" max="5" width="12.140625" customWidth="1"/>
    <col min="6" max="6" width="14" bestFit="1" customWidth="1"/>
    <col min="8" max="8" width="12.28515625" customWidth="1"/>
    <col min="9" max="9" width="11.5703125" customWidth="1"/>
    <col min="11" max="11" width="9.5703125" bestFit="1" customWidth="1"/>
  </cols>
  <sheetData>
    <row r="1" spans="1:11" x14ac:dyDescent="0.25">
      <c r="B1" s="18"/>
      <c r="C1" s="21"/>
      <c r="D1" s="155"/>
      <c r="E1" s="160" t="s">
        <v>24</v>
      </c>
      <c r="F1" s="160"/>
      <c r="G1" s="155"/>
      <c r="H1" s="156"/>
    </row>
    <row r="2" spans="1:11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56"/>
    </row>
    <row r="3" spans="1:11" ht="17.25" x14ac:dyDescent="0.25">
      <c r="B3" s="113"/>
      <c r="C3" s="156"/>
      <c r="D3" s="161" t="s">
        <v>155</v>
      </c>
      <c r="E3" s="21"/>
      <c r="F3" s="21"/>
      <c r="G3" s="156"/>
      <c r="H3" s="156"/>
    </row>
    <row r="4" spans="1:11" x14ac:dyDescent="0.25">
      <c r="B4" s="113"/>
      <c r="C4" s="156"/>
      <c r="D4" s="157" t="s">
        <v>27</v>
      </c>
      <c r="E4" s="157"/>
      <c r="F4" s="21"/>
      <c r="G4" s="21"/>
      <c r="H4" s="156"/>
    </row>
    <row r="5" spans="1:11" ht="23.25" x14ac:dyDescent="0.35">
      <c r="A5" s="133" t="s">
        <v>140</v>
      </c>
      <c r="B5" s="134"/>
      <c r="C5" s="134"/>
      <c r="D5" s="135"/>
      <c r="E5" s="136"/>
      <c r="F5" s="136"/>
      <c r="I5" s="77"/>
    </row>
    <row r="6" spans="1:11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36</v>
      </c>
    </row>
    <row r="7" spans="1:11" x14ac:dyDescent="0.25">
      <c r="A7" s="39" t="s">
        <v>79</v>
      </c>
      <c r="B7" s="36">
        <v>1</v>
      </c>
      <c r="C7" s="36">
        <v>0</v>
      </c>
      <c r="D7" s="57">
        <v>0</v>
      </c>
      <c r="E7" s="57"/>
      <c r="F7" s="57"/>
      <c r="G7" s="122"/>
    </row>
    <row r="8" spans="1:11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11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11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11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11" x14ac:dyDescent="0.25">
      <c r="A12" s="32" t="s">
        <v>80</v>
      </c>
      <c r="B12" s="10"/>
      <c r="C12" s="9">
        <v>0</v>
      </c>
      <c r="D12" s="58">
        <v>9000</v>
      </c>
      <c r="E12" s="57">
        <f t="shared" si="0"/>
        <v>9000</v>
      </c>
      <c r="F12" s="58"/>
      <c r="G12" s="122"/>
    </row>
    <row r="13" spans="1:11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  <c r="H13" s="129"/>
      <c r="I13" s="66"/>
      <c r="K13" s="66"/>
    </row>
    <row r="14" spans="1:11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11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11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10" x14ac:dyDescent="0.25">
      <c r="A17" s="33" t="s">
        <v>131</v>
      </c>
      <c r="B17" s="9" t="s">
        <v>19</v>
      </c>
      <c r="C17" s="9">
        <v>7000</v>
      </c>
      <c r="D17" s="58">
        <v>17000</v>
      </c>
      <c r="E17" s="57">
        <v>17000</v>
      </c>
      <c r="F17" s="58"/>
      <c r="G17" s="122"/>
    </row>
    <row r="18" spans="1:10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10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10" x14ac:dyDescent="0.25">
      <c r="A20" s="97" t="s">
        <v>3</v>
      </c>
      <c r="B20" s="98"/>
      <c r="C20" s="98"/>
      <c r="D20" s="99">
        <f>SUM(D7:D19)</f>
        <v>100000</v>
      </c>
      <c r="E20" s="99">
        <f>SUM(E7:E19)</f>
        <v>100000</v>
      </c>
      <c r="F20" s="99"/>
      <c r="G20" s="122"/>
    </row>
    <row r="21" spans="1:10" x14ac:dyDescent="0.25">
      <c r="B21" s="113"/>
      <c r="C21" s="113"/>
    </row>
    <row r="22" spans="1:10" ht="15.75" x14ac:dyDescent="0.25">
      <c r="B22" s="104" t="s">
        <v>76</v>
      </c>
      <c r="C22" s="82"/>
      <c r="D22" s="83"/>
      <c r="E22" s="83"/>
      <c r="F22" s="103" t="s">
        <v>73</v>
      </c>
      <c r="G22" s="48"/>
      <c r="H22" s="70"/>
    </row>
    <row r="23" spans="1:10" x14ac:dyDescent="0.25">
      <c r="A23" s="3" t="s">
        <v>118</v>
      </c>
      <c r="B23" s="48"/>
      <c r="C23" s="62">
        <f>D20</f>
        <v>100000</v>
      </c>
      <c r="D23" s="66"/>
      <c r="E23" s="3" t="s">
        <v>121</v>
      </c>
      <c r="F23" s="69">
        <v>40110</v>
      </c>
    </row>
    <row r="24" spans="1:10" x14ac:dyDescent="0.25">
      <c r="A24" s="68" t="s">
        <v>141</v>
      </c>
      <c r="B24" s="113"/>
      <c r="C24" s="113">
        <v>7000</v>
      </c>
      <c r="D24" s="66"/>
      <c r="E24" s="68" t="s">
        <v>137</v>
      </c>
      <c r="F24" s="69">
        <v>22920</v>
      </c>
    </row>
    <row r="25" spans="1:10" ht="16.5" x14ac:dyDescent="0.35">
      <c r="A25" s="3" t="s">
        <v>101</v>
      </c>
      <c r="B25" s="48"/>
      <c r="C25" s="101">
        <f>C23+C24</f>
        <v>107000</v>
      </c>
      <c r="D25" s="66"/>
      <c r="E25" s="68" t="s">
        <v>138</v>
      </c>
      <c r="F25" s="125">
        <v>7000</v>
      </c>
    </row>
    <row r="26" spans="1:10" x14ac:dyDescent="0.25">
      <c r="D26" s="113"/>
      <c r="E26" s="68" t="s">
        <v>121</v>
      </c>
      <c r="F26" s="71">
        <v>37000</v>
      </c>
    </row>
    <row r="27" spans="1:10" x14ac:dyDescent="0.25">
      <c r="D27" s="113"/>
      <c r="E27" s="68" t="s">
        <v>121</v>
      </c>
      <c r="F27" s="69">
        <v>20000</v>
      </c>
    </row>
    <row r="28" spans="1:10" x14ac:dyDescent="0.25">
      <c r="B28" s="113"/>
      <c r="C28" s="113"/>
      <c r="D28" s="113"/>
      <c r="E28" s="68" t="s">
        <v>157</v>
      </c>
      <c r="F28" s="69">
        <f>SUM(F23:F27)</f>
        <v>127030</v>
      </c>
    </row>
    <row r="29" spans="1:10" x14ac:dyDescent="0.25">
      <c r="B29" s="113"/>
      <c r="C29" s="113"/>
      <c r="D29" s="113"/>
      <c r="E29" s="102" t="s">
        <v>137</v>
      </c>
      <c r="F29" s="94">
        <f>C25-F28</f>
        <v>-20030</v>
      </c>
    </row>
    <row r="30" spans="1:10" ht="18" x14ac:dyDescent="0.4">
      <c r="B30" s="113"/>
      <c r="C30" s="113"/>
      <c r="D30" s="113"/>
      <c r="E30" s="106"/>
      <c r="F30" s="113"/>
      <c r="G30" s="96"/>
    </row>
    <row r="31" spans="1:10" x14ac:dyDescent="0.25">
      <c r="B31" s="113"/>
      <c r="C31" s="113"/>
      <c r="D31" s="113"/>
      <c r="E31" s="113" t="s">
        <v>56</v>
      </c>
      <c r="F31" s="113" t="s">
        <v>56</v>
      </c>
      <c r="G31" s="113" t="s">
        <v>56</v>
      </c>
      <c r="J31" s="113"/>
    </row>
    <row r="32" spans="1:10" x14ac:dyDescent="0.25">
      <c r="A32" s="53" t="s">
        <v>41</v>
      </c>
      <c r="B32" s="113"/>
      <c r="C32" s="52" t="s">
        <v>42</v>
      </c>
      <c r="D32" s="52"/>
      <c r="E32" s="52"/>
      <c r="F32" s="52" t="s">
        <v>43</v>
      </c>
      <c r="G32" s="52"/>
      <c r="J32" s="66"/>
    </row>
    <row r="33" spans="1:10" x14ac:dyDescent="0.25">
      <c r="B33" s="113"/>
      <c r="C33" s="113"/>
      <c r="D33" s="113"/>
      <c r="E33" s="113"/>
      <c r="F33" s="113"/>
      <c r="G33" s="113"/>
      <c r="J33" s="93"/>
    </row>
    <row r="34" spans="1:10" x14ac:dyDescent="0.25">
      <c r="A34" s="52" t="s">
        <v>139</v>
      </c>
      <c r="B34" s="113"/>
      <c r="C34" s="52" t="s">
        <v>45</v>
      </c>
      <c r="D34" s="52"/>
      <c r="E34" s="52"/>
      <c r="F34" s="52" t="s">
        <v>51</v>
      </c>
      <c r="G34" s="52"/>
      <c r="J34" s="113"/>
    </row>
    <row r="35" spans="1:10" x14ac:dyDescent="0.25">
      <c r="A35" s="52" t="s">
        <v>47</v>
      </c>
      <c r="B35" s="113"/>
      <c r="C35" s="52" t="s">
        <v>47</v>
      </c>
      <c r="D35" s="52"/>
      <c r="E35" s="52"/>
      <c r="F35" s="52" t="s">
        <v>48</v>
      </c>
      <c r="G35" s="52"/>
      <c r="J35" s="113"/>
    </row>
  </sheetData>
  <pageMargins left="0.7" right="0.7" top="0.75" bottom="0.75" header="0.3" footer="0.3"/>
  <pageSetup orientation="portrait" horizontalDpi="120" verticalDpi="7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7" workbookViewId="0">
      <selection activeCell="F12" sqref="F12"/>
    </sheetView>
  </sheetViews>
  <sheetFormatPr defaultRowHeight="15" x14ac:dyDescent="0.25"/>
  <cols>
    <col min="1" max="1" width="15" customWidth="1"/>
    <col min="3" max="3" width="11" customWidth="1"/>
    <col min="4" max="4" width="10.5703125" customWidth="1"/>
    <col min="5" max="5" width="16.5703125" customWidth="1"/>
    <col min="6" max="6" width="11.7109375" customWidth="1"/>
    <col min="11" max="11" width="13.140625" customWidth="1"/>
  </cols>
  <sheetData>
    <row r="2" spans="1:8" x14ac:dyDescent="0.25">
      <c r="A2" s="113"/>
      <c r="B2" s="18"/>
      <c r="C2" s="21"/>
      <c r="D2" s="155"/>
      <c r="E2" s="160" t="s">
        <v>24</v>
      </c>
      <c r="F2" s="160"/>
      <c r="G2" s="155"/>
      <c r="H2" s="156"/>
    </row>
    <row r="3" spans="1:8" ht="18.75" x14ac:dyDescent="0.3">
      <c r="A3" s="158" t="s">
        <v>154</v>
      </c>
      <c r="B3" s="159"/>
      <c r="C3" s="21"/>
      <c r="D3" s="161" t="s">
        <v>156</v>
      </c>
      <c r="E3" s="161"/>
      <c r="F3" s="21"/>
      <c r="G3" s="21"/>
      <c r="H3" s="156"/>
    </row>
    <row r="4" spans="1:8" ht="17.25" x14ac:dyDescent="0.25">
      <c r="A4" s="113"/>
      <c r="B4" s="113"/>
      <c r="C4" s="156"/>
      <c r="D4" s="161" t="s">
        <v>155</v>
      </c>
      <c r="E4" s="21"/>
      <c r="F4" s="21"/>
      <c r="G4" s="156"/>
      <c r="H4" s="156"/>
    </row>
    <row r="5" spans="1:8" x14ac:dyDescent="0.25">
      <c r="A5" s="113"/>
      <c r="B5" s="113"/>
      <c r="C5" s="156"/>
      <c r="D5" s="157" t="s">
        <v>27</v>
      </c>
      <c r="E5" s="157"/>
      <c r="F5" s="21"/>
      <c r="G5" s="21"/>
      <c r="H5" s="156"/>
    </row>
    <row r="6" spans="1:8" ht="23.25" x14ac:dyDescent="0.35">
      <c r="A6" s="133" t="s">
        <v>159</v>
      </c>
      <c r="B6" s="134"/>
      <c r="C6" s="134"/>
      <c r="D6" s="135"/>
      <c r="E6" s="136"/>
      <c r="F6" s="136"/>
      <c r="G6" s="113"/>
    </row>
    <row r="7" spans="1:8" x14ac:dyDescent="0.25">
      <c r="A7" s="40" t="s">
        <v>0</v>
      </c>
      <c r="B7" s="73" t="s">
        <v>1</v>
      </c>
      <c r="C7" s="40" t="s">
        <v>123</v>
      </c>
      <c r="D7" s="40" t="s">
        <v>2</v>
      </c>
      <c r="E7" s="41" t="s">
        <v>34</v>
      </c>
      <c r="F7" s="40" t="s">
        <v>4</v>
      </c>
      <c r="G7" s="41" t="s">
        <v>36</v>
      </c>
    </row>
    <row r="8" spans="1:8" x14ac:dyDescent="0.25">
      <c r="A8" s="39" t="s">
        <v>143</v>
      </c>
      <c r="B8" s="36">
        <v>1</v>
      </c>
      <c r="C8" s="36">
        <v>9000</v>
      </c>
      <c r="D8" s="57">
        <v>4500</v>
      </c>
      <c r="E8" s="57">
        <v>4500</v>
      </c>
      <c r="F8" s="57"/>
      <c r="G8" s="122"/>
    </row>
    <row r="9" spans="1:8" x14ac:dyDescent="0.25">
      <c r="A9" s="39" t="s">
        <v>39</v>
      </c>
      <c r="B9" s="36">
        <v>2</v>
      </c>
      <c r="C9" s="36">
        <v>0</v>
      </c>
      <c r="D9" s="57">
        <v>7000</v>
      </c>
      <c r="E9" s="57">
        <f t="shared" ref="E9:E17" si="0">C9+D9</f>
        <v>7000</v>
      </c>
      <c r="F9" s="57"/>
      <c r="G9" s="122"/>
    </row>
    <row r="10" spans="1:8" x14ac:dyDescent="0.25">
      <c r="A10" s="31" t="s">
        <v>6</v>
      </c>
      <c r="B10" s="6">
        <v>3</v>
      </c>
      <c r="C10" s="8">
        <v>0</v>
      </c>
      <c r="D10" s="58">
        <v>6000</v>
      </c>
      <c r="E10" s="57">
        <f t="shared" si="0"/>
        <v>6000</v>
      </c>
      <c r="F10" s="58"/>
      <c r="G10" s="122"/>
    </row>
    <row r="11" spans="1:8" x14ac:dyDescent="0.25">
      <c r="A11" s="32" t="s">
        <v>120</v>
      </c>
      <c r="B11" s="6">
        <v>4</v>
      </c>
      <c r="C11" s="8">
        <v>0</v>
      </c>
      <c r="D11" s="58">
        <v>8000</v>
      </c>
      <c r="E11" s="57">
        <f t="shared" si="0"/>
        <v>8000</v>
      </c>
      <c r="F11" s="58"/>
      <c r="G11" s="122"/>
    </row>
    <row r="12" spans="1:8" x14ac:dyDescent="0.25">
      <c r="A12" s="33" t="s">
        <v>13</v>
      </c>
      <c r="B12" s="10">
        <v>5</v>
      </c>
      <c r="C12" s="9">
        <v>0</v>
      </c>
      <c r="D12" s="58">
        <v>7000</v>
      </c>
      <c r="E12" s="57">
        <f t="shared" si="0"/>
        <v>7000</v>
      </c>
      <c r="F12" s="58"/>
      <c r="G12" s="122"/>
    </row>
    <row r="13" spans="1:8" x14ac:dyDescent="0.25">
      <c r="A13" s="32" t="s">
        <v>80</v>
      </c>
      <c r="B13" s="10"/>
      <c r="C13" s="9">
        <v>0</v>
      </c>
      <c r="D13" s="58">
        <v>9000</v>
      </c>
      <c r="E13" s="57"/>
      <c r="F13" s="58"/>
      <c r="G13" s="122"/>
    </row>
    <row r="14" spans="1:8" x14ac:dyDescent="0.25">
      <c r="A14" s="32" t="s">
        <v>83</v>
      </c>
      <c r="B14" s="10">
        <v>7</v>
      </c>
      <c r="C14" s="9">
        <v>0</v>
      </c>
      <c r="D14" s="58">
        <v>9000</v>
      </c>
      <c r="E14" s="57">
        <f t="shared" si="0"/>
        <v>9000</v>
      </c>
      <c r="F14" s="58"/>
      <c r="G14" s="122"/>
    </row>
    <row r="15" spans="1:8" x14ac:dyDescent="0.25">
      <c r="A15" s="32" t="s">
        <v>69</v>
      </c>
      <c r="B15" s="10">
        <v>6</v>
      </c>
      <c r="C15" s="9">
        <v>0</v>
      </c>
      <c r="D15" s="58">
        <v>25000</v>
      </c>
      <c r="E15" s="57">
        <f t="shared" si="0"/>
        <v>25000</v>
      </c>
      <c r="F15" s="58"/>
      <c r="G15" s="122"/>
    </row>
    <row r="16" spans="1:8" x14ac:dyDescent="0.25">
      <c r="A16" s="32" t="s">
        <v>79</v>
      </c>
      <c r="B16" s="10" t="s">
        <v>16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8" x14ac:dyDescent="0.25">
      <c r="A17" s="33" t="s">
        <v>9</v>
      </c>
      <c r="B17" s="9" t="s">
        <v>17</v>
      </c>
      <c r="C17" s="9">
        <v>0</v>
      </c>
      <c r="D17" s="58">
        <v>0</v>
      </c>
      <c r="E17" s="57">
        <f t="shared" si="0"/>
        <v>0</v>
      </c>
      <c r="F17" s="58"/>
      <c r="G17" s="122"/>
    </row>
    <row r="18" spans="1:8" x14ac:dyDescent="0.25">
      <c r="A18" s="33" t="s">
        <v>131</v>
      </c>
      <c r="B18" s="9" t="s">
        <v>19</v>
      </c>
      <c r="C18" s="9"/>
      <c r="D18" s="58">
        <v>17000</v>
      </c>
      <c r="E18" s="57"/>
      <c r="F18" s="58"/>
      <c r="G18" s="122"/>
    </row>
    <row r="19" spans="1:8" x14ac:dyDescent="0.25">
      <c r="A19" s="34" t="s">
        <v>20</v>
      </c>
      <c r="B19" s="14" t="s">
        <v>21</v>
      </c>
      <c r="C19" s="16"/>
      <c r="D19" s="59">
        <v>12000</v>
      </c>
      <c r="E19" s="57">
        <f>C19+D19</f>
        <v>12000</v>
      </c>
      <c r="F19" s="59"/>
      <c r="G19" s="122"/>
    </row>
    <row r="20" spans="1:8" x14ac:dyDescent="0.25">
      <c r="A20" s="33"/>
      <c r="B20" s="5"/>
      <c r="C20" s="5"/>
      <c r="D20" s="60"/>
      <c r="E20" s="57">
        <f>C20+D20</f>
        <v>0</v>
      </c>
      <c r="F20" s="60"/>
      <c r="G20" s="122">
        <f>E20-F20</f>
        <v>0</v>
      </c>
    </row>
    <row r="21" spans="1:8" x14ac:dyDescent="0.25">
      <c r="A21" s="97" t="s">
        <v>3</v>
      </c>
      <c r="B21" s="98"/>
      <c r="C21" s="98">
        <f>SUM(C8:C20)</f>
        <v>9000</v>
      </c>
      <c r="D21" s="99">
        <f>SUM(D8:D20)</f>
        <v>104500</v>
      </c>
      <c r="E21" s="99">
        <f>SUM(E8:E20)</f>
        <v>78500</v>
      </c>
      <c r="F21" s="99"/>
      <c r="G21" s="122"/>
    </row>
    <row r="22" spans="1:8" x14ac:dyDescent="0.25">
      <c r="A22" s="113"/>
      <c r="B22" s="113"/>
      <c r="C22" s="113"/>
      <c r="D22" s="113"/>
      <c r="E22" s="113"/>
      <c r="F22" s="113"/>
      <c r="G22" s="113"/>
    </row>
    <row r="23" spans="1:8" ht="15.75" x14ac:dyDescent="0.25">
      <c r="A23" s="113"/>
      <c r="B23" s="104" t="s">
        <v>76</v>
      </c>
      <c r="C23" s="82"/>
      <c r="D23" s="83"/>
      <c r="E23" s="83"/>
      <c r="G23" s="48"/>
      <c r="H23" s="131"/>
    </row>
    <row r="24" spans="1:8" x14ac:dyDescent="0.25">
      <c r="A24" s="3" t="s">
        <v>118</v>
      </c>
      <c r="B24" s="48"/>
      <c r="C24" s="62">
        <f>E21</f>
        <v>78500</v>
      </c>
      <c r="D24" s="66"/>
      <c r="G24" s="113"/>
    </row>
    <row r="25" spans="1:8" x14ac:dyDescent="0.25">
      <c r="A25" s="68" t="s">
        <v>145</v>
      </c>
      <c r="B25" s="113"/>
      <c r="C25" s="113">
        <v>9000</v>
      </c>
      <c r="D25" s="66"/>
      <c r="G25" s="113"/>
      <c r="H25" s="131"/>
    </row>
    <row r="26" spans="1:8" ht="16.5" x14ac:dyDescent="0.35">
      <c r="A26" s="23" t="s">
        <v>147</v>
      </c>
      <c r="B26" s="48"/>
      <c r="C26" s="101">
        <f>SUM(C24:C25)</f>
        <v>87500</v>
      </c>
      <c r="D26" s="66"/>
      <c r="G26" s="113"/>
    </row>
    <row r="27" spans="1:8" x14ac:dyDescent="0.25">
      <c r="D27" s="113"/>
      <c r="G27" s="113"/>
    </row>
    <row r="28" spans="1:8" x14ac:dyDescent="0.25">
      <c r="A28" s="3" t="s">
        <v>146</v>
      </c>
      <c r="B28" s="48"/>
      <c r="C28" s="62">
        <f>SUM(C24*7%)</f>
        <v>5495.0000000000009</v>
      </c>
      <c r="D28" s="113"/>
      <c r="G28" s="113"/>
    </row>
    <row r="29" spans="1:8" x14ac:dyDescent="0.25">
      <c r="A29" s="3" t="s">
        <v>101</v>
      </c>
      <c r="B29" s="113"/>
      <c r="C29" s="66">
        <f>C26-C28</f>
        <v>82005</v>
      </c>
      <c r="D29" s="113"/>
      <c r="G29" s="113"/>
    </row>
    <row r="30" spans="1:8" x14ac:dyDescent="0.25">
      <c r="A30" s="103" t="s">
        <v>73</v>
      </c>
      <c r="B30" s="113"/>
      <c r="C30" s="113"/>
      <c r="D30" s="113"/>
      <c r="F30" s="94"/>
      <c r="G30" s="113"/>
    </row>
    <row r="31" spans="1:8" ht="18" x14ac:dyDescent="0.4">
      <c r="A31" s="68" t="s">
        <v>137</v>
      </c>
      <c r="C31" s="69">
        <v>20030</v>
      </c>
      <c r="D31" s="113"/>
      <c r="E31" s="106"/>
      <c r="F31" s="113"/>
      <c r="G31" s="96"/>
    </row>
    <row r="32" spans="1:8" x14ac:dyDescent="0.25">
      <c r="A32" s="3" t="s">
        <v>142</v>
      </c>
      <c r="C32" s="131">
        <v>50000</v>
      </c>
      <c r="D32" s="113"/>
      <c r="E32" s="113" t="s">
        <v>56</v>
      </c>
      <c r="F32" s="113" t="s">
        <v>56</v>
      </c>
      <c r="G32" s="113" t="s">
        <v>56</v>
      </c>
    </row>
    <row r="33" spans="1:7" x14ac:dyDescent="0.25">
      <c r="A33" s="148" t="s">
        <v>144</v>
      </c>
      <c r="C33" s="125">
        <v>20000</v>
      </c>
      <c r="G33" s="52"/>
    </row>
    <row r="34" spans="1:7" x14ac:dyDescent="0.25">
      <c r="A34" s="147" t="s">
        <v>3</v>
      </c>
      <c r="C34" s="125">
        <f>SUM(C31:C33)</f>
        <v>90030</v>
      </c>
      <c r="G34" s="113"/>
    </row>
    <row r="35" spans="1:7" x14ac:dyDescent="0.25">
      <c r="A35" s="149" t="s">
        <v>61</v>
      </c>
      <c r="C35" s="150">
        <f>C29-C34</f>
        <v>-8025</v>
      </c>
      <c r="G35" s="52"/>
    </row>
    <row r="36" spans="1:7" x14ac:dyDescent="0.25">
      <c r="A36" s="113"/>
      <c r="B36" s="69"/>
      <c r="G36" s="52"/>
    </row>
    <row r="40" spans="1:7" x14ac:dyDescent="0.25">
      <c r="A40" s="53" t="s">
        <v>41</v>
      </c>
      <c r="B40" s="113"/>
      <c r="C40" s="52" t="s">
        <v>42</v>
      </c>
      <c r="D40" s="52"/>
      <c r="E40" s="52"/>
      <c r="F40" s="52" t="s">
        <v>43</v>
      </c>
    </row>
    <row r="41" spans="1:7" x14ac:dyDescent="0.25">
      <c r="A41" s="113"/>
      <c r="B41" s="113"/>
      <c r="C41" s="113"/>
      <c r="D41" s="113"/>
      <c r="E41" s="113"/>
      <c r="F41" s="113"/>
    </row>
    <row r="42" spans="1:7" x14ac:dyDescent="0.25">
      <c r="A42" s="52" t="s">
        <v>148</v>
      </c>
      <c r="B42" s="113"/>
      <c r="C42" s="52" t="s">
        <v>45</v>
      </c>
      <c r="D42" s="52"/>
      <c r="E42" s="52"/>
      <c r="F42" s="52" t="s">
        <v>51</v>
      </c>
    </row>
    <row r="43" spans="1:7" x14ac:dyDescent="0.25">
      <c r="A43" s="52" t="s">
        <v>47</v>
      </c>
      <c r="B43" s="113"/>
      <c r="C43" s="52" t="s">
        <v>47</v>
      </c>
      <c r="D43" s="52"/>
      <c r="E43" s="52"/>
      <c r="F43" s="52" t="s">
        <v>48</v>
      </c>
    </row>
  </sheetData>
  <pageMargins left="0.7" right="0.7" top="0.75" bottom="0.75" header="0.3" footer="0.3"/>
  <pageSetup orientation="portrait" horizontalDpi="120" verticalDpi="7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workbookViewId="0">
      <selection sqref="A1:H40"/>
    </sheetView>
  </sheetViews>
  <sheetFormatPr defaultRowHeight="15" x14ac:dyDescent="0.25"/>
  <cols>
    <col min="1" max="1" width="15" customWidth="1"/>
    <col min="3" max="3" width="12.7109375" customWidth="1"/>
    <col min="4" max="4" width="10.5703125" customWidth="1"/>
    <col min="5" max="5" width="10.85546875" customWidth="1"/>
  </cols>
  <sheetData>
    <row r="2" spans="1:8" x14ac:dyDescent="0.25">
      <c r="A2" s="113"/>
      <c r="B2" s="18"/>
      <c r="C2" s="21"/>
      <c r="D2" s="155"/>
      <c r="E2" s="160" t="s">
        <v>24</v>
      </c>
      <c r="F2" s="160"/>
      <c r="G2" s="155"/>
      <c r="H2" s="156"/>
    </row>
    <row r="3" spans="1:8" ht="18.75" x14ac:dyDescent="0.3">
      <c r="A3" s="158" t="s">
        <v>154</v>
      </c>
      <c r="B3" s="159"/>
      <c r="C3" s="21"/>
      <c r="D3" s="161" t="s">
        <v>156</v>
      </c>
      <c r="E3" s="161"/>
      <c r="F3" s="21"/>
      <c r="G3" s="21"/>
      <c r="H3" s="156"/>
    </row>
    <row r="4" spans="1:8" ht="17.25" x14ac:dyDescent="0.25">
      <c r="A4" s="113"/>
      <c r="B4" s="113"/>
      <c r="C4" s="156"/>
      <c r="D4" s="161" t="s">
        <v>155</v>
      </c>
      <c r="E4" s="21"/>
      <c r="F4" s="21"/>
      <c r="G4" s="156"/>
      <c r="H4" s="156"/>
    </row>
    <row r="5" spans="1:8" x14ac:dyDescent="0.25">
      <c r="A5" s="113"/>
      <c r="B5" s="113"/>
      <c r="C5" s="156"/>
      <c r="D5" s="157" t="s">
        <v>27</v>
      </c>
      <c r="E5" s="157"/>
      <c r="F5" s="21"/>
      <c r="G5" s="21"/>
      <c r="H5" s="156"/>
    </row>
    <row r="6" spans="1:8" ht="23.25" x14ac:dyDescent="0.35">
      <c r="A6" s="162" t="s">
        <v>153</v>
      </c>
      <c r="B6" s="163"/>
      <c r="C6" s="163"/>
      <c r="D6" s="164"/>
      <c r="E6" s="77"/>
      <c r="F6" s="77"/>
      <c r="G6" s="156"/>
    </row>
    <row r="7" spans="1:8" x14ac:dyDescent="0.25">
      <c r="A7" s="40" t="s">
        <v>0</v>
      </c>
      <c r="B7" s="73" t="s">
        <v>1</v>
      </c>
      <c r="C7" s="40" t="s">
        <v>123</v>
      </c>
      <c r="D7" s="40" t="s">
        <v>2</v>
      </c>
      <c r="E7" s="41" t="s">
        <v>34</v>
      </c>
      <c r="F7" s="40" t="s">
        <v>4</v>
      </c>
      <c r="G7" s="41" t="s">
        <v>36</v>
      </c>
    </row>
    <row r="8" spans="1:8" x14ac:dyDescent="0.25">
      <c r="A8" s="39" t="s">
        <v>79</v>
      </c>
      <c r="B8" s="36">
        <v>1</v>
      </c>
      <c r="C8" s="36"/>
      <c r="D8" s="57"/>
      <c r="E8" s="57"/>
      <c r="F8" s="57"/>
      <c r="G8" s="122"/>
    </row>
    <row r="9" spans="1:8" x14ac:dyDescent="0.25">
      <c r="A9" s="39" t="s">
        <v>39</v>
      </c>
      <c r="B9" s="36">
        <v>2</v>
      </c>
      <c r="C9" s="36">
        <v>0</v>
      </c>
      <c r="D9" s="57">
        <v>7000</v>
      </c>
      <c r="E9" s="57">
        <f t="shared" ref="E9:E17" si="0">C9+D9</f>
        <v>7000</v>
      </c>
      <c r="F9" s="57"/>
      <c r="G9" s="122"/>
    </row>
    <row r="10" spans="1:8" x14ac:dyDescent="0.25">
      <c r="A10" s="31" t="s">
        <v>6</v>
      </c>
      <c r="B10" s="6">
        <v>3</v>
      </c>
      <c r="C10" s="8">
        <v>0</v>
      </c>
      <c r="D10" s="58">
        <v>6000</v>
      </c>
      <c r="E10" s="57">
        <f t="shared" si="0"/>
        <v>6000</v>
      </c>
      <c r="F10" s="58"/>
      <c r="G10" s="122"/>
    </row>
    <row r="11" spans="1:8" x14ac:dyDescent="0.25">
      <c r="A11" s="32" t="s">
        <v>120</v>
      </c>
      <c r="B11" s="6">
        <v>4</v>
      </c>
      <c r="C11" s="8">
        <v>0</v>
      </c>
      <c r="D11" s="58">
        <v>8000</v>
      </c>
      <c r="E11" s="57">
        <f t="shared" si="0"/>
        <v>8000</v>
      </c>
      <c r="F11" s="58"/>
      <c r="G11" s="122"/>
    </row>
    <row r="12" spans="1:8" x14ac:dyDescent="0.25">
      <c r="A12" s="33" t="s">
        <v>13</v>
      </c>
      <c r="B12" s="10">
        <v>5</v>
      </c>
      <c r="C12" s="9">
        <v>0</v>
      </c>
      <c r="D12" s="58">
        <v>7000</v>
      </c>
      <c r="E12" s="57">
        <f t="shared" si="0"/>
        <v>7000</v>
      </c>
      <c r="F12" s="58"/>
      <c r="G12" s="122"/>
    </row>
    <row r="13" spans="1:8" x14ac:dyDescent="0.25">
      <c r="A13" s="32" t="s">
        <v>80</v>
      </c>
      <c r="B13" s="10"/>
      <c r="C13" s="9">
        <v>0</v>
      </c>
      <c r="D13" s="58"/>
      <c r="E13" s="57"/>
      <c r="F13" s="58"/>
      <c r="G13" s="122"/>
    </row>
    <row r="14" spans="1:8" x14ac:dyDescent="0.25">
      <c r="A14" s="32" t="s">
        <v>83</v>
      </c>
      <c r="B14" s="10">
        <v>7</v>
      </c>
      <c r="C14" s="9">
        <v>0</v>
      </c>
      <c r="D14" s="58">
        <v>9000</v>
      </c>
      <c r="E14" s="57">
        <f t="shared" si="0"/>
        <v>9000</v>
      </c>
      <c r="F14" s="58"/>
      <c r="G14" s="122"/>
    </row>
    <row r="15" spans="1:8" x14ac:dyDescent="0.25">
      <c r="A15" s="32" t="s">
        <v>69</v>
      </c>
      <c r="B15" s="10">
        <v>6</v>
      </c>
      <c r="C15" s="9">
        <v>0</v>
      </c>
      <c r="D15" s="58">
        <v>25000</v>
      </c>
      <c r="E15" s="57">
        <f t="shared" si="0"/>
        <v>25000</v>
      </c>
      <c r="F15" s="58"/>
      <c r="G15" s="122"/>
    </row>
    <row r="16" spans="1:8" x14ac:dyDescent="0.25">
      <c r="A16" s="32" t="s">
        <v>79</v>
      </c>
      <c r="B16" s="10" t="s">
        <v>16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9</v>
      </c>
      <c r="B17" s="9" t="s">
        <v>17</v>
      </c>
      <c r="C17" s="9">
        <v>0</v>
      </c>
      <c r="D17" s="58">
        <v>0</v>
      </c>
      <c r="E17" s="57">
        <f t="shared" si="0"/>
        <v>0</v>
      </c>
      <c r="F17" s="58"/>
      <c r="G17" s="122"/>
    </row>
    <row r="18" spans="1:7" x14ac:dyDescent="0.25">
      <c r="A18" s="33" t="s">
        <v>131</v>
      </c>
      <c r="B18" s="9" t="s">
        <v>19</v>
      </c>
      <c r="C18" s="9"/>
      <c r="D18" s="58">
        <v>34000</v>
      </c>
      <c r="E18" s="57"/>
      <c r="F18" s="58"/>
      <c r="G18" s="122"/>
    </row>
    <row r="19" spans="1:7" x14ac:dyDescent="0.25">
      <c r="A19" s="34" t="s">
        <v>20</v>
      </c>
      <c r="B19" s="14" t="s">
        <v>21</v>
      </c>
      <c r="C19" s="16"/>
      <c r="D19" s="59">
        <v>12000</v>
      </c>
      <c r="E19" s="57">
        <f>C19+D19</f>
        <v>12000</v>
      </c>
      <c r="F19" s="59"/>
      <c r="G19" s="122"/>
    </row>
    <row r="20" spans="1:7" x14ac:dyDescent="0.25">
      <c r="A20" s="33"/>
      <c r="B20" s="5"/>
      <c r="C20" s="5"/>
      <c r="D20" s="60"/>
      <c r="E20" s="57">
        <f>C20+D20</f>
        <v>0</v>
      </c>
      <c r="F20" s="60"/>
      <c r="G20" s="122">
        <f>E20-F20</f>
        <v>0</v>
      </c>
    </row>
    <row r="21" spans="1:7" x14ac:dyDescent="0.25">
      <c r="A21" s="97" t="s">
        <v>3</v>
      </c>
      <c r="B21" s="98"/>
      <c r="C21" s="98">
        <f>SUM(C8:C20)</f>
        <v>0</v>
      </c>
      <c r="D21" s="99">
        <f>SUM(D8:D20)</f>
        <v>108000</v>
      </c>
      <c r="E21" s="99">
        <f>SUM(E8:E20)</f>
        <v>74000</v>
      </c>
      <c r="F21" s="99"/>
      <c r="G21" s="122"/>
    </row>
    <row r="22" spans="1:7" x14ac:dyDescent="0.25">
      <c r="A22" s="113"/>
      <c r="B22" s="113"/>
      <c r="C22" s="113"/>
      <c r="D22" s="113"/>
      <c r="E22" s="113"/>
      <c r="F22" s="113"/>
      <c r="G22" s="113"/>
    </row>
    <row r="23" spans="1:7" ht="15.75" x14ac:dyDescent="0.25">
      <c r="A23" s="113"/>
      <c r="B23" s="104" t="s">
        <v>76</v>
      </c>
      <c r="C23" s="82"/>
      <c r="D23" s="83"/>
      <c r="E23" s="83"/>
      <c r="F23" s="103" t="s">
        <v>73</v>
      </c>
      <c r="G23" s="48"/>
    </row>
    <row r="24" spans="1:7" x14ac:dyDescent="0.25">
      <c r="A24" s="3" t="s">
        <v>118</v>
      </c>
      <c r="B24" s="48"/>
      <c r="C24" s="62">
        <f>D21</f>
        <v>108000</v>
      </c>
      <c r="D24" s="66"/>
      <c r="E24" s="68"/>
      <c r="F24" s="69"/>
      <c r="G24" s="113"/>
    </row>
    <row r="25" spans="1:7" x14ac:dyDescent="0.25">
      <c r="A25" s="68"/>
      <c r="B25" s="113"/>
      <c r="C25" s="113"/>
      <c r="D25" s="66"/>
      <c r="E25" s="3"/>
      <c r="F25" s="131"/>
      <c r="G25" s="113"/>
    </row>
    <row r="26" spans="1:7" ht="16.5" x14ac:dyDescent="0.35">
      <c r="A26" s="23" t="s">
        <v>147</v>
      </c>
      <c r="B26" s="48"/>
      <c r="C26" s="101">
        <f>SUM(C24:C25)</f>
        <v>108000</v>
      </c>
      <c r="D26" s="66"/>
      <c r="E26" s="148"/>
      <c r="F26" s="125"/>
      <c r="G26" s="113"/>
    </row>
    <row r="27" spans="1:7" x14ac:dyDescent="0.25">
      <c r="A27" s="165" t="s">
        <v>158</v>
      </c>
      <c r="B27" s="113"/>
      <c r="C27" s="113"/>
      <c r="D27" s="113"/>
      <c r="E27" s="147"/>
      <c r="F27" s="125"/>
      <c r="G27" s="113"/>
    </row>
    <row r="28" spans="1:7" x14ac:dyDescent="0.25">
      <c r="A28" s="3" t="s">
        <v>146</v>
      </c>
      <c r="B28" s="48"/>
      <c r="C28" s="151">
        <f>SUM(C24*7%)</f>
        <v>7560.0000000000009</v>
      </c>
      <c r="D28" s="113"/>
      <c r="E28" s="149"/>
      <c r="F28" s="150"/>
      <c r="G28" s="113"/>
    </row>
    <row r="29" spans="1:7" x14ac:dyDescent="0.25">
      <c r="A29" s="3" t="s">
        <v>149</v>
      </c>
      <c r="B29" s="113"/>
      <c r="C29" s="132">
        <v>60280</v>
      </c>
      <c r="D29" s="113"/>
      <c r="E29" s="113"/>
      <c r="F29" s="94"/>
      <c r="G29" s="113"/>
    </row>
    <row r="30" spans="1:7" ht="18" x14ac:dyDescent="0.4">
      <c r="A30" s="3" t="s">
        <v>150</v>
      </c>
      <c r="B30" s="113"/>
      <c r="C30" s="132">
        <v>10110</v>
      </c>
      <c r="D30" s="113"/>
      <c r="E30" s="106"/>
      <c r="F30" s="113"/>
      <c r="G30" s="96"/>
    </row>
    <row r="31" spans="1:7" x14ac:dyDescent="0.25">
      <c r="A31" s="3" t="s">
        <v>151</v>
      </c>
      <c r="B31" s="113"/>
      <c r="C31" s="66">
        <v>30000</v>
      </c>
      <c r="D31" s="113"/>
      <c r="E31" s="113" t="s">
        <v>56</v>
      </c>
      <c r="F31" s="113" t="s">
        <v>56</v>
      </c>
      <c r="G31" s="113" t="s">
        <v>56</v>
      </c>
    </row>
    <row r="32" spans="1:7" s="113" customFormat="1" x14ac:dyDescent="0.25">
      <c r="A32" s="3" t="s">
        <v>160</v>
      </c>
      <c r="C32" s="66">
        <v>8025</v>
      </c>
    </row>
    <row r="33" spans="1:7" s="113" customFormat="1" x14ac:dyDescent="0.25"/>
    <row r="34" spans="1:7" x14ac:dyDescent="0.25">
      <c r="A34" s="152" t="s">
        <v>152</v>
      </c>
      <c r="B34" s="153"/>
      <c r="C34" s="154">
        <f>SUM(C28:C32)</f>
        <v>115975</v>
      </c>
      <c r="D34" s="113"/>
      <c r="E34" s="113"/>
      <c r="F34" s="113"/>
      <c r="G34" s="113"/>
    </row>
    <row r="35" spans="1:7" x14ac:dyDescent="0.25">
      <c r="A35" s="152" t="s">
        <v>61</v>
      </c>
      <c r="B35" s="153"/>
      <c r="C35" s="154">
        <f>C26-C34</f>
        <v>-7975</v>
      </c>
      <c r="D35" s="113"/>
      <c r="E35" s="113"/>
      <c r="F35" s="113"/>
      <c r="G35" s="113"/>
    </row>
    <row r="36" spans="1:7" x14ac:dyDescent="0.25">
      <c r="A36" s="53" t="s">
        <v>41</v>
      </c>
      <c r="B36" s="113"/>
      <c r="C36" s="52" t="s">
        <v>42</v>
      </c>
      <c r="D36" s="52"/>
      <c r="E36" s="52"/>
      <c r="F36" s="52" t="s">
        <v>43</v>
      </c>
      <c r="G36" s="52"/>
    </row>
    <row r="37" spans="1:7" x14ac:dyDescent="0.25">
      <c r="A37" s="113"/>
      <c r="B37" s="113"/>
      <c r="C37" s="113"/>
      <c r="D37" s="113"/>
      <c r="E37" s="113"/>
      <c r="F37" s="113"/>
      <c r="G37" s="113"/>
    </row>
    <row r="38" spans="1:7" x14ac:dyDescent="0.25">
      <c r="A38" s="52" t="s">
        <v>148</v>
      </c>
      <c r="B38" s="113"/>
      <c r="C38" s="52" t="s">
        <v>45</v>
      </c>
      <c r="D38" s="52"/>
      <c r="E38" s="52"/>
      <c r="F38" s="52" t="s">
        <v>51</v>
      </c>
      <c r="G38" s="52"/>
    </row>
    <row r="39" spans="1:7" x14ac:dyDescent="0.25">
      <c r="A39" s="52" t="s">
        <v>47</v>
      </c>
      <c r="B39" s="113"/>
      <c r="C39" s="52" t="s">
        <v>47</v>
      </c>
      <c r="D39" s="52"/>
      <c r="E39" s="52"/>
      <c r="F39" s="52" t="s">
        <v>48</v>
      </c>
      <c r="G39" s="52"/>
    </row>
  </sheetData>
  <pageMargins left="0.7" right="0.7" top="0.75" bottom="0.75" header="0.3" footer="0.3"/>
  <pageSetup orientation="portrait" horizontalDpi="120" verticalDpi="72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A2" sqref="A2:G39"/>
    </sheetView>
  </sheetViews>
  <sheetFormatPr defaultRowHeight="15" x14ac:dyDescent="0.25"/>
  <cols>
    <col min="1" max="1" width="14.5703125" customWidth="1"/>
    <col min="3" max="3" width="12.140625" customWidth="1"/>
    <col min="4" max="4" width="11" customWidth="1"/>
  </cols>
  <sheetData>
    <row r="1" spans="1:8" x14ac:dyDescent="0.25">
      <c r="A1" s="113"/>
      <c r="B1" s="113"/>
      <c r="C1" s="113"/>
      <c r="D1" s="113"/>
      <c r="E1" s="113"/>
      <c r="F1" s="113"/>
      <c r="G1" s="113"/>
      <c r="H1" s="113"/>
    </row>
    <row r="2" spans="1:8" x14ac:dyDescent="0.25">
      <c r="A2" s="113"/>
      <c r="B2" s="18"/>
      <c r="C2" s="21"/>
      <c r="D2" s="155"/>
      <c r="E2" s="160" t="s">
        <v>24</v>
      </c>
      <c r="F2" s="160"/>
      <c r="G2" s="155"/>
      <c r="H2" s="156"/>
    </row>
    <row r="3" spans="1:8" ht="18.75" x14ac:dyDescent="0.3">
      <c r="A3" s="158" t="s">
        <v>154</v>
      </c>
      <c r="B3" s="159"/>
      <c r="C3" s="21"/>
      <c r="D3" s="161" t="s">
        <v>156</v>
      </c>
      <c r="E3" s="161"/>
      <c r="F3" s="21"/>
      <c r="G3" s="21"/>
      <c r="H3" s="156"/>
    </row>
    <row r="4" spans="1:8" ht="17.25" x14ac:dyDescent="0.25">
      <c r="A4" s="113"/>
      <c r="B4" s="113"/>
      <c r="C4" s="156"/>
      <c r="D4" s="161" t="s">
        <v>155</v>
      </c>
      <c r="E4" s="21"/>
      <c r="F4" s="21"/>
      <c r="G4" s="156"/>
      <c r="H4" s="156"/>
    </row>
    <row r="5" spans="1:8" x14ac:dyDescent="0.25">
      <c r="A5" s="113"/>
      <c r="B5" s="113"/>
      <c r="C5" s="156"/>
      <c r="D5" s="157" t="s">
        <v>27</v>
      </c>
      <c r="E5" s="157"/>
      <c r="F5" s="21"/>
      <c r="G5" s="21"/>
      <c r="H5" s="156"/>
    </row>
    <row r="6" spans="1:8" ht="23.25" x14ac:dyDescent="0.35">
      <c r="A6" s="162" t="s">
        <v>162</v>
      </c>
      <c r="B6" s="163"/>
      <c r="C6" s="163"/>
      <c r="D6" s="164"/>
      <c r="E6" s="77"/>
      <c r="F6" s="77"/>
      <c r="G6" s="156"/>
      <c r="H6" s="113"/>
    </row>
    <row r="7" spans="1:8" x14ac:dyDescent="0.25">
      <c r="A7" s="40" t="s">
        <v>0</v>
      </c>
      <c r="B7" s="73" t="s">
        <v>1</v>
      </c>
      <c r="C7" s="40" t="s">
        <v>123</v>
      </c>
      <c r="D7" s="40" t="s">
        <v>2</v>
      </c>
      <c r="E7" s="41" t="s">
        <v>34</v>
      </c>
      <c r="F7" s="40" t="s">
        <v>4</v>
      </c>
      <c r="G7" s="41" t="s">
        <v>36</v>
      </c>
      <c r="H7" s="113"/>
    </row>
    <row r="8" spans="1:8" x14ac:dyDescent="0.25">
      <c r="A8" s="39" t="s">
        <v>79</v>
      </c>
      <c r="B8" s="36">
        <v>1</v>
      </c>
      <c r="C8" s="36"/>
      <c r="D8" s="57">
        <v>7000</v>
      </c>
      <c r="E8" s="57">
        <v>7000</v>
      </c>
      <c r="F8" s="57"/>
      <c r="G8" s="122"/>
      <c r="H8" s="113"/>
    </row>
    <row r="9" spans="1:8" x14ac:dyDescent="0.25">
      <c r="A9" s="39" t="s">
        <v>39</v>
      </c>
      <c r="B9" s="36">
        <v>2</v>
      </c>
      <c r="C9" s="36">
        <v>0</v>
      </c>
      <c r="D9" s="57">
        <v>7000</v>
      </c>
      <c r="E9" s="57">
        <f t="shared" ref="E9:E17" si="0">C9+D9</f>
        <v>7000</v>
      </c>
      <c r="F9" s="57"/>
      <c r="G9" s="122"/>
      <c r="H9" s="113"/>
    </row>
    <row r="10" spans="1:8" x14ac:dyDescent="0.25">
      <c r="A10" s="31" t="s">
        <v>6</v>
      </c>
      <c r="B10" s="6">
        <v>3</v>
      </c>
      <c r="C10" s="8">
        <v>0</v>
      </c>
      <c r="D10" s="58">
        <v>6000</v>
      </c>
      <c r="E10" s="57">
        <f t="shared" si="0"/>
        <v>6000</v>
      </c>
      <c r="F10" s="58"/>
      <c r="G10" s="122"/>
      <c r="H10" s="113"/>
    </row>
    <row r="11" spans="1:8" x14ac:dyDescent="0.25">
      <c r="A11" s="32" t="s">
        <v>120</v>
      </c>
      <c r="B11" s="6">
        <v>4</v>
      </c>
      <c r="C11" s="8">
        <v>0</v>
      </c>
      <c r="D11" s="58">
        <v>8000</v>
      </c>
      <c r="E11" s="57">
        <f t="shared" si="0"/>
        <v>8000</v>
      </c>
      <c r="F11" s="58"/>
      <c r="G11" s="122"/>
      <c r="H11" s="113"/>
    </row>
    <row r="12" spans="1:8" x14ac:dyDescent="0.25">
      <c r="A12" s="33" t="s">
        <v>13</v>
      </c>
      <c r="B12" s="10">
        <v>5</v>
      </c>
      <c r="C12" s="9">
        <v>0</v>
      </c>
      <c r="D12" s="58">
        <v>7000</v>
      </c>
      <c r="E12" s="57">
        <f t="shared" si="0"/>
        <v>7000</v>
      </c>
      <c r="F12" s="58"/>
      <c r="G12" s="122"/>
      <c r="H12" s="113"/>
    </row>
    <row r="13" spans="1:8" x14ac:dyDescent="0.25">
      <c r="A13" s="32" t="s">
        <v>80</v>
      </c>
      <c r="B13" s="10"/>
      <c r="C13" s="9">
        <v>0</v>
      </c>
      <c r="D13" s="58"/>
      <c r="E13" s="57"/>
      <c r="F13" s="58"/>
      <c r="G13" s="122"/>
      <c r="H13" s="113"/>
    </row>
    <row r="14" spans="1:8" x14ac:dyDescent="0.25">
      <c r="A14" s="32" t="s">
        <v>83</v>
      </c>
      <c r="B14" s="10">
        <v>7</v>
      </c>
      <c r="C14" s="9">
        <v>0</v>
      </c>
      <c r="D14" s="58">
        <v>9000</v>
      </c>
      <c r="E14" s="57">
        <f t="shared" si="0"/>
        <v>9000</v>
      </c>
      <c r="F14" s="58"/>
      <c r="G14" s="122"/>
      <c r="H14" s="113"/>
    </row>
    <row r="15" spans="1:8" x14ac:dyDescent="0.25">
      <c r="A15" s="32" t="s">
        <v>69</v>
      </c>
      <c r="B15" s="10">
        <v>6</v>
      </c>
      <c r="C15" s="9">
        <v>0</v>
      </c>
      <c r="D15" s="58">
        <v>25000</v>
      </c>
      <c r="E15" s="57">
        <f t="shared" si="0"/>
        <v>25000</v>
      </c>
      <c r="F15" s="58"/>
      <c r="G15" s="122"/>
      <c r="H15" s="113"/>
    </row>
    <row r="16" spans="1:8" x14ac:dyDescent="0.25">
      <c r="A16" s="32" t="s">
        <v>79</v>
      </c>
      <c r="B16" s="10" t="s">
        <v>16</v>
      </c>
      <c r="C16" s="9">
        <v>0</v>
      </c>
      <c r="D16" s="58">
        <v>0</v>
      </c>
      <c r="E16" s="57">
        <f t="shared" si="0"/>
        <v>0</v>
      </c>
      <c r="F16" s="58"/>
      <c r="G16" s="122"/>
      <c r="H16" s="113"/>
    </row>
    <row r="17" spans="1:8" x14ac:dyDescent="0.25">
      <c r="A17" s="33" t="s">
        <v>9</v>
      </c>
      <c r="B17" s="9" t="s">
        <v>17</v>
      </c>
      <c r="C17" s="9">
        <v>0</v>
      </c>
      <c r="D17" s="58">
        <v>0</v>
      </c>
      <c r="E17" s="57">
        <f t="shared" si="0"/>
        <v>0</v>
      </c>
      <c r="F17" s="58"/>
      <c r="G17" s="122"/>
      <c r="H17" s="113"/>
    </row>
    <row r="18" spans="1:8" x14ac:dyDescent="0.25">
      <c r="A18" s="33" t="s">
        <v>131</v>
      </c>
      <c r="B18" s="9" t="s">
        <v>19</v>
      </c>
      <c r="C18" s="9"/>
      <c r="D18" s="58">
        <v>34000</v>
      </c>
      <c r="E18" s="57">
        <v>17000</v>
      </c>
      <c r="F18" s="58"/>
      <c r="G18" s="122"/>
      <c r="H18" s="113"/>
    </row>
    <row r="19" spans="1:8" x14ac:dyDescent="0.25">
      <c r="A19" s="34" t="s">
        <v>20</v>
      </c>
      <c r="B19" s="14" t="s">
        <v>21</v>
      </c>
      <c r="C19" s="16"/>
      <c r="D19" s="59">
        <v>12000</v>
      </c>
      <c r="E19" s="57">
        <f>C19+D19</f>
        <v>12000</v>
      </c>
      <c r="F19" s="59"/>
      <c r="G19" s="122"/>
      <c r="H19" s="113"/>
    </row>
    <row r="20" spans="1:8" x14ac:dyDescent="0.25">
      <c r="A20" s="33"/>
      <c r="B20" s="5"/>
      <c r="C20" s="5"/>
      <c r="D20" s="60"/>
      <c r="E20" s="57">
        <f>C20+D20</f>
        <v>0</v>
      </c>
      <c r="F20" s="60"/>
      <c r="G20" s="122">
        <f>E20-F20</f>
        <v>0</v>
      </c>
      <c r="H20" s="113"/>
    </row>
    <row r="21" spans="1:8" x14ac:dyDescent="0.25">
      <c r="A21" s="97" t="s">
        <v>3</v>
      </c>
      <c r="B21" s="98"/>
      <c r="C21" s="98">
        <f>SUM(C8:C20)</f>
        <v>0</v>
      </c>
      <c r="D21" s="99">
        <f>SUM(D8:D20)</f>
        <v>115000</v>
      </c>
      <c r="E21" s="99">
        <f>SUM(E8:E20)</f>
        <v>98000</v>
      </c>
      <c r="F21" s="99"/>
      <c r="G21" s="122"/>
      <c r="H21" s="113"/>
    </row>
    <row r="22" spans="1:8" x14ac:dyDescent="0.25">
      <c r="A22" s="113"/>
      <c r="B22" s="113"/>
      <c r="C22" s="113"/>
      <c r="D22" s="113"/>
      <c r="E22" s="113"/>
      <c r="F22" s="113"/>
      <c r="G22" s="113"/>
      <c r="H22" s="113"/>
    </row>
    <row r="23" spans="1:8" ht="15.75" x14ac:dyDescent="0.25">
      <c r="A23" s="113"/>
      <c r="B23" s="104" t="s">
        <v>76</v>
      </c>
      <c r="C23" s="82"/>
      <c r="D23" s="83"/>
      <c r="E23" s="83"/>
      <c r="F23" s="103" t="s">
        <v>73</v>
      </c>
      <c r="G23" s="48"/>
      <c r="H23" s="113"/>
    </row>
    <row r="24" spans="1:8" x14ac:dyDescent="0.25">
      <c r="A24" s="3" t="s">
        <v>118</v>
      </c>
      <c r="B24" s="48"/>
      <c r="C24" s="62">
        <f>E21</f>
        <v>98000</v>
      </c>
      <c r="D24" s="66"/>
      <c r="E24" s="68"/>
      <c r="F24" s="69"/>
      <c r="G24" s="113"/>
      <c r="H24" s="113"/>
    </row>
    <row r="25" spans="1:8" x14ac:dyDescent="0.25">
      <c r="A25" s="68"/>
      <c r="B25" s="113"/>
      <c r="C25" s="113"/>
      <c r="D25" s="66"/>
      <c r="E25" s="3"/>
      <c r="F25" s="131"/>
      <c r="G25" s="113"/>
      <c r="H25" s="113"/>
    </row>
    <row r="26" spans="1:8" ht="16.5" x14ac:dyDescent="0.35">
      <c r="A26" s="23" t="s">
        <v>147</v>
      </c>
      <c r="B26" s="48"/>
      <c r="C26" s="101">
        <f>SUM(C24:C25)</f>
        <v>98000</v>
      </c>
      <c r="D26" s="66"/>
      <c r="E26" s="148"/>
      <c r="F26" s="125"/>
      <c r="G26" s="113"/>
      <c r="H26" s="113"/>
    </row>
    <row r="27" spans="1:8" x14ac:dyDescent="0.25">
      <c r="A27" s="165" t="s">
        <v>158</v>
      </c>
      <c r="B27" s="113"/>
      <c r="C27" s="113"/>
      <c r="D27" s="113"/>
      <c r="E27" s="147"/>
      <c r="F27" s="125"/>
      <c r="G27" s="113"/>
      <c r="H27" s="113"/>
    </row>
    <row r="28" spans="1:8" x14ac:dyDescent="0.25">
      <c r="A28" s="3" t="s">
        <v>146</v>
      </c>
      <c r="B28" s="48"/>
      <c r="C28" s="151">
        <f>SUM(C24*7%)</f>
        <v>6860.0000000000009</v>
      </c>
      <c r="D28" s="113"/>
      <c r="E28" s="149"/>
      <c r="F28" s="150"/>
      <c r="G28" s="113"/>
      <c r="H28" s="113"/>
    </row>
    <row r="29" spans="1:8" x14ac:dyDescent="0.25">
      <c r="A29" s="166">
        <v>42222</v>
      </c>
      <c r="B29" s="113"/>
      <c r="C29" s="132">
        <v>60000</v>
      </c>
      <c r="D29" s="113"/>
      <c r="E29" s="113"/>
      <c r="F29" s="94"/>
      <c r="G29" s="113"/>
      <c r="H29" s="113"/>
    </row>
    <row r="30" spans="1:8" ht="18" x14ac:dyDescent="0.4">
      <c r="A30" s="3" t="s">
        <v>160</v>
      </c>
      <c r="B30" s="113"/>
      <c r="C30" s="66">
        <v>8025</v>
      </c>
      <c r="D30" s="113"/>
      <c r="E30" s="106"/>
      <c r="F30" s="113"/>
      <c r="G30" s="96"/>
      <c r="H30" s="113"/>
    </row>
    <row r="31" spans="1:8" x14ac:dyDescent="0.25">
      <c r="A31" s="3" t="s">
        <v>161</v>
      </c>
      <c r="B31" s="113"/>
      <c r="C31" s="66">
        <v>12000</v>
      </c>
      <c r="D31" s="113"/>
      <c r="E31" s="113" t="s">
        <v>56</v>
      </c>
      <c r="F31" s="113" t="s">
        <v>56</v>
      </c>
      <c r="G31" s="113" t="s">
        <v>56</v>
      </c>
      <c r="H31" s="113"/>
    </row>
    <row r="32" spans="1:8" x14ac:dyDescent="0.25">
      <c r="A32" s="152" t="s">
        <v>152</v>
      </c>
      <c r="B32" s="153"/>
      <c r="C32" s="154">
        <f>SUM(C28:C31)</f>
        <v>86885</v>
      </c>
      <c r="D32" s="113"/>
      <c r="E32" s="113"/>
      <c r="F32" s="113"/>
      <c r="G32" s="113"/>
      <c r="H32" s="113"/>
    </row>
    <row r="33" spans="1:8" x14ac:dyDescent="0.25">
      <c r="A33" s="152" t="s">
        <v>61</v>
      </c>
      <c r="B33" s="153"/>
      <c r="C33" s="154">
        <f>C26-C32</f>
        <v>11115</v>
      </c>
      <c r="D33" s="113"/>
      <c r="E33" s="113"/>
      <c r="F33" s="113"/>
      <c r="G33" s="113"/>
      <c r="H33" s="113"/>
    </row>
    <row r="34" spans="1:8" x14ac:dyDescent="0.25">
      <c r="C34" s="113" t="s">
        <v>56</v>
      </c>
      <c r="D34" s="113"/>
      <c r="E34" s="113"/>
      <c r="F34" s="113"/>
      <c r="G34" s="113"/>
      <c r="H34" s="113"/>
    </row>
    <row r="35" spans="1:8" x14ac:dyDescent="0.25">
      <c r="D35" s="113"/>
      <c r="E35" s="113"/>
      <c r="F35" s="113"/>
      <c r="G35" s="113"/>
      <c r="H35" s="113"/>
    </row>
    <row r="36" spans="1:8" x14ac:dyDescent="0.25">
      <c r="A36" s="53" t="s">
        <v>41</v>
      </c>
      <c r="B36" s="113"/>
      <c r="C36" s="52" t="s">
        <v>42</v>
      </c>
      <c r="D36" s="52"/>
      <c r="E36" s="52"/>
      <c r="F36" s="52" t="s">
        <v>43</v>
      </c>
      <c r="G36" s="52"/>
      <c r="H36" s="113"/>
    </row>
    <row r="37" spans="1:8" x14ac:dyDescent="0.25">
      <c r="A37" s="113"/>
      <c r="B37" s="113"/>
      <c r="C37" s="113"/>
      <c r="D37" s="113"/>
      <c r="E37" s="113"/>
      <c r="F37" s="113"/>
      <c r="G37" s="113"/>
      <c r="H37" s="113"/>
    </row>
    <row r="38" spans="1:8" x14ac:dyDescent="0.25">
      <c r="A38" s="52" t="s">
        <v>148</v>
      </c>
      <c r="B38" s="113"/>
      <c r="C38" s="52" t="s">
        <v>45</v>
      </c>
      <c r="D38" s="52"/>
      <c r="E38" s="52"/>
      <c r="F38" s="52" t="s">
        <v>51</v>
      </c>
      <c r="G38" s="52"/>
      <c r="H38" s="113"/>
    </row>
    <row r="39" spans="1:8" x14ac:dyDescent="0.25">
      <c r="A39" s="52" t="s">
        <v>47</v>
      </c>
      <c r="B39" s="113"/>
      <c r="C39" s="52" t="s">
        <v>47</v>
      </c>
      <c r="D39" s="52"/>
      <c r="E39" s="52"/>
      <c r="F39" s="52" t="s">
        <v>48</v>
      </c>
      <c r="G39" s="52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  <pageSetup orientation="portrait" horizontalDpi="120" verticalDpi="7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9" workbookViewId="0">
      <selection sqref="A1:G38"/>
    </sheetView>
  </sheetViews>
  <sheetFormatPr defaultRowHeight="15" x14ac:dyDescent="0.25"/>
  <cols>
    <col min="1" max="1" width="17.28515625" customWidth="1"/>
    <col min="3" max="3" width="10.5703125" customWidth="1"/>
    <col min="4" max="4" width="14.140625" customWidth="1"/>
    <col min="9" max="9" width="10" bestFit="1" customWidth="1"/>
  </cols>
  <sheetData>
    <row r="1" spans="1:7" x14ac:dyDescent="0.25">
      <c r="A1" s="113"/>
      <c r="B1" s="18"/>
      <c r="C1" s="21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3.25" x14ac:dyDescent="0.35">
      <c r="A5" s="162" t="s">
        <v>165</v>
      </c>
      <c r="B5" s="163"/>
      <c r="C5" s="163"/>
      <c r="D5" s="164"/>
      <c r="E5" s="77"/>
      <c r="F5" s="77"/>
      <c r="G5" s="156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36</v>
      </c>
    </row>
    <row r="7" spans="1:7" x14ac:dyDescent="0.25">
      <c r="A7" s="39" t="s">
        <v>79</v>
      </c>
      <c r="B7" s="36">
        <v>1</v>
      </c>
      <c r="C7" s="36"/>
      <c r="D7" s="57">
        <v>7000</v>
      </c>
      <c r="E7" s="57">
        <v>7000</v>
      </c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80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9" x14ac:dyDescent="0.25">
      <c r="A17" s="33" t="s">
        <v>131</v>
      </c>
      <c r="B17" s="9" t="s">
        <v>19</v>
      </c>
      <c r="C17" s="9"/>
      <c r="D17" s="58">
        <v>34000</v>
      </c>
      <c r="E17" s="57">
        <v>17000</v>
      </c>
      <c r="F17" s="58"/>
      <c r="G17" s="122"/>
    </row>
    <row r="18" spans="1:9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9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9" x14ac:dyDescent="0.25">
      <c r="A20" s="97" t="s">
        <v>3</v>
      </c>
      <c r="B20" s="98"/>
      <c r="C20" s="98">
        <f>SUM(C7:C19)</f>
        <v>0</v>
      </c>
      <c r="D20" s="99">
        <f>SUM(D7:D19)</f>
        <v>115000</v>
      </c>
      <c r="E20" s="99">
        <f>SUM(E7:E19)</f>
        <v>98000</v>
      </c>
      <c r="F20" s="99"/>
      <c r="G20" s="122"/>
    </row>
    <row r="21" spans="1:9" x14ac:dyDescent="0.25">
      <c r="A21" s="113"/>
      <c r="B21" s="113"/>
      <c r="C21" s="113"/>
      <c r="D21" s="113"/>
      <c r="E21" s="113"/>
      <c r="F21" s="113"/>
      <c r="G21" s="113"/>
    </row>
    <row r="22" spans="1:9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9" x14ac:dyDescent="0.25">
      <c r="A23" s="3" t="s">
        <v>118</v>
      </c>
      <c r="B23" s="48"/>
      <c r="C23" s="62">
        <f>E20</f>
        <v>98000</v>
      </c>
      <c r="D23" s="66"/>
      <c r="E23" s="68"/>
      <c r="F23" s="69"/>
      <c r="G23" s="113"/>
      <c r="I23" s="113" t="s">
        <v>56</v>
      </c>
    </row>
    <row r="24" spans="1:9" x14ac:dyDescent="0.25">
      <c r="A24" s="68"/>
      <c r="B24" s="113"/>
      <c r="C24" s="113"/>
      <c r="D24" s="66"/>
      <c r="E24" s="3"/>
      <c r="F24" s="131"/>
      <c r="G24" s="113"/>
    </row>
    <row r="25" spans="1:9" ht="16.5" x14ac:dyDescent="0.35">
      <c r="A25" s="23" t="s">
        <v>147</v>
      </c>
      <c r="B25" s="48"/>
      <c r="C25" s="101">
        <f>SUM(C23:C24)</f>
        <v>98000</v>
      </c>
      <c r="D25" s="66"/>
      <c r="E25" s="148"/>
      <c r="F25" s="125"/>
      <c r="G25" s="113"/>
    </row>
    <row r="26" spans="1:9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9" x14ac:dyDescent="0.25">
      <c r="A27" s="3" t="s">
        <v>146</v>
      </c>
      <c r="B27" s="48"/>
      <c r="C27" s="151">
        <f>SUM(C23*7%)</f>
        <v>6860.0000000000009</v>
      </c>
      <c r="D27" s="113"/>
      <c r="E27" s="149"/>
      <c r="F27" s="150"/>
      <c r="G27" s="113"/>
    </row>
    <row r="28" spans="1:9" x14ac:dyDescent="0.25">
      <c r="A28" s="166">
        <v>42252</v>
      </c>
      <c r="B28" s="113"/>
      <c r="C28" s="132">
        <v>60000</v>
      </c>
      <c r="D28" s="113"/>
      <c r="E28" s="113"/>
      <c r="F28" s="94"/>
      <c r="G28" s="113"/>
    </row>
    <row r="29" spans="1:9" ht="18" x14ac:dyDescent="0.4">
      <c r="A29" s="3" t="s">
        <v>160</v>
      </c>
      <c r="B29" s="113"/>
      <c r="C29" s="66">
        <v>2000</v>
      </c>
      <c r="D29" s="113"/>
      <c r="E29" s="106"/>
      <c r="F29" s="113"/>
      <c r="G29" s="96"/>
    </row>
    <row r="30" spans="1:9" x14ac:dyDescent="0.25">
      <c r="A30" s="152" t="s">
        <v>152</v>
      </c>
      <c r="B30" s="153"/>
      <c r="C30" s="154">
        <f ca="1">SUM(C27:C30)</f>
        <v>651346464560</v>
      </c>
      <c r="D30" s="113"/>
      <c r="E30" s="113" t="s">
        <v>56</v>
      </c>
      <c r="F30" s="113" t="s">
        <v>56</v>
      </c>
      <c r="G30" s="113" t="s">
        <v>56</v>
      </c>
    </row>
    <row r="31" spans="1:9" x14ac:dyDescent="0.25">
      <c r="A31" s="113" t="s">
        <v>163</v>
      </c>
      <c r="C31">
        <v>29140</v>
      </c>
      <c r="D31" s="113"/>
      <c r="E31" s="113"/>
      <c r="F31" s="113"/>
      <c r="G31" s="113"/>
    </row>
    <row r="32" spans="1:9" x14ac:dyDescent="0.25">
      <c r="A32" s="113" t="s">
        <v>164</v>
      </c>
      <c r="C32">
        <v>0</v>
      </c>
      <c r="D32" s="113"/>
      <c r="E32" s="66"/>
      <c r="F32" s="113"/>
      <c r="G32" s="113"/>
    </row>
    <row r="33" spans="1:7" x14ac:dyDescent="0.25">
      <c r="A33" s="113"/>
      <c r="B33" s="113"/>
      <c r="C33" s="113" t="s">
        <v>56</v>
      </c>
      <c r="D33" s="113"/>
      <c r="E33" s="113"/>
      <c r="F33" s="113"/>
      <c r="G33" s="113"/>
    </row>
    <row r="34" spans="1:7" x14ac:dyDescent="0.25">
      <c r="A34" s="113"/>
      <c r="B34" s="113"/>
      <c r="C34" s="113"/>
      <c r="D34" s="113"/>
      <c r="E34" s="113"/>
      <c r="F34" s="113"/>
      <c r="G34" s="113"/>
    </row>
    <row r="35" spans="1:7" x14ac:dyDescent="0.25">
      <c r="A35" s="53" t="s">
        <v>41</v>
      </c>
      <c r="B35" s="113"/>
      <c r="C35" s="52" t="s">
        <v>42</v>
      </c>
      <c r="D35" s="52"/>
      <c r="E35" s="52"/>
      <c r="F35" s="52" t="s">
        <v>43</v>
      </c>
      <c r="G35" s="52"/>
    </row>
    <row r="36" spans="1:7" x14ac:dyDescent="0.25">
      <c r="A36" s="113"/>
      <c r="B36" s="113"/>
      <c r="C36" s="113"/>
      <c r="D36" s="113"/>
      <c r="E36" s="113"/>
      <c r="F36" s="113"/>
      <c r="G36" s="113"/>
    </row>
    <row r="37" spans="1:7" x14ac:dyDescent="0.25">
      <c r="A37" s="52" t="s">
        <v>148</v>
      </c>
      <c r="B37" s="113"/>
      <c r="C37" s="52" t="s">
        <v>45</v>
      </c>
      <c r="D37" s="52"/>
      <c r="E37" s="52"/>
      <c r="F37" s="52" t="s">
        <v>51</v>
      </c>
      <c r="G37" s="52"/>
    </row>
    <row r="38" spans="1:7" x14ac:dyDescent="0.25">
      <c r="A38" s="52" t="s">
        <v>47</v>
      </c>
      <c r="B38" s="113"/>
      <c r="C38" s="52" t="s">
        <v>47</v>
      </c>
      <c r="D38" s="52"/>
      <c r="E38" s="52"/>
      <c r="F38" s="52" t="s">
        <v>48</v>
      </c>
      <c r="G38" s="52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9" workbookViewId="0">
      <selection activeCell="J8" sqref="J8"/>
    </sheetView>
  </sheetViews>
  <sheetFormatPr defaultRowHeight="15" x14ac:dyDescent="0.25"/>
  <cols>
    <col min="1" max="1" width="15.28515625" customWidth="1"/>
    <col min="3" max="3" width="12.28515625" customWidth="1"/>
    <col min="4" max="4" width="11" customWidth="1"/>
    <col min="11" max="11" width="10" bestFit="1" customWidth="1"/>
  </cols>
  <sheetData>
    <row r="1" spans="1:8" x14ac:dyDescent="0.25">
      <c r="A1" s="113"/>
      <c r="B1" s="18"/>
      <c r="C1" s="21"/>
      <c r="D1" s="155"/>
      <c r="E1" s="160" t="s">
        <v>24</v>
      </c>
      <c r="F1" s="160"/>
      <c r="G1" s="155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</row>
    <row r="5" spans="1:8" ht="21" x14ac:dyDescent="0.35">
      <c r="A5" s="27" t="s">
        <v>166</v>
      </c>
      <c r="B5" s="77"/>
      <c r="C5" s="77"/>
      <c r="D5" s="78"/>
      <c r="E5" s="77"/>
      <c r="F5" s="77"/>
      <c r="G5" s="27"/>
      <c r="H5" s="27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8" x14ac:dyDescent="0.25">
      <c r="A7" s="39" t="s">
        <v>79</v>
      </c>
      <c r="B7" s="36">
        <v>1</v>
      </c>
      <c r="C7" s="36"/>
      <c r="D7" s="57"/>
      <c r="E7" s="57"/>
      <c r="F7" s="57"/>
      <c r="G7" s="122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8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131</v>
      </c>
      <c r="B17" s="9" t="s">
        <v>19</v>
      </c>
      <c r="C17" s="9"/>
      <c r="D17" s="58">
        <v>17000</v>
      </c>
      <c r="E17" s="57">
        <v>17000</v>
      </c>
      <c r="F17" s="58"/>
      <c r="G17" s="122"/>
    </row>
    <row r="18" spans="1:7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91000</v>
      </c>
      <c r="E20" s="99">
        <f>SUM(E7:E19)</f>
        <v>91000</v>
      </c>
      <c r="F20" s="99"/>
      <c r="G20" s="122"/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7" x14ac:dyDescent="0.25">
      <c r="A23" s="3" t="s">
        <v>118</v>
      </c>
      <c r="B23" s="48"/>
      <c r="C23" s="62">
        <f>E20</f>
        <v>91000</v>
      </c>
      <c r="D23" s="66"/>
      <c r="E23" s="68"/>
      <c r="F23" s="69"/>
      <c r="G23" s="113"/>
    </row>
    <row r="24" spans="1:7" x14ac:dyDescent="0.25">
      <c r="A24" s="68"/>
      <c r="B24" s="113"/>
      <c r="C24" s="113"/>
      <c r="D24" s="66"/>
      <c r="E24" s="3"/>
      <c r="F24" s="131"/>
      <c r="G24" s="113"/>
    </row>
    <row r="25" spans="1:7" ht="16.5" x14ac:dyDescent="0.35">
      <c r="A25" s="23" t="s">
        <v>147</v>
      </c>
      <c r="B25" s="48"/>
      <c r="C25" s="101">
        <f>SUM(C23:C24)</f>
        <v>91000</v>
      </c>
      <c r="D25" s="66"/>
      <c r="E25" s="148"/>
      <c r="F25" s="125"/>
      <c r="G25" s="113"/>
    </row>
    <row r="26" spans="1:7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7" x14ac:dyDescent="0.25">
      <c r="A27" s="3" t="s">
        <v>146</v>
      </c>
      <c r="B27" s="48"/>
      <c r="C27" s="151">
        <f>SUM(C23*7%)</f>
        <v>6370.0000000000009</v>
      </c>
      <c r="D27" s="113"/>
      <c r="E27" s="149"/>
      <c r="F27" s="150"/>
      <c r="G27" s="113"/>
    </row>
    <row r="28" spans="1:7" x14ac:dyDescent="0.25">
      <c r="A28" s="166" t="s">
        <v>167</v>
      </c>
      <c r="B28" s="113"/>
      <c r="C28" s="132">
        <v>30290</v>
      </c>
      <c r="D28" s="113"/>
      <c r="E28" s="113"/>
      <c r="F28" s="94"/>
      <c r="G28" s="113"/>
    </row>
    <row r="29" spans="1:7" ht="18" x14ac:dyDescent="0.4">
      <c r="A29" s="3"/>
      <c r="B29" s="113"/>
      <c r="C29" s="66"/>
      <c r="D29" s="113"/>
      <c r="E29" s="106"/>
      <c r="F29" s="113"/>
      <c r="G29" s="96"/>
    </row>
    <row r="30" spans="1:7" x14ac:dyDescent="0.25">
      <c r="A30" s="152" t="s">
        <v>152</v>
      </c>
      <c r="B30" s="153"/>
      <c r="C30" s="154">
        <f>SUM(C27:C29)</f>
        <v>36660</v>
      </c>
      <c r="D30" s="113"/>
      <c r="E30" s="113" t="s">
        <v>56</v>
      </c>
      <c r="F30" s="113" t="s">
        <v>56</v>
      </c>
      <c r="G30" s="113" t="s">
        <v>56</v>
      </c>
    </row>
    <row r="31" spans="1:7" x14ac:dyDescent="0.25">
      <c r="A31" s="113" t="s">
        <v>168</v>
      </c>
      <c r="B31" s="113"/>
      <c r="C31" s="66">
        <f>C25-C30</f>
        <v>54340</v>
      </c>
      <c r="D31" s="113"/>
      <c r="E31" s="113"/>
      <c r="F31" s="113"/>
      <c r="G31" s="113"/>
    </row>
    <row r="32" spans="1:7" x14ac:dyDescent="0.25">
      <c r="A32" s="113"/>
      <c r="B32" s="113"/>
      <c r="C32" s="113"/>
      <c r="D32" s="113"/>
      <c r="E32" s="66"/>
      <c r="F32" s="113"/>
      <c r="G32" s="113"/>
    </row>
    <row r="33" spans="1:7" x14ac:dyDescent="0.25">
      <c r="A33" s="113"/>
      <c r="B33" s="113"/>
      <c r="C33" s="113"/>
      <c r="D33" s="113"/>
      <c r="E33" s="113"/>
      <c r="F33" s="113"/>
      <c r="G33" s="113"/>
    </row>
    <row r="34" spans="1:7" x14ac:dyDescent="0.25">
      <c r="A34" s="113"/>
      <c r="B34" s="113"/>
      <c r="C34" s="113"/>
      <c r="D34" s="113"/>
      <c r="E34" s="113"/>
      <c r="F34" s="113"/>
      <c r="G34" s="113"/>
    </row>
    <row r="35" spans="1:7" x14ac:dyDescent="0.25">
      <c r="A35" s="53" t="s">
        <v>41</v>
      </c>
      <c r="B35" s="113"/>
      <c r="C35" s="52" t="s">
        <v>42</v>
      </c>
      <c r="D35" s="52"/>
      <c r="E35" s="52"/>
      <c r="F35" s="52" t="s">
        <v>43</v>
      </c>
      <c r="G35" s="52"/>
    </row>
    <row r="36" spans="1:7" x14ac:dyDescent="0.25">
      <c r="A36" s="113"/>
      <c r="B36" s="113"/>
      <c r="C36" s="113"/>
      <c r="D36" s="113"/>
      <c r="E36" s="113"/>
      <c r="F36" s="113"/>
      <c r="G36" s="113"/>
    </row>
    <row r="37" spans="1:7" x14ac:dyDescent="0.25">
      <c r="A37" s="52" t="s">
        <v>148</v>
      </c>
      <c r="B37" s="113"/>
      <c r="C37" s="52" t="s">
        <v>45</v>
      </c>
      <c r="D37" s="52"/>
      <c r="E37" s="52"/>
      <c r="F37" s="52" t="s">
        <v>51</v>
      </c>
      <c r="G37" s="52"/>
    </row>
    <row r="38" spans="1:7" x14ac:dyDescent="0.25">
      <c r="A38" s="52" t="s">
        <v>47</v>
      </c>
      <c r="B38" s="113"/>
      <c r="C38" s="52" t="s">
        <v>47</v>
      </c>
      <c r="D38" s="52"/>
      <c r="E38" s="52"/>
      <c r="F38" s="52" t="s">
        <v>48</v>
      </c>
      <c r="G38" s="5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19" sqref="A19"/>
    </sheetView>
  </sheetViews>
  <sheetFormatPr defaultRowHeight="15" x14ac:dyDescent="0.25"/>
  <cols>
    <col min="1" max="1" width="18.42578125" customWidth="1"/>
    <col min="2" max="2" width="4.28515625" customWidth="1"/>
    <col min="3" max="3" width="7.140625" customWidth="1"/>
    <col min="4" max="4" width="5.7109375" customWidth="1"/>
    <col min="5" max="5" width="6.7109375" customWidth="1"/>
    <col min="6" max="6" width="6.140625" customWidth="1"/>
    <col min="7" max="7" width="12.140625" customWidth="1"/>
    <col min="8" max="8" width="11.85546875" customWidth="1"/>
    <col min="9" max="9" width="11.140625" customWidth="1"/>
    <col min="10" max="10" width="11.140625" style="2" customWidth="1"/>
    <col min="11" max="11" width="6.28515625" customWidth="1"/>
    <col min="12" max="12" width="7.42578125" customWidth="1"/>
  </cols>
  <sheetData>
    <row r="1" spans="1:14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18"/>
      <c r="M1" s="18"/>
      <c r="N1" s="18"/>
    </row>
    <row r="2" spans="1:14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18"/>
      <c r="M2" s="18"/>
      <c r="N2" s="18"/>
    </row>
    <row r="3" spans="1:14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  <c r="N4" s="2"/>
    </row>
    <row r="5" spans="1:14" ht="21" x14ac:dyDescent="0.35">
      <c r="A5" s="2"/>
      <c r="B5" s="2"/>
      <c r="C5" s="65" t="s">
        <v>50</v>
      </c>
      <c r="D5" s="2"/>
      <c r="E5" s="2"/>
      <c r="F5" s="2"/>
      <c r="G5" s="2"/>
      <c r="H5" s="2"/>
      <c r="I5" s="2"/>
      <c r="J5" s="2" t="s">
        <v>28</v>
      </c>
      <c r="L5" s="2"/>
      <c r="M5" s="2"/>
      <c r="N5" s="2"/>
    </row>
    <row r="6" spans="1:14" ht="21" x14ac:dyDescent="0.35">
      <c r="A6" s="2"/>
      <c r="B6" s="2"/>
      <c r="C6" s="2"/>
      <c r="D6" s="27"/>
      <c r="E6" s="27"/>
      <c r="F6" s="28" t="s">
        <v>62</v>
      </c>
      <c r="G6" s="27"/>
      <c r="H6" s="27"/>
      <c r="I6" s="27"/>
      <c r="J6" s="27"/>
      <c r="K6" s="27"/>
      <c r="L6" s="2"/>
      <c r="M6" s="2"/>
      <c r="N6" s="2"/>
    </row>
    <row r="7" spans="1:14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  <c r="N7" s="3"/>
    </row>
    <row r="8" spans="1:14" ht="12.95" customHeight="1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57"/>
      <c r="K8" s="37"/>
      <c r="L8" s="37"/>
      <c r="M8" s="42"/>
      <c r="N8" s="38"/>
    </row>
    <row r="9" spans="1:14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42"/>
      <c r="N9" s="38"/>
    </row>
    <row r="10" spans="1:14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4"/>
      <c r="N10" s="2"/>
    </row>
    <row r="11" spans="1:14" ht="12.95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58"/>
      <c r="K11" s="9"/>
      <c r="L11" s="9"/>
      <c r="M11" s="4"/>
      <c r="N11" s="2"/>
    </row>
    <row r="12" spans="1:14" ht="12.95" customHeight="1" x14ac:dyDescent="0.25">
      <c r="A12" s="32" t="s">
        <v>63</v>
      </c>
      <c r="B12" s="10">
        <v>5</v>
      </c>
      <c r="C12" s="11" t="s">
        <v>10</v>
      </c>
      <c r="D12" s="9"/>
      <c r="E12" s="11"/>
      <c r="F12" s="9"/>
      <c r="G12" s="58">
        <v>9000</v>
      </c>
      <c r="H12" s="58">
        <v>9000</v>
      </c>
      <c r="I12" s="58">
        <v>9000</v>
      </c>
      <c r="J12" s="58"/>
      <c r="K12" s="9"/>
      <c r="L12" s="9"/>
      <c r="M12" s="4"/>
      <c r="N12" s="2"/>
    </row>
    <row r="13" spans="1:14" ht="12.95" customHeight="1" x14ac:dyDescent="0.25">
      <c r="A13" s="32" t="s">
        <v>11</v>
      </c>
      <c r="B13" s="10">
        <v>6</v>
      </c>
      <c r="C13" s="11" t="s">
        <v>12</v>
      </c>
      <c r="D13" s="9"/>
      <c r="E13" s="11" t="s">
        <v>12</v>
      </c>
      <c r="F13" s="9"/>
      <c r="G13" s="58">
        <v>15000</v>
      </c>
      <c r="H13" s="58">
        <v>15000</v>
      </c>
      <c r="I13" s="58"/>
      <c r="J13" s="58"/>
      <c r="K13" s="9"/>
      <c r="L13" s="9">
        <v>15000</v>
      </c>
      <c r="M13" s="73">
        <v>15000</v>
      </c>
      <c r="N13" s="2"/>
    </row>
    <row r="14" spans="1:14" ht="12.95" customHeight="1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58"/>
      <c r="K14" s="9"/>
      <c r="L14" s="9"/>
      <c r="M14" s="4"/>
      <c r="N14" s="2"/>
    </row>
    <row r="15" spans="1:14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/>
      <c r="J15" s="58">
        <v>16500</v>
      </c>
      <c r="K15" s="9"/>
      <c r="L15" s="9"/>
      <c r="M15" s="73"/>
      <c r="N15" s="2"/>
    </row>
    <row r="16" spans="1:14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4"/>
      <c r="N16" s="2"/>
    </row>
    <row r="17" spans="1:14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4"/>
      <c r="N17" s="2"/>
    </row>
    <row r="18" spans="1:14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4"/>
      <c r="N18" s="2"/>
    </row>
    <row r="19" spans="1:14" ht="12.95" customHeight="1" x14ac:dyDescent="0.25">
      <c r="A19" s="33" t="s">
        <v>38</v>
      </c>
      <c r="B19" s="9" t="s">
        <v>23</v>
      </c>
      <c r="C19" s="12" t="s">
        <v>12</v>
      </c>
      <c r="D19" s="9"/>
      <c r="E19" s="12" t="s">
        <v>12</v>
      </c>
      <c r="F19" s="13"/>
      <c r="G19" s="58"/>
      <c r="H19" s="58"/>
      <c r="I19" s="58"/>
      <c r="J19" s="58"/>
      <c r="K19" s="9"/>
      <c r="L19" s="9"/>
      <c r="M19" s="4"/>
      <c r="N19" s="2"/>
    </row>
    <row r="20" spans="1:14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4"/>
      <c r="N20" s="2"/>
    </row>
    <row r="21" spans="1:14" x14ac:dyDescent="0.25">
      <c r="A21" s="43" t="s">
        <v>3</v>
      </c>
      <c r="B21" s="44"/>
      <c r="C21" s="44"/>
      <c r="D21" s="44"/>
      <c r="E21" s="44"/>
      <c r="F21" s="44"/>
      <c r="G21" s="61">
        <f>SUM(G8:G20)</f>
        <v>94500</v>
      </c>
      <c r="H21" s="61">
        <f>SUM(H8:H20)</f>
        <v>94500</v>
      </c>
      <c r="I21" s="61">
        <f>SUM(I8:I20)</f>
        <v>64500</v>
      </c>
      <c r="J21" s="61">
        <v>16500</v>
      </c>
      <c r="K21" s="44">
        <v>1500</v>
      </c>
      <c r="L21" s="44">
        <f>SUM(L8:L20)</f>
        <v>15000</v>
      </c>
      <c r="M21" s="45">
        <v>31500</v>
      </c>
      <c r="N21" s="46"/>
    </row>
    <row r="22" spans="1:14" x14ac:dyDescent="0.25">
      <c r="A22" s="2"/>
      <c r="B22" s="3" t="s">
        <v>40</v>
      </c>
      <c r="C22" s="3"/>
      <c r="D22" s="67"/>
      <c r="E22" s="67"/>
      <c r="F22" s="48"/>
      <c r="G22" s="62">
        <f>SUM(G21)</f>
        <v>94500</v>
      </c>
      <c r="H22" s="66"/>
      <c r="I22" s="2"/>
      <c r="J22" s="66">
        <f>SUM(I21+J21)</f>
        <v>81000</v>
      </c>
      <c r="K22" s="2"/>
      <c r="L22" s="2"/>
      <c r="M22" s="2"/>
      <c r="N22" s="2"/>
    </row>
    <row r="23" spans="1:14" x14ac:dyDescent="0.25">
      <c r="A23" s="2"/>
      <c r="B23" s="3" t="s">
        <v>60</v>
      </c>
      <c r="C23" s="3"/>
      <c r="D23" s="67"/>
      <c r="E23" s="67"/>
      <c r="F23" s="48"/>
      <c r="G23" s="70">
        <f>SUM(G22-G24)</f>
        <v>87885</v>
      </c>
      <c r="H23" s="2"/>
      <c r="I23" s="66"/>
      <c r="J23" s="66"/>
      <c r="K23" s="2"/>
      <c r="L23" s="2"/>
      <c r="M23" s="2"/>
      <c r="N23" s="2"/>
    </row>
    <row r="24" spans="1:14" x14ac:dyDescent="0.25">
      <c r="A24" s="2"/>
      <c r="B24" s="3" t="s">
        <v>52</v>
      </c>
      <c r="C24" s="3"/>
      <c r="D24" s="67"/>
      <c r="E24" s="49"/>
      <c r="F24" s="50"/>
      <c r="G24" s="69">
        <f>SUM(G22*7%)</f>
        <v>6615.0000000000009</v>
      </c>
      <c r="H24" s="2"/>
      <c r="I24" s="66"/>
      <c r="J24" s="66"/>
      <c r="K24" s="2"/>
      <c r="L24" s="2"/>
      <c r="M24" s="2"/>
      <c r="N24" s="2"/>
    </row>
    <row r="25" spans="1:14" x14ac:dyDescent="0.25">
      <c r="A25" s="2"/>
      <c r="B25" s="68" t="s">
        <v>64</v>
      </c>
      <c r="C25" s="3"/>
      <c r="D25" s="3"/>
      <c r="E25" s="3"/>
      <c r="F25" s="47"/>
      <c r="G25" s="71">
        <v>20000</v>
      </c>
      <c r="H25" s="2"/>
      <c r="I25" s="2" t="s">
        <v>56</v>
      </c>
      <c r="K25" s="2"/>
      <c r="L25" s="2"/>
      <c r="M25" s="2"/>
      <c r="N25" s="2"/>
    </row>
    <row r="26" spans="1:14" s="2" customFormat="1" x14ac:dyDescent="0.25">
      <c r="B26" s="68" t="s">
        <v>65</v>
      </c>
      <c r="C26" s="3"/>
      <c r="D26" s="3"/>
      <c r="E26" s="3"/>
      <c r="F26" s="47"/>
      <c r="G26" s="71">
        <v>9000</v>
      </c>
      <c r="I26" s="66"/>
      <c r="J26" s="66"/>
    </row>
    <row r="27" spans="1:14" x14ac:dyDescent="0.25">
      <c r="A27" s="2"/>
      <c r="B27" s="2"/>
      <c r="C27" s="2" t="s">
        <v>3</v>
      </c>
      <c r="D27" s="2"/>
      <c r="E27" s="2"/>
      <c r="F27" s="2"/>
      <c r="G27" s="66">
        <f>SUM(G24:G26)</f>
        <v>35615</v>
      </c>
      <c r="H27" s="2"/>
      <c r="I27" s="2"/>
      <c r="K27" s="2"/>
      <c r="L27" s="2"/>
      <c r="M27" s="2"/>
      <c r="N27" s="2"/>
    </row>
    <row r="28" spans="1:14" x14ac:dyDescent="0.25">
      <c r="A28" s="2"/>
      <c r="B28" s="68"/>
      <c r="C28" s="3"/>
      <c r="D28" s="3"/>
      <c r="E28" s="3"/>
      <c r="F28" s="2"/>
      <c r="G28" s="2"/>
      <c r="H28" s="2"/>
      <c r="I28" s="2"/>
      <c r="K28" s="2"/>
      <c r="L28" s="2"/>
      <c r="M28" s="2"/>
      <c r="N28" s="2"/>
    </row>
    <row r="29" spans="1:14" ht="18" x14ac:dyDescent="0.4">
      <c r="A29" s="2"/>
      <c r="B29" s="68" t="s">
        <v>61</v>
      </c>
      <c r="C29" s="3"/>
      <c r="D29" s="3"/>
      <c r="E29" s="3"/>
      <c r="F29" s="2"/>
      <c r="G29" s="72">
        <f>SUM(G22-G27+G28)</f>
        <v>58885</v>
      </c>
      <c r="H29" s="2"/>
      <c r="I29" s="2"/>
      <c r="K29" s="2"/>
      <c r="L29" s="2"/>
      <c r="M29" s="2"/>
      <c r="N29" s="2"/>
    </row>
    <row r="30" spans="1:14" x14ac:dyDescent="0.25">
      <c r="A30" s="52"/>
      <c r="B30" s="53" t="s">
        <v>41</v>
      </c>
      <c r="C30" s="2"/>
      <c r="D30" s="2"/>
      <c r="E30" s="2"/>
      <c r="F30" s="52" t="s">
        <v>42</v>
      </c>
      <c r="G30" s="52"/>
      <c r="H30" s="52"/>
      <c r="I30" s="52" t="s">
        <v>43</v>
      </c>
      <c r="J30" s="52"/>
      <c r="K30" s="2"/>
      <c r="L30" s="2"/>
      <c r="M30" s="2"/>
      <c r="N30" s="2"/>
    </row>
    <row r="31" spans="1:14" x14ac:dyDescent="0.25">
      <c r="A31" s="52"/>
      <c r="B31" s="52"/>
      <c r="C31" s="2"/>
      <c r="D31" s="2"/>
      <c r="E31" s="2"/>
      <c r="F31" s="52"/>
      <c r="G31" s="52"/>
      <c r="H31" s="52"/>
      <c r="I31" s="52"/>
      <c r="J31" s="52"/>
      <c r="K31" s="2"/>
      <c r="L31" s="2"/>
      <c r="M31" s="2"/>
      <c r="N31" s="2"/>
    </row>
    <row r="32" spans="1:14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  <c r="N32" s="2"/>
    </row>
    <row r="33" spans="1:14" x14ac:dyDescent="0.25">
      <c r="A33" s="52"/>
      <c r="B33" s="52" t="s">
        <v>44</v>
      </c>
      <c r="C33" s="2"/>
      <c r="D33" s="2"/>
      <c r="E33" s="2"/>
      <c r="F33" s="52" t="s">
        <v>45</v>
      </c>
      <c r="G33" s="52"/>
      <c r="H33" s="52"/>
      <c r="I33" s="52" t="s">
        <v>51</v>
      </c>
      <c r="J33" s="52"/>
      <c r="K33" s="2"/>
      <c r="L33" s="2"/>
      <c r="M33" s="2"/>
      <c r="N33" s="2"/>
    </row>
    <row r="34" spans="1:14" x14ac:dyDescent="0.25">
      <c r="A34" s="54" t="s">
        <v>46</v>
      </c>
      <c r="B34" s="52" t="s">
        <v>47</v>
      </c>
      <c r="C34" s="2"/>
      <c r="D34" s="2"/>
      <c r="E34" s="2"/>
      <c r="F34" s="52" t="s">
        <v>47</v>
      </c>
      <c r="G34" s="52"/>
      <c r="H34" s="52"/>
      <c r="I34" s="52" t="s">
        <v>48</v>
      </c>
      <c r="J34" s="5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  <c r="N36" s="2"/>
    </row>
  </sheetData>
  <pageMargins left="0.7" right="0.7" top="0.75" bottom="0.75" header="0.3" footer="0.3"/>
  <pageSetup orientation="landscape" horizontalDpi="0" verticalDpi="0" r:id="rId1"/>
  <ignoredErrors>
    <ignoredError sqref="C10:C19 E10:E19" numberStoredAsText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sqref="A1:G35"/>
    </sheetView>
  </sheetViews>
  <sheetFormatPr defaultRowHeight="15" x14ac:dyDescent="0.25"/>
  <cols>
    <col min="1" max="1" width="14.42578125" customWidth="1"/>
    <col min="3" max="3" width="10.42578125" customWidth="1"/>
    <col min="8" max="8" width="10.5703125" bestFit="1" customWidth="1"/>
  </cols>
  <sheetData>
    <row r="1" spans="1:7" x14ac:dyDescent="0.25">
      <c r="A1" s="113"/>
      <c r="B1" s="18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169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7" x14ac:dyDescent="0.25">
      <c r="A7" s="39" t="s">
        <v>79</v>
      </c>
      <c r="B7" s="36">
        <v>1</v>
      </c>
      <c r="C7" s="36"/>
      <c r="D7" s="57"/>
      <c r="E7" s="57"/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</row>
    <row r="18" spans="1:8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84000</v>
      </c>
      <c r="E20" s="99">
        <f>SUM(E7:E19)</f>
        <v>84000</v>
      </c>
      <c r="F20" s="99"/>
      <c r="G20" s="122"/>
    </row>
    <row r="21" spans="1:8" x14ac:dyDescent="0.25">
      <c r="A21" s="113"/>
      <c r="B21" s="113"/>
      <c r="C21" s="113"/>
      <c r="D21" s="113"/>
      <c r="E21" s="113"/>
      <c r="F21" s="113"/>
      <c r="G21" s="113"/>
    </row>
    <row r="22" spans="1:8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8" x14ac:dyDescent="0.25">
      <c r="A23" s="3" t="s">
        <v>118</v>
      </c>
      <c r="B23" s="48"/>
      <c r="C23" s="62">
        <f>E20</f>
        <v>84000</v>
      </c>
      <c r="D23" s="66"/>
      <c r="E23" s="68"/>
      <c r="F23" s="69"/>
      <c r="G23" s="113"/>
    </row>
    <row r="24" spans="1:8" x14ac:dyDescent="0.25">
      <c r="A24" s="68"/>
      <c r="B24" s="113"/>
      <c r="C24" s="113"/>
      <c r="D24" s="66"/>
      <c r="E24" s="3"/>
      <c r="F24" s="131"/>
      <c r="G24" s="113"/>
    </row>
    <row r="25" spans="1:8" ht="16.5" x14ac:dyDescent="0.35">
      <c r="A25" s="23" t="s">
        <v>147</v>
      </c>
      <c r="B25" s="48"/>
      <c r="C25" s="101">
        <f>SUM(C23:C24)</f>
        <v>84000</v>
      </c>
      <c r="D25" s="66"/>
      <c r="E25" s="148"/>
      <c r="F25" s="125"/>
      <c r="G25" s="113"/>
    </row>
    <row r="26" spans="1:8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8" x14ac:dyDescent="0.25">
      <c r="A27" s="3" t="s">
        <v>146</v>
      </c>
      <c r="B27" s="48"/>
      <c r="C27" s="151">
        <f>SUM(C23*7%)</f>
        <v>5880.0000000000009</v>
      </c>
      <c r="D27" s="113"/>
      <c r="E27" s="149"/>
      <c r="F27" s="150"/>
      <c r="G27" s="113"/>
      <c r="H27">
        <v>20000</v>
      </c>
    </row>
    <row r="28" spans="1:8" x14ac:dyDescent="0.25">
      <c r="A28" s="166"/>
      <c r="B28" s="113"/>
      <c r="C28" s="132">
        <f>C23-C27</f>
        <v>78120</v>
      </c>
      <c r="D28" s="113"/>
      <c r="E28" s="113"/>
      <c r="F28" s="94"/>
      <c r="G28" s="113"/>
    </row>
    <row r="29" spans="1:8" x14ac:dyDescent="0.25">
      <c r="A29" s="53" t="s">
        <v>41</v>
      </c>
      <c r="B29" s="113"/>
      <c r="C29" s="52" t="s">
        <v>42</v>
      </c>
      <c r="D29" s="52"/>
      <c r="E29" s="52"/>
      <c r="F29" s="52" t="s">
        <v>43</v>
      </c>
      <c r="G29" s="52"/>
      <c r="H29" s="66">
        <f>C28-H27</f>
        <v>58120</v>
      </c>
    </row>
    <row r="30" spans="1:8" x14ac:dyDescent="0.25">
      <c r="A30" s="113"/>
      <c r="B30" s="113"/>
      <c r="C30" s="113"/>
      <c r="D30" s="113"/>
      <c r="E30" s="113"/>
      <c r="F30" s="113"/>
      <c r="G30" s="113"/>
      <c r="H30" s="113" t="s">
        <v>56</v>
      </c>
    </row>
    <row r="31" spans="1:8" x14ac:dyDescent="0.25">
      <c r="A31" s="52" t="s">
        <v>148</v>
      </c>
      <c r="B31" s="113"/>
      <c r="C31" s="52" t="s">
        <v>45</v>
      </c>
      <c r="D31" s="52"/>
      <c r="E31" s="52"/>
      <c r="F31" s="52" t="s">
        <v>51</v>
      </c>
      <c r="G31" s="52"/>
    </row>
    <row r="32" spans="1:8" x14ac:dyDescent="0.25">
      <c r="A32" s="52" t="s">
        <v>47</v>
      </c>
      <c r="B32" s="113"/>
      <c r="C32" s="52" t="s">
        <v>47</v>
      </c>
      <c r="D32" s="52"/>
      <c r="E32" s="52"/>
      <c r="F32" s="52" t="s">
        <v>48</v>
      </c>
      <c r="G32" s="52"/>
    </row>
    <row r="33" spans="1:7" x14ac:dyDescent="0.25">
      <c r="A33" s="113"/>
      <c r="B33" s="113"/>
      <c r="C33" s="113"/>
      <c r="D33" s="113"/>
      <c r="E33" s="113"/>
      <c r="F33" s="113"/>
      <c r="G33" s="113"/>
    </row>
    <row r="34" spans="1:7" x14ac:dyDescent="0.25">
      <c r="A34" s="113"/>
      <c r="B34" s="113"/>
      <c r="C34" s="113"/>
      <c r="D34" s="113"/>
      <c r="E34" s="113"/>
      <c r="F34" s="113"/>
      <c r="G34" s="113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I40"/>
    </sheetView>
  </sheetViews>
  <sheetFormatPr defaultRowHeight="15" x14ac:dyDescent="0.25"/>
  <cols>
    <col min="1" max="1" width="15.7109375" customWidth="1"/>
    <col min="3" max="3" width="10.710937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170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7" x14ac:dyDescent="0.25">
      <c r="A7" s="39" t="s">
        <v>79</v>
      </c>
      <c r="B7" s="36">
        <v>1</v>
      </c>
      <c r="C7" s="36"/>
      <c r="D7" s="57"/>
      <c r="E7" s="57"/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</row>
    <row r="18" spans="1:7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84000</v>
      </c>
      <c r="E20" s="99">
        <f>SUM(E7:E19)</f>
        <v>84000</v>
      </c>
      <c r="F20" s="99"/>
      <c r="G20" s="122"/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7" x14ac:dyDescent="0.25">
      <c r="A23" s="3" t="s">
        <v>118</v>
      </c>
      <c r="B23" s="48"/>
      <c r="C23" s="62">
        <f>E20</f>
        <v>84000</v>
      </c>
      <c r="D23" s="66"/>
      <c r="E23" s="68"/>
      <c r="F23" s="69"/>
      <c r="G23" s="113"/>
    </row>
    <row r="24" spans="1:7" x14ac:dyDescent="0.25">
      <c r="A24" s="68"/>
      <c r="B24" s="113"/>
      <c r="C24" s="113"/>
      <c r="D24" s="66"/>
      <c r="E24" s="3"/>
      <c r="F24" s="131"/>
      <c r="G24" s="113"/>
    </row>
    <row r="25" spans="1:7" ht="16.5" x14ac:dyDescent="0.35">
      <c r="A25" s="23" t="s">
        <v>147</v>
      </c>
      <c r="B25" s="48"/>
      <c r="C25" s="101">
        <f>SUM(C23:C24)</f>
        <v>84000</v>
      </c>
      <c r="D25" s="66"/>
      <c r="E25" s="148"/>
      <c r="F25" s="125"/>
      <c r="G25" s="113"/>
    </row>
    <row r="26" spans="1:7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7" x14ac:dyDescent="0.25">
      <c r="A27" s="3" t="s">
        <v>146</v>
      </c>
      <c r="B27" s="48"/>
      <c r="C27" s="151">
        <f>SUM(C23*7%)</f>
        <v>5880.0000000000009</v>
      </c>
      <c r="D27" s="113"/>
      <c r="E27" s="149"/>
      <c r="F27" s="150"/>
      <c r="G27" s="113"/>
    </row>
    <row r="28" spans="1:7" x14ac:dyDescent="0.25">
      <c r="A28" s="166" t="s">
        <v>171</v>
      </c>
      <c r="B28" s="113"/>
      <c r="C28" s="132">
        <v>10110</v>
      </c>
      <c r="D28" s="113"/>
      <c r="E28" s="113"/>
      <c r="F28" s="94"/>
      <c r="G28" s="113"/>
    </row>
    <row r="29" spans="1:7" x14ac:dyDescent="0.25">
      <c r="A29" s="113" t="s">
        <v>172</v>
      </c>
      <c r="C29">
        <v>7000</v>
      </c>
      <c r="D29" s="52"/>
      <c r="E29" s="52"/>
      <c r="F29" s="52" t="s">
        <v>43</v>
      </c>
      <c r="G29" s="52"/>
    </row>
    <row r="30" spans="1:7" s="113" customFormat="1" x14ac:dyDescent="0.25">
      <c r="A30" s="113" t="s">
        <v>173</v>
      </c>
      <c r="C30" s="131">
        <v>20000</v>
      </c>
      <c r="D30" s="52"/>
      <c r="E30" s="52"/>
      <c r="F30" s="52"/>
      <c r="G30" s="52"/>
    </row>
    <row r="31" spans="1:7" x14ac:dyDescent="0.25">
      <c r="A31" s="153" t="s">
        <v>157</v>
      </c>
      <c r="B31" s="153"/>
      <c r="C31" s="154">
        <f>SUM(C27:C30)</f>
        <v>42990</v>
      </c>
      <c r="D31" s="113"/>
      <c r="E31" s="113"/>
      <c r="F31" s="113"/>
      <c r="G31" s="113"/>
    </row>
    <row r="32" spans="1:7" x14ac:dyDescent="0.25">
      <c r="D32" s="52"/>
      <c r="E32" s="52"/>
      <c r="F32" s="52" t="s">
        <v>51</v>
      </c>
      <c r="G32" s="52"/>
    </row>
    <row r="33" spans="1:7" x14ac:dyDescent="0.25">
      <c r="C33" s="66">
        <f>C25-C31</f>
        <v>41010</v>
      </c>
      <c r="D33" s="52"/>
      <c r="E33" s="52"/>
      <c r="F33" s="52" t="s">
        <v>48</v>
      </c>
      <c r="G33" s="52"/>
    </row>
    <row r="34" spans="1:7" x14ac:dyDescent="0.25">
      <c r="D34" s="113"/>
      <c r="E34" s="113"/>
      <c r="F34" s="113"/>
      <c r="G34" s="113"/>
    </row>
    <row r="35" spans="1:7" x14ac:dyDescent="0.25">
      <c r="D35" s="113"/>
      <c r="E35" s="113"/>
      <c r="F35" s="113"/>
      <c r="G35" s="113"/>
    </row>
    <row r="36" spans="1:7" x14ac:dyDescent="0.25">
      <c r="A36" s="53" t="s">
        <v>41</v>
      </c>
      <c r="B36" s="113"/>
      <c r="C36" s="52" t="s">
        <v>42</v>
      </c>
      <c r="D36" s="113"/>
      <c r="E36" s="113"/>
      <c r="F36" s="113"/>
      <c r="G36" s="113"/>
    </row>
    <row r="37" spans="1:7" x14ac:dyDescent="0.25">
      <c r="A37" s="113"/>
      <c r="B37" s="113"/>
      <c r="C37" s="113"/>
    </row>
    <row r="38" spans="1:7" x14ac:dyDescent="0.25">
      <c r="A38" s="52" t="s">
        <v>148</v>
      </c>
      <c r="B38" s="113"/>
      <c r="C38" s="52" t="s">
        <v>45</v>
      </c>
    </row>
    <row r="39" spans="1:7" x14ac:dyDescent="0.25">
      <c r="A39" s="52" t="s">
        <v>47</v>
      </c>
      <c r="B39" s="113"/>
      <c r="C39" s="52" t="s">
        <v>47</v>
      </c>
    </row>
    <row r="40" spans="1:7" x14ac:dyDescent="0.25">
      <c r="A40" s="113"/>
      <c r="B40" s="113"/>
      <c r="C40" s="113"/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sqref="A1:H37"/>
    </sheetView>
  </sheetViews>
  <sheetFormatPr defaultRowHeight="15" x14ac:dyDescent="0.25"/>
  <cols>
    <col min="1" max="1" width="17.28515625" customWidth="1"/>
    <col min="3" max="3" width="11.28515625" customWidth="1"/>
  </cols>
  <sheetData>
    <row r="1" spans="1:9" x14ac:dyDescent="0.25">
      <c r="A1" s="113"/>
      <c r="B1" s="18"/>
      <c r="C1" s="113"/>
      <c r="D1" s="155"/>
      <c r="E1" s="160" t="s">
        <v>24</v>
      </c>
      <c r="F1" s="160"/>
      <c r="G1" s="155"/>
      <c r="H1" s="113"/>
      <c r="I1" s="113"/>
    </row>
    <row r="2" spans="1:9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  <c r="I2" s="113"/>
    </row>
    <row r="3" spans="1:9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  <c r="I3" s="113"/>
    </row>
    <row r="4" spans="1:9" x14ac:dyDescent="0.25">
      <c r="A4" s="113"/>
      <c r="B4" s="113"/>
      <c r="C4" s="156"/>
      <c r="D4" s="157" t="s">
        <v>27</v>
      </c>
      <c r="E4" s="157"/>
      <c r="F4" s="21"/>
      <c r="G4" s="21"/>
      <c r="H4" s="113"/>
      <c r="I4" s="113"/>
    </row>
    <row r="5" spans="1:9" ht="21" x14ac:dyDescent="0.35">
      <c r="A5" s="27" t="s">
        <v>175</v>
      </c>
      <c r="B5" s="77"/>
      <c r="C5" s="77"/>
      <c r="D5" s="78"/>
      <c r="E5" s="77"/>
      <c r="F5" s="77"/>
      <c r="G5" s="27"/>
      <c r="H5" s="113"/>
      <c r="I5" s="113"/>
    </row>
    <row r="6" spans="1:9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  <c r="H6" s="113"/>
      <c r="I6" s="113"/>
    </row>
    <row r="7" spans="1:9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/>
      <c r="G7" s="122"/>
      <c r="H7" s="113"/>
      <c r="I7" s="113"/>
    </row>
    <row r="8" spans="1:9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  <c r="H8" s="113"/>
      <c r="I8" s="113"/>
    </row>
    <row r="9" spans="1:9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  <c r="H9" s="113"/>
      <c r="I9" s="113"/>
    </row>
    <row r="10" spans="1:9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  <c r="H10" s="113"/>
      <c r="I10" s="113"/>
    </row>
    <row r="11" spans="1:9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  <c r="H11" s="113"/>
      <c r="I11" s="113"/>
    </row>
    <row r="12" spans="1:9" x14ac:dyDescent="0.25">
      <c r="A12" s="32" t="s">
        <v>79</v>
      </c>
      <c r="B12" s="10"/>
      <c r="C12" s="9">
        <v>0</v>
      </c>
      <c r="D12" s="58"/>
      <c r="E12" s="57"/>
      <c r="F12" s="58"/>
      <c r="G12" s="122"/>
      <c r="H12" s="113"/>
      <c r="I12" s="113"/>
    </row>
    <row r="13" spans="1:9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  <c r="H13" s="113"/>
      <c r="I13" s="113"/>
    </row>
    <row r="14" spans="1:9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  <c r="H14" s="113"/>
      <c r="I14" s="113"/>
    </row>
    <row r="15" spans="1:9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  <c r="H15" s="113"/>
      <c r="I15" s="113"/>
    </row>
    <row r="16" spans="1:9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  <c r="H16" s="113"/>
      <c r="I16" s="113"/>
    </row>
    <row r="17" spans="1:9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  <c r="H17" s="113"/>
      <c r="I17" s="113"/>
    </row>
    <row r="18" spans="1:9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  <c r="H18" s="113"/>
      <c r="I18" s="113"/>
    </row>
    <row r="19" spans="1:9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  <c r="H19" s="113"/>
      <c r="I19" s="113"/>
    </row>
    <row r="20" spans="1:9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/>
      <c r="G20" s="122"/>
      <c r="H20" s="113"/>
      <c r="I20" s="113"/>
    </row>
    <row r="21" spans="1:9" x14ac:dyDescent="0.25">
      <c r="A21" s="113"/>
      <c r="B21" s="113"/>
      <c r="C21" s="113"/>
      <c r="D21" s="113"/>
      <c r="E21" s="113"/>
      <c r="F21" s="113"/>
      <c r="G21" s="113"/>
      <c r="H21" s="113"/>
      <c r="I21" s="113"/>
    </row>
    <row r="22" spans="1:9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  <c r="H22" s="113"/>
      <c r="I22" s="113"/>
    </row>
    <row r="23" spans="1:9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  <c r="H23" s="113"/>
      <c r="I23" s="113"/>
    </row>
    <row r="24" spans="1:9" x14ac:dyDescent="0.25">
      <c r="A24" s="68"/>
      <c r="B24" s="113"/>
      <c r="C24" s="113"/>
      <c r="D24" s="66"/>
      <c r="E24" s="3"/>
      <c r="F24" s="131"/>
      <c r="G24" s="113"/>
      <c r="H24" s="113"/>
      <c r="I24" s="113"/>
    </row>
    <row r="25" spans="1:9" ht="16.5" x14ac:dyDescent="0.35">
      <c r="A25" s="23" t="s">
        <v>147</v>
      </c>
      <c r="B25" s="48"/>
      <c r="C25" s="101">
        <f>SUM(C23:C24)</f>
        <v>93000</v>
      </c>
      <c r="D25" s="66"/>
      <c r="E25" s="148"/>
      <c r="F25" s="125"/>
      <c r="G25" s="113"/>
      <c r="H25" s="113"/>
      <c r="I25" s="113"/>
    </row>
    <row r="26" spans="1:9" x14ac:dyDescent="0.25">
      <c r="A26" s="165" t="s">
        <v>158</v>
      </c>
      <c r="B26" s="113"/>
      <c r="C26" s="113"/>
      <c r="D26" s="113"/>
      <c r="E26" s="147"/>
      <c r="F26" s="125"/>
      <c r="G26" s="113"/>
      <c r="H26" s="113"/>
      <c r="I26" s="113"/>
    </row>
    <row r="27" spans="1:9" x14ac:dyDescent="0.25">
      <c r="A27" s="3" t="s">
        <v>146</v>
      </c>
      <c r="B27" s="48"/>
      <c r="C27" s="151">
        <f>SUM(C23*7%)</f>
        <v>6510.0000000000009</v>
      </c>
      <c r="D27" s="113"/>
      <c r="E27" s="149"/>
      <c r="F27" s="150"/>
      <c r="G27" s="113"/>
      <c r="H27" s="113"/>
      <c r="I27" s="113"/>
    </row>
    <row r="28" spans="1:9" x14ac:dyDescent="0.25">
      <c r="A28" s="113" t="s">
        <v>173</v>
      </c>
      <c r="B28" s="113"/>
      <c r="C28" s="131">
        <v>19000</v>
      </c>
      <c r="D28" s="113"/>
      <c r="E28" s="113"/>
      <c r="F28" s="94"/>
      <c r="G28" s="113"/>
      <c r="H28" s="113"/>
      <c r="I28" s="113"/>
    </row>
    <row r="29" spans="1:9" x14ac:dyDescent="0.25">
      <c r="A29" s="153" t="s">
        <v>157</v>
      </c>
      <c r="B29" s="153"/>
      <c r="C29" s="154">
        <f>SUM(C27:C28)</f>
        <v>25510</v>
      </c>
      <c r="D29" s="52"/>
      <c r="E29" s="52"/>
      <c r="F29" s="52" t="s">
        <v>43</v>
      </c>
      <c r="G29" s="52"/>
      <c r="H29" s="113"/>
      <c r="I29" s="113"/>
    </row>
    <row r="30" spans="1:9" x14ac:dyDescent="0.25">
      <c r="D30" s="52"/>
      <c r="E30" s="52"/>
      <c r="F30" s="52"/>
      <c r="G30" s="52"/>
      <c r="H30" s="113"/>
      <c r="I30" s="113"/>
    </row>
    <row r="31" spans="1:9" x14ac:dyDescent="0.25">
      <c r="D31" s="113"/>
      <c r="E31" s="113"/>
      <c r="F31" s="113"/>
      <c r="G31" s="113"/>
      <c r="H31" s="113"/>
      <c r="I31" s="113"/>
    </row>
    <row r="32" spans="1:9" x14ac:dyDescent="0.25">
      <c r="A32" s="113"/>
      <c r="B32" s="113"/>
      <c r="C32" s="113"/>
      <c r="D32" s="52"/>
      <c r="E32" s="52"/>
      <c r="F32" s="52" t="s">
        <v>51</v>
      </c>
      <c r="G32" s="52"/>
      <c r="H32" s="113"/>
      <c r="I32" s="113"/>
    </row>
    <row r="33" spans="1:9" x14ac:dyDescent="0.25">
      <c r="A33" s="52" t="s">
        <v>174</v>
      </c>
      <c r="B33" s="52"/>
      <c r="C33" s="167">
        <f>C25-C29</f>
        <v>67490</v>
      </c>
      <c r="D33" s="52"/>
      <c r="E33" s="52"/>
      <c r="F33" s="52" t="s">
        <v>48</v>
      </c>
      <c r="G33" s="52"/>
      <c r="H33" s="113"/>
      <c r="I33" s="113"/>
    </row>
    <row r="34" spans="1:9" x14ac:dyDescent="0.25">
      <c r="A34" s="53" t="s">
        <v>41</v>
      </c>
      <c r="B34" s="113"/>
      <c r="C34" s="52" t="s">
        <v>42</v>
      </c>
      <c r="D34" s="113"/>
      <c r="E34" s="113"/>
      <c r="F34" s="113"/>
      <c r="G34" s="113"/>
      <c r="H34" s="113"/>
      <c r="I34" s="113"/>
    </row>
    <row r="35" spans="1:9" x14ac:dyDescent="0.25">
      <c r="A35" s="113"/>
      <c r="B35" s="113"/>
      <c r="C35" s="113"/>
      <c r="D35" s="113"/>
      <c r="E35" s="113"/>
      <c r="F35" s="113"/>
      <c r="G35" s="113"/>
      <c r="H35" s="113"/>
      <c r="I35" s="113"/>
    </row>
    <row r="36" spans="1:9" x14ac:dyDescent="0.25">
      <c r="A36" s="52" t="s">
        <v>148</v>
      </c>
      <c r="B36" s="113"/>
      <c r="C36" s="52" t="s">
        <v>45</v>
      </c>
      <c r="D36" s="113"/>
      <c r="E36" s="113"/>
      <c r="F36" s="113"/>
      <c r="G36" s="113"/>
      <c r="H36" s="113"/>
      <c r="I36" s="113"/>
    </row>
    <row r="37" spans="1:9" x14ac:dyDescent="0.25">
      <c r="A37" s="52" t="s">
        <v>47</v>
      </c>
      <c r="B37" s="113"/>
      <c r="C37" s="52" t="s">
        <v>47</v>
      </c>
      <c r="D37" s="113"/>
      <c r="E37" s="113"/>
      <c r="F37" s="113"/>
      <c r="G37" s="113"/>
      <c r="H37" s="11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  <row r="39" spans="1:9" x14ac:dyDescent="0.25">
      <c r="I39" s="113"/>
    </row>
    <row r="40" spans="1:9" x14ac:dyDescent="0.25">
      <c r="I40" s="113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G38"/>
    </sheetView>
  </sheetViews>
  <sheetFormatPr defaultRowHeight="15" x14ac:dyDescent="0.25"/>
  <cols>
    <col min="1" max="1" width="12.42578125" customWidth="1"/>
    <col min="3" max="3" width="11.2851562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177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/>
      <c r="G7" s="122"/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/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  <c r="H13" s="113"/>
    </row>
    <row r="14" spans="1:8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  <c r="H14" s="113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  <c r="H17" s="113"/>
    </row>
    <row r="18" spans="1:8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/>
      <c r="G20" s="122"/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  <c r="H22" s="113"/>
    </row>
    <row r="23" spans="1:8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  <c r="H23" s="113"/>
    </row>
    <row r="24" spans="1:8" x14ac:dyDescent="0.25">
      <c r="A24" s="68"/>
      <c r="B24" s="113"/>
      <c r="C24" s="113"/>
      <c r="D24" s="66"/>
      <c r="E24" s="3"/>
      <c r="F24" s="131"/>
      <c r="G24" s="113"/>
      <c r="H24" s="113"/>
    </row>
    <row r="25" spans="1:8" ht="16.5" x14ac:dyDescent="0.35">
      <c r="A25" s="23" t="s">
        <v>147</v>
      </c>
      <c r="B25" s="48"/>
      <c r="C25" s="101">
        <f>SUM(C23:C24)</f>
        <v>93000</v>
      </c>
      <c r="D25" s="66"/>
      <c r="E25" s="148"/>
      <c r="F25" s="125"/>
      <c r="G25" s="113"/>
      <c r="H25" s="113"/>
    </row>
    <row r="26" spans="1:8" x14ac:dyDescent="0.25">
      <c r="A26" s="165" t="s">
        <v>158</v>
      </c>
      <c r="B26" s="113"/>
      <c r="C26" s="113"/>
      <c r="D26" s="113"/>
      <c r="E26" s="147"/>
      <c r="F26" s="125"/>
      <c r="G26" s="113"/>
      <c r="H26" s="113"/>
    </row>
    <row r="27" spans="1:8" x14ac:dyDescent="0.25">
      <c r="A27" s="3" t="s">
        <v>146</v>
      </c>
      <c r="B27" s="48"/>
      <c r="C27" s="151">
        <f>SUM(C23*7%)</f>
        <v>6510.0000000000009</v>
      </c>
      <c r="D27" s="113"/>
      <c r="E27" s="149"/>
      <c r="F27" s="150"/>
      <c r="G27" s="113"/>
      <c r="H27" s="113"/>
    </row>
    <row r="28" spans="1:8" x14ac:dyDescent="0.25">
      <c r="A28" s="113" t="s">
        <v>178</v>
      </c>
      <c r="B28" s="113"/>
      <c r="C28" s="131">
        <v>30000</v>
      </c>
      <c r="D28" s="113"/>
      <c r="E28" s="113"/>
      <c r="F28" s="94"/>
      <c r="G28" s="113"/>
      <c r="H28" s="113"/>
    </row>
    <row r="29" spans="1:8" x14ac:dyDescent="0.25">
      <c r="A29" s="153" t="s">
        <v>157</v>
      </c>
      <c r="B29" s="153"/>
      <c r="C29" s="154">
        <f>SUM(C27:C28)</f>
        <v>36510</v>
      </c>
      <c r="D29" s="52"/>
      <c r="E29" s="52"/>
      <c r="F29" s="52" t="s">
        <v>43</v>
      </c>
      <c r="G29" s="52"/>
      <c r="H29" s="113"/>
    </row>
    <row r="30" spans="1:8" x14ac:dyDescent="0.25">
      <c r="A30" s="113"/>
      <c r="B30" s="113"/>
      <c r="C30" s="113"/>
      <c r="D30" s="52"/>
      <c r="E30" s="52"/>
      <c r="F30" s="52"/>
      <c r="G30" s="52"/>
      <c r="H30" s="113"/>
    </row>
    <row r="31" spans="1:8" x14ac:dyDescent="0.25">
      <c r="A31" s="113"/>
      <c r="B31" s="113"/>
      <c r="C31" s="113"/>
      <c r="D31" s="113"/>
      <c r="E31" s="113"/>
      <c r="F31" s="113"/>
      <c r="G31" s="113"/>
      <c r="H31" s="113"/>
    </row>
    <row r="32" spans="1:8" x14ac:dyDescent="0.25">
      <c r="A32" s="113"/>
      <c r="B32" s="113"/>
      <c r="C32" s="113"/>
      <c r="D32" s="52"/>
      <c r="E32" s="52"/>
      <c r="F32" s="52" t="s">
        <v>51</v>
      </c>
      <c r="G32" s="52"/>
      <c r="H32" s="113"/>
    </row>
    <row r="33" spans="1:8" x14ac:dyDescent="0.25">
      <c r="A33" s="52" t="s">
        <v>179</v>
      </c>
      <c r="B33" s="52"/>
      <c r="C33" s="167">
        <f>C25-C29</f>
        <v>56490</v>
      </c>
      <c r="D33" s="52"/>
      <c r="E33" s="52"/>
      <c r="F33" s="52" t="s">
        <v>48</v>
      </c>
      <c r="G33" s="52"/>
      <c r="H33" s="113"/>
    </row>
    <row r="34" spans="1:8" x14ac:dyDescent="0.25">
      <c r="A34" s="53" t="s">
        <v>41</v>
      </c>
      <c r="B34" s="113"/>
      <c r="C34" s="52" t="s">
        <v>42</v>
      </c>
      <c r="D34" s="113"/>
      <c r="E34" s="113"/>
      <c r="F34" s="113"/>
      <c r="G34" s="113"/>
      <c r="H34" s="113"/>
    </row>
    <row r="35" spans="1:8" x14ac:dyDescent="0.25">
      <c r="A35" s="113"/>
      <c r="B35" s="113"/>
      <c r="C35" s="113"/>
      <c r="D35" s="113"/>
      <c r="E35" s="113"/>
      <c r="F35" s="113"/>
      <c r="G35" s="113"/>
      <c r="H35" s="113"/>
    </row>
    <row r="36" spans="1:8" x14ac:dyDescent="0.25">
      <c r="A36" s="52" t="s">
        <v>148</v>
      </c>
      <c r="B36" s="113"/>
      <c r="C36" s="52" t="s">
        <v>45</v>
      </c>
      <c r="D36" s="113"/>
      <c r="E36" s="113"/>
      <c r="F36" s="113"/>
      <c r="G36" s="113"/>
      <c r="H36" s="113"/>
    </row>
    <row r="37" spans="1:8" x14ac:dyDescent="0.25">
      <c r="A37" s="52" t="s">
        <v>47</v>
      </c>
      <c r="B37" s="113"/>
      <c r="C37" s="52" t="s">
        <v>47</v>
      </c>
      <c r="D37" s="113"/>
      <c r="E37" s="113"/>
      <c r="F37" s="113"/>
      <c r="G37" s="113"/>
      <c r="H37" s="11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H43"/>
    </sheetView>
  </sheetViews>
  <sheetFormatPr defaultRowHeight="15" x14ac:dyDescent="0.25"/>
  <cols>
    <col min="1" max="1" width="13.140625" customWidth="1"/>
    <col min="2" max="2" width="12" customWidth="1"/>
    <col min="3" max="3" width="11.28515625" customWidth="1"/>
    <col min="4" max="4" width="11.140625" customWidth="1"/>
    <col min="7" max="7" width="9.8554687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180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7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</row>
    <row r="18" spans="1:7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/>
      <c r="G20" s="122"/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7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</row>
    <row r="24" spans="1:7" x14ac:dyDescent="0.25">
      <c r="A24" s="68"/>
      <c r="B24" s="113"/>
      <c r="C24" s="113"/>
      <c r="D24" s="66"/>
      <c r="E24" s="3"/>
      <c r="F24" s="131"/>
      <c r="G24" s="113"/>
    </row>
    <row r="25" spans="1:7" ht="16.5" x14ac:dyDescent="0.35">
      <c r="A25" s="23" t="s">
        <v>147</v>
      </c>
      <c r="B25" s="48"/>
      <c r="C25" s="101">
        <f>SUM(C23:C24)</f>
        <v>93000</v>
      </c>
      <c r="D25" s="66"/>
      <c r="E25" s="148"/>
      <c r="F25" s="125"/>
      <c r="G25" s="113"/>
    </row>
    <row r="26" spans="1:7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7" x14ac:dyDescent="0.25">
      <c r="A27" s="3" t="s">
        <v>146</v>
      </c>
      <c r="B27" s="48"/>
      <c r="C27" s="151">
        <f>SUM(C23*7%)</f>
        <v>6510.0000000000009</v>
      </c>
      <c r="D27" s="113"/>
      <c r="E27" s="149"/>
      <c r="F27" s="150"/>
      <c r="G27" s="113"/>
    </row>
    <row r="28" spans="1:7" x14ac:dyDescent="0.25">
      <c r="A28" s="113" t="s">
        <v>178</v>
      </c>
      <c r="B28" s="113"/>
      <c r="C28" s="131">
        <v>20000</v>
      </c>
      <c r="D28" s="113"/>
      <c r="E28" s="113"/>
      <c r="F28" s="94"/>
      <c r="G28" s="113"/>
    </row>
    <row r="29" spans="1:7" x14ac:dyDescent="0.25">
      <c r="A29" s="153" t="s">
        <v>157</v>
      </c>
      <c r="B29" s="153"/>
      <c r="C29" s="154">
        <f>SUM(C27:C28)</f>
        <v>26510</v>
      </c>
      <c r="D29" s="52"/>
      <c r="E29" s="52"/>
      <c r="F29" s="52" t="s">
        <v>43</v>
      </c>
      <c r="G29" s="52"/>
    </row>
    <row r="30" spans="1:7" x14ac:dyDescent="0.25">
      <c r="A30" s="113"/>
      <c r="B30" s="113"/>
      <c r="C30" s="113"/>
      <c r="D30" s="52"/>
      <c r="E30" s="52"/>
      <c r="F30" s="52"/>
      <c r="G30" s="52"/>
    </row>
    <row r="31" spans="1:7" x14ac:dyDescent="0.25">
      <c r="A31" s="113"/>
      <c r="B31" s="113"/>
      <c r="C31" s="113"/>
      <c r="D31" s="113"/>
      <c r="E31" s="113"/>
      <c r="F31" s="113"/>
      <c r="G31" s="113"/>
    </row>
    <row r="32" spans="1:7" x14ac:dyDescent="0.25">
      <c r="A32" s="113"/>
      <c r="B32" s="113"/>
      <c r="C32" s="113"/>
      <c r="D32" s="52"/>
      <c r="E32" s="52"/>
      <c r="F32" s="52" t="s">
        <v>51</v>
      </c>
      <c r="G32" s="52"/>
    </row>
    <row r="33" spans="1:7" x14ac:dyDescent="0.25">
      <c r="A33" s="168" t="s">
        <v>181</v>
      </c>
      <c r="B33" s="52"/>
      <c r="C33" s="167">
        <f>C25-C29</f>
        <v>66490</v>
      </c>
      <c r="D33" s="52"/>
      <c r="E33" s="52"/>
      <c r="F33" s="52" t="s">
        <v>48</v>
      </c>
      <c r="G33" s="52"/>
    </row>
    <row r="34" spans="1:7" x14ac:dyDescent="0.25">
      <c r="A34" s="169">
        <v>42707</v>
      </c>
      <c r="C34" s="131">
        <v>42800</v>
      </c>
      <c r="D34" s="113"/>
      <c r="E34" s="113"/>
      <c r="F34" s="113"/>
      <c r="G34" s="113"/>
    </row>
    <row r="35" spans="1:7" x14ac:dyDescent="0.25">
      <c r="A35" t="s">
        <v>61</v>
      </c>
      <c r="C35" s="66">
        <f>C33-C34</f>
        <v>23690</v>
      </c>
      <c r="D35" s="113"/>
      <c r="E35" s="113"/>
      <c r="F35" s="113"/>
      <c r="G35" s="113"/>
    </row>
    <row r="36" spans="1:7" x14ac:dyDescent="0.25">
      <c r="D36" s="113"/>
      <c r="E36" s="113"/>
      <c r="F36" s="113"/>
      <c r="G36" s="113"/>
    </row>
    <row r="37" spans="1:7" x14ac:dyDescent="0.25">
      <c r="A37" s="53" t="s">
        <v>41</v>
      </c>
      <c r="B37" s="113"/>
      <c r="C37" s="52" t="s">
        <v>42</v>
      </c>
      <c r="D37" s="113"/>
      <c r="E37" s="113"/>
      <c r="F37" s="113"/>
      <c r="G37" s="113"/>
    </row>
    <row r="38" spans="1:7" x14ac:dyDescent="0.25">
      <c r="A38" s="113"/>
      <c r="B38" s="113"/>
      <c r="C38" s="113"/>
      <c r="D38" s="113"/>
      <c r="E38" s="113"/>
      <c r="F38" s="113"/>
      <c r="G38" s="113"/>
    </row>
    <row r="39" spans="1:7" x14ac:dyDescent="0.25">
      <c r="A39" s="52" t="s">
        <v>148</v>
      </c>
      <c r="B39" s="113"/>
      <c r="C39" s="52" t="s">
        <v>45</v>
      </c>
    </row>
    <row r="40" spans="1:7" x14ac:dyDescent="0.25">
      <c r="A40" s="52" t="s">
        <v>47</v>
      </c>
      <c r="B40" s="113"/>
      <c r="C40" s="52" t="s">
        <v>47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5" workbookViewId="0">
      <selection activeCell="H39" sqref="H39"/>
    </sheetView>
  </sheetViews>
  <sheetFormatPr defaultRowHeight="15" x14ac:dyDescent="0.25"/>
  <cols>
    <col min="1" max="1" width="14.28515625" customWidth="1"/>
    <col min="3" max="3" width="10.7109375" customWidth="1"/>
    <col min="7" max="7" width="10.7109375" customWidth="1"/>
    <col min="9" max="9" width="10.5703125" bestFit="1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182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>
        <f t="shared" si="1"/>
        <v>8000</v>
      </c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>
        <f t="shared" si="1"/>
        <v>25000</v>
      </c>
      <c r="H14" s="113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9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>
        <f t="shared" si="1"/>
        <v>10000</v>
      </c>
      <c r="H17" s="113"/>
    </row>
    <row r="18" spans="1:9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>
        <f t="shared" si="1"/>
        <v>12000</v>
      </c>
      <c r="H18" s="113"/>
    </row>
    <row r="19" spans="1:9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9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>
        <f>SUM(F7:F19)</f>
        <v>38000</v>
      </c>
      <c r="G20" s="122">
        <f>SUM(G7:G19)</f>
        <v>55000</v>
      </c>
      <c r="H20" s="113"/>
      <c r="I20" s="66"/>
    </row>
    <row r="21" spans="1:9" x14ac:dyDescent="0.25">
      <c r="A21" s="113"/>
      <c r="B21" s="113"/>
      <c r="C21" s="113"/>
      <c r="D21" s="113"/>
      <c r="E21" s="113"/>
      <c r="F21" s="113"/>
      <c r="G21" s="113"/>
      <c r="H21" s="113"/>
    </row>
    <row r="22" spans="1:9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  <c r="H22" s="113"/>
    </row>
    <row r="23" spans="1:9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  <c r="H23" s="113"/>
    </row>
    <row r="24" spans="1:9" x14ac:dyDescent="0.25">
      <c r="A24" s="68"/>
      <c r="B24" s="113"/>
      <c r="C24" s="113"/>
      <c r="D24" s="66"/>
      <c r="E24" s="3"/>
      <c r="F24" s="131"/>
      <c r="G24" s="113"/>
      <c r="H24" s="113"/>
    </row>
    <row r="25" spans="1:9" x14ac:dyDescent="0.25">
      <c r="A25" s="165" t="s">
        <v>158</v>
      </c>
      <c r="B25" s="113"/>
      <c r="C25" s="113"/>
      <c r="D25" s="113"/>
      <c r="E25" s="148"/>
      <c r="F25" s="125"/>
      <c r="G25" s="113"/>
      <c r="H25" s="113"/>
    </row>
    <row r="26" spans="1:9" x14ac:dyDescent="0.25">
      <c r="A26" s="3" t="s">
        <v>146</v>
      </c>
      <c r="B26" s="48"/>
      <c r="C26" s="151">
        <f>SUM(C23*7%)</f>
        <v>6510.0000000000009</v>
      </c>
      <c r="D26" s="113"/>
      <c r="E26" s="147"/>
      <c r="F26" s="125"/>
      <c r="G26" s="113"/>
      <c r="H26" s="113"/>
    </row>
    <row r="27" spans="1:9" x14ac:dyDescent="0.25">
      <c r="A27" s="113"/>
      <c r="B27" s="113"/>
      <c r="C27" s="131"/>
      <c r="D27" s="113"/>
      <c r="E27" s="149"/>
      <c r="F27" s="150"/>
      <c r="G27" s="113"/>
      <c r="H27" s="113"/>
    </row>
    <row r="28" spans="1:9" x14ac:dyDescent="0.25">
      <c r="A28" s="153" t="s">
        <v>157</v>
      </c>
      <c r="B28" s="153"/>
      <c r="C28" s="154">
        <f>SUM(C26:C27)</f>
        <v>6510.0000000000009</v>
      </c>
      <c r="D28" s="52"/>
      <c r="E28" s="113"/>
      <c r="F28" s="94"/>
      <c r="G28" s="113"/>
      <c r="H28" s="113"/>
    </row>
    <row r="29" spans="1:9" x14ac:dyDescent="0.25">
      <c r="A29" s="113"/>
      <c r="B29" s="113"/>
      <c r="C29" s="113"/>
      <c r="D29" s="52"/>
      <c r="E29" s="52"/>
      <c r="F29" s="52" t="s">
        <v>43</v>
      </c>
      <c r="G29" s="52"/>
      <c r="H29" s="113"/>
    </row>
    <row r="30" spans="1:9" x14ac:dyDescent="0.25">
      <c r="A30" s="113"/>
      <c r="B30" s="113"/>
      <c r="C30" s="113"/>
      <c r="D30" s="113"/>
      <c r="E30" s="52"/>
      <c r="F30" s="52"/>
      <c r="G30" s="52"/>
      <c r="H30" s="113"/>
    </row>
    <row r="31" spans="1:9" x14ac:dyDescent="0.25">
      <c r="A31" s="113"/>
      <c r="B31" s="113"/>
      <c r="C31" s="113"/>
      <c r="D31" s="52"/>
      <c r="E31" s="113"/>
      <c r="F31" s="113"/>
      <c r="G31" s="113"/>
      <c r="H31" s="113"/>
    </row>
    <row r="32" spans="1:9" x14ac:dyDescent="0.25">
      <c r="A32" s="168" t="s">
        <v>181</v>
      </c>
      <c r="B32" s="52"/>
      <c r="C32" s="167">
        <f>C23-C28</f>
        <v>86490</v>
      </c>
      <c r="D32" s="52"/>
      <c r="E32" s="52"/>
      <c r="F32" s="52" t="s">
        <v>51</v>
      </c>
      <c r="G32" s="52"/>
      <c r="H32" s="113"/>
    </row>
    <row r="33" spans="1:8" x14ac:dyDescent="0.25">
      <c r="A33" s="169"/>
      <c r="B33" s="113"/>
      <c r="C33" s="131"/>
      <c r="D33" s="113"/>
      <c r="E33" s="52"/>
      <c r="F33" s="52" t="s">
        <v>48</v>
      </c>
      <c r="G33" s="52"/>
      <c r="H33" s="113"/>
    </row>
    <row r="34" spans="1:8" x14ac:dyDescent="0.25">
      <c r="A34" s="113"/>
      <c r="B34" s="113"/>
      <c r="C34" s="66"/>
      <c r="D34" s="113"/>
      <c r="E34" s="113"/>
      <c r="F34" s="113"/>
      <c r="G34" s="113"/>
      <c r="H34" s="113"/>
    </row>
    <row r="35" spans="1:8" x14ac:dyDescent="0.25">
      <c r="A35" s="113"/>
      <c r="B35" s="113"/>
      <c r="C35" s="113"/>
      <c r="D35" s="113"/>
      <c r="E35" s="113"/>
      <c r="F35" s="113"/>
      <c r="G35" s="113"/>
      <c r="H35" s="113"/>
    </row>
    <row r="36" spans="1:8" x14ac:dyDescent="0.25">
      <c r="A36" s="53" t="s">
        <v>41</v>
      </c>
      <c r="B36" s="113"/>
      <c r="C36" s="52" t="s">
        <v>42</v>
      </c>
      <c r="D36" s="113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/>
      <c r="F37" s="113"/>
      <c r="G37" s="113"/>
      <c r="H37" s="113"/>
    </row>
    <row r="38" spans="1:8" x14ac:dyDescent="0.25">
      <c r="A38" s="52" t="s">
        <v>148</v>
      </c>
      <c r="B38" s="113"/>
      <c r="C38" s="52" t="s">
        <v>45</v>
      </c>
      <c r="D38" s="113"/>
      <c r="E38" s="113"/>
      <c r="F38" s="113"/>
      <c r="G38" s="113"/>
      <c r="H38" s="113"/>
    </row>
    <row r="39" spans="1:8" x14ac:dyDescent="0.25">
      <c r="E39" s="113"/>
      <c r="F39" s="113"/>
      <c r="G39" s="113"/>
      <c r="H39" s="113"/>
    </row>
    <row r="40" spans="1:8" x14ac:dyDescent="0.25">
      <c r="A40" s="52" t="s">
        <v>47</v>
      </c>
      <c r="B40" s="113"/>
      <c r="C40" s="52" t="s">
        <v>47</v>
      </c>
      <c r="D40" s="113"/>
      <c r="E40" s="113"/>
      <c r="F40" s="113"/>
      <c r="G40" s="113"/>
      <c r="H40" s="113"/>
    </row>
    <row r="41" spans="1:8" x14ac:dyDescent="0.25">
      <c r="A41" s="113"/>
      <c r="B41" s="113"/>
      <c r="C41" s="113"/>
      <c r="D41" s="113"/>
      <c r="E41" s="113"/>
      <c r="F41" s="113"/>
      <c r="G41" s="113"/>
      <c r="H41" s="113"/>
    </row>
    <row r="42" spans="1:8" x14ac:dyDescent="0.25">
      <c r="A42" s="113"/>
      <c r="B42" s="113"/>
      <c r="C42" s="113"/>
      <c r="D42" s="113"/>
      <c r="E42" s="113"/>
      <c r="F42" s="113"/>
      <c r="G42" s="113"/>
      <c r="H42" s="113"/>
    </row>
    <row r="43" spans="1:8" x14ac:dyDescent="0.25">
      <c r="A43" s="113"/>
      <c r="B43" s="113"/>
      <c r="C43" s="113"/>
      <c r="D43" s="113"/>
      <c r="E43" s="113"/>
      <c r="F43" s="113"/>
      <c r="G43" s="113"/>
      <c r="H43" s="113"/>
    </row>
  </sheetData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31" sqref="H31"/>
    </sheetView>
  </sheetViews>
  <sheetFormatPr defaultRowHeight="15" x14ac:dyDescent="0.25"/>
  <cols>
    <col min="1" max="1" width="16" customWidth="1"/>
    <col min="2" max="2" width="12.5703125" customWidth="1"/>
    <col min="3" max="3" width="12" customWidth="1"/>
    <col min="4" max="4" width="10.5703125" customWidth="1"/>
    <col min="5" max="5" width="9.28515625" customWidth="1"/>
    <col min="7" max="7" width="11" customWidth="1"/>
    <col min="10" max="10" width="14.140625" customWidth="1"/>
    <col min="11" max="11" width="10.5703125" bestFit="1" customWidth="1"/>
    <col min="12" max="12" width="12.85546875" customWidth="1"/>
    <col min="13" max="13" width="9.5703125" bestFit="1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195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</row>
    <row r="7" spans="1:7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>
        <f t="shared" si="1"/>
        <v>25000</v>
      </c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>
        <f t="shared" si="1"/>
        <v>10000</v>
      </c>
    </row>
    <row r="18" spans="1:7" x14ac:dyDescent="0.25">
      <c r="A18" s="34" t="s">
        <v>79</v>
      </c>
      <c r="B18" s="14"/>
      <c r="C18" s="16"/>
      <c r="D18" s="59"/>
      <c r="E18" s="57"/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81000</v>
      </c>
      <c r="E20" s="99">
        <f>SUM(E7:E19)</f>
        <v>81000</v>
      </c>
      <c r="F20" s="99">
        <f>SUM(F7:F19)</f>
        <v>38000</v>
      </c>
      <c r="G20" s="122">
        <f>SUM(G7:G19)</f>
        <v>35000</v>
      </c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x14ac:dyDescent="0.25">
      <c r="A22" s="170" t="s">
        <v>184</v>
      </c>
      <c r="B22" s="113"/>
      <c r="C22" s="47"/>
      <c r="D22" s="151"/>
      <c r="F22" s="171"/>
      <c r="G22" s="48"/>
    </row>
    <row r="23" spans="1:7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F23" s="113"/>
      <c r="G23" s="113"/>
    </row>
    <row r="24" spans="1:7" x14ac:dyDescent="0.25">
      <c r="A24" s="173" t="s">
        <v>188</v>
      </c>
      <c r="B24" s="176">
        <f>D20</f>
        <v>81000</v>
      </c>
      <c r="C24" s="4"/>
      <c r="D24" s="4"/>
      <c r="F24" s="113"/>
      <c r="G24" s="113"/>
    </row>
    <row r="25" spans="1:7" x14ac:dyDescent="0.25">
      <c r="A25" s="4" t="s">
        <v>190</v>
      </c>
      <c r="B25" s="177">
        <v>7.0000000000000007E-2</v>
      </c>
      <c r="C25" s="122">
        <f>B25*B24</f>
        <v>5670.0000000000009</v>
      </c>
      <c r="D25" s="4"/>
      <c r="F25" s="113"/>
      <c r="G25" s="113"/>
    </row>
    <row r="26" spans="1:7" s="113" customFormat="1" x14ac:dyDescent="0.25">
      <c r="A26" s="180" t="s">
        <v>196</v>
      </c>
      <c r="B26" s="177"/>
      <c r="C26" s="122"/>
      <c r="D26" s="4"/>
    </row>
    <row r="27" spans="1:7" x14ac:dyDescent="0.25">
      <c r="A27" s="181" t="s">
        <v>191</v>
      </c>
      <c r="B27" s="178"/>
      <c r="C27" s="178">
        <v>24000</v>
      </c>
      <c r="D27" s="4"/>
      <c r="F27" s="113"/>
      <c r="G27" s="113"/>
    </row>
    <row r="28" spans="1:7" x14ac:dyDescent="0.25">
      <c r="A28" s="178" t="s">
        <v>192</v>
      </c>
      <c r="B28" s="178"/>
      <c r="C28" s="179">
        <v>10000</v>
      </c>
      <c r="D28" s="4"/>
      <c r="F28" s="113"/>
      <c r="G28" s="113"/>
    </row>
    <row r="29" spans="1:7" x14ac:dyDescent="0.25">
      <c r="A29" s="181" t="s">
        <v>193</v>
      </c>
      <c r="B29" s="178"/>
      <c r="C29" s="179">
        <v>30000</v>
      </c>
      <c r="D29" s="4"/>
      <c r="F29" s="113"/>
      <c r="G29" s="113"/>
    </row>
    <row r="30" spans="1:7" x14ac:dyDescent="0.25">
      <c r="A30" s="178" t="s">
        <v>194</v>
      </c>
      <c r="B30" s="178"/>
      <c r="C30" s="178">
        <v>10000</v>
      </c>
      <c r="D30" s="4"/>
      <c r="F30" s="113"/>
      <c r="G30" s="52"/>
    </row>
    <row r="31" spans="1:7" x14ac:dyDescent="0.25">
      <c r="A31" s="174" t="s">
        <v>3</v>
      </c>
      <c r="B31" s="89">
        <v>81000</v>
      </c>
      <c r="C31" s="122">
        <f>SUM(C25:C30)</f>
        <v>79670</v>
      </c>
      <c r="D31" s="122">
        <f>B31-C31</f>
        <v>1330</v>
      </c>
      <c r="F31" s="113"/>
      <c r="G31" s="52"/>
    </row>
    <row r="32" spans="1:7" x14ac:dyDescent="0.25">
      <c r="A32" s="68" t="s">
        <v>41</v>
      </c>
      <c r="B32" s="68"/>
      <c r="C32" s="3" t="s">
        <v>42</v>
      </c>
      <c r="D32" s="3" t="s">
        <v>43</v>
      </c>
      <c r="F32" s="66"/>
      <c r="G32" s="113"/>
    </row>
    <row r="33" spans="1:7" x14ac:dyDescent="0.25">
      <c r="A33" s="3" t="s">
        <v>148</v>
      </c>
      <c r="B33" s="3"/>
      <c r="C33" s="3" t="s">
        <v>45</v>
      </c>
      <c r="D33" s="3" t="s">
        <v>189</v>
      </c>
      <c r="F33" s="66"/>
      <c r="G33" s="113"/>
    </row>
    <row r="34" spans="1:7" ht="17.25" x14ac:dyDescent="0.4">
      <c r="A34" s="153"/>
      <c r="B34" s="153"/>
      <c r="C34" s="170"/>
      <c r="D34" s="175"/>
      <c r="F34" s="113"/>
    </row>
  </sheetData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H37"/>
    </sheetView>
  </sheetViews>
  <sheetFormatPr defaultRowHeight="15" x14ac:dyDescent="0.25"/>
  <cols>
    <col min="1" max="1" width="15.5703125" customWidth="1"/>
    <col min="2" max="2" width="11.28515625" customWidth="1"/>
    <col min="3" max="3" width="11.140625" customWidth="1"/>
    <col min="4" max="4" width="10.5703125" customWidth="1"/>
    <col min="7" max="7" width="11.710937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195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69</v>
      </c>
      <c r="B14" s="10">
        <v>6</v>
      </c>
      <c r="C14" s="9">
        <v>0</v>
      </c>
      <c r="D14" s="58"/>
      <c r="E14" s="57"/>
      <c r="F14" s="58"/>
      <c r="G14" s="122">
        <f t="shared" si="1"/>
        <v>0</v>
      </c>
      <c r="H14" s="113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56000</v>
      </c>
      <c r="E20" s="99">
        <f>SUM(E7:E19)</f>
        <v>56000</v>
      </c>
      <c r="F20" s="99">
        <f>SUM(F7:F19)</f>
        <v>56000</v>
      </c>
      <c r="G20" s="122">
        <f>SUM(G7:G19)</f>
        <v>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56000</v>
      </c>
      <c r="C24" s="4"/>
      <c r="D24" s="4"/>
      <c r="E24" s="113"/>
      <c r="F24" s="113"/>
      <c r="G24" s="113"/>
      <c r="H24" s="113"/>
    </row>
    <row r="25" spans="1:8" x14ac:dyDescent="0.25">
      <c r="A25" s="4" t="s">
        <v>190</v>
      </c>
      <c r="B25" s="177">
        <v>7.0000000000000007E-2</v>
      </c>
      <c r="C25" s="122">
        <f>B25*B24</f>
        <v>3920.0000000000005</v>
      </c>
      <c r="D25" s="4"/>
      <c r="E25" s="113"/>
      <c r="F25" s="113"/>
      <c r="G25" s="113"/>
      <c r="H25" s="113"/>
    </row>
    <row r="26" spans="1:8" x14ac:dyDescent="0.25">
      <c r="A26" s="180" t="s">
        <v>196</v>
      </c>
      <c r="B26" s="177"/>
      <c r="C26" s="122"/>
      <c r="D26" s="4"/>
      <c r="E26" s="113"/>
      <c r="F26" s="113"/>
      <c r="G26" s="113"/>
      <c r="H26" s="113"/>
    </row>
    <row r="27" spans="1:8" x14ac:dyDescent="0.25">
      <c r="A27" s="181" t="s">
        <v>197</v>
      </c>
      <c r="B27" s="178"/>
      <c r="C27" s="179">
        <v>40000</v>
      </c>
      <c r="D27" s="4"/>
      <c r="E27" s="113"/>
      <c r="F27" s="113"/>
      <c r="G27" s="113"/>
      <c r="H27" s="113"/>
    </row>
    <row r="28" spans="1:8" x14ac:dyDescent="0.25">
      <c r="A28" s="178"/>
      <c r="B28" s="178"/>
      <c r="C28" s="179"/>
      <c r="D28" s="4"/>
      <c r="E28" s="113"/>
      <c r="F28" s="113"/>
      <c r="G28" s="113"/>
      <c r="H28" s="113"/>
    </row>
    <row r="29" spans="1:8" x14ac:dyDescent="0.25">
      <c r="A29" s="181"/>
      <c r="B29" s="178"/>
      <c r="C29" s="179"/>
      <c r="D29" s="4"/>
      <c r="E29" s="113"/>
      <c r="F29" s="113"/>
      <c r="G29" s="113"/>
      <c r="H29" s="113"/>
    </row>
    <row r="30" spans="1:8" x14ac:dyDescent="0.25">
      <c r="A30" s="178"/>
      <c r="B30" s="178"/>
      <c r="C30" s="178"/>
      <c r="D30" s="4"/>
      <c r="E30" s="113"/>
      <c r="F30" s="113"/>
      <c r="G30" s="52"/>
      <c r="H30" s="113"/>
    </row>
    <row r="31" spans="1:8" x14ac:dyDescent="0.25">
      <c r="A31" s="174" t="s">
        <v>3</v>
      </c>
      <c r="B31" s="89">
        <f>B24</f>
        <v>56000</v>
      </c>
      <c r="C31" s="122">
        <f>SUM(C25:C30)</f>
        <v>43920</v>
      </c>
      <c r="D31" s="122">
        <f>B31-C31</f>
        <v>12080</v>
      </c>
      <c r="E31" s="113"/>
      <c r="F31" s="113"/>
      <c r="G31" s="52"/>
      <c r="H31" s="113"/>
    </row>
    <row r="32" spans="1:8" x14ac:dyDescent="0.25">
      <c r="A32" s="68" t="s">
        <v>41</v>
      </c>
      <c r="B32" s="68"/>
      <c r="C32" s="3" t="s">
        <v>42</v>
      </c>
      <c r="D32" s="3" t="s">
        <v>43</v>
      </c>
      <c r="E32" s="113"/>
      <c r="F32" s="66"/>
      <c r="G32" s="113"/>
      <c r="H32" s="113"/>
    </row>
    <row r="33" spans="1:8" x14ac:dyDescent="0.25">
      <c r="A33" s="3" t="s">
        <v>148</v>
      </c>
      <c r="B33" s="3"/>
      <c r="C33" s="3" t="s">
        <v>45</v>
      </c>
      <c r="D33" s="3" t="s">
        <v>189</v>
      </c>
      <c r="E33" s="113"/>
      <c r="F33" s="66"/>
      <c r="G33" s="113"/>
      <c r="H33" s="113"/>
    </row>
    <row r="34" spans="1:8" ht="17.25" x14ac:dyDescent="0.4">
      <c r="A34" s="153"/>
      <c r="B34" s="153"/>
      <c r="C34" s="170"/>
      <c r="D34" s="175"/>
      <c r="E34" s="113"/>
      <c r="F34" s="113"/>
      <c r="G34" s="113"/>
      <c r="H34" s="11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14" sqref="D14"/>
    </sheetView>
  </sheetViews>
  <sheetFormatPr defaultRowHeight="15" x14ac:dyDescent="0.25"/>
  <cols>
    <col min="1" max="1" width="14.85546875" customWidth="1"/>
    <col min="2" max="2" width="10.7109375" customWidth="1"/>
    <col min="3" max="3" width="11" customWidth="1"/>
    <col min="4" max="4" width="10.2851562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198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 t="s">
        <v>56</v>
      </c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>
        <v>10000</v>
      </c>
      <c r="E14" s="57">
        <f t="shared" si="0"/>
        <v>10000</v>
      </c>
      <c r="F14" s="58">
        <v>10000</v>
      </c>
      <c r="G14" s="122">
        <f t="shared" si="1"/>
        <v>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66000</v>
      </c>
      <c r="E20" s="99">
        <f>SUM(E7:E19)</f>
        <v>66000</v>
      </c>
      <c r="F20" s="99">
        <f>SUM(F7:F19)</f>
        <v>66000</v>
      </c>
      <c r="G20" s="122">
        <f>SUM(G7:G19)</f>
        <v>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66000</v>
      </c>
      <c r="C24" s="4"/>
      <c r="D24" s="4"/>
      <c r="E24" s="113"/>
      <c r="F24" s="113"/>
      <c r="G24" s="113"/>
      <c r="H24" s="113"/>
    </row>
    <row r="25" spans="1:8" s="113" customFormat="1" x14ac:dyDescent="0.25">
      <c r="A25" s="173" t="s">
        <v>123</v>
      </c>
      <c r="B25" s="176">
        <v>20000</v>
      </c>
      <c r="C25" s="4"/>
      <c r="D25" s="4"/>
    </row>
    <row r="26" spans="1:8" x14ac:dyDescent="0.25">
      <c r="A26" s="4" t="s">
        <v>190</v>
      </c>
      <c r="B26" s="177">
        <v>7.0000000000000007E-2</v>
      </c>
      <c r="C26" s="122">
        <f>B26*B24</f>
        <v>4620</v>
      </c>
      <c r="D26" s="4"/>
      <c r="E26" s="113"/>
      <c r="F26" s="113"/>
      <c r="G26" s="113"/>
      <c r="H26" s="113"/>
    </row>
    <row r="27" spans="1:8" s="113" customFormat="1" x14ac:dyDescent="0.25">
      <c r="A27" s="4"/>
      <c r="B27" s="122">
        <f>B24+B25</f>
        <v>86000</v>
      </c>
      <c r="C27" s="122"/>
      <c r="D27" s="4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/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  <c r="H29" s="113"/>
    </row>
    <row r="30" spans="1:8" x14ac:dyDescent="0.25">
      <c r="A30" s="182">
        <v>42711</v>
      </c>
      <c r="B30" s="178"/>
      <c r="C30" s="179">
        <v>21850</v>
      </c>
      <c r="D30" s="4"/>
      <c r="E30" s="113"/>
      <c r="F30" s="113"/>
      <c r="G30" s="113"/>
      <c r="H30" s="113"/>
    </row>
    <row r="31" spans="1:8" x14ac:dyDescent="0.25">
      <c r="A31" s="181"/>
      <c r="B31" s="178"/>
      <c r="C31" s="179">
        <v>10000</v>
      </c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v>86000</v>
      </c>
      <c r="C33" s="122">
        <f>SUM(C26:C32)</f>
        <v>76470</v>
      </c>
      <c r="D33" s="122">
        <f>B33-C33</f>
        <v>9530</v>
      </c>
      <c r="E33" s="113"/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 t="s">
        <v>201</v>
      </c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</sheetData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27" sqref="F27"/>
    </sheetView>
  </sheetViews>
  <sheetFormatPr defaultRowHeight="15" x14ac:dyDescent="0.25"/>
  <cols>
    <col min="1" max="1" width="17.85546875" customWidth="1"/>
    <col min="2" max="2" width="10.85546875" customWidth="1"/>
    <col min="3" max="3" width="11.7109375" customWidth="1"/>
    <col min="4" max="4" width="10.42578125" customWidth="1"/>
    <col min="7" max="7" width="11.2851562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202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 t="s">
        <v>56</v>
      </c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56000</v>
      </c>
      <c r="E20" s="99">
        <f>SUM(E7:E19)</f>
        <v>56000</v>
      </c>
      <c r="F20" s="99">
        <f>SUM(F7:F19)</f>
        <v>66000</v>
      </c>
      <c r="G20" s="122">
        <f>SUM(G7:G19)</f>
        <v>-10000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56000</v>
      </c>
      <c r="C24" s="4"/>
      <c r="D24" s="4"/>
      <c r="E24" s="113"/>
      <c r="F24" s="113"/>
      <c r="G24" s="113"/>
      <c r="H24" s="113"/>
    </row>
    <row r="25" spans="1:8" x14ac:dyDescent="0.25">
      <c r="A25" s="173"/>
      <c r="B25" s="176"/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B26*B24</f>
        <v>3920.0000000000005</v>
      </c>
      <c r="D26" s="4"/>
      <c r="E26" s="113"/>
      <c r="F26" s="113"/>
      <c r="G26" s="113"/>
      <c r="H26" s="113"/>
    </row>
    <row r="27" spans="1:8" x14ac:dyDescent="0.25">
      <c r="A27" s="4"/>
      <c r="B27" s="122">
        <f>B24+B25</f>
        <v>56000</v>
      </c>
      <c r="C27" s="122"/>
      <c r="D27" s="4"/>
      <c r="E27" s="113"/>
      <c r="F27" s="113"/>
      <c r="G27" s="113"/>
      <c r="H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/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  <c r="H29" s="113"/>
    </row>
    <row r="30" spans="1:8" x14ac:dyDescent="0.25">
      <c r="A30" s="182"/>
      <c r="B30" s="178"/>
      <c r="C30" s="179">
        <v>12000</v>
      </c>
      <c r="D30" s="4"/>
      <c r="E30" s="113"/>
      <c r="F30" s="113"/>
      <c r="G30" s="113"/>
      <c r="H30" s="113"/>
    </row>
    <row r="31" spans="1:8" x14ac:dyDescent="0.25">
      <c r="A31" s="181"/>
      <c r="B31" s="178"/>
      <c r="C31" s="179"/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f>B27</f>
        <v>56000</v>
      </c>
      <c r="C33" s="122">
        <f>SUM(C26:C32)</f>
        <v>55920</v>
      </c>
      <c r="D33" s="122">
        <f>B33-C33</f>
        <v>80</v>
      </c>
      <c r="E33" s="113"/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 t="s">
        <v>201</v>
      </c>
      <c r="G38" s="113"/>
      <c r="H38" s="1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4" workbookViewId="0">
      <selection activeCell="K1" sqref="K1:K1048576"/>
    </sheetView>
  </sheetViews>
  <sheetFormatPr defaultRowHeight="15" x14ac:dyDescent="0.25"/>
  <cols>
    <col min="1" max="1" width="17.5703125" customWidth="1"/>
    <col min="2" max="2" width="4.5703125" customWidth="1"/>
    <col min="4" max="4" width="8.140625" customWidth="1"/>
    <col min="5" max="5" width="7.42578125" customWidth="1"/>
    <col min="6" max="6" width="7.7109375" customWidth="1"/>
    <col min="7" max="7" width="11.85546875" customWidth="1"/>
    <col min="8" max="8" width="12.42578125" customWidth="1"/>
    <col min="9" max="9" width="11.28515625" customWidth="1"/>
    <col min="10" max="10" width="9.42578125" customWidth="1"/>
    <col min="12" max="12" width="5.5703125" customWidth="1"/>
  </cols>
  <sheetData>
    <row r="1" spans="1:18" ht="27.7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</row>
    <row r="2" spans="1:18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</row>
    <row r="3" spans="1:18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</row>
    <row r="4" spans="1:18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</row>
    <row r="5" spans="1:18" ht="15.75" customHeight="1" x14ac:dyDescent="0.35">
      <c r="A5" s="2"/>
      <c r="B5" s="2"/>
      <c r="C5" s="65" t="s">
        <v>50</v>
      </c>
      <c r="D5" s="2"/>
      <c r="E5" s="2"/>
      <c r="F5" s="2"/>
      <c r="G5" s="2"/>
      <c r="H5" s="2"/>
      <c r="I5" s="2"/>
      <c r="J5" s="2" t="s">
        <v>28</v>
      </c>
      <c r="K5" s="2"/>
    </row>
    <row r="6" spans="1:18" ht="21" x14ac:dyDescent="0.35">
      <c r="A6" s="2"/>
      <c r="B6" s="2"/>
      <c r="C6" s="2"/>
      <c r="D6" s="27"/>
      <c r="E6" s="27"/>
      <c r="F6" s="28" t="s">
        <v>67</v>
      </c>
      <c r="G6" s="27"/>
      <c r="H6" s="27"/>
      <c r="I6" s="27"/>
      <c r="J6" s="27"/>
      <c r="K6" s="27"/>
      <c r="L6" s="2"/>
      <c r="M6" s="2"/>
      <c r="P6" s="2"/>
      <c r="Q6" s="2"/>
    </row>
    <row r="7" spans="1:18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  <c r="P7" s="2"/>
      <c r="Q7" s="2"/>
    </row>
    <row r="8" spans="1:18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85" t="s">
        <v>78</v>
      </c>
      <c r="K8" s="37"/>
      <c r="L8" s="37"/>
      <c r="M8" s="42"/>
      <c r="P8" s="2"/>
      <c r="Q8" s="2"/>
    </row>
    <row r="9" spans="1:18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42"/>
      <c r="P9" s="2"/>
      <c r="Q9" s="2"/>
    </row>
    <row r="10" spans="1:18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4"/>
      <c r="P10" s="2"/>
      <c r="Q10" s="2"/>
    </row>
    <row r="11" spans="1:18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58"/>
      <c r="K11" s="9"/>
      <c r="L11" s="9"/>
      <c r="M11" s="4"/>
      <c r="P11" s="2"/>
      <c r="Q11" s="2"/>
    </row>
    <row r="12" spans="1:18" x14ac:dyDescent="0.25">
      <c r="A12" s="32" t="s">
        <v>63</v>
      </c>
      <c r="B12" s="10">
        <v>5</v>
      </c>
      <c r="C12" s="11" t="s">
        <v>10</v>
      </c>
      <c r="D12" s="9"/>
      <c r="E12" s="11"/>
      <c r="F12" s="9"/>
      <c r="G12" s="58">
        <v>9000</v>
      </c>
      <c r="H12" s="58">
        <v>9000</v>
      </c>
      <c r="I12" s="58">
        <v>9000</v>
      </c>
      <c r="J12" s="58"/>
      <c r="K12" s="9"/>
      <c r="L12" s="9"/>
      <c r="M12" s="4"/>
      <c r="P12" s="2"/>
      <c r="Q12" s="2"/>
    </row>
    <row r="13" spans="1:18" x14ac:dyDescent="0.25">
      <c r="A13" s="32" t="s">
        <v>38</v>
      </c>
      <c r="B13" s="10">
        <v>6</v>
      </c>
      <c r="C13" s="11"/>
      <c r="D13" s="9"/>
      <c r="E13" s="11"/>
      <c r="F13" s="9"/>
      <c r="G13" s="58"/>
      <c r="H13" s="58"/>
      <c r="I13" s="58"/>
      <c r="J13" s="58"/>
      <c r="K13" s="9"/>
      <c r="L13" s="9"/>
      <c r="M13" s="73"/>
      <c r="P13" s="2"/>
      <c r="Q13" s="2"/>
      <c r="R13" s="2"/>
    </row>
    <row r="14" spans="1:18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58"/>
      <c r="K14" s="9"/>
      <c r="L14" s="9"/>
      <c r="M14" s="4"/>
      <c r="P14" s="2"/>
      <c r="Q14" s="2"/>
      <c r="R14" s="2"/>
    </row>
    <row r="15" spans="1:18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>
        <v>15000</v>
      </c>
      <c r="J15" s="58"/>
      <c r="K15" s="9"/>
      <c r="L15" s="9"/>
      <c r="M15" s="73"/>
      <c r="P15" s="2"/>
      <c r="Q15" s="2"/>
      <c r="R15" s="2"/>
    </row>
    <row r="16" spans="1:18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4"/>
      <c r="P16" s="2"/>
      <c r="Q16" s="2"/>
      <c r="R16" s="2"/>
    </row>
    <row r="17" spans="1:18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4"/>
      <c r="P17" s="2"/>
      <c r="Q17" s="2"/>
      <c r="R17" s="2"/>
    </row>
    <row r="18" spans="1:18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4"/>
      <c r="P18" s="2"/>
      <c r="Q18" s="2"/>
      <c r="R18" s="2"/>
    </row>
    <row r="19" spans="1:18" x14ac:dyDescent="0.25">
      <c r="A19" s="33" t="s">
        <v>38</v>
      </c>
      <c r="B19" s="9" t="s">
        <v>23</v>
      </c>
      <c r="C19" s="12" t="s">
        <v>12</v>
      </c>
      <c r="D19" s="9"/>
      <c r="E19" s="12" t="s">
        <v>12</v>
      </c>
      <c r="F19" s="13"/>
      <c r="G19" s="58"/>
      <c r="H19" s="58"/>
      <c r="I19" s="58"/>
      <c r="J19" s="58"/>
      <c r="K19" s="9"/>
      <c r="L19" s="9"/>
      <c r="M19" s="4"/>
      <c r="P19" s="2"/>
      <c r="Q19" s="2"/>
      <c r="R19" s="2"/>
    </row>
    <row r="20" spans="1:18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4"/>
      <c r="P20" s="2"/>
      <c r="Q20" s="2"/>
      <c r="R20" s="2"/>
    </row>
    <row r="21" spans="1:18" x14ac:dyDescent="0.25">
      <c r="A21" s="43" t="s">
        <v>3</v>
      </c>
      <c r="B21" s="44"/>
      <c r="C21" s="44"/>
      <c r="D21" s="44"/>
      <c r="E21" s="44"/>
      <c r="F21" s="44"/>
      <c r="G21" s="61">
        <f>SUM(G8:G20)</f>
        <v>79500</v>
      </c>
      <c r="H21" s="61">
        <f>SUM(H8:H20)</f>
        <v>79500</v>
      </c>
      <c r="I21" s="61">
        <f>SUM(I8:I20)</f>
        <v>79500</v>
      </c>
      <c r="J21" s="61"/>
      <c r="K21" s="44"/>
      <c r="L21" s="44">
        <f>SUM(L8:L20)</f>
        <v>0</v>
      </c>
      <c r="M21" s="45">
        <v>31500</v>
      </c>
      <c r="P21" s="2"/>
      <c r="Q21" s="2"/>
      <c r="R21" s="2"/>
    </row>
    <row r="22" spans="1:18" x14ac:dyDescent="0.25">
      <c r="A22" s="2"/>
      <c r="B22" s="3" t="s">
        <v>40</v>
      </c>
      <c r="C22" s="3"/>
      <c r="D22" s="67"/>
      <c r="E22" s="67"/>
      <c r="F22" s="48"/>
      <c r="G22" s="62">
        <f>SUM(G21)</f>
        <v>79500</v>
      </c>
      <c r="H22" s="66"/>
      <c r="I22" s="2"/>
      <c r="J22" s="2"/>
      <c r="P22" s="2"/>
      <c r="Q22" s="2"/>
      <c r="R22" s="2"/>
    </row>
    <row r="23" spans="1:18" x14ac:dyDescent="0.25">
      <c r="A23" s="2"/>
      <c r="B23" s="3" t="s">
        <v>60</v>
      </c>
      <c r="C23" s="3"/>
      <c r="D23" s="67"/>
      <c r="E23" s="67"/>
      <c r="F23" s="48"/>
      <c r="G23" s="70">
        <f>SUM(G22-G24)</f>
        <v>73935</v>
      </c>
      <c r="H23" s="2"/>
      <c r="I23" s="66"/>
      <c r="J23" s="66"/>
      <c r="P23" s="2"/>
      <c r="Q23" s="2"/>
      <c r="R23" s="2"/>
    </row>
    <row r="24" spans="1:18" x14ac:dyDescent="0.25">
      <c r="A24" s="2"/>
      <c r="B24" s="3" t="s">
        <v>52</v>
      </c>
      <c r="C24" s="3"/>
      <c r="D24" s="67"/>
      <c r="E24" s="49"/>
      <c r="F24" s="50"/>
      <c r="G24" s="69">
        <f>SUM(G22*7%)</f>
        <v>5565.0000000000009</v>
      </c>
      <c r="H24" s="2"/>
      <c r="J24" s="66"/>
      <c r="P24" s="2"/>
      <c r="Q24" s="2"/>
      <c r="R24" s="2"/>
    </row>
    <row r="25" spans="1:18" x14ac:dyDescent="0.25">
      <c r="A25" s="2"/>
      <c r="B25" s="68" t="s">
        <v>64</v>
      </c>
      <c r="C25" s="3"/>
      <c r="D25" s="3"/>
      <c r="E25" s="3"/>
      <c r="F25" s="47"/>
      <c r="G25" s="71">
        <v>20000</v>
      </c>
      <c r="H25" s="2"/>
      <c r="I25" s="2" t="s">
        <v>56</v>
      </c>
      <c r="J25" s="2"/>
      <c r="M25" s="18"/>
      <c r="O25" s="18"/>
      <c r="P25" s="2"/>
      <c r="Q25" s="2"/>
      <c r="R25" s="2"/>
    </row>
    <row r="26" spans="1:18" x14ac:dyDescent="0.25">
      <c r="A26" s="2"/>
      <c r="B26" s="68" t="s">
        <v>68</v>
      </c>
      <c r="C26" s="3"/>
      <c r="D26" s="3"/>
      <c r="E26" s="3"/>
      <c r="F26" s="47"/>
      <c r="G26" s="71">
        <v>15000</v>
      </c>
      <c r="H26" s="2"/>
      <c r="I26" s="66"/>
      <c r="J26" s="66"/>
      <c r="M26" s="18"/>
      <c r="O26" s="18"/>
      <c r="P26" s="2"/>
      <c r="Q26" s="2"/>
      <c r="R26" s="2"/>
    </row>
    <row r="27" spans="1:18" x14ac:dyDescent="0.25">
      <c r="A27" s="2"/>
      <c r="B27" s="2"/>
      <c r="C27" s="2" t="s">
        <v>3</v>
      </c>
      <c r="D27" s="2"/>
      <c r="E27" s="2"/>
      <c r="F27" s="2"/>
      <c r="G27" s="66">
        <f>SUM(G24:G26)</f>
        <v>40565</v>
      </c>
      <c r="H27" s="2"/>
      <c r="I27" s="2"/>
      <c r="J27" s="2"/>
      <c r="K27" s="2"/>
      <c r="L27" s="2"/>
      <c r="P27" s="2"/>
      <c r="Q27" s="2"/>
      <c r="R27" s="2"/>
    </row>
    <row r="28" spans="1:18" ht="3" customHeight="1" x14ac:dyDescent="0.25">
      <c r="A28" s="2"/>
      <c r="B28" s="68"/>
      <c r="C28" s="3"/>
      <c r="D28" s="3"/>
      <c r="E28" s="3"/>
      <c r="F28" s="2"/>
      <c r="G28" s="2"/>
      <c r="H28" s="2"/>
      <c r="I28" s="2"/>
      <c r="J28" s="2"/>
      <c r="K28" s="2"/>
      <c r="L28" s="2"/>
      <c r="P28" s="2"/>
      <c r="Q28" s="2"/>
      <c r="R28" s="2"/>
    </row>
    <row r="29" spans="1:18" ht="18" x14ac:dyDescent="0.4">
      <c r="A29" s="2"/>
      <c r="B29" s="68" t="s">
        <v>61</v>
      </c>
      <c r="C29" s="3"/>
      <c r="D29" s="3"/>
      <c r="E29" s="3"/>
      <c r="F29" s="2"/>
      <c r="G29" s="72">
        <f>SUM(G22-G27+G28)</f>
        <v>38935</v>
      </c>
      <c r="H29" s="2"/>
      <c r="I29" s="2"/>
      <c r="J29" s="2"/>
      <c r="K29" s="2"/>
      <c r="L29" s="2"/>
      <c r="O29" s="2"/>
      <c r="P29" s="2"/>
      <c r="Q29" s="2"/>
      <c r="R29" s="2"/>
    </row>
    <row r="30" spans="1:18" x14ac:dyDescent="0.25">
      <c r="A30" s="52"/>
      <c r="B30" s="53" t="s">
        <v>41</v>
      </c>
      <c r="C30" s="2"/>
      <c r="D30" s="2"/>
      <c r="E30" s="2"/>
      <c r="F30" s="52" t="s">
        <v>42</v>
      </c>
      <c r="G30" s="52"/>
      <c r="H30" s="52"/>
      <c r="I30" s="52" t="s">
        <v>43</v>
      </c>
      <c r="J30" s="52"/>
      <c r="M30" s="2"/>
      <c r="N30" s="2"/>
      <c r="O30" s="2"/>
      <c r="P30" s="2"/>
      <c r="Q30" s="2"/>
      <c r="R30" s="2"/>
    </row>
    <row r="31" spans="1:18" x14ac:dyDescent="0.25">
      <c r="A31" s="52"/>
      <c r="B31" s="52"/>
      <c r="C31" s="2"/>
      <c r="D31" s="2"/>
      <c r="E31" s="2"/>
      <c r="F31" s="52"/>
      <c r="G31" s="52"/>
      <c r="H31" s="52"/>
      <c r="I31" s="52"/>
      <c r="J31" s="52"/>
      <c r="M31" s="2"/>
      <c r="N31" s="2"/>
      <c r="O31" s="2"/>
      <c r="P31" s="2"/>
      <c r="Q31" s="2"/>
      <c r="R31" s="2"/>
    </row>
    <row r="32" spans="1:18" ht="9" customHeight="1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M32" s="2"/>
      <c r="N32" s="2"/>
      <c r="O32" s="2"/>
      <c r="P32" s="2"/>
      <c r="Q32" s="2"/>
      <c r="R32" s="2"/>
    </row>
    <row r="33" spans="1:15" x14ac:dyDescent="0.25">
      <c r="A33" s="52"/>
      <c r="B33" s="52" t="s">
        <v>44</v>
      </c>
      <c r="C33" s="2"/>
      <c r="D33" s="2"/>
      <c r="E33" s="2"/>
      <c r="F33" s="52" t="s">
        <v>45</v>
      </c>
      <c r="G33" s="52"/>
      <c r="H33" s="52"/>
      <c r="I33" s="52" t="s">
        <v>51</v>
      </c>
      <c r="J33" s="52"/>
      <c r="M33" s="2"/>
      <c r="N33" s="2"/>
      <c r="O33" s="2"/>
    </row>
    <row r="34" spans="1:15" x14ac:dyDescent="0.25">
      <c r="A34" s="54" t="s">
        <v>46</v>
      </c>
      <c r="B34" s="52" t="s">
        <v>47</v>
      </c>
      <c r="C34" s="2"/>
      <c r="D34" s="2"/>
      <c r="E34" s="2"/>
      <c r="F34" s="52" t="s">
        <v>47</v>
      </c>
      <c r="G34" s="52"/>
      <c r="H34" s="52"/>
      <c r="I34" s="52" t="s">
        <v>48</v>
      </c>
      <c r="J34" s="52"/>
      <c r="K34" s="2"/>
      <c r="L34" s="2"/>
      <c r="M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</sheetData>
  <pageMargins left="0.25" right="0.25" top="0.75" bottom="0.75" header="0.3" footer="0.3"/>
  <pageSetup orientation="landscape" horizontalDpi="0" verticalDpi="0" r:id="rId1"/>
  <ignoredErrors>
    <ignoredError sqref="C10:E12 C14:E19 D13" numberStoredAsText="1"/>
  </ignoredError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sqref="A1:H40"/>
    </sheetView>
  </sheetViews>
  <sheetFormatPr defaultRowHeight="15" x14ac:dyDescent="0.25"/>
  <cols>
    <col min="1" max="1" width="16.7109375" customWidth="1"/>
    <col min="2" max="3" width="11.85546875" customWidth="1"/>
    <col min="4" max="4" width="10.28515625" customWidth="1"/>
    <col min="8" max="8" width="22.2851562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202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</row>
    <row r="7" spans="1:7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</row>
    <row r="14" spans="1:7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</row>
    <row r="15" spans="1:7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56000</v>
      </c>
      <c r="E20" s="99">
        <f>SUM(E7:E19)</f>
        <v>56000</v>
      </c>
      <c r="F20" s="99">
        <f>SUM(F7:F19)</f>
        <v>66000</v>
      </c>
      <c r="G20" s="122">
        <f>SUM(G7:G19)</f>
        <v>-10000</v>
      </c>
    </row>
    <row r="21" spans="1:8" x14ac:dyDescent="0.25">
      <c r="A21" s="113"/>
      <c r="B21" s="113"/>
      <c r="C21" s="113"/>
      <c r="D21" s="113"/>
      <c r="E21" s="113"/>
      <c r="F21" s="113"/>
      <c r="G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</row>
    <row r="24" spans="1:8" x14ac:dyDescent="0.25">
      <c r="A24" s="173" t="s">
        <v>188</v>
      </c>
      <c r="B24" s="176">
        <f>D20</f>
        <v>56000</v>
      </c>
      <c r="C24" s="4"/>
      <c r="D24" s="4"/>
      <c r="E24" s="113"/>
      <c r="F24" s="113"/>
      <c r="G24" s="113"/>
    </row>
    <row r="25" spans="1:8" x14ac:dyDescent="0.25">
      <c r="A25" s="173"/>
      <c r="B25" s="176"/>
      <c r="C25" s="4"/>
      <c r="D25" s="4"/>
      <c r="E25" s="113"/>
      <c r="F25" s="113"/>
      <c r="G25" s="113"/>
    </row>
    <row r="26" spans="1:8" x14ac:dyDescent="0.25">
      <c r="A26" s="4" t="s">
        <v>190</v>
      </c>
      <c r="B26" s="177">
        <v>7.0000000000000007E-2</v>
      </c>
      <c r="C26" s="122">
        <f>B26*B24</f>
        <v>3920.0000000000005</v>
      </c>
      <c r="D26" s="4"/>
      <c r="E26" s="113"/>
      <c r="F26" s="113"/>
      <c r="G26" s="113"/>
    </row>
    <row r="27" spans="1:8" x14ac:dyDescent="0.25">
      <c r="A27" s="4"/>
      <c r="B27" s="122">
        <f>B24+B25</f>
        <v>56000</v>
      </c>
      <c r="C27" s="122"/>
      <c r="D27" s="4"/>
      <c r="E27" s="113"/>
      <c r="F27" s="113"/>
      <c r="G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>
        <v>966571037441</v>
      </c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</row>
    <row r="30" spans="1:8" x14ac:dyDescent="0.25">
      <c r="A30" s="182"/>
      <c r="B30" s="178"/>
      <c r="C30" s="179"/>
      <c r="D30" s="4"/>
      <c r="E30" s="113"/>
      <c r="F30" s="113"/>
      <c r="G30" s="113"/>
    </row>
    <row r="31" spans="1:8" x14ac:dyDescent="0.25">
      <c r="A31" s="181"/>
      <c r="B31" s="178"/>
      <c r="C31" s="179"/>
      <c r="D31" s="4"/>
      <c r="E31" s="113"/>
      <c r="F31" s="113"/>
      <c r="G31" s="113"/>
    </row>
    <row r="32" spans="1:8" x14ac:dyDescent="0.25">
      <c r="A32" s="178"/>
      <c r="B32" s="178"/>
      <c r="C32" s="178"/>
      <c r="D32" s="4"/>
      <c r="E32" s="113"/>
      <c r="F32" s="113"/>
      <c r="G32" s="52"/>
    </row>
    <row r="33" spans="1:7" x14ac:dyDescent="0.25">
      <c r="A33" s="174" t="s">
        <v>3</v>
      </c>
      <c r="B33" s="89">
        <f>B27</f>
        <v>56000</v>
      </c>
      <c r="C33" s="122">
        <f>SUM(C26:C32)</f>
        <v>43920</v>
      </c>
      <c r="D33" s="122">
        <f>B33-C33</f>
        <v>12080</v>
      </c>
      <c r="E33" s="113"/>
      <c r="F33" s="113"/>
      <c r="G33" s="52"/>
    </row>
    <row r="34" spans="1:7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</row>
    <row r="35" spans="1:7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</row>
    <row r="36" spans="1:7" ht="17.25" x14ac:dyDescent="0.4">
      <c r="A36" s="153"/>
      <c r="B36" s="153"/>
      <c r="C36" s="170"/>
      <c r="D36" s="175"/>
      <c r="E36" s="113"/>
      <c r="F36" s="113"/>
      <c r="G36" s="113"/>
    </row>
    <row r="37" spans="1:7" x14ac:dyDescent="0.25">
      <c r="A37" s="113"/>
      <c r="B37" s="113"/>
      <c r="C37" s="113"/>
      <c r="D37" s="113"/>
      <c r="E37" s="113" t="s">
        <v>200</v>
      </c>
      <c r="F37" s="113"/>
      <c r="G37" s="113"/>
    </row>
    <row r="38" spans="1:7" x14ac:dyDescent="0.25">
      <c r="A38" s="113"/>
      <c r="B38" s="113"/>
      <c r="C38" s="113"/>
      <c r="D38" s="113"/>
      <c r="E38" s="113"/>
      <c r="F38" s="113" t="s">
        <v>201</v>
      </c>
      <c r="G38" s="113"/>
    </row>
    <row r="39" spans="1:7" x14ac:dyDescent="0.25">
      <c r="A39" s="113"/>
      <c r="B39" s="113"/>
      <c r="C39" s="113"/>
      <c r="D39" s="113"/>
      <c r="E39" s="113"/>
      <c r="F39" s="113"/>
      <c r="G39" s="11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sqref="A1:G37"/>
    </sheetView>
  </sheetViews>
  <sheetFormatPr defaultRowHeight="15" x14ac:dyDescent="0.25"/>
  <cols>
    <col min="1" max="1" width="16" customWidth="1"/>
    <col min="2" max="2" width="17.140625" customWidth="1"/>
    <col min="3" max="4" width="12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202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205</v>
      </c>
      <c r="B7" s="36">
        <v>1</v>
      </c>
      <c r="C7" s="36"/>
      <c r="D7" s="57"/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203</v>
      </c>
      <c r="B12" s="10"/>
      <c r="C12" s="9">
        <v>8000</v>
      </c>
      <c r="D12" s="58">
        <v>8000</v>
      </c>
      <c r="E12" s="57">
        <f t="shared" si="0"/>
        <v>16000</v>
      </c>
      <c r="F12" s="58"/>
      <c r="G12" s="122">
        <f t="shared" si="1"/>
        <v>16000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8000</v>
      </c>
      <c r="D20" s="99">
        <f>SUM(D7:D19)</f>
        <v>55000</v>
      </c>
      <c r="E20" s="99">
        <f>SUM(E7:E19)</f>
        <v>72000</v>
      </c>
      <c r="F20" s="99">
        <f>SUM(F7:F19)</f>
        <v>66000</v>
      </c>
      <c r="G20" s="122">
        <f>SUM(G7:G19)</f>
        <v>6000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55000</v>
      </c>
      <c r="C24" s="4"/>
      <c r="D24" s="4"/>
      <c r="E24" s="113"/>
      <c r="F24" s="113"/>
      <c r="G24" s="113"/>
      <c r="H24" s="113"/>
    </row>
    <row r="25" spans="1:8" x14ac:dyDescent="0.25">
      <c r="A25" s="173" t="s">
        <v>204</v>
      </c>
      <c r="B25" s="176">
        <v>8000</v>
      </c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B26*B24</f>
        <v>3850.0000000000005</v>
      </c>
      <c r="D26" s="4"/>
      <c r="E26" s="113"/>
      <c r="F26" s="113"/>
      <c r="G26" s="113"/>
      <c r="H26" s="113"/>
    </row>
    <row r="27" spans="1:8" x14ac:dyDescent="0.25">
      <c r="A27" s="4"/>
      <c r="B27" s="122">
        <f>B24+B25</f>
        <v>63000</v>
      </c>
      <c r="C27" s="122"/>
      <c r="D27" s="4"/>
      <c r="E27" s="113"/>
      <c r="F27" s="113"/>
      <c r="G27" s="113"/>
      <c r="H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>
        <v>966571037441</v>
      </c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  <c r="H29" s="113"/>
    </row>
    <row r="30" spans="1:8" x14ac:dyDescent="0.25">
      <c r="A30" s="182"/>
      <c r="B30" s="178"/>
      <c r="C30" s="179"/>
      <c r="D30" s="4"/>
      <c r="E30" s="113"/>
      <c r="F30" s="113"/>
      <c r="G30" s="113"/>
      <c r="H30" s="113"/>
    </row>
    <row r="31" spans="1:8" x14ac:dyDescent="0.25">
      <c r="A31" s="181"/>
      <c r="B31" s="178"/>
      <c r="C31" s="179"/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f>B27</f>
        <v>63000</v>
      </c>
      <c r="C33" s="122">
        <f>SUM(C26:C32)</f>
        <v>43850</v>
      </c>
      <c r="D33" s="122">
        <f>B33-C33</f>
        <v>19150</v>
      </c>
      <c r="E33" s="113"/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 t="s">
        <v>201</v>
      </c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32" sqref="F32"/>
    </sheetView>
  </sheetViews>
  <sheetFormatPr defaultRowHeight="15" x14ac:dyDescent="0.25"/>
  <cols>
    <col min="1" max="1" width="13.28515625" customWidth="1"/>
    <col min="2" max="2" width="10.85546875" customWidth="1"/>
    <col min="3" max="3" width="13" customWidth="1"/>
    <col min="4" max="4" width="11" customWidth="1"/>
    <col min="6" max="6" width="10.5703125" bestFit="1" customWidth="1"/>
    <col min="7" max="7" width="12.14062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208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</row>
    <row r="7" spans="1:7" x14ac:dyDescent="0.25">
      <c r="A7" s="39" t="s">
        <v>205</v>
      </c>
      <c r="B7" s="36">
        <v>1</v>
      </c>
      <c r="C7" s="36"/>
      <c r="D7" s="57"/>
      <c r="E7" s="57">
        <v>9000</v>
      </c>
      <c r="F7" s="57">
        <v>9000</v>
      </c>
      <c r="G7" s="122">
        <f>E7-F7</f>
        <v>0</v>
      </c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</row>
    <row r="12" spans="1:7" x14ac:dyDescent="0.25">
      <c r="A12" s="32" t="s">
        <v>203</v>
      </c>
      <c r="B12" s="10"/>
      <c r="C12" s="9"/>
      <c r="D12" s="58">
        <v>8000</v>
      </c>
      <c r="E12" s="57">
        <f t="shared" si="0"/>
        <v>8000</v>
      </c>
      <c r="F12" s="58"/>
      <c r="G12" s="122">
        <f t="shared" si="1"/>
        <v>8000</v>
      </c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</row>
    <row r="14" spans="1:7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</row>
    <row r="15" spans="1:7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</row>
    <row r="18" spans="1:7" x14ac:dyDescent="0.25">
      <c r="A18" s="34" t="s">
        <v>79</v>
      </c>
      <c r="B18" s="14"/>
      <c r="C18" s="16"/>
      <c r="D18" s="59"/>
      <c r="E18" s="57"/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55000</v>
      </c>
      <c r="E20" s="99">
        <f>SUM(E7:E19)</f>
        <v>64000</v>
      </c>
      <c r="F20" s="99">
        <f>SUM(F7:F19)</f>
        <v>66000</v>
      </c>
      <c r="G20" s="122">
        <f>SUM(G7:G19)</f>
        <v>-2000</v>
      </c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x14ac:dyDescent="0.25">
      <c r="A22" s="170" t="s">
        <v>184</v>
      </c>
      <c r="B22" s="113"/>
      <c r="C22" s="47"/>
      <c r="D22" s="151"/>
      <c r="E22" s="113"/>
      <c r="F22" s="171"/>
      <c r="G22" s="48"/>
    </row>
    <row r="23" spans="1:7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</row>
    <row r="24" spans="1:7" x14ac:dyDescent="0.25">
      <c r="A24" s="173" t="s">
        <v>188</v>
      </c>
      <c r="B24" s="176">
        <f>D20</f>
        <v>55000</v>
      </c>
      <c r="C24" s="4"/>
      <c r="D24" s="4"/>
      <c r="E24" s="113"/>
      <c r="F24" s="113"/>
      <c r="G24" s="113"/>
    </row>
    <row r="25" spans="1:7" x14ac:dyDescent="0.25">
      <c r="A25" s="173"/>
      <c r="B25" s="176"/>
      <c r="C25" s="4"/>
      <c r="D25" s="4"/>
      <c r="E25" s="113"/>
      <c r="F25" s="113"/>
      <c r="G25" s="113"/>
    </row>
    <row r="26" spans="1:7" x14ac:dyDescent="0.25">
      <c r="A26" s="4" t="s">
        <v>190</v>
      </c>
      <c r="B26" s="177">
        <v>7.0000000000000007E-2</v>
      </c>
      <c r="C26" s="122">
        <f>B26*B24</f>
        <v>3850.0000000000005</v>
      </c>
      <c r="D26" s="4"/>
      <c r="E26" s="113"/>
      <c r="F26" s="113"/>
      <c r="G26" s="113"/>
    </row>
    <row r="27" spans="1:7" x14ac:dyDescent="0.25">
      <c r="A27" s="4" t="s">
        <v>206</v>
      </c>
      <c r="B27" s="122">
        <f>B24-C26</f>
        <v>51150</v>
      </c>
      <c r="C27" s="122"/>
      <c r="D27" s="4"/>
      <c r="E27" s="113"/>
      <c r="F27" s="113"/>
      <c r="G27" s="113"/>
    </row>
    <row r="28" spans="1:7" x14ac:dyDescent="0.25">
      <c r="A28" s="180" t="s">
        <v>196</v>
      </c>
      <c r="B28" s="177"/>
      <c r="C28" s="122"/>
      <c r="D28" s="4"/>
      <c r="E28" s="113"/>
      <c r="F28" s="113"/>
      <c r="G28" s="113"/>
    </row>
    <row r="29" spans="1:7" x14ac:dyDescent="0.25">
      <c r="A29" s="181" t="s">
        <v>207</v>
      </c>
      <c r="B29" s="178"/>
      <c r="C29" s="4">
        <v>11500</v>
      </c>
      <c r="E29" s="113"/>
      <c r="F29" s="113"/>
      <c r="G29" s="113"/>
    </row>
    <row r="30" spans="1:7" x14ac:dyDescent="0.25">
      <c r="A30" s="182" t="s">
        <v>214</v>
      </c>
      <c r="B30" s="178"/>
      <c r="C30" s="179">
        <v>4720</v>
      </c>
      <c r="D30" s="4"/>
      <c r="E30" s="131"/>
      <c r="F30" s="113"/>
      <c r="G30" s="113"/>
    </row>
    <row r="31" spans="1:7" x14ac:dyDescent="0.25">
      <c r="A31" s="181" t="s">
        <v>213</v>
      </c>
      <c r="B31" s="178"/>
      <c r="C31" s="179">
        <v>34930</v>
      </c>
      <c r="D31" s="4"/>
      <c r="E31" s="131"/>
      <c r="F31" s="113"/>
      <c r="G31" s="113"/>
    </row>
    <row r="32" spans="1:7" x14ac:dyDescent="0.25">
      <c r="A32" s="178"/>
      <c r="B32" s="178"/>
      <c r="C32" s="178"/>
      <c r="D32" s="4"/>
      <c r="E32" s="113"/>
      <c r="F32" s="66"/>
      <c r="G32" s="52"/>
    </row>
    <row r="33" spans="1:7" x14ac:dyDescent="0.25">
      <c r="A33" s="174" t="s">
        <v>3</v>
      </c>
      <c r="B33" s="89">
        <v>51150</v>
      </c>
      <c r="C33" s="122">
        <f>SUM(C29:C32)</f>
        <v>51150</v>
      </c>
      <c r="D33" s="122">
        <f>B33-C33</f>
        <v>0</v>
      </c>
      <c r="E33" s="113" t="s">
        <v>209</v>
      </c>
      <c r="F33" s="113"/>
      <c r="G33" s="52"/>
    </row>
    <row r="34" spans="1:7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</row>
    <row r="35" spans="1:7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</row>
    <row r="36" spans="1:7" ht="17.25" x14ac:dyDescent="0.4">
      <c r="A36" s="153"/>
      <c r="B36" s="153"/>
      <c r="C36" s="170"/>
      <c r="D36" s="175"/>
      <c r="E36" s="113"/>
      <c r="F36" s="113"/>
      <c r="G36" s="113"/>
    </row>
    <row r="37" spans="1:7" x14ac:dyDescent="0.25">
      <c r="A37" s="113"/>
      <c r="B37" s="113"/>
      <c r="C37" s="113"/>
      <c r="D37" s="113"/>
      <c r="E37" s="113" t="s">
        <v>200</v>
      </c>
      <c r="F37" s="113"/>
      <c r="G37" s="113"/>
    </row>
  </sheetData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N26" sqref="N26"/>
    </sheetView>
  </sheetViews>
  <sheetFormatPr defaultRowHeight="15" x14ac:dyDescent="0.25"/>
  <cols>
    <col min="1" max="1" width="12.7109375" customWidth="1"/>
    <col min="2" max="2" width="11.28515625" customWidth="1"/>
    <col min="3" max="4" width="10.7109375" customWidth="1"/>
    <col min="7" max="7" width="12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212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211</v>
      </c>
      <c r="B7" s="36">
        <v>1</v>
      </c>
      <c r="C7" s="36"/>
      <c r="D7" s="57">
        <v>7000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203</v>
      </c>
      <c r="B12" s="10"/>
      <c r="C12" s="9"/>
      <c r="D12" s="58">
        <v>8000</v>
      </c>
      <c r="E12" s="57">
        <f t="shared" si="0"/>
        <v>8000</v>
      </c>
      <c r="F12" s="58"/>
      <c r="G12" s="122">
        <f t="shared" si="1"/>
        <v>8000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>
        <v>30000</v>
      </c>
      <c r="E14" s="57">
        <f t="shared" si="0"/>
        <v>30000</v>
      </c>
      <c r="F14" s="58">
        <v>10000</v>
      </c>
      <c r="G14" s="122">
        <f t="shared" si="1"/>
        <v>20000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92000</v>
      </c>
      <c r="E20" s="99">
        <f>SUM(E7:E19)</f>
        <v>94000</v>
      </c>
      <c r="F20" s="99">
        <f>SUM(F7:F19)</f>
        <v>66000</v>
      </c>
      <c r="G20" s="122">
        <f>SUM(G7:G19)</f>
        <v>28000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92000</v>
      </c>
      <c r="C24" s="4"/>
      <c r="D24" s="4"/>
      <c r="E24" s="113"/>
      <c r="F24" s="113"/>
      <c r="G24" s="113"/>
      <c r="H24" s="113"/>
    </row>
    <row r="25" spans="1:8" x14ac:dyDescent="0.25">
      <c r="A25" s="173"/>
      <c r="B25" s="176"/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B26*B24</f>
        <v>6440.0000000000009</v>
      </c>
      <c r="D26" s="4"/>
      <c r="E26" s="113"/>
      <c r="F26" s="113"/>
      <c r="G26" s="113"/>
      <c r="H26" s="113"/>
    </row>
    <row r="27" spans="1:8" x14ac:dyDescent="0.25">
      <c r="A27" s="4" t="s">
        <v>206</v>
      </c>
      <c r="B27" s="122">
        <f>B24-C26</f>
        <v>85560</v>
      </c>
      <c r="C27" s="122"/>
      <c r="D27" s="4"/>
      <c r="E27" s="113"/>
      <c r="F27" s="113"/>
      <c r="G27" s="113"/>
      <c r="H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/>
    </row>
    <row r="29" spans="1:8" x14ac:dyDescent="0.25">
      <c r="A29" s="181" t="s">
        <v>210</v>
      </c>
      <c r="B29" s="178"/>
      <c r="C29" s="4">
        <v>40000</v>
      </c>
      <c r="D29" s="4"/>
      <c r="E29" s="113"/>
      <c r="F29" s="113"/>
      <c r="G29" s="113"/>
      <c r="H29" s="113"/>
    </row>
    <row r="30" spans="1:8" x14ac:dyDescent="0.25">
      <c r="A30" s="182"/>
      <c r="B30" s="178"/>
      <c r="C30" s="179"/>
      <c r="D30" s="4"/>
      <c r="E30" s="113"/>
      <c r="F30" s="113"/>
      <c r="G30" s="113"/>
      <c r="H30" s="113"/>
    </row>
    <row r="31" spans="1:8" x14ac:dyDescent="0.25">
      <c r="A31" s="181"/>
      <c r="B31" s="178"/>
      <c r="C31" s="179"/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f>B27</f>
        <v>85560</v>
      </c>
      <c r="C33" s="122">
        <f>SUM(C26:C32)</f>
        <v>46440</v>
      </c>
      <c r="D33" s="122">
        <f>B33-C33</f>
        <v>39120</v>
      </c>
      <c r="E33" s="113" t="s">
        <v>209</v>
      </c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/>
      <c r="G38" s="113"/>
      <c r="H38" s="11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J23" sqref="J23"/>
    </sheetView>
  </sheetViews>
  <sheetFormatPr defaultRowHeight="15" x14ac:dyDescent="0.25"/>
  <cols>
    <col min="1" max="1" width="16.140625" customWidth="1"/>
    <col min="2" max="2" width="11.42578125" customWidth="1"/>
    <col min="3" max="3" width="10.85546875" customWidth="1"/>
    <col min="4" max="4" width="10.28515625" customWidth="1"/>
    <col min="7" max="7" width="11" customWidth="1"/>
  </cols>
  <sheetData>
    <row r="1" spans="1:13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13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13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13" ht="21" x14ac:dyDescent="0.35">
      <c r="A4" s="27" t="s">
        <v>216</v>
      </c>
      <c r="B4" s="77"/>
      <c r="C4" s="77"/>
      <c r="D4" s="78"/>
      <c r="E4" s="77"/>
      <c r="F4" s="77"/>
      <c r="G4" s="27"/>
      <c r="H4" s="113"/>
    </row>
    <row r="5" spans="1:13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13" x14ac:dyDescent="0.25">
      <c r="A6" s="39" t="s">
        <v>211</v>
      </c>
      <c r="B6" s="36">
        <v>1</v>
      </c>
      <c r="C6" s="36"/>
      <c r="D6" s="57"/>
      <c r="E6" s="57"/>
      <c r="F6" s="57"/>
      <c r="G6" s="122">
        <f>E6-F6</f>
        <v>0</v>
      </c>
      <c r="H6" s="113"/>
    </row>
    <row r="7" spans="1:13" x14ac:dyDescent="0.25">
      <c r="A7" s="39" t="s">
        <v>39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13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13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13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13" x14ac:dyDescent="0.25">
      <c r="A11" s="32" t="s">
        <v>203</v>
      </c>
      <c r="B11" s="10"/>
      <c r="C11" s="9"/>
      <c r="D11" s="58">
        <v>8000</v>
      </c>
      <c r="E11" s="57">
        <f t="shared" si="0"/>
        <v>8000</v>
      </c>
      <c r="F11" s="58"/>
      <c r="G11" s="122">
        <f t="shared" si="1"/>
        <v>8000</v>
      </c>
      <c r="H11" s="113"/>
    </row>
    <row r="12" spans="1:13" x14ac:dyDescent="0.25">
      <c r="A12" s="32" t="s">
        <v>83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13" x14ac:dyDescent="0.25">
      <c r="A13" s="32" t="s">
        <v>199</v>
      </c>
      <c r="B13" s="10">
        <v>6</v>
      </c>
      <c r="C13" s="9">
        <v>0</v>
      </c>
      <c r="D13" s="58">
        <v>18000</v>
      </c>
      <c r="E13" s="57">
        <v>0</v>
      </c>
      <c r="F13" s="58">
        <v>0</v>
      </c>
      <c r="G13" s="122">
        <v>35000</v>
      </c>
      <c r="H13" s="113"/>
    </row>
    <row r="14" spans="1:13" x14ac:dyDescent="0.25">
      <c r="A14" s="32"/>
      <c r="B14" s="10" t="s">
        <v>16</v>
      </c>
      <c r="C14" s="9">
        <v>0</v>
      </c>
      <c r="D14" s="58"/>
      <c r="E14" s="57"/>
      <c r="F14" s="58"/>
      <c r="G14" s="122">
        <f t="shared" si="1"/>
        <v>0</v>
      </c>
      <c r="H14" s="113"/>
      <c r="I14">
        <v>15000</v>
      </c>
      <c r="J14">
        <v>20000</v>
      </c>
      <c r="K14">
        <v>20000</v>
      </c>
      <c r="L14">
        <v>4000</v>
      </c>
      <c r="M14">
        <f>SUM(I14:L14)</f>
        <v>59000</v>
      </c>
    </row>
    <row r="15" spans="1:13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  <c r="M15">
        <v>18000</v>
      </c>
    </row>
    <row r="16" spans="1:13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  <c r="M16">
        <f>M14-M15</f>
        <v>41000</v>
      </c>
    </row>
    <row r="17" spans="1:16" x14ac:dyDescent="0.25">
      <c r="A17" s="34" t="s">
        <v>79</v>
      </c>
      <c r="B17" s="14"/>
      <c r="C17" s="16"/>
      <c r="D17" s="59"/>
      <c r="E17" s="57"/>
      <c r="F17" s="59"/>
      <c r="G17" s="122"/>
      <c r="H17" s="113"/>
      <c r="M17">
        <v>1500</v>
      </c>
    </row>
    <row r="18" spans="1:16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16" x14ac:dyDescent="0.25">
      <c r="A19" s="97" t="s">
        <v>3</v>
      </c>
      <c r="B19" s="98"/>
      <c r="C19" s="98">
        <f>SUM(C6:C18)</f>
        <v>0</v>
      </c>
      <c r="D19" s="99">
        <f>SUM(D6:D18)</f>
        <v>73000</v>
      </c>
      <c r="E19" s="99">
        <f>SUM(E6:E18)</f>
        <v>55000</v>
      </c>
      <c r="F19" s="99">
        <f>SUM(F6:F18)</f>
        <v>47000</v>
      </c>
      <c r="G19" s="122">
        <f>SUM(G6:G18)</f>
        <v>43000</v>
      </c>
      <c r="H19" s="113"/>
    </row>
    <row r="20" spans="1:16" x14ac:dyDescent="0.25">
      <c r="A20" s="113"/>
      <c r="B20" s="113"/>
      <c r="C20" s="113"/>
      <c r="D20" s="113"/>
      <c r="E20" s="113"/>
      <c r="F20" s="113"/>
      <c r="G20" s="113"/>
      <c r="H20" s="113"/>
    </row>
    <row r="21" spans="1:16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16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  <c r="H22" s="113"/>
    </row>
    <row r="23" spans="1:16" x14ac:dyDescent="0.25">
      <c r="A23" s="173" t="s">
        <v>188</v>
      </c>
      <c r="B23" s="176">
        <f>D19</f>
        <v>73000</v>
      </c>
      <c r="C23" s="4"/>
      <c r="D23" s="4"/>
      <c r="E23" s="113"/>
      <c r="F23" s="113"/>
      <c r="G23" s="113"/>
      <c r="H23" s="113"/>
    </row>
    <row r="24" spans="1:16" x14ac:dyDescent="0.25">
      <c r="A24" s="173"/>
      <c r="B24" s="176"/>
      <c r="C24" s="4"/>
      <c r="D24" s="4"/>
      <c r="E24" s="113"/>
      <c r="F24" s="113"/>
      <c r="G24" s="113"/>
      <c r="H24" s="113"/>
    </row>
    <row r="25" spans="1:16" x14ac:dyDescent="0.25">
      <c r="A25" s="4" t="s">
        <v>190</v>
      </c>
      <c r="B25" s="177">
        <v>7.0000000000000007E-2</v>
      </c>
      <c r="C25" s="122">
        <f>B25*B23</f>
        <v>5110.0000000000009</v>
      </c>
      <c r="D25" s="4"/>
      <c r="E25" s="113"/>
      <c r="F25" s="113"/>
      <c r="G25" s="113"/>
      <c r="H25" s="113"/>
    </row>
    <row r="26" spans="1:16" x14ac:dyDescent="0.25">
      <c r="A26" s="4" t="s">
        <v>206</v>
      </c>
      <c r="B26" s="122">
        <f>B23-C25</f>
        <v>67890</v>
      </c>
      <c r="C26" s="122"/>
      <c r="D26" s="4"/>
      <c r="E26" s="113"/>
      <c r="F26" s="113"/>
      <c r="G26" s="113"/>
      <c r="H26" s="113"/>
      <c r="I26">
        <v>20000</v>
      </c>
      <c r="J26" s="129">
        <v>7.0000000000000007E-2</v>
      </c>
      <c r="K26">
        <f>I26*J26</f>
        <v>1400.0000000000002</v>
      </c>
      <c r="L26">
        <f>I26-K26</f>
        <v>18600</v>
      </c>
    </row>
    <row r="27" spans="1:16" x14ac:dyDescent="0.25">
      <c r="A27" s="180" t="s">
        <v>196</v>
      </c>
      <c r="B27" s="177"/>
      <c r="C27" s="122"/>
      <c r="D27" s="4"/>
      <c r="E27" s="113"/>
      <c r="F27" s="113"/>
      <c r="G27" s="113"/>
      <c r="H27" s="113"/>
    </row>
    <row r="28" spans="1:16" x14ac:dyDescent="0.25">
      <c r="A28" s="181" t="s">
        <v>210</v>
      </c>
      <c r="B28" s="178"/>
      <c r="C28" s="4">
        <v>40000</v>
      </c>
      <c r="D28" s="4"/>
      <c r="E28" s="113"/>
      <c r="F28" s="113"/>
      <c r="G28" s="113"/>
      <c r="H28" s="113"/>
      <c r="N28">
        <v>30</v>
      </c>
      <c r="O28">
        <v>12</v>
      </c>
      <c r="P28">
        <f>N28-O28</f>
        <v>18</v>
      </c>
    </row>
    <row r="29" spans="1:16" x14ac:dyDescent="0.25">
      <c r="A29" s="182" t="s">
        <v>215</v>
      </c>
      <c r="B29" s="178"/>
      <c r="C29" s="179">
        <v>500</v>
      </c>
      <c r="D29" s="4"/>
      <c r="E29" s="113"/>
      <c r="F29" s="113"/>
      <c r="G29" s="113"/>
      <c r="H29" s="113"/>
    </row>
    <row r="30" spans="1:16" x14ac:dyDescent="0.25">
      <c r="A30" s="181" t="s">
        <v>204</v>
      </c>
      <c r="B30" s="178"/>
      <c r="C30" s="179">
        <v>7000</v>
      </c>
      <c r="D30" s="4"/>
      <c r="E30" s="113"/>
      <c r="F30" s="113"/>
      <c r="G30" s="113"/>
      <c r="H30" s="113"/>
      <c r="I30">
        <v>30</v>
      </c>
      <c r="J30">
        <f>H30/I30</f>
        <v>0</v>
      </c>
      <c r="K30">
        <v>18</v>
      </c>
      <c r="L30">
        <f>J30*K30</f>
        <v>0</v>
      </c>
    </row>
    <row r="31" spans="1:16" x14ac:dyDescent="0.25">
      <c r="A31" s="183" t="s">
        <v>4</v>
      </c>
      <c r="B31" s="178"/>
      <c r="C31" s="178">
        <v>19110</v>
      </c>
      <c r="D31" s="4"/>
      <c r="E31" s="113"/>
      <c r="F31" s="113"/>
      <c r="G31" s="52"/>
      <c r="H31" s="113"/>
    </row>
    <row r="32" spans="1:16" x14ac:dyDescent="0.25">
      <c r="A32" s="174" t="s">
        <v>3</v>
      </c>
      <c r="B32" s="89">
        <f>B26</f>
        <v>67890</v>
      </c>
      <c r="C32" s="122">
        <f>SUM(C28:C31)</f>
        <v>66610</v>
      </c>
      <c r="D32" s="122">
        <f>B32-C32</f>
        <v>1280</v>
      </c>
      <c r="E32" s="113" t="s">
        <v>209</v>
      </c>
      <c r="F32" s="113"/>
      <c r="G32" s="52"/>
      <c r="H32" s="113"/>
    </row>
    <row r="33" spans="1:8" x14ac:dyDescent="0.25">
      <c r="A33" s="68" t="s">
        <v>41</v>
      </c>
      <c r="B33" s="68"/>
      <c r="C33" s="3" t="s">
        <v>42</v>
      </c>
      <c r="D33" s="3" t="s">
        <v>217</v>
      </c>
      <c r="E33" s="113"/>
      <c r="F33" s="66"/>
      <c r="G33" s="113"/>
      <c r="H33" s="113"/>
    </row>
    <row r="34" spans="1:8" x14ac:dyDescent="0.25">
      <c r="A34" s="3" t="s">
        <v>148</v>
      </c>
      <c r="B34" s="3"/>
      <c r="C34" s="3" t="s">
        <v>45</v>
      </c>
      <c r="D34" s="3" t="s">
        <v>189</v>
      </c>
      <c r="E34" s="113"/>
      <c r="F34" s="66"/>
      <c r="G34" s="113"/>
      <c r="H34" s="113"/>
    </row>
    <row r="35" spans="1:8" ht="17.25" x14ac:dyDescent="0.4">
      <c r="A35" s="153"/>
      <c r="B35" s="153"/>
      <c r="C35" s="170"/>
      <c r="D35" s="175"/>
      <c r="E35" s="113"/>
      <c r="F35" s="113"/>
      <c r="G35" s="113"/>
      <c r="H35" s="113"/>
    </row>
    <row r="36" spans="1:8" x14ac:dyDescent="0.25">
      <c r="A36" s="113"/>
      <c r="B36" s="113"/>
      <c r="C36" s="113"/>
      <c r="D36" s="113"/>
      <c r="E36" s="113" t="s">
        <v>200</v>
      </c>
      <c r="F36" s="113"/>
      <c r="G36" s="113"/>
      <c r="H36" s="113"/>
    </row>
    <row r="37" spans="1:8" x14ac:dyDescent="0.25">
      <c r="A37" s="113"/>
      <c r="B37" s="113"/>
      <c r="C37" s="113"/>
      <c r="D37" s="113"/>
      <c r="E37" s="113"/>
      <c r="F37" s="113"/>
      <c r="G37" s="113"/>
      <c r="H37" s="113"/>
    </row>
  </sheetData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D11" sqref="D11"/>
    </sheetView>
  </sheetViews>
  <sheetFormatPr defaultRowHeight="15" x14ac:dyDescent="0.25"/>
  <cols>
    <col min="1" max="1" width="16.140625" customWidth="1"/>
    <col min="2" max="2" width="13.7109375" customWidth="1"/>
    <col min="3" max="3" width="13.85546875" customWidth="1"/>
    <col min="4" max="4" width="12.42578125" customWidth="1"/>
    <col min="7" max="7" width="10.5703125" bestFit="1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219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211</v>
      </c>
      <c r="B6" s="36">
        <v>1</v>
      </c>
      <c r="C6" s="36"/>
      <c r="D6" s="57"/>
      <c r="E6" s="57"/>
      <c r="F6" s="57"/>
      <c r="G6" s="122">
        <f>E6-F6</f>
        <v>0</v>
      </c>
      <c r="H6" s="113"/>
    </row>
    <row r="7" spans="1:8" x14ac:dyDescent="0.25">
      <c r="A7" s="39" t="s">
        <v>39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8" x14ac:dyDescent="0.25">
      <c r="A11" s="32" t="s">
        <v>203</v>
      </c>
      <c r="B11" s="10"/>
      <c r="C11" s="9">
        <v>8000</v>
      </c>
      <c r="D11" s="58">
        <v>8000</v>
      </c>
      <c r="E11" s="57">
        <f t="shared" si="0"/>
        <v>16000</v>
      </c>
      <c r="F11" s="58">
        <v>16000</v>
      </c>
      <c r="G11" s="122">
        <f t="shared" si="1"/>
        <v>0</v>
      </c>
      <c r="H11" s="113"/>
    </row>
    <row r="12" spans="1:8" x14ac:dyDescent="0.25">
      <c r="A12" s="32" t="s">
        <v>83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  <c r="H13" s="113"/>
    </row>
    <row r="14" spans="1:8" x14ac:dyDescent="0.25">
      <c r="A14" s="32"/>
      <c r="B14" s="10" t="s">
        <v>16</v>
      </c>
      <c r="C14" s="9">
        <v>0</v>
      </c>
      <c r="D14" s="58"/>
      <c r="E14" s="57"/>
      <c r="F14" s="58"/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79</v>
      </c>
      <c r="B17" s="14"/>
      <c r="C17" s="16"/>
      <c r="D17" s="59"/>
      <c r="E17" s="57"/>
      <c r="F17" s="59"/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8000</v>
      </c>
      <c r="D19" s="99">
        <f>SUM(D6:D18)</f>
        <v>55000</v>
      </c>
      <c r="E19" s="99">
        <f>SUM(E6:E18)</f>
        <v>63000</v>
      </c>
      <c r="F19" s="99">
        <f>SUM(F6:F18)</f>
        <v>63000</v>
      </c>
      <c r="G19" s="122">
        <f>SUM(G6:G18)</f>
        <v>35000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  <c r="H22" s="113"/>
    </row>
    <row r="23" spans="1:8" x14ac:dyDescent="0.25">
      <c r="A23" s="173" t="s">
        <v>188</v>
      </c>
      <c r="B23" s="176">
        <f>D19</f>
        <v>55000</v>
      </c>
      <c r="C23" s="4"/>
      <c r="D23" s="4"/>
      <c r="E23" s="113"/>
      <c r="F23" s="113"/>
      <c r="G23" s="113"/>
      <c r="H23" s="113"/>
    </row>
    <row r="24" spans="1:8" x14ac:dyDescent="0.25">
      <c r="A24" s="173"/>
      <c r="B24" s="176"/>
      <c r="C24" s="4"/>
      <c r="D24" s="4"/>
      <c r="E24" s="113"/>
      <c r="F24" s="113"/>
      <c r="G24" s="113"/>
      <c r="H24" s="113"/>
    </row>
    <row r="25" spans="1:8" x14ac:dyDescent="0.25">
      <c r="A25" s="4" t="s">
        <v>190</v>
      </c>
      <c r="B25" s="177">
        <v>7.0000000000000007E-2</v>
      </c>
      <c r="C25" s="122">
        <f>B25*B23</f>
        <v>3850.0000000000005</v>
      </c>
      <c r="D25" s="4"/>
      <c r="E25" s="113"/>
      <c r="F25" s="113"/>
      <c r="G25" s="113"/>
      <c r="H25" s="113"/>
    </row>
    <row r="26" spans="1:8" x14ac:dyDescent="0.25">
      <c r="A26" s="4" t="s">
        <v>206</v>
      </c>
      <c r="B26" s="122">
        <f>B23-C25</f>
        <v>51150</v>
      </c>
      <c r="C26" s="122"/>
      <c r="D26" s="4"/>
      <c r="E26" s="113"/>
      <c r="F26" s="113"/>
      <c r="G26" s="113"/>
      <c r="H26" s="113"/>
    </row>
    <row r="27" spans="1:8" s="113" customFormat="1" x14ac:dyDescent="0.25">
      <c r="A27" s="4" t="s">
        <v>218</v>
      </c>
      <c r="B27" s="122">
        <v>10200</v>
      </c>
      <c r="C27" s="122"/>
      <c r="D27" s="4"/>
    </row>
    <row r="28" spans="1:8" s="113" customFormat="1" x14ac:dyDescent="0.25">
      <c r="A28" s="4"/>
      <c r="B28" s="122">
        <f>SUM(B26:B27)</f>
        <v>61350</v>
      </c>
      <c r="C28" s="122"/>
      <c r="D28" s="4"/>
    </row>
    <row r="29" spans="1:8" x14ac:dyDescent="0.25">
      <c r="A29" s="180" t="s">
        <v>196</v>
      </c>
      <c r="B29" s="177"/>
      <c r="C29" s="122"/>
      <c r="D29" s="4"/>
      <c r="E29" s="113"/>
      <c r="F29" s="113"/>
      <c r="G29" s="113"/>
      <c r="H29" s="113"/>
    </row>
    <row r="30" spans="1:8" x14ac:dyDescent="0.25">
      <c r="A30" s="181" t="s">
        <v>220</v>
      </c>
      <c r="B30" s="178"/>
      <c r="C30" s="4">
        <v>40210</v>
      </c>
      <c r="D30" s="4"/>
      <c r="E30" s="113"/>
      <c r="F30" s="113"/>
      <c r="G30" s="113"/>
      <c r="H30" s="113"/>
    </row>
    <row r="31" spans="1:8" x14ac:dyDescent="0.25">
      <c r="A31" s="182" t="s">
        <v>178</v>
      </c>
      <c r="B31" s="178"/>
      <c r="C31" s="179">
        <v>5500</v>
      </c>
      <c r="D31" s="4"/>
      <c r="E31" s="113"/>
      <c r="F31" s="113"/>
      <c r="G31" s="113"/>
      <c r="H31" s="113"/>
    </row>
    <row r="32" spans="1:8" x14ac:dyDescent="0.25">
      <c r="A32" s="181" t="s">
        <v>196</v>
      </c>
      <c r="B32" s="178"/>
      <c r="C32" s="179">
        <v>18210</v>
      </c>
      <c r="D32" s="4"/>
      <c r="E32" s="113"/>
      <c r="F32" s="113"/>
      <c r="G32" s="113"/>
      <c r="H32" s="113"/>
    </row>
    <row r="33" spans="1:8" x14ac:dyDescent="0.25">
      <c r="A33" s="183" t="s">
        <v>4</v>
      </c>
      <c r="B33" s="178"/>
      <c r="C33" s="178"/>
      <c r="D33" s="4"/>
      <c r="E33" s="113"/>
      <c r="F33" s="113"/>
      <c r="G33" s="52"/>
      <c r="H33" s="113"/>
    </row>
    <row r="34" spans="1:8" x14ac:dyDescent="0.25">
      <c r="A34" s="174" t="s">
        <v>3</v>
      </c>
      <c r="B34" s="89">
        <f>B28</f>
        <v>61350</v>
      </c>
      <c r="C34" s="122">
        <f>SUM(C30:C33)</f>
        <v>63920</v>
      </c>
      <c r="D34" s="122">
        <f>B34-C34</f>
        <v>-2570</v>
      </c>
      <c r="E34" s="113" t="s">
        <v>209</v>
      </c>
      <c r="F34" s="113"/>
      <c r="G34" s="52"/>
      <c r="H34" s="113"/>
    </row>
    <row r="35" spans="1:8" x14ac:dyDescent="0.25">
      <c r="A35" s="68" t="s">
        <v>41</v>
      </c>
      <c r="B35" s="68"/>
      <c r="C35" s="3" t="s">
        <v>42</v>
      </c>
      <c r="D35" s="3" t="s">
        <v>217</v>
      </c>
      <c r="E35" s="113"/>
      <c r="F35" s="66"/>
      <c r="G35" s="113"/>
      <c r="H35" s="113"/>
    </row>
    <row r="36" spans="1:8" x14ac:dyDescent="0.25">
      <c r="A36" s="3" t="s">
        <v>148</v>
      </c>
      <c r="B36" s="3"/>
      <c r="C36" s="3" t="s">
        <v>45</v>
      </c>
      <c r="D36" s="3" t="s">
        <v>189</v>
      </c>
      <c r="E36" s="113"/>
      <c r="F36" s="66"/>
      <c r="G36" s="113"/>
      <c r="H36" s="113"/>
    </row>
    <row r="37" spans="1:8" ht="17.25" x14ac:dyDescent="0.4">
      <c r="A37" s="153"/>
      <c r="B37" s="153"/>
      <c r="C37" s="170"/>
      <c r="D37" s="175"/>
      <c r="E37" s="113"/>
      <c r="F37" s="113"/>
      <c r="G37" s="113"/>
      <c r="H37" s="11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37" sqref="D37"/>
    </sheetView>
  </sheetViews>
  <sheetFormatPr defaultRowHeight="15" x14ac:dyDescent="0.25"/>
  <cols>
    <col min="1" max="1" width="16.140625" customWidth="1"/>
    <col min="2" max="2" width="10.85546875" customWidth="1"/>
    <col min="3" max="3" width="11" customWidth="1"/>
    <col min="4" max="4" width="11.28515625" customWidth="1"/>
    <col min="7" max="7" width="12.140625" customWidth="1"/>
    <col min="12" max="12" width="10" bestFit="1" customWidth="1"/>
  </cols>
  <sheetData>
    <row r="1" spans="1:7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</row>
    <row r="2" spans="1:7" ht="17.25" x14ac:dyDescent="0.25">
      <c r="A2" s="113"/>
      <c r="B2" s="113"/>
      <c r="C2" s="156"/>
      <c r="D2" s="161" t="s">
        <v>155</v>
      </c>
      <c r="E2" s="21"/>
      <c r="F2" s="21"/>
      <c r="G2" s="156"/>
    </row>
    <row r="3" spans="1:7" x14ac:dyDescent="0.25">
      <c r="A3" s="113"/>
      <c r="B3" s="113"/>
      <c r="C3" s="156"/>
      <c r="D3" s="157" t="s">
        <v>27</v>
      </c>
      <c r="E3" s="157"/>
      <c r="F3" s="21"/>
      <c r="G3" s="21"/>
    </row>
    <row r="4" spans="1:7" ht="21" x14ac:dyDescent="0.35">
      <c r="A4" s="27" t="s">
        <v>223</v>
      </c>
      <c r="B4" s="77"/>
      <c r="C4" s="77"/>
      <c r="D4" s="78"/>
      <c r="E4" s="77"/>
      <c r="F4" s="77"/>
      <c r="G4" s="27"/>
    </row>
    <row r="5" spans="1:7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</row>
    <row r="6" spans="1:7" x14ac:dyDescent="0.25">
      <c r="A6" s="39"/>
      <c r="B6" s="36">
        <v>1</v>
      </c>
      <c r="C6" s="36"/>
      <c r="D6" s="57"/>
      <c r="E6" s="57"/>
      <c r="F6" s="57"/>
      <c r="G6" s="122">
        <f>E6-F6</f>
        <v>0</v>
      </c>
    </row>
    <row r="7" spans="1:7" x14ac:dyDescent="0.25">
      <c r="A7" s="39" t="s">
        <v>39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</row>
    <row r="8" spans="1:7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</row>
    <row r="9" spans="1:7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</row>
    <row r="10" spans="1:7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</row>
    <row r="11" spans="1:7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</row>
    <row r="12" spans="1:7" x14ac:dyDescent="0.25">
      <c r="A12" s="32" t="s">
        <v>83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</row>
    <row r="13" spans="1:7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</row>
    <row r="14" spans="1:7" x14ac:dyDescent="0.25">
      <c r="A14" s="32" t="s">
        <v>222</v>
      </c>
      <c r="B14" s="10" t="s">
        <v>16</v>
      </c>
      <c r="C14" s="9">
        <v>10200</v>
      </c>
      <c r="D14" s="58">
        <v>8000</v>
      </c>
      <c r="E14" s="57"/>
      <c r="F14" s="58"/>
      <c r="G14" s="122">
        <f t="shared" si="1"/>
        <v>0</v>
      </c>
    </row>
    <row r="15" spans="1:7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</row>
    <row r="16" spans="1:7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</row>
    <row r="17" spans="1:7" x14ac:dyDescent="0.25">
      <c r="A17" s="34" t="s">
        <v>203</v>
      </c>
      <c r="B17" s="14"/>
      <c r="C17" s="16"/>
      <c r="D17" s="59"/>
      <c r="E17" s="57"/>
      <c r="F17" s="59"/>
      <c r="G17" s="122"/>
    </row>
    <row r="18" spans="1:7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</row>
    <row r="19" spans="1:7" x14ac:dyDescent="0.25">
      <c r="A19" s="97" t="s">
        <v>3</v>
      </c>
      <c r="B19" s="98"/>
      <c r="C19" s="98">
        <f>SUM(C6:C18)</f>
        <v>10200</v>
      </c>
      <c r="D19" s="99">
        <f>SUM(D6:D18)</f>
        <v>63000</v>
      </c>
      <c r="E19" s="99">
        <f>SUM(E6:E18)</f>
        <v>55000</v>
      </c>
      <c r="F19" s="99">
        <f>SUM(F6:F18)</f>
        <v>63000</v>
      </c>
      <c r="G19" s="122">
        <f>SUM(G6:G18)</f>
        <v>27000</v>
      </c>
    </row>
    <row r="20" spans="1:7" x14ac:dyDescent="0.25">
      <c r="A20" s="113"/>
      <c r="B20" s="113"/>
      <c r="C20" s="113"/>
      <c r="D20" s="113"/>
      <c r="E20" s="113"/>
      <c r="F20" s="113"/>
      <c r="G20" s="113"/>
    </row>
    <row r="21" spans="1:7" x14ac:dyDescent="0.25">
      <c r="A21" s="170" t="s">
        <v>184</v>
      </c>
      <c r="B21" s="113"/>
      <c r="C21" s="47"/>
      <c r="D21" s="151"/>
      <c r="E21" s="113"/>
      <c r="F21" s="171"/>
      <c r="G21" s="48"/>
    </row>
    <row r="22" spans="1:7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</row>
    <row r="23" spans="1:7" x14ac:dyDescent="0.25">
      <c r="A23" s="173" t="s">
        <v>188</v>
      </c>
      <c r="B23" s="176">
        <f>D19</f>
        <v>63000</v>
      </c>
      <c r="C23" s="4"/>
      <c r="D23" s="4"/>
      <c r="E23" s="113"/>
      <c r="F23" s="113"/>
      <c r="G23" s="113"/>
    </row>
    <row r="24" spans="1:7" x14ac:dyDescent="0.25">
      <c r="A24" s="173" t="s">
        <v>224</v>
      </c>
      <c r="B24" s="176">
        <v>-2570</v>
      </c>
      <c r="C24" s="4"/>
      <c r="D24" s="4"/>
      <c r="E24" s="113"/>
      <c r="F24" s="113"/>
      <c r="G24" s="113"/>
    </row>
    <row r="25" spans="1:7" x14ac:dyDescent="0.25">
      <c r="B25" s="66">
        <f>SUM(B23:B24)</f>
        <v>60430</v>
      </c>
      <c r="E25" s="113"/>
      <c r="F25" s="113"/>
      <c r="G25" s="113"/>
    </row>
    <row r="26" spans="1:7" x14ac:dyDescent="0.25">
      <c r="A26" s="4" t="s">
        <v>190</v>
      </c>
      <c r="B26" s="177">
        <v>7.0000000000000007E-2</v>
      </c>
      <c r="C26" s="122">
        <f>B26*B23</f>
        <v>4410</v>
      </c>
      <c r="D26" s="4"/>
      <c r="E26" s="113"/>
      <c r="F26" s="113"/>
      <c r="G26" s="113"/>
    </row>
    <row r="27" spans="1:7" x14ac:dyDescent="0.25">
      <c r="A27" s="4" t="s">
        <v>206</v>
      </c>
      <c r="B27" s="122">
        <f>B25-C26</f>
        <v>56020</v>
      </c>
      <c r="C27" s="122"/>
      <c r="D27" s="4"/>
      <c r="E27" s="113"/>
      <c r="F27" s="113"/>
      <c r="G27" s="113"/>
    </row>
    <row r="28" spans="1:7" x14ac:dyDescent="0.25">
      <c r="A28" s="4" t="s">
        <v>229</v>
      </c>
      <c r="B28" s="122">
        <v>10200</v>
      </c>
      <c r="C28" s="122"/>
      <c r="D28" s="4"/>
      <c r="E28" s="113"/>
      <c r="F28" s="113"/>
      <c r="G28" s="113"/>
    </row>
    <row r="29" spans="1:7" x14ac:dyDescent="0.25">
      <c r="A29" s="4"/>
      <c r="B29" s="122">
        <f>SUM(B27:B28)</f>
        <v>66220</v>
      </c>
      <c r="C29" s="122"/>
      <c r="D29" s="4"/>
      <c r="E29" s="113"/>
      <c r="F29" s="113"/>
      <c r="G29" s="113"/>
    </row>
    <row r="30" spans="1:7" x14ac:dyDescent="0.25">
      <c r="A30" s="180" t="s">
        <v>196</v>
      </c>
      <c r="B30" s="177"/>
      <c r="C30" s="122"/>
      <c r="D30" s="4"/>
      <c r="E30" s="113"/>
      <c r="F30" s="113"/>
      <c r="G30" s="113"/>
    </row>
    <row r="31" spans="1:7" x14ac:dyDescent="0.25">
      <c r="A31" s="181" t="s">
        <v>232</v>
      </c>
      <c r="B31" s="178"/>
      <c r="C31" s="4">
        <v>50200</v>
      </c>
      <c r="D31" s="4"/>
      <c r="E31" s="113"/>
      <c r="F31" s="113"/>
      <c r="G31" s="113"/>
    </row>
    <row r="32" spans="1:7" x14ac:dyDescent="0.25">
      <c r="A32" s="182" t="s">
        <v>197</v>
      </c>
      <c r="B32" s="178"/>
      <c r="C32" s="179">
        <v>16020</v>
      </c>
      <c r="D32" s="4"/>
      <c r="E32" s="113"/>
      <c r="F32" s="113"/>
      <c r="G32" s="113"/>
    </row>
    <row r="33" spans="1:7" x14ac:dyDescent="0.25">
      <c r="A33" s="181"/>
      <c r="B33" s="178"/>
      <c r="C33" s="179"/>
      <c r="D33" s="4"/>
      <c r="E33" s="113"/>
      <c r="F33" s="113"/>
      <c r="G33" s="52"/>
    </row>
    <row r="34" spans="1:7" x14ac:dyDescent="0.25">
      <c r="A34" s="183" t="s">
        <v>4</v>
      </c>
      <c r="B34" s="178"/>
      <c r="C34" s="178"/>
      <c r="D34" s="4"/>
      <c r="E34" s="113"/>
      <c r="F34" s="113"/>
      <c r="G34" s="52"/>
    </row>
    <row r="35" spans="1:7" x14ac:dyDescent="0.25">
      <c r="A35" s="174" t="s">
        <v>3</v>
      </c>
      <c r="B35" s="89">
        <f>B29</f>
        <v>66220</v>
      </c>
      <c r="C35" s="122">
        <f>SUM(C31:C34)</f>
        <v>66220</v>
      </c>
      <c r="D35" s="122">
        <f>B35-C35</f>
        <v>0</v>
      </c>
      <c r="E35" s="113"/>
      <c r="F35" s="66"/>
      <c r="G35" s="113"/>
    </row>
    <row r="36" spans="1:7" x14ac:dyDescent="0.25">
      <c r="A36" s="68" t="s">
        <v>41</v>
      </c>
      <c r="B36" s="68"/>
      <c r="C36" s="3" t="s">
        <v>42</v>
      </c>
      <c r="D36" s="3" t="s">
        <v>217</v>
      </c>
      <c r="E36" s="113"/>
      <c r="F36" s="66"/>
      <c r="G36" s="113"/>
    </row>
    <row r="37" spans="1:7" x14ac:dyDescent="0.25">
      <c r="A37" s="3" t="s">
        <v>148</v>
      </c>
      <c r="B37" s="3"/>
      <c r="C37" s="3" t="s">
        <v>45</v>
      </c>
      <c r="D37" s="3" t="s">
        <v>189</v>
      </c>
      <c r="E37" s="113"/>
      <c r="F37" s="113"/>
      <c r="G37" s="113"/>
    </row>
    <row r="38" spans="1:7" ht="17.25" x14ac:dyDescent="0.4">
      <c r="A38" s="153"/>
      <c r="B38" s="153"/>
      <c r="C38" s="170"/>
      <c r="D38" s="175"/>
    </row>
  </sheetData>
  <pageMargins left="0.7" right="0.7" top="0.75" bottom="0.75" header="0.3" footer="0.3"/>
  <pageSetup orientation="portrait" horizontalDpi="200" verticalDpi="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9" workbookViewId="0">
      <selection activeCell="D35" sqref="D35"/>
    </sheetView>
  </sheetViews>
  <sheetFormatPr defaultRowHeight="15" x14ac:dyDescent="0.25"/>
  <cols>
    <col min="1" max="1" width="17.7109375" customWidth="1"/>
    <col min="2" max="2" width="11.5703125" customWidth="1"/>
    <col min="3" max="3" width="11.85546875" customWidth="1"/>
    <col min="4" max="4" width="12" customWidth="1"/>
    <col min="5" max="6" width="10.5703125" bestFit="1" customWidth="1"/>
    <col min="7" max="7" width="10.7109375" customWidth="1"/>
    <col min="8" max="8" width="10.5703125" bestFit="1" customWidth="1"/>
  </cols>
  <sheetData>
    <row r="1" spans="1:7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</row>
    <row r="2" spans="1:7" ht="17.25" x14ac:dyDescent="0.25">
      <c r="A2" s="113"/>
      <c r="B2" s="113"/>
      <c r="C2" s="156"/>
      <c r="D2" s="161" t="s">
        <v>155</v>
      </c>
      <c r="E2" s="21"/>
      <c r="F2" s="21"/>
      <c r="G2" s="156"/>
    </row>
    <row r="3" spans="1:7" x14ac:dyDescent="0.25">
      <c r="A3" s="113"/>
      <c r="B3" s="113"/>
      <c r="C3" s="156"/>
      <c r="D3" s="157" t="s">
        <v>27</v>
      </c>
      <c r="E3" s="157"/>
      <c r="F3" s="21"/>
      <c r="G3" s="21"/>
    </row>
    <row r="4" spans="1:7" ht="21" x14ac:dyDescent="0.35">
      <c r="A4" s="27" t="s">
        <v>228</v>
      </c>
      <c r="B4" s="77"/>
      <c r="C4" s="77"/>
      <c r="D4" s="78"/>
      <c r="E4" s="77"/>
      <c r="F4" s="77"/>
      <c r="G4" s="27"/>
    </row>
    <row r="5" spans="1:7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</row>
    <row r="6" spans="1:7" x14ac:dyDescent="0.25">
      <c r="A6" s="39" t="s">
        <v>225</v>
      </c>
      <c r="B6" s="36">
        <v>1</v>
      </c>
      <c r="C6" s="36"/>
      <c r="D6" s="57"/>
      <c r="E6" s="57"/>
      <c r="F6" s="57"/>
      <c r="G6" s="122">
        <f>E6-F6</f>
        <v>0</v>
      </c>
    </row>
    <row r="7" spans="1:7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</row>
    <row r="8" spans="1:7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</row>
    <row r="9" spans="1:7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</row>
    <row r="10" spans="1:7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</row>
    <row r="11" spans="1:7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</row>
    <row r="12" spans="1:7" x14ac:dyDescent="0.25">
      <c r="A12" s="32" t="s">
        <v>227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</row>
    <row r="13" spans="1:7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</row>
    <row r="14" spans="1:7" x14ac:dyDescent="0.25">
      <c r="A14" s="32" t="s">
        <v>222</v>
      </c>
      <c r="B14" s="10" t="s">
        <v>16</v>
      </c>
      <c r="C14" s="9"/>
      <c r="D14" s="58">
        <v>12000</v>
      </c>
      <c r="E14" s="57"/>
      <c r="F14" s="58"/>
      <c r="G14" s="122">
        <f t="shared" si="1"/>
        <v>0</v>
      </c>
    </row>
    <row r="15" spans="1:7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</row>
    <row r="16" spans="1:7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</row>
    <row r="17" spans="1:8" x14ac:dyDescent="0.25">
      <c r="A17" s="34" t="s">
        <v>203</v>
      </c>
      <c r="B17" s="14"/>
      <c r="C17" s="16"/>
      <c r="D17" s="59">
        <v>7000</v>
      </c>
      <c r="E17" s="57"/>
      <c r="F17" s="59"/>
      <c r="G17" s="122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</row>
    <row r="19" spans="1:8" x14ac:dyDescent="0.25">
      <c r="A19" s="97" t="s">
        <v>3</v>
      </c>
      <c r="B19" s="98"/>
      <c r="C19" s="98">
        <f>SUM(C6:C18)</f>
        <v>0</v>
      </c>
      <c r="D19" s="99">
        <f>SUM(D6:D18)</f>
        <v>74000</v>
      </c>
      <c r="E19" s="99">
        <f>SUM(E6:E18)</f>
        <v>55000</v>
      </c>
      <c r="F19" s="99">
        <f>SUM(F6:F18)</f>
        <v>63000</v>
      </c>
      <c r="G19" s="122">
        <f>SUM(G6:G18)</f>
        <v>27000</v>
      </c>
    </row>
    <row r="20" spans="1:8" x14ac:dyDescent="0.25">
      <c r="A20" s="113"/>
      <c r="B20" s="113"/>
      <c r="C20" s="113"/>
      <c r="D20" s="113"/>
      <c r="E20" s="113"/>
      <c r="F20" s="113"/>
      <c r="G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</row>
    <row r="23" spans="1:8" x14ac:dyDescent="0.25">
      <c r="A23" s="173" t="s">
        <v>188</v>
      </c>
      <c r="B23" s="176">
        <f>D19</f>
        <v>74000</v>
      </c>
      <c r="C23" s="4"/>
      <c r="D23" s="4"/>
      <c r="E23" s="113"/>
      <c r="F23" s="113"/>
      <c r="G23" s="113"/>
    </row>
    <row r="24" spans="1:8" x14ac:dyDescent="0.25">
      <c r="A24" s="173"/>
      <c r="B24" s="176"/>
      <c r="C24" s="4"/>
      <c r="D24" s="4"/>
      <c r="E24" s="113"/>
      <c r="F24" s="113"/>
      <c r="G24" s="113"/>
    </row>
    <row r="25" spans="1:8" x14ac:dyDescent="0.25">
      <c r="A25" s="4"/>
      <c r="B25" s="122">
        <f>SUM(B23:B24)</f>
        <v>74000</v>
      </c>
      <c r="C25" s="4"/>
      <c r="D25" s="4"/>
      <c r="E25" s="113"/>
      <c r="F25" s="113"/>
      <c r="G25" s="113"/>
    </row>
    <row r="26" spans="1:8" x14ac:dyDescent="0.25">
      <c r="A26" s="4" t="s">
        <v>190</v>
      </c>
      <c r="B26" s="177">
        <v>7.0000000000000007E-2</v>
      </c>
      <c r="C26" s="122">
        <f>B26*B23</f>
        <v>5180.0000000000009</v>
      </c>
      <c r="D26" s="4"/>
      <c r="E26" s="113"/>
      <c r="F26" s="113"/>
      <c r="G26" s="113"/>
    </row>
    <row r="27" spans="1:8" x14ac:dyDescent="0.25">
      <c r="A27" s="4" t="s">
        <v>206</v>
      </c>
      <c r="B27" s="122">
        <f>B25-C26</f>
        <v>68820</v>
      </c>
      <c r="C27" s="122"/>
      <c r="D27" s="4"/>
      <c r="E27" s="66"/>
      <c r="F27" s="113"/>
      <c r="G27" s="113"/>
    </row>
    <row r="28" spans="1:8" x14ac:dyDescent="0.25">
      <c r="A28" s="4" t="s">
        <v>123</v>
      </c>
      <c r="B28" s="122">
        <v>7000</v>
      </c>
      <c r="C28" s="122"/>
      <c r="D28" s="4"/>
      <c r="E28" s="113"/>
      <c r="F28" s="113"/>
      <c r="G28" s="113"/>
    </row>
    <row r="29" spans="1:8" x14ac:dyDescent="0.25">
      <c r="A29" s="4"/>
      <c r="B29" s="122">
        <f>SUM(B27:B28)</f>
        <v>75820</v>
      </c>
      <c r="C29" s="122"/>
      <c r="D29" s="4"/>
      <c r="E29" s="66"/>
      <c r="F29" s="113"/>
      <c r="G29" s="113"/>
    </row>
    <row r="30" spans="1:8" x14ac:dyDescent="0.25">
      <c r="A30" s="180" t="s">
        <v>196</v>
      </c>
      <c r="B30" s="177"/>
      <c r="C30" s="122"/>
      <c r="D30" s="4"/>
      <c r="E30" s="113"/>
      <c r="F30" s="66"/>
      <c r="G30" s="113"/>
      <c r="H30" s="66"/>
    </row>
    <row r="31" spans="1:8" x14ac:dyDescent="0.25">
      <c r="A31" s="181" t="s">
        <v>220</v>
      </c>
      <c r="B31" s="178"/>
      <c r="C31" s="4">
        <v>50200</v>
      </c>
      <c r="D31" s="4"/>
      <c r="E31" s="113"/>
      <c r="F31" s="113"/>
      <c r="G31" s="113"/>
    </row>
    <row r="32" spans="1:8" x14ac:dyDescent="0.25">
      <c r="A32" s="183" t="s">
        <v>236</v>
      </c>
      <c r="B32" s="178"/>
      <c r="C32" s="179"/>
      <c r="D32" s="4"/>
      <c r="E32" s="113"/>
      <c r="F32" s="113"/>
      <c r="G32" s="113"/>
    </row>
    <row r="33" spans="1:7" x14ac:dyDescent="0.25">
      <c r="A33" s="181"/>
      <c r="B33" s="178"/>
      <c r="C33" s="179"/>
      <c r="D33" s="4"/>
      <c r="E33" s="113"/>
      <c r="F33" s="113"/>
      <c r="G33" s="52"/>
    </row>
    <row r="34" spans="1:7" x14ac:dyDescent="0.25">
      <c r="B34" s="178"/>
      <c r="C34" s="178"/>
      <c r="D34" s="4"/>
      <c r="E34" s="113" t="s">
        <v>209</v>
      </c>
      <c r="F34" s="113"/>
      <c r="G34" s="52"/>
    </row>
    <row r="35" spans="1:7" x14ac:dyDescent="0.25">
      <c r="A35" s="174" t="s">
        <v>3</v>
      </c>
      <c r="B35" s="89">
        <f>B29</f>
        <v>75820</v>
      </c>
      <c r="C35" s="122">
        <f>SUM(C31:C34)</f>
        <v>50200</v>
      </c>
      <c r="D35" s="122">
        <f>B35-C35</f>
        <v>25620</v>
      </c>
      <c r="E35" s="113"/>
      <c r="F35" s="66"/>
      <c r="G35" s="113"/>
    </row>
    <row r="36" spans="1:7" x14ac:dyDescent="0.25">
      <c r="A36" s="68" t="s">
        <v>230</v>
      </c>
      <c r="B36" s="68"/>
      <c r="C36" s="3" t="s">
        <v>42</v>
      </c>
      <c r="D36" s="3" t="s">
        <v>217</v>
      </c>
      <c r="E36" s="113"/>
      <c r="F36" s="66"/>
      <c r="G36" s="113"/>
    </row>
    <row r="37" spans="1:7" x14ac:dyDescent="0.25">
      <c r="A37" s="3" t="s">
        <v>231</v>
      </c>
      <c r="B37" s="3"/>
      <c r="C37" s="3" t="s">
        <v>45</v>
      </c>
      <c r="D37" s="3" t="s">
        <v>189</v>
      </c>
      <c r="E37" s="113"/>
      <c r="F37" s="113"/>
      <c r="G37" s="113"/>
    </row>
    <row r="38" spans="1:7" ht="17.25" x14ac:dyDescent="0.4">
      <c r="A38" s="153"/>
      <c r="B38" s="153"/>
      <c r="C38" s="170"/>
      <c r="D38" s="175"/>
      <c r="E38" s="113"/>
      <c r="F38" s="113"/>
      <c r="G38" s="113"/>
    </row>
    <row r="39" spans="1:7" x14ac:dyDescent="0.25">
      <c r="A39" s="113"/>
      <c r="B39" s="113"/>
      <c r="C39" s="113"/>
      <c r="D39" s="113"/>
      <c r="E39" s="113"/>
      <c r="F39" s="113"/>
      <c r="G39" s="113"/>
    </row>
  </sheetData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35" sqref="D35"/>
    </sheetView>
  </sheetViews>
  <sheetFormatPr defaultRowHeight="15" x14ac:dyDescent="0.25"/>
  <cols>
    <col min="1" max="1" width="14.85546875" customWidth="1"/>
    <col min="2" max="2" width="12.140625" customWidth="1"/>
    <col min="3" max="3" width="12.42578125" customWidth="1"/>
    <col min="4" max="4" width="11.140625" customWidth="1"/>
    <col min="7" max="7" width="12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234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225</v>
      </c>
      <c r="B6" s="36">
        <v>1</v>
      </c>
      <c r="C6" s="36"/>
      <c r="D6" s="57"/>
      <c r="E6" s="57"/>
      <c r="F6" s="57"/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  <c r="H11" s="113"/>
    </row>
    <row r="12" spans="1:8" x14ac:dyDescent="0.25">
      <c r="A12" s="32" t="s">
        <v>227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  <c r="H13" s="113"/>
    </row>
    <row r="14" spans="1:8" x14ac:dyDescent="0.25">
      <c r="A14" s="32" t="s">
        <v>222</v>
      </c>
      <c r="B14" s="10" t="s">
        <v>16</v>
      </c>
      <c r="C14" s="9"/>
      <c r="D14" s="58">
        <v>12000</v>
      </c>
      <c r="E14" s="57"/>
      <c r="F14" s="58"/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203</v>
      </c>
      <c r="B17" s="14"/>
      <c r="C17" s="16"/>
      <c r="D17" s="59">
        <v>7000</v>
      </c>
      <c r="E17" s="57"/>
      <c r="F17" s="59"/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0</v>
      </c>
      <c r="D19" s="99">
        <f>SUM(D6:D18)</f>
        <v>74000</v>
      </c>
      <c r="E19" s="99">
        <f>SUM(E6:E18)</f>
        <v>55000</v>
      </c>
      <c r="F19" s="99">
        <f>SUM(F6:F18)</f>
        <v>63000</v>
      </c>
      <c r="G19" s="122">
        <f>SUM(G6:G18)</f>
        <v>27000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  <c r="H22" s="113"/>
    </row>
    <row r="23" spans="1:8" x14ac:dyDescent="0.25">
      <c r="A23" s="173" t="s">
        <v>188</v>
      </c>
      <c r="B23" s="176">
        <f>D19</f>
        <v>74000</v>
      </c>
      <c r="C23" s="4"/>
      <c r="D23" s="4"/>
      <c r="E23" s="113"/>
      <c r="F23" s="113"/>
      <c r="G23" s="113"/>
      <c r="H23" s="113"/>
    </row>
    <row r="24" spans="1:8" x14ac:dyDescent="0.25">
      <c r="A24" s="173" t="s">
        <v>233</v>
      </c>
      <c r="B24" s="176">
        <v>25620</v>
      </c>
      <c r="C24" s="4"/>
      <c r="D24" s="4"/>
      <c r="E24" s="113"/>
      <c r="F24" s="113"/>
      <c r="G24" s="113"/>
      <c r="H24" s="113"/>
    </row>
    <row r="25" spans="1:8" x14ac:dyDescent="0.25">
      <c r="A25" s="4"/>
      <c r="B25" s="122">
        <f>SUM(B23:B24)</f>
        <v>99620</v>
      </c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B26*B23</f>
        <v>5180.0000000000009</v>
      </c>
      <c r="D26" s="4"/>
      <c r="E26" s="113"/>
      <c r="F26" s="113"/>
      <c r="G26" s="113"/>
      <c r="H26" s="113"/>
    </row>
    <row r="27" spans="1:8" x14ac:dyDescent="0.25">
      <c r="B27" s="122">
        <f>B25-C26</f>
        <v>94440</v>
      </c>
      <c r="C27" s="122"/>
      <c r="D27" s="4"/>
      <c r="E27" s="66"/>
      <c r="F27" s="113"/>
      <c r="G27" s="113"/>
      <c r="H27" s="113"/>
    </row>
    <row r="28" spans="1:8" x14ac:dyDescent="0.25">
      <c r="A28" s="4"/>
      <c r="B28" s="122"/>
      <c r="C28" s="122"/>
      <c r="D28" s="4"/>
      <c r="E28" s="113"/>
      <c r="F28" s="113"/>
      <c r="G28" s="113"/>
      <c r="H28" s="113"/>
    </row>
    <row r="29" spans="1:8" x14ac:dyDescent="0.25">
      <c r="A29" s="4"/>
      <c r="B29" s="122"/>
      <c r="C29" s="122"/>
      <c r="D29" s="4"/>
      <c r="E29" s="66"/>
      <c r="F29" s="113"/>
      <c r="G29" s="113"/>
      <c r="H29" s="113"/>
    </row>
    <row r="30" spans="1:8" x14ac:dyDescent="0.25">
      <c r="A30" s="180" t="s">
        <v>196</v>
      </c>
      <c r="B30" s="177"/>
      <c r="C30" s="122"/>
      <c r="D30" s="4"/>
      <c r="E30" s="113"/>
      <c r="F30" s="66"/>
      <c r="G30" s="113"/>
      <c r="H30" s="66"/>
    </row>
    <row r="31" spans="1:8" x14ac:dyDescent="0.25">
      <c r="A31" s="181" t="s">
        <v>220</v>
      </c>
      <c r="B31" s="178"/>
      <c r="C31" s="4">
        <v>28110</v>
      </c>
      <c r="D31" s="4"/>
      <c r="E31" s="113"/>
      <c r="F31" s="113"/>
      <c r="G31" s="113"/>
      <c r="H31" s="113"/>
    </row>
    <row r="32" spans="1:8" x14ac:dyDescent="0.25">
      <c r="A32" s="183"/>
      <c r="B32" s="178"/>
      <c r="C32" s="179">
        <v>30000</v>
      </c>
      <c r="D32" s="4"/>
      <c r="E32" s="113"/>
      <c r="F32" s="113"/>
      <c r="G32" s="113"/>
      <c r="H32" s="113"/>
    </row>
    <row r="33" spans="1:8" x14ac:dyDescent="0.25">
      <c r="A33" s="181"/>
      <c r="B33" s="178"/>
      <c r="C33" s="179"/>
      <c r="D33" s="4"/>
      <c r="E33" s="113"/>
      <c r="F33" s="113"/>
      <c r="G33" s="52"/>
      <c r="H33" s="113"/>
    </row>
    <row r="34" spans="1:8" x14ac:dyDescent="0.25">
      <c r="A34" s="113"/>
      <c r="B34" s="178"/>
      <c r="C34" s="178"/>
      <c r="D34" s="4"/>
      <c r="E34" s="113" t="s">
        <v>209</v>
      </c>
      <c r="F34" s="113"/>
      <c r="G34" s="52"/>
      <c r="H34" s="113"/>
    </row>
    <row r="35" spans="1:8" x14ac:dyDescent="0.25">
      <c r="A35" s="174" t="s">
        <v>3</v>
      </c>
      <c r="B35" s="89">
        <f>B27</f>
        <v>94440</v>
      </c>
      <c r="C35" s="122">
        <f>SUM(C31:C34)</f>
        <v>58110</v>
      </c>
      <c r="D35" s="122">
        <f>B35-C35</f>
        <v>36330</v>
      </c>
      <c r="E35" s="113"/>
      <c r="F35" s="66"/>
      <c r="G35" s="113"/>
      <c r="H35" s="113"/>
    </row>
    <row r="36" spans="1:8" x14ac:dyDescent="0.25">
      <c r="A36" s="68" t="s">
        <v>230</v>
      </c>
      <c r="B36" s="68"/>
      <c r="C36" s="3" t="s">
        <v>42</v>
      </c>
      <c r="D36" s="3" t="s">
        <v>217</v>
      </c>
      <c r="E36" s="113"/>
      <c r="F36" s="66"/>
      <c r="G36" s="113"/>
      <c r="H36" s="113"/>
    </row>
    <row r="37" spans="1:8" x14ac:dyDescent="0.25">
      <c r="A37" s="3" t="s">
        <v>231</v>
      </c>
      <c r="B37" s="3"/>
      <c r="C37" s="3" t="s">
        <v>45</v>
      </c>
      <c r="D37" s="3" t="s">
        <v>189</v>
      </c>
      <c r="E37" s="113"/>
      <c r="F37" s="113"/>
      <c r="G37" s="113"/>
      <c r="H37" s="113"/>
    </row>
    <row r="38" spans="1:8" ht="17.25" x14ac:dyDescent="0.4">
      <c r="A38" s="153"/>
      <c r="B38" s="153"/>
      <c r="C38" s="170"/>
      <c r="D38" s="175"/>
      <c r="E38" s="113"/>
      <c r="F38" s="113"/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40" sqref="D40"/>
    </sheetView>
  </sheetViews>
  <sheetFormatPr defaultRowHeight="15" x14ac:dyDescent="0.25"/>
  <cols>
    <col min="2" max="2" width="12.140625" customWidth="1"/>
    <col min="3" max="3" width="11.140625" customWidth="1"/>
    <col min="4" max="4" width="12.5703125" customWidth="1"/>
    <col min="7" max="7" width="11.85546875" customWidth="1"/>
  </cols>
  <sheetData>
    <row r="1" spans="1:7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</row>
    <row r="2" spans="1:7" ht="17.25" x14ac:dyDescent="0.25">
      <c r="A2" s="113"/>
      <c r="B2" s="113"/>
      <c r="C2" s="156"/>
      <c r="D2" s="161" t="s">
        <v>155</v>
      </c>
      <c r="E2" s="21"/>
      <c r="F2" s="21"/>
      <c r="G2" s="156"/>
    </row>
    <row r="3" spans="1:7" x14ac:dyDescent="0.25">
      <c r="A3" s="113"/>
      <c r="B3" s="113"/>
      <c r="C3" s="156"/>
      <c r="D3" s="157" t="s">
        <v>27</v>
      </c>
      <c r="E3" s="157"/>
      <c r="F3" s="21"/>
      <c r="G3" s="21"/>
    </row>
    <row r="4" spans="1:7" ht="21" x14ac:dyDescent="0.35">
      <c r="A4" s="27" t="s">
        <v>237</v>
      </c>
      <c r="B4" s="77"/>
      <c r="C4" s="77"/>
      <c r="D4" s="78"/>
      <c r="E4" s="77"/>
      <c r="F4" s="77"/>
      <c r="G4" s="27"/>
    </row>
    <row r="5" spans="1:7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</row>
    <row r="6" spans="1:7" x14ac:dyDescent="0.25">
      <c r="A6" s="39" t="s">
        <v>225</v>
      </c>
      <c r="B6" s="36">
        <v>1</v>
      </c>
      <c r="C6" s="36"/>
      <c r="D6" s="57"/>
      <c r="E6" s="57"/>
      <c r="F6" s="57"/>
      <c r="G6" s="122">
        <f>E6-F6</f>
        <v>0</v>
      </c>
    </row>
    <row r="7" spans="1:7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</row>
    <row r="8" spans="1:7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</row>
    <row r="9" spans="1:7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</row>
    <row r="10" spans="1:7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</row>
    <row r="11" spans="1:7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</row>
    <row r="12" spans="1:7" x14ac:dyDescent="0.25">
      <c r="A12" s="32" t="s">
        <v>227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</row>
    <row r="13" spans="1:7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</row>
    <row r="14" spans="1:7" x14ac:dyDescent="0.25">
      <c r="A14" s="32" t="s">
        <v>222</v>
      </c>
      <c r="B14" s="10" t="s">
        <v>16</v>
      </c>
      <c r="C14" s="9"/>
      <c r="D14" s="58">
        <v>12000</v>
      </c>
      <c r="E14" s="57"/>
      <c r="F14" s="58"/>
      <c r="G14" s="122">
        <f t="shared" si="1"/>
        <v>0</v>
      </c>
    </row>
    <row r="15" spans="1:7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</row>
    <row r="16" spans="1:7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</row>
    <row r="17" spans="1:7" x14ac:dyDescent="0.25">
      <c r="A17" s="34" t="s">
        <v>203</v>
      </c>
      <c r="B17" s="14"/>
      <c r="C17" s="16"/>
      <c r="D17" s="59"/>
      <c r="E17" s="57"/>
      <c r="F17" s="59"/>
      <c r="G17" s="122"/>
    </row>
    <row r="18" spans="1:7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</row>
    <row r="19" spans="1:7" x14ac:dyDescent="0.25">
      <c r="A19" s="97" t="s">
        <v>3</v>
      </c>
      <c r="B19" s="98"/>
      <c r="C19" s="98">
        <f>SUM(C6:C18)</f>
        <v>0</v>
      </c>
      <c r="D19" s="99">
        <f>SUM(D6:D18)</f>
        <v>67000</v>
      </c>
      <c r="E19" s="99">
        <f>SUM(E6:E18)</f>
        <v>55000</v>
      </c>
      <c r="F19" s="99">
        <f>SUM(F6:F18)</f>
        <v>63000</v>
      </c>
      <c r="G19" s="122">
        <f>SUM(G6:G18)</f>
        <v>27000</v>
      </c>
    </row>
    <row r="20" spans="1:7" x14ac:dyDescent="0.25">
      <c r="A20" s="113"/>
      <c r="B20" s="113"/>
      <c r="C20" s="113"/>
      <c r="D20" s="113"/>
      <c r="E20" s="113"/>
      <c r="F20" s="113"/>
      <c r="G20" s="113"/>
    </row>
    <row r="21" spans="1:7" x14ac:dyDescent="0.25">
      <c r="A21" s="170" t="s">
        <v>184</v>
      </c>
      <c r="B21" s="113"/>
      <c r="C21" s="47"/>
      <c r="D21" s="151"/>
      <c r="E21" s="113"/>
      <c r="F21" s="171"/>
      <c r="G21" s="48"/>
    </row>
    <row r="22" spans="1:7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</row>
    <row r="23" spans="1:7" x14ac:dyDescent="0.25">
      <c r="A23" s="173" t="s">
        <v>188</v>
      </c>
      <c r="B23" s="176">
        <f>D19</f>
        <v>67000</v>
      </c>
      <c r="C23" s="4"/>
      <c r="D23" s="4"/>
      <c r="E23" s="113"/>
      <c r="F23" s="113"/>
      <c r="G23" s="113"/>
    </row>
    <row r="24" spans="1:7" x14ac:dyDescent="0.25">
      <c r="A24" s="173" t="s">
        <v>233</v>
      </c>
      <c r="B24" s="176">
        <v>36330</v>
      </c>
      <c r="C24" s="4"/>
      <c r="D24" s="4"/>
      <c r="E24" s="113"/>
      <c r="F24" s="113"/>
      <c r="G24" s="113"/>
    </row>
    <row r="25" spans="1:7" x14ac:dyDescent="0.25">
      <c r="A25" s="4"/>
      <c r="B25" s="122">
        <f>SUM(B23:B24)</f>
        <v>103330</v>
      </c>
      <c r="C25" s="4"/>
      <c r="D25" s="4"/>
      <c r="E25" s="113"/>
      <c r="F25" s="113"/>
      <c r="G25" s="113"/>
    </row>
    <row r="26" spans="1:7" x14ac:dyDescent="0.25">
      <c r="A26" s="4" t="s">
        <v>190</v>
      </c>
      <c r="B26" s="177">
        <v>7.0000000000000007E-2</v>
      </c>
      <c r="C26" s="122">
        <f>B23*B26</f>
        <v>4690</v>
      </c>
      <c r="D26" s="4"/>
      <c r="E26" s="113"/>
      <c r="F26" s="113"/>
      <c r="G26" s="113"/>
    </row>
    <row r="27" spans="1:7" x14ac:dyDescent="0.25">
      <c r="A27" s="113"/>
      <c r="B27" s="122">
        <f>B25-C26</f>
        <v>98640</v>
      </c>
      <c r="C27" s="122"/>
      <c r="D27" s="4"/>
      <c r="E27" s="66"/>
      <c r="F27" s="113"/>
      <c r="G27" s="131"/>
    </row>
    <row r="28" spans="1:7" x14ac:dyDescent="0.25">
      <c r="A28" s="4"/>
      <c r="B28" s="122"/>
      <c r="C28" s="122"/>
      <c r="D28" s="4"/>
      <c r="E28" s="113"/>
      <c r="F28" s="113"/>
      <c r="G28" s="113"/>
    </row>
    <row r="29" spans="1:7" x14ac:dyDescent="0.25">
      <c r="A29" s="4"/>
      <c r="B29" s="122">
        <f>SUM(B27:B28)</f>
        <v>98640</v>
      </c>
      <c r="C29" s="122"/>
      <c r="D29" s="4"/>
      <c r="E29" s="66"/>
      <c r="F29" s="113"/>
      <c r="G29" s="113"/>
    </row>
    <row r="30" spans="1:7" x14ac:dyDescent="0.25">
      <c r="A30" s="180" t="s">
        <v>196</v>
      </c>
      <c r="B30" s="177"/>
      <c r="C30" s="122"/>
      <c r="D30" s="4"/>
      <c r="E30" s="113"/>
      <c r="F30" s="66"/>
      <c r="G30" s="113"/>
    </row>
    <row r="31" spans="1:7" x14ac:dyDescent="0.25">
      <c r="A31" s="181" t="s">
        <v>220</v>
      </c>
      <c r="B31" s="178"/>
      <c r="C31" s="4">
        <v>13100</v>
      </c>
      <c r="D31" s="4"/>
      <c r="E31" s="113"/>
      <c r="F31" s="113"/>
      <c r="G31" s="113"/>
    </row>
    <row r="32" spans="1:7" x14ac:dyDescent="0.25">
      <c r="A32" s="183" t="s">
        <v>196</v>
      </c>
      <c r="B32" s="178"/>
      <c r="C32" s="179">
        <v>15110</v>
      </c>
      <c r="D32" s="4"/>
      <c r="E32" s="113"/>
      <c r="F32" s="113"/>
      <c r="G32" s="113"/>
    </row>
    <row r="33" spans="1:7" s="113" customFormat="1" x14ac:dyDescent="0.25">
      <c r="A33" s="183" t="s">
        <v>196</v>
      </c>
      <c r="B33" s="178"/>
      <c r="C33" s="179">
        <v>25000</v>
      </c>
      <c r="D33" s="4"/>
    </row>
    <row r="34" spans="1:7" x14ac:dyDescent="0.25">
      <c r="A34" s="181" t="s">
        <v>235</v>
      </c>
      <c r="B34" s="178"/>
      <c r="C34" s="179">
        <v>11000</v>
      </c>
      <c r="D34" s="4"/>
      <c r="E34" s="113"/>
      <c r="F34" s="113"/>
      <c r="G34" s="52"/>
    </row>
    <row r="35" spans="1:7" x14ac:dyDescent="0.25">
      <c r="A35" s="183" t="s">
        <v>236</v>
      </c>
      <c r="B35" s="178"/>
      <c r="C35" s="179">
        <v>30000</v>
      </c>
      <c r="D35" s="4"/>
      <c r="E35" s="113" t="s">
        <v>209</v>
      </c>
      <c r="F35" s="113"/>
      <c r="G35" s="52"/>
    </row>
    <row r="36" spans="1:7" x14ac:dyDescent="0.25">
      <c r="A36" s="174" t="s">
        <v>3</v>
      </c>
      <c r="B36" s="89">
        <f>B29</f>
        <v>98640</v>
      </c>
      <c r="C36" s="122">
        <f>SUM(C31:C35)</f>
        <v>94210</v>
      </c>
      <c r="D36" s="122">
        <f>B36-C36</f>
        <v>4430</v>
      </c>
      <c r="E36" s="113"/>
      <c r="F36" s="66"/>
      <c r="G36" s="113"/>
    </row>
    <row r="37" spans="1:7" x14ac:dyDescent="0.25">
      <c r="A37" s="68" t="s">
        <v>230</v>
      </c>
      <c r="B37" s="68"/>
      <c r="C37" s="3" t="s">
        <v>42</v>
      </c>
      <c r="D37" s="3" t="s">
        <v>217</v>
      </c>
      <c r="E37" s="113"/>
      <c r="F37" s="66"/>
      <c r="G37" s="113"/>
    </row>
    <row r="38" spans="1:7" x14ac:dyDescent="0.25">
      <c r="A38" s="3" t="s">
        <v>231</v>
      </c>
      <c r="B38" s="3"/>
      <c r="C38" s="3" t="s">
        <v>45</v>
      </c>
      <c r="D38" s="3"/>
      <c r="E38" s="113"/>
      <c r="F38" s="113"/>
      <c r="G38" s="113"/>
    </row>
    <row r="39" spans="1:7" ht="17.25" x14ac:dyDescent="0.4">
      <c r="A39" s="153"/>
      <c r="B39" s="153"/>
      <c r="C39" s="170"/>
      <c r="D39" s="175"/>
      <c r="E39" s="113"/>
      <c r="F39" s="113"/>
      <c r="G39" s="113"/>
    </row>
    <row r="40" spans="1:7" x14ac:dyDescent="0.25">
      <c r="A40" s="113"/>
      <c r="B40" s="113"/>
      <c r="C40" s="113"/>
      <c r="D40" s="113"/>
      <c r="E40" s="113"/>
      <c r="F40" s="113"/>
      <c r="G4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7" workbookViewId="0">
      <selection activeCell="J13" sqref="J13"/>
    </sheetView>
  </sheetViews>
  <sheetFormatPr defaultRowHeight="15" x14ac:dyDescent="0.25"/>
  <cols>
    <col min="1" max="1" width="17.7109375" customWidth="1"/>
    <col min="2" max="2" width="3.85546875" customWidth="1"/>
    <col min="6" max="6" width="5.85546875" customWidth="1"/>
    <col min="7" max="7" width="12.7109375" customWidth="1"/>
    <col min="8" max="8" width="10.85546875" customWidth="1"/>
    <col min="9" max="9" width="9.7109375" customWidth="1"/>
    <col min="10" max="10" width="10" customWidth="1"/>
    <col min="11" max="11" width="7.7109375" customWidth="1"/>
  </cols>
  <sheetData>
    <row r="1" spans="1:13" ht="26.2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ht="12.75" customHeight="1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s="79" customFormat="1" ht="18.75" customHeight="1" x14ac:dyDescent="0.25">
      <c r="C5" s="80" t="s">
        <v>50</v>
      </c>
      <c r="J5" s="79" t="s">
        <v>28</v>
      </c>
    </row>
    <row r="6" spans="1:13" s="74" customFormat="1" ht="16.5" customHeight="1" x14ac:dyDescent="0.25">
      <c r="D6" s="77"/>
      <c r="E6" s="77"/>
      <c r="F6" s="78" t="s">
        <v>72</v>
      </c>
      <c r="G6" s="77"/>
      <c r="H6" s="77"/>
      <c r="I6" s="77"/>
      <c r="J6" s="77"/>
      <c r="K6" s="77"/>
    </row>
    <row r="7" spans="1:13" ht="12.95" customHeigh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79</v>
      </c>
      <c r="B8" s="36">
        <v>1</v>
      </c>
      <c r="C8" s="36"/>
      <c r="D8" s="37"/>
      <c r="E8" s="37"/>
      <c r="F8" s="36"/>
      <c r="G8" s="57"/>
      <c r="H8" s="57"/>
      <c r="I8" s="57"/>
      <c r="J8" s="57"/>
      <c r="K8" s="37"/>
      <c r="L8" s="37"/>
      <c r="M8" s="42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42"/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4"/>
    </row>
    <row r="11" spans="1:13" ht="12.95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/>
      <c r="J11" s="58"/>
      <c r="K11" s="9"/>
      <c r="L11" s="9"/>
      <c r="M11" s="4"/>
    </row>
    <row r="12" spans="1:13" ht="12.95" customHeight="1" x14ac:dyDescent="0.25">
      <c r="A12" s="32" t="s">
        <v>63</v>
      </c>
      <c r="B12" s="10">
        <v>5</v>
      </c>
      <c r="C12" s="11" t="s">
        <v>70</v>
      </c>
      <c r="D12" s="9">
        <v>9000</v>
      </c>
      <c r="E12" s="11"/>
      <c r="F12" s="9"/>
      <c r="G12" s="58">
        <v>9000</v>
      </c>
      <c r="H12" s="58">
        <v>9000</v>
      </c>
      <c r="I12" s="58"/>
      <c r="J12" s="58"/>
      <c r="K12" s="9"/>
      <c r="L12" s="9">
        <v>9000</v>
      </c>
      <c r="M12" s="73">
        <v>9000</v>
      </c>
    </row>
    <row r="13" spans="1:13" ht="12.95" customHeight="1" x14ac:dyDescent="0.25">
      <c r="A13" s="32" t="s">
        <v>69</v>
      </c>
      <c r="B13" s="10">
        <v>6</v>
      </c>
      <c r="C13" s="11" t="s">
        <v>71</v>
      </c>
      <c r="D13" s="9">
        <v>25000</v>
      </c>
      <c r="E13" s="11"/>
      <c r="F13" s="9"/>
      <c r="G13" s="58">
        <v>25000</v>
      </c>
      <c r="H13" s="58">
        <v>25000</v>
      </c>
      <c r="I13" s="58">
        <v>25000</v>
      </c>
      <c r="J13" s="58"/>
      <c r="K13" s="9"/>
      <c r="L13" s="9"/>
      <c r="M13" s="73"/>
    </row>
    <row r="14" spans="1:13" ht="12.95" customHeight="1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58"/>
      <c r="K14" s="9"/>
      <c r="L14" s="9"/>
      <c r="M14" s="4"/>
    </row>
    <row r="15" spans="1:13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>
        <v>15000</v>
      </c>
      <c r="J15" s="58"/>
      <c r="K15" s="9"/>
      <c r="L15" s="9"/>
      <c r="M15" s="73"/>
    </row>
    <row r="16" spans="1:13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4"/>
    </row>
    <row r="17" spans="1:18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4"/>
    </row>
    <row r="18" spans="1:18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4"/>
    </row>
    <row r="19" spans="1:18" ht="12.95" customHeight="1" x14ac:dyDescent="0.25">
      <c r="A19" s="33" t="s">
        <v>38</v>
      </c>
      <c r="B19" s="9" t="s">
        <v>23</v>
      </c>
      <c r="C19" s="12" t="s">
        <v>12</v>
      </c>
      <c r="D19" s="9"/>
      <c r="E19" s="12" t="s">
        <v>12</v>
      </c>
      <c r="F19" s="13"/>
      <c r="G19" s="58"/>
      <c r="H19" s="58"/>
      <c r="I19" s="58"/>
      <c r="J19" s="58"/>
      <c r="K19" s="9"/>
      <c r="L19" s="9"/>
      <c r="M19" s="4"/>
    </row>
    <row r="20" spans="1:18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4"/>
    </row>
    <row r="21" spans="1:18" ht="12.95" customHeight="1" x14ac:dyDescent="0.25">
      <c r="A21" s="43" t="s">
        <v>3</v>
      </c>
      <c r="B21" s="44"/>
      <c r="C21" s="44"/>
      <c r="D21" s="44"/>
      <c r="E21" s="44"/>
      <c r="F21" s="44"/>
      <c r="G21" s="61">
        <f>SUM(G8:G20)</f>
        <v>95500</v>
      </c>
      <c r="H21" s="61">
        <f>SUM(H8:H20)</f>
        <v>95500</v>
      </c>
      <c r="I21" s="61">
        <f>SUM(I8:I20)</f>
        <v>79500</v>
      </c>
      <c r="J21" s="61"/>
      <c r="K21" s="44"/>
      <c r="L21" s="44">
        <f>SUM(L8:L20)</f>
        <v>9000</v>
      </c>
      <c r="M21" s="45">
        <f>SUM(M8:M20)</f>
        <v>9000</v>
      </c>
    </row>
    <row r="22" spans="1:18" s="2" customFormat="1" ht="12.95" customHeight="1" x14ac:dyDescent="0.25">
      <c r="A22" s="81"/>
      <c r="B22" s="82" t="s">
        <v>76</v>
      </c>
      <c r="C22" s="82"/>
      <c r="D22" s="82"/>
      <c r="E22" s="82"/>
      <c r="F22" s="82"/>
      <c r="G22" s="83"/>
      <c r="H22" s="83"/>
      <c r="I22" s="83"/>
      <c r="J22" s="83"/>
      <c r="K22" s="82"/>
      <c r="L22" s="82"/>
      <c r="M22" s="84"/>
    </row>
    <row r="23" spans="1:18" ht="12.95" customHeight="1" x14ac:dyDescent="0.25">
      <c r="A23" s="3" t="s">
        <v>40</v>
      </c>
      <c r="B23" s="3"/>
      <c r="C23" s="67"/>
      <c r="D23" s="67"/>
      <c r="E23" s="48"/>
      <c r="G23" s="62">
        <f>SUM(G21)</f>
        <v>95500</v>
      </c>
      <c r="H23" s="66"/>
      <c r="I23" s="2"/>
      <c r="J23" s="2"/>
      <c r="K23" s="2"/>
      <c r="L23" s="2"/>
      <c r="M23" s="2"/>
    </row>
    <row r="24" spans="1:18" ht="12.95" customHeight="1" x14ac:dyDescent="0.25">
      <c r="A24" s="3" t="s">
        <v>60</v>
      </c>
      <c r="B24" s="3"/>
      <c r="C24" s="67"/>
      <c r="D24" s="67"/>
      <c r="E24" s="48"/>
      <c r="G24" s="70">
        <f>SUM(G23-G26)</f>
        <v>88815</v>
      </c>
      <c r="H24" s="2"/>
      <c r="I24" s="66"/>
      <c r="J24" s="66"/>
      <c r="K24" s="2"/>
      <c r="L24" s="2"/>
      <c r="M24" s="2"/>
    </row>
    <row r="25" spans="1:18" s="2" customFormat="1" ht="12.95" customHeight="1" x14ac:dyDescent="0.25">
      <c r="A25" s="76" t="s">
        <v>73</v>
      </c>
      <c r="B25" s="3"/>
      <c r="C25" s="67"/>
      <c r="D25" s="67"/>
      <c r="E25" s="48"/>
      <c r="G25" s="70"/>
      <c r="I25" s="66"/>
      <c r="J25" s="66"/>
    </row>
    <row r="26" spans="1:18" ht="12.95" customHeight="1" x14ac:dyDescent="0.25">
      <c r="A26" s="3" t="s">
        <v>52</v>
      </c>
      <c r="B26" s="3"/>
      <c r="C26" s="67"/>
      <c r="D26" s="49"/>
      <c r="E26" s="50"/>
      <c r="G26" s="69">
        <f>SUM(G23*7%)</f>
        <v>6685.0000000000009</v>
      </c>
      <c r="H26" s="2"/>
      <c r="I26" s="2"/>
      <c r="J26" s="66"/>
      <c r="K26" s="2"/>
      <c r="L26" s="2"/>
      <c r="M26" s="2"/>
    </row>
    <row r="27" spans="1:18" s="2" customFormat="1" ht="12.95" customHeight="1" x14ac:dyDescent="0.25">
      <c r="A27" s="3" t="s">
        <v>74</v>
      </c>
      <c r="B27" s="3"/>
      <c r="C27" s="67"/>
      <c r="D27" s="49"/>
      <c r="E27" s="50"/>
      <c r="G27" s="69">
        <v>7000</v>
      </c>
      <c r="J27" s="66"/>
      <c r="R27" s="2">
        <v>25</v>
      </c>
    </row>
    <row r="28" spans="1:18" s="2" customFormat="1" ht="12.95" customHeight="1" x14ac:dyDescent="0.25">
      <c r="A28" s="3" t="s">
        <v>75</v>
      </c>
      <c r="B28" s="3"/>
      <c r="C28" s="67"/>
      <c r="D28" s="49"/>
      <c r="E28" s="50"/>
      <c r="G28" s="69">
        <v>500</v>
      </c>
      <c r="J28" s="66"/>
    </row>
    <row r="29" spans="1:18" ht="12.95" customHeight="1" x14ac:dyDescent="0.25">
      <c r="A29" s="68" t="s">
        <v>64</v>
      </c>
      <c r="B29" s="3"/>
      <c r="C29" s="3"/>
      <c r="D29" s="3"/>
      <c r="E29" s="47"/>
      <c r="G29" s="71">
        <v>70000</v>
      </c>
      <c r="H29" s="2"/>
      <c r="I29" s="2" t="s">
        <v>56</v>
      </c>
      <c r="J29" s="2"/>
      <c r="K29" s="2"/>
      <c r="L29" s="2"/>
      <c r="M29" s="18"/>
    </row>
    <row r="30" spans="1:18" ht="12.95" customHeight="1" x14ac:dyDescent="0.25">
      <c r="A30" s="68" t="s">
        <v>77</v>
      </c>
      <c r="B30" s="3"/>
      <c r="C30" s="3"/>
      <c r="D30" s="3"/>
      <c r="E30" s="47"/>
      <c r="G30" s="71">
        <v>9000</v>
      </c>
      <c r="H30" s="2"/>
      <c r="I30" s="66"/>
      <c r="J30" s="66"/>
      <c r="K30" s="2"/>
      <c r="L30" s="2"/>
      <c r="M30" s="18"/>
    </row>
    <row r="31" spans="1:18" ht="12.95" customHeight="1" x14ac:dyDescent="0.25">
      <c r="A31" s="2"/>
      <c r="B31" s="2" t="s">
        <v>3</v>
      </c>
      <c r="C31" s="2"/>
      <c r="D31" s="2"/>
      <c r="E31" s="2"/>
      <c r="G31" s="66">
        <f>SUM(G26:G30)</f>
        <v>93185</v>
      </c>
      <c r="H31" s="2"/>
      <c r="I31" s="2"/>
      <c r="J31" s="2"/>
      <c r="K31" s="2"/>
      <c r="L31" s="2"/>
      <c r="M31" s="2"/>
    </row>
    <row r="32" spans="1:18" ht="12.95" customHeight="1" x14ac:dyDescent="0.25">
      <c r="A32" s="68"/>
      <c r="B32" s="3"/>
      <c r="C32" s="3"/>
      <c r="D32" s="3"/>
      <c r="E32" s="2"/>
      <c r="G32" s="2"/>
      <c r="H32" s="2"/>
      <c r="I32" s="2"/>
      <c r="J32" s="2"/>
      <c r="K32" s="2"/>
      <c r="L32" s="2"/>
      <c r="M32" s="2"/>
    </row>
    <row r="33" spans="1:13" ht="18" x14ac:dyDescent="0.4">
      <c r="A33" s="68" t="s">
        <v>61</v>
      </c>
      <c r="B33" s="3"/>
      <c r="C33" s="3"/>
      <c r="D33" s="3"/>
      <c r="E33" s="2"/>
      <c r="G33" s="72">
        <f>SUM(G23-G31+G32)</f>
        <v>2315</v>
      </c>
      <c r="H33" s="2"/>
      <c r="I33" s="2"/>
      <c r="J33" s="2"/>
      <c r="K33" s="2"/>
      <c r="L33" s="2"/>
      <c r="M33" s="2"/>
    </row>
    <row r="34" spans="1:13" x14ac:dyDescent="0.25">
      <c r="A34" s="52"/>
      <c r="B34" s="53" t="s">
        <v>41</v>
      </c>
      <c r="C34" s="2"/>
      <c r="D34" s="2"/>
      <c r="E34" s="2"/>
      <c r="F34" s="52" t="s">
        <v>42</v>
      </c>
      <c r="G34" s="52"/>
      <c r="H34" s="52"/>
      <c r="I34" s="52" t="s">
        <v>43</v>
      </c>
      <c r="J34" s="52"/>
      <c r="K34" s="2"/>
      <c r="L34" s="2"/>
      <c r="M34" s="2"/>
    </row>
    <row r="35" spans="1:13" x14ac:dyDescent="0.25">
      <c r="A35" s="52"/>
      <c r="B35" s="52"/>
      <c r="C35" s="2"/>
      <c r="D35" s="2"/>
      <c r="E35" s="2"/>
      <c r="F35" s="52"/>
      <c r="G35" s="52"/>
      <c r="H35" s="52"/>
      <c r="I35" s="52"/>
      <c r="J35" s="52"/>
      <c r="K35" s="2"/>
      <c r="L35" s="2"/>
      <c r="M35" s="2"/>
    </row>
    <row r="36" spans="1:13" x14ac:dyDescent="0.25">
      <c r="A36" s="52"/>
      <c r="B36" s="52"/>
      <c r="C36" s="2"/>
      <c r="D36" s="2"/>
      <c r="E36" s="2"/>
      <c r="F36" s="52"/>
      <c r="G36" s="52"/>
      <c r="H36" s="52"/>
      <c r="I36" s="52"/>
      <c r="J36" s="52"/>
      <c r="K36" s="2"/>
      <c r="L36" s="2"/>
      <c r="M36" s="2"/>
    </row>
    <row r="37" spans="1:13" x14ac:dyDescent="0.25">
      <c r="A37" s="52"/>
      <c r="B37" s="52" t="s">
        <v>44</v>
      </c>
      <c r="C37" s="2"/>
      <c r="D37" s="2"/>
      <c r="E37" s="2"/>
      <c r="F37" s="52" t="s">
        <v>45</v>
      </c>
      <c r="G37" s="52"/>
      <c r="H37" s="52"/>
      <c r="I37" s="52" t="s">
        <v>51</v>
      </c>
      <c r="J37" s="52"/>
      <c r="K37" s="2"/>
      <c r="L37" s="2"/>
      <c r="M37" s="2"/>
    </row>
    <row r="38" spans="1:13" x14ac:dyDescent="0.25">
      <c r="A38" s="54" t="s">
        <v>46</v>
      </c>
      <c r="B38" s="52" t="s">
        <v>47</v>
      </c>
      <c r="C38" s="2"/>
      <c r="D38" s="2"/>
      <c r="E38" s="2"/>
      <c r="F38" s="52" t="s">
        <v>47</v>
      </c>
      <c r="G38" s="52"/>
      <c r="H38" s="52"/>
      <c r="I38" s="52" t="s">
        <v>48</v>
      </c>
      <c r="J38" s="5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</sheetData>
  <pageMargins left="0.7" right="0.7" top="0.75" bottom="0.75" header="0.3" footer="0.3"/>
  <pageSetup orientation="landscape" horizontalDpi="0" verticalDpi="0" r:id="rId1"/>
  <ignoredErrors>
    <ignoredError sqref="C10:E18" numberStoredAsText="1"/>
  </ignoredError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6" workbookViewId="0">
      <selection activeCell="F17" sqref="F17"/>
    </sheetView>
  </sheetViews>
  <sheetFormatPr defaultRowHeight="15" x14ac:dyDescent="0.25"/>
  <cols>
    <col min="1" max="1" width="21.5703125" customWidth="1"/>
    <col min="2" max="2" width="11.5703125" customWidth="1"/>
    <col min="3" max="3" width="12.42578125" customWidth="1"/>
    <col min="4" max="4" width="11.5703125" customWidth="1"/>
    <col min="5" max="5" width="15.28515625" customWidth="1"/>
    <col min="6" max="6" width="10.5703125" bestFit="1" customWidth="1"/>
    <col min="7" max="7" width="12" customWidth="1"/>
    <col min="8" max="8" width="11.4257812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244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2500</v>
      </c>
      <c r="D7" s="57">
        <v>7000</v>
      </c>
      <c r="E7" s="57">
        <f t="shared" ref="E7:E12" si="0">C7+D7</f>
        <v>9500</v>
      </c>
      <c r="F7" s="57">
        <v>7000</v>
      </c>
      <c r="G7" s="122">
        <f t="shared" ref="G7:G18" si="1">E7-F7</f>
        <v>2500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>
        <v>16000</v>
      </c>
      <c r="D11" s="58">
        <v>8000</v>
      </c>
      <c r="E11" s="57">
        <f t="shared" si="0"/>
        <v>24000</v>
      </c>
      <c r="F11" s="58"/>
      <c r="G11" s="122">
        <f t="shared" si="1"/>
        <v>24000</v>
      </c>
      <c r="H11" s="113"/>
    </row>
    <row r="12" spans="1:8" x14ac:dyDescent="0.25">
      <c r="A12" s="32" t="s">
        <v>238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>
        <v>12000</v>
      </c>
      <c r="E14" s="57">
        <f>SUM(C14:D14)</f>
        <v>14000</v>
      </c>
      <c r="F14" s="58">
        <f>4800+9200</f>
        <v>14000</v>
      </c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20500</v>
      </c>
      <c r="D19" s="99">
        <f>SUM(D6:D18)</f>
        <v>82000</v>
      </c>
      <c r="E19" s="99">
        <f>SUM(E6:E18)</f>
        <v>102500</v>
      </c>
      <c r="F19" s="99">
        <f>SUM(F6:F18)</f>
        <v>76000</v>
      </c>
      <c r="G19" s="122">
        <f>SUM(G6:G18)</f>
        <v>61500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242</v>
      </c>
      <c r="B23" s="176">
        <f>D19</f>
        <v>82000</v>
      </c>
      <c r="C23" s="4"/>
      <c r="D23" s="4"/>
      <c r="E23" s="173" t="s">
        <v>242</v>
      </c>
      <c r="F23" s="176">
        <f>F19</f>
        <v>76000</v>
      </c>
      <c r="G23" s="4"/>
      <c r="H23" s="4"/>
    </row>
    <row r="24" spans="1:8" x14ac:dyDescent="0.25">
      <c r="A24" s="173" t="s">
        <v>233</v>
      </c>
      <c r="B24" s="176">
        <v>4430</v>
      </c>
      <c r="C24" s="4"/>
      <c r="D24" s="4"/>
      <c r="E24" s="173" t="s">
        <v>233</v>
      </c>
      <c r="F24" s="176">
        <v>4430</v>
      </c>
      <c r="G24" s="4"/>
      <c r="H24" s="4"/>
    </row>
    <row r="25" spans="1:8" x14ac:dyDescent="0.25">
      <c r="A25" s="4"/>
      <c r="B25" s="122">
        <f>SUM(B23:B24)</f>
        <v>86430</v>
      </c>
      <c r="C25" s="4"/>
      <c r="D25" s="4"/>
      <c r="E25" s="4"/>
      <c r="F25" s="122">
        <f>SUM(F23:F24)</f>
        <v>80430</v>
      </c>
      <c r="G25" s="4"/>
      <c r="H25" s="4"/>
    </row>
    <row r="26" spans="1:8" x14ac:dyDescent="0.25">
      <c r="A26" s="4" t="s">
        <v>190</v>
      </c>
      <c r="B26" s="177">
        <v>7.0000000000000007E-2</v>
      </c>
      <c r="C26" s="122">
        <f>B23*B26</f>
        <v>5740.0000000000009</v>
      </c>
      <c r="D26" s="4"/>
      <c r="E26" s="4" t="s">
        <v>190</v>
      </c>
      <c r="F26" s="177">
        <v>7.0000000000000007E-2</v>
      </c>
      <c r="G26" s="122">
        <f>F23*F26</f>
        <v>5320.0000000000009</v>
      </c>
      <c r="H26" s="4"/>
    </row>
    <row r="27" spans="1:8" x14ac:dyDescent="0.25">
      <c r="A27" s="113"/>
      <c r="B27" s="122">
        <f>B25-C26</f>
        <v>80690</v>
      </c>
      <c r="C27" s="122"/>
      <c r="D27" s="4"/>
      <c r="E27" s="113"/>
      <c r="F27" s="122">
        <f>F25-G26</f>
        <v>75110</v>
      </c>
      <c r="G27" s="122"/>
      <c r="H27" s="4"/>
    </row>
    <row r="28" spans="1:8" x14ac:dyDescent="0.25">
      <c r="A28" s="4"/>
      <c r="B28" s="122"/>
      <c r="C28" s="122"/>
      <c r="D28" s="4"/>
      <c r="E28" s="4"/>
      <c r="F28" s="122"/>
      <c r="G28" s="122"/>
      <c r="H28" s="4"/>
    </row>
    <row r="29" spans="1:8" x14ac:dyDescent="0.25">
      <c r="A29" s="4"/>
      <c r="B29" s="122">
        <f>SUM(B27:B28)</f>
        <v>80690</v>
      </c>
      <c r="C29" s="122"/>
      <c r="D29" s="4"/>
      <c r="E29" s="4"/>
      <c r="F29" s="122">
        <f>SUM(F27:F28)</f>
        <v>75110</v>
      </c>
      <c r="G29" s="122"/>
      <c r="H29" s="4"/>
    </row>
    <row r="30" spans="1:8" x14ac:dyDescent="0.25">
      <c r="A30" s="180" t="s">
        <v>196</v>
      </c>
      <c r="B30" s="177"/>
      <c r="C30" s="122"/>
      <c r="D30" s="4"/>
      <c r="E30" s="180" t="s">
        <v>196</v>
      </c>
      <c r="F30" s="177"/>
      <c r="G30" s="122"/>
      <c r="H30" s="4"/>
    </row>
    <row r="31" spans="1:8" x14ac:dyDescent="0.25">
      <c r="A31" s="181" t="s">
        <v>243</v>
      </c>
      <c r="B31" s="178"/>
      <c r="C31" s="4">
        <v>10110</v>
      </c>
      <c r="D31" s="4"/>
      <c r="E31" s="181" t="s">
        <v>243</v>
      </c>
      <c r="F31" s="178"/>
      <c r="G31" s="4">
        <v>10110</v>
      </c>
      <c r="H31" s="4"/>
    </row>
    <row r="32" spans="1:8" x14ac:dyDescent="0.25">
      <c r="A32" s="181" t="s">
        <v>196</v>
      </c>
      <c r="B32" s="178"/>
      <c r="C32" s="179">
        <v>40000</v>
      </c>
      <c r="D32" s="4"/>
      <c r="E32" s="181" t="s">
        <v>196</v>
      </c>
      <c r="F32" s="178"/>
      <c r="G32" s="179">
        <v>40000</v>
      </c>
      <c r="H32" s="4"/>
    </row>
    <row r="33" spans="1:8" x14ac:dyDescent="0.25">
      <c r="A33" s="181" t="s">
        <v>236</v>
      </c>
      <c r="B33" s="178"/>
      <c r="C33" s="179">
        <v>30000</v>
      </c>
      <c r="D33" s="4"/>
      <c r="E33" s="181"/>
      <c r="F33" s="178"/>
      <c r="G33" s="179">
        <v>30000</v>
      </c>
      <c r="H33" s="4"/>
    </row>
    <row r="34" spans="1:8" x14ac:dyDescent="0.25">
      <c r="A34" s="181"/>
      <c r="B34" s="178"/>
      <c r="C34" s="179"/>
      <c r="D34" s="4"/>
      <c r="E34" s="181"/>
      <c r="F34" s="178"/>
      <c r="G34" s="179"/>
      <c r="H34" s="4"/>
    </row>
    <row r="35" spans="1:8" x14ac:dyDescent="0.25">
      <c r="A35" s="183"/>
      <c r="B35" s="178"/>
      <c r="C35" s="179"/>
      <c r="D35" s="4"/>
      <c r="E35" s="183"/>
      <c r="F35" s="178"/>
      <c r="G35" s="179"/>
      <c r="H35" s="4"/>
    </row>
    <row r="36" spans="1:8" x14ac:dyDescent="0.25">
      <c r="A36" s="174" t="s">
        <v>3</v>
      </c>
      <c r="B36" s="89">
        <f>B29</f>
        <v>80690</v>
      </c>
      <c r="C36" s="122">
        <f>SUM(C31:C35)</f>
        <v>80110</v>
      </c>
      <c r="D36" s="122">
        <f>B36-C36</f>
        <v>580</v>
      </c>
      <c r="E36" s="174" t="s">
        <v>3</v>
      </c>
      <c r="F36" s="89">
        <f>F29</f>
        <v>75110</v>
      </c>
      <c r="G36" s="122">
        <f>SUM(G31:G35)</f>
        <v>80110</v>
      </c>
      <c r="H36" s="122">
        <f>F36-G36</f>
        <v>-5000</v>
      </c>
    </row>
    <row r="37" spans="1:8" x14ac:dyDescent="0.25">
      <c r="A37" s="68" t="s">
        <v>230</v>
      </c>
      <c r="B37" s="68"/>
      <c r="C37" s="3" t="s">
        <v>42</v>
      </c>
      <c r="D37" s="3" t="s">
        <v>217</v>
      </c>
      <c r="E37" s="68" t="s">
        <v>230</v>
      </c>
      <c r="F37" s="68"/>
      <c r="G37" s="3" t="s">
        <v>42</v>
      </c>
      <c r="H37" s="3" t="s">
        <v>217</v>
      </c>
    </row>
    <row r="38" spans="1:8" x14ac:dyDescent="0.25">
      <c r="A38" s="3" t="s">
        <v>231</v>
      </c>
      <c r="B38" s="3"/>
      <c r="C38" s="3" t="s">
        <v>45</v>
      </c>
      <c r="D38" s="3"/>
      <c r="E38" s="3" t="s">
        <v>231</v>
      </c>
      <c r="F38" s="3"/>
      <c r="G38" s="3" t="s">
        <v>45</v>
      </c>
      <c r="H38" s="3"/>
    </row>
    <row r="39" spans="1:8" ht="17.25" x14ac:dyDescent="0.4">
      <c r="A39" s="153"/>
      <c r="B39" s="153"/>
      <c r="C39" s="170"/>
      <c r="D39" s="175"/>
      <c r="E39" s="113"/>
      <c r="F39" s="113"/>
      <c r="G39" s="113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workbookViewId="0">
      <selection activeCell="H36" sqref="H36"/>
    </sheetView>
  </sheetViews>
  <sheetFormatPr defaultRowHeight="15" x14ac:dyDescent="0.25"/>
  <cols>
    <col min="1" max="2" width="13" customWidth="1"/>
    <col min="3" max="3" width="12.7109375" customWidth="1"/>
    <col min="4" max="4" width="11.5703125" customWidth="1"/>
    <col min="5" max="5" width="11.28515625" customWidth="1"/>
    <col min="6" max="6" width="10.28515625" customWidth="1"/>
    <col min="7" max="7" width="11.42578125" customWidth="1"/>
    <col min="8" max="8" width="10.710937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268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8000</v>
      </c>
      <c r="E10" s="57">
        <f t="shared" si="0"/>
        <v>8000</v>
      </c>
      <c r="F10" s="58">
        <v>8000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>
        <v>24000</v>
      </c>
      <c r="D11" s="58"/>
      <c r="E11" s="57">
        <f t="shared" si="0"/>
        <v>24000</v>
      </c>
      <c r="F11" s="58"/>
      <c r="G11" s="122">
        <f t="shared" si="1"/>
        <v>24000</v>
      </c>
      <c r="H11" s="113"/>
    </row>
    <row r="12" spans="1:8" x14ac:dyDescent="0.25">
      <c r="A12" s="32" t="s">
        <v>238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/>
      <c r="E14" s="57">
        <f>SUM(C14:D14)</f>
        <v>2000</v>
      </c>
      <c r="F14" s="58"/>
      <c r="G14" s="122">
        <f t="shared" si="1"/>
        <v>2000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26000</v>
      </c>
      <c r="D19" s="99">
        <f>SUM(D6:D18)</f>
        <v>63000</v>
      </c>
      <c r="E19" s="99">
        <f>SUM(E6:E18)</f>
        <v>89000</v>
      </c>
      <c r="F19" s="99">
        <f>SUM(F6:F18)</f>
        <v>63000</v>
      </c>
      <c r="G19" s="122">
        <f>SUM(G6:G18)</f>
        <v>61000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267</v>
      </c>
      <c r="B23" s="176">
        <f>D19</f>
        <v>63000</v>
      </c>
      <c r="C23" s="4"/>
      <c r="D23" s="4"/>
      <c r="E23" s="173" t="s">
        <v>267</v>
      </c>
      <c r="F23" s="176">
        <f>F19</f>
        <v>63000</v>
      </c>
      <c r="G23" s="4"/>
      <c r="H23" s="4"/>
    </row>
    <row r="24" spans="1:8" x14ac:dyDescent="0.25">
      <c r="A24" s="173" t="s">
        <v>233</v>
      </c>
      <c r="B24" s="176">
        <f>'JULY 2017'!D36</f>
        <v>580</v>
      </c>
      <c r="C24" s="4"/>
      <c r="D24" s="4"/>
      <c r="E24" s="173" t="s">
        <v>233</v>
      </c>
      <c r="F24" s="176">
        <f>'JULY 2017'!H36</f>
        <v>-5000</v>
      </c>
      <c r="G24" s="4"/>
      <c r="H24" s="4"/>
    </row>
    <row r="25" spans="1:8" x14ac:dyDescent="0.25">
      <c r="A25" s="4"/>
      <c r="B25" s="122">
        <f>SUM(B23:B24)</f>
        <v>63580</v>
      </c>
      <c r="C25" s="4"/>
      <c r="D25" s="4"/>
      <c r="E25" s="4"/>
      <c r="F25" s="122">
        <f>SUM(F23:F24)</f>
        <v>58000</v>
      </c>
      <c r="G25" s="4"/>
      <c r="H25" s="4"/>
    </row>
    <row r="26" spans="1:8" x14ac:dyDescent="0.25">
      <c r="A26" s="4" t="s">
        <v>190</v>
      </c>
      <c r="B26" s="177">
        <v>7.0000000000000007E-2</v>
      </c>
      <c r="C26" s="122">
        <f>B23*B26</f>
        <v>4410</v>
      </c>
      <c r="D26" s="4"/>
      <c r="E26" s="4" t="s">
        <v>190</v>
      </c>
      <c r="F26" s="177">
        <v>7.0000000000000007E-2</v>
      </c>
      <c r="G26" s="122">
        <f>F23*F26</f>
        <v>4410</v>
      </c>
      <c r="H26" s="4"/>
    </row>
    <row r="27" spans="1:8" x14ac:dyDescent="0.25">
      <c r="A27" s="113"/>
      <c r="B27" s="122">
        <f>B25-C26</f>
        <v>59170</v>
      </c>
      <c r="C27" s="122"/>
      <c r="D27" s="4"/>
      <c r="E27" s="113"/>
      <c r="F27" s="122">
        <f>F25-G26</f>
        <v>53590</v>
      </c>
      <c r="G27" s="122"/>
      <c r="H27" s="4"/>
    </row>
    <row r="28" spans="1:8" x14ac:dyDescent="0.25">
      <c r="A28" s="4"/>
      <c r="B28" s="122"/>
      <c r="C28" s="122"/>
      <c r="D28" s="4"/>
      <c r="E28" s="4"/>
      <c r="F28" s="122"/>
      <c r="G28" s="122"/>
      <c r="H28" s="4"/>
    </row>
    <row r="29" spans="1:8" x14ac:dyDescent="0.25">
      <c r="A29" s="4"/>
      <c r="B29" s="122">
        <f>SUM(B27:B28)</f>
        <v>59170</v>
      </c>
      <c r="C29" s="122"/>
      <c r="D29" s="4"/>
      <c r="E29" s="4"/>
      <c r="F29" s="122">
        <f>SUM(F27:F28)</f>
        <v>53590</v>
      </c>
      <c r="G29" s="122"/>
      <c r="H29" s="4"/>
    </row>
    <row r="30" spans="1:8" x14ac:dyDescent="0.25">
      <c r="A30" s="180" t="s">
        <v>196</v>
      </c>
      <c r="B30" s="177"/>
      <c r="C30" s="122"/>
      <c r="D30" s="4"/>
      <c r="E30" s="180" t="s">
        <v>196</v>
      </c>
      <c r="F30" s="177"/>
      <c r="G30" s="122"/>
      <c r="H30" s="4"/>
    </row>
    <row r="31" spans="1:8" x14ac:dyDescent="0.25">
      <c r="A31" s="181" t="s">
        <v>245</v>
      </c>
      <c r="B31" s="178"/>
      <c r="C31" s="4">
        <v>10110</v>
      </c>
      <c r="D31" s="4"/>
      <c r="E31" s="181" t="s">
        <v>245</v>
      </c>
      <c r="F31" s="178"/>
      <c r="G31" s="4">
        <v>10110</v>
      </c>
      <c r="H31" s="4"/>
    </row>
    <row r="32" spans="1:8" x14ac:dyDescent="0.25">
      <c r="A32" s="181" t="s">
        <v>196</v>
      </c>
      <c r="B32" s="178"/>
      <c r="C32" s="179">
        <v>20220</v>
      </c>
      <c r="D32" s="4"/>
      <c r="E32" s="181" t="s">
        <v>196</v>
      </c>
      <c r="F32" s="178"/>
      <c r="G32" s="179">
        <v>20220</v>
      </c>
      <c r="H32" s="4"/>
    </row>
    <row r="33" spans="1:8" x14ac:dyDescent="0.25">
      <c r="A33" s="181" t="s">
        <v>236</v>
      </c>
      <c r="B33" s="178"/>
      <c r="C33" s="179">
        <v>30000</v>
      </c>
      <c r="D33" s="4"/>
      <c r="E33" s="181" t="s">
        <v>236</v>
      </c>
      <c r="F33" s="178"/>
      <c r="G33" s="179">
        <v>30000</v>
      </c>
      <c r="H33" s="4"/>
    </row>
    <row r="34" spans="1:8" x14ac:dyDescent="0.25">
      <c r="A34" s="181"/>
      <c r="B34" s="178"/>
      <c r="C34" s="179"/>
      <c r="D34" s="4"/>
      <c r="E34" s="181"/>
      <c r="F34" s="178"/>
      <c r="G34" s="179"/>
      <c r="H34" s="4"/>
    </row>
    <row r="35" spans="1:8" x14ac:dyDescent="0.25">
      <c r="A35" s="183"/>
      <c r="B35" s="178"/>
      <c r="C35" s="179"/>
      <c r="D35" s="4"/>
      <c r="E35" s="183"/>
      <c r="F35" s="178"/>
      <c r="G35" s="179"/>
      <c r="H35" s="4"/>
    </row>
    <row r="36" spans="1:8" x14ac:dyDescent="0.25">
      <c r="A36" s="174" t="s">
        <v>3</v>
      </c>
      <c r="B36" s="89">
        <f>B29</f>
        <v>59170</v>
      </c>
      <c r="C36" s="122">
        <f>SUM(C31:C35)</f>
        <v>60330</v>
      </c>
      <c r="D36" s="122">
        <f>B36-C36</f>
        <v>-1160</v>
      </c>
      <c r="E36" s="174" t="s">
        <v>3</v>
      </c>
      <c r="F36" s="89">
        <f>F29</f>
        <v>53590</v>
      </c>
      <c r="G36" s="122">
        <f>SUM(G31:G35)</f>
        <v>60330</v>
      </c>
      <c r="H36" s="122">
        <f>F36-G36</f>
        <v>-6740</v>
      </c>
    </row>
    <row r="37" spans="1:8" x14ac:dyDescent="0.25">
      <c r="A37" s="68" t="s">
        <v>230</v>
      </c>
      <c r="B37" s="68"/>
      <c r="C37" s="3" t="s">
        <v>42</v>
      </c>
      <c r="D37" s="3" t="s">
        <v>217</v>
      </c>
      <c r="E37" s="68" t="s">
        <v>230</v>
      </c>
      <c r="F37" s="68"/>
      <c r="G37" s="3" t="s">
        <v>42</v>
      </c>
      <c r="H37" s="3" t="s">
        <v>217</v>
      </c>
    </row>
    <row r="38" spans="1:8" x14ac:dyDescent="0.25">
      <c r="A38" s="3" t="s">
        <v>231</v>
      </c>
      <c r="B38" s="3"/>
      <c r="C38" s="3" t="s">
        <v>45</v>
      </c>
      <c r="D38" s="3"/>
      <c r="E38" s="3" t="s">
        <v>231</v>
      </c>
      <c r="F38" s="3"/>
      <c r="G38" s="3" t="s">
        <v>45</v>
      </c>
      <c r="H38" s="3"/>
    </row>
    <row r="39" spans="1:8" ht="17.25" x14ac:dyDescent="0.4">
      <c r="A39" s="153"/>
      <c r="B39" s="153"/>
      <c r="C39" s="170"/>
      <c r="D39" s="175"/>
      <c r="E39" s="113"/>
      <c r="F39" s="113"/>
      <c r="G39" s="113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workbookViewId="0">
      <selection activeCell="H36" sqref="H36"/>
    </sheetView>
  </sheetViews>
  <sheetFormatPr defaultRowHeight="15" x14ac:dyDescent="0.25"/>
  <cols>
    <col min="1" max="1" width="15" customWidth="1"/>
    <col min="2" max="2" width="12.140625" customWidth="1"/>
    <col min="3" max="3" width="10.85546875" customWidth="1"/>
    <col min="4" max="4" width="10.42578125" customWidth="1"/>
    <col min="6" max="8" width="11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270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8000</v>
      </c>
      <c r="E10" s="57">
        <f t="shared" si="0"/>
        <v>8000</v>
      </c>
      <c r="F10" s="58">
        <v>8000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>
        <v>32000</v>
      </c>
      <c r="D11" s="58"/>
      <c r="E11" s="57">
        <f t="shared" si="0"/>
        <v>32000</v>
      </c>
      <c r="F11" s="58"/>
      <c r="G11" s="122">
        <f t="shared" si="1"/>
        <v>32000</v>
      </c>
      <c r="H11" s="113"/>
    </row>
    <row r="12" spans="1:8" x14ac:dyDescent="0.25">
      <c r="A12" s="32" t="s">
        <v>238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/>
      <c r="E14" s="57">
        <f>SUM(C14:D14)</f>
        <v>2000</v>
      </c>
      <c r="F14" s="58"/>
      <c r="G14" s="122">
        <f t="shared" si="1"/>
        <v>2000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34000</v>
      </c>
      <c r="D19" s="99">
        <f>SUM(D6:D18)</f>
        <v>63000</v>
      </c>
      <c r="E19" s="99">
        <f>SUM(E6:E18)</f>
        <v>97000</v>
      </c>
      <c r="F19" s="99">
        <f>SUM(F6:F18)</f>
        <v>63000</v>
      </c>
      <c r="G19" s="122">
        <f>SUM(G6:G18)</f>
        <v>69000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269</v>
      </c>
      <c r="B23" s="176">
        <f>D19</f>
        <v>63000</v>
      </c>
      <c r="C23" s="4"/>
      <c r="D23" s="4"/>
      <c r="E23" s="173" t="s">
        <v>269</v>
      </c>
      <c r="F23" s="176">
        <f>F19</f>
        <v>63000</v>
      </c>
      <c r="G23" s="4"/>
      <c r="H23" s="4"/>
    </row>
    <row r="24" spans="1:8" x14ac:dyDescent="0.25">
      <c r="A24" s="173" t="s">
        <v>233</v>
      </c>
      <c r="B24" s="176">
        <f>'JULY 2017'!D36</f>
        <v>580</v>
      </c>
      <c r="C24" s="4"/>
      <c r="D24" s="4"/>
      <c r="E24" s="173" t="s">
        <v>233</v>
      </c>
      <c r="F24" s="176">
        <f>'AUGUST  2017'!H36</f>
        <v>-6740</v>
      </c>
      <c r="G24" s="4"/>
      <c r="H24" s="4"/>
    </row>
    <row r="25" spans="1:8" x14ac:dyDescent="0.25">
      <c r="A25" s="4"/>
      <c r="B25" s="122">
        <f>SUM(B23:B24)</f>
        <v>63580</v>
      </c>
      <c r="C25" s="4"/>
      <c r="D25" s="4"/>
      <c r="E25" s="4"/>
      <c r="F25" s="122">
        <f>SUM(F23:F24)</f>
        <v>56260</v>
      </c>
      <c r="G25" s="4"/>
      <c r="H25" s="4"/>
    </row>
    <row r="26" spans="1:8" x14ac:dyDescent="0.25">
      <c r="A26" s="4" t="s">
        <v>190</v>
      </c>
      <c r="B26" s="177">
        <v>7.0000000000000007E-2</v>
      </c>
      <c r="C26" s="122">
        <f>B23*B26</f>
        <v>4410</v>
      </c>
      <c r="D26" s="4"/>
      <c r="E26" s="4" t="s">
        <v>190</v>
      </c>
      <c r="F26" s="177">
        <v>7.0000000000000007E-2</v>
      </c>
      <c r="G26" s="122">
        <f>F23*F26</f>
        <v>4410</v>
      </c>
      <c r="H26" s="4"/>
    </row>
    <row r="27" spans="1:8" x14ac:dyDescent="0.25">
      <c r="A27" s="113"/>
      <c r="B27" s="122">
        <f>B25-C26</f>
        <v>59170</v>
      </c>
      <c r="C27" s="122"/>
      <c r="D27" s="4"/>
      <c r="E27" s="113"/>
      <c r="F27" s="122">
        <f>F25-G26</f>
        <v>51850</v>
      </c>
      <c r="G27" s="122"/>
      <c r="H27" s="4"/>
    </row>
    <row r="28" spans="1:8" x14ac:dyDescent="0.25">
      <c r="A28" s="4"/>
      <c r="B28" s="122"/>
      <c r="C28" s="122"/>
      <c r="D28" s="4"/>
      <c r="E28" s="4"/>
      <c r="F28" s="122"/>
      <c r="G28" s="122"/>
      <c r="H28" s="4"/>
    </row>
    <row r="29" spans="1:8" x14ac:dyDescent="0.25">
      <c r="A29" s="4"/>
      <c r="B29" s="122">
        <f>SUM(B27:B28)</f>
        <v>59170</v>
      </c>
      <c r="C29" s="122"/>
      <c r="D29" s="4"/>
      <c r="E29" s="4"/>
      <c r="F29" s="122">
        <f>SUM(F27:F28)</f>
        <v>51850</v>
      </c>
      <c r="G29" s="122"/>
      <c r="H29" s="4"/>
    </row>
    <row r="30" spans="1:8" x14ac:dyDescent="0.25">
      <c r="A30" s="180" t="s">
        <v>196</v>
      </c>
      <c r="B30" s="177"/>
      <c r="C30" s="122"/>
      <c r="D30" s="4"/>
      <c r="E30" s="180" t="s">
        <v>196</v>
      </c>
      <c r="F30" s="177"/>
      <c r="G30" s="122"/>
      <c r="H30" s="4"/>
    </row>
    <row r="31" spans="1:8" x14ac:dyDescent="0.25">
      <c r="A31" s="181" t="s">
        <v>245</v>
      </c>
      <c r="B31" s="178"/>
      <c r="C31" s="4">
        <v>10110</v>
      </c>
      <c r="D31" s="4"/>
      <c r="E31" s="181" t="s">
        <v>245</v>
      </c>
      <c r="F31" s="178"/>
      <c r="G31" s="4">
        <v>10110</v>
      </c>
      <c r="H31" s="4"/>
    </row>
    <row r="32" spans="1:8" x14ac:dyDescent="0.25">
      <c r="A32" s="181" t="s">
        <v>196</v>
      </c>
      <c r="B32" s="178"/>
      <c r="C32" s="179">
        <f>G32</f>
        <v>21000</v>
      </c>
      <c r="D32" s="4"/>
      <c r="E32" s="181" t="s">
        <v>196</v>
      </c>
      <c r="F32" s="178"/>
      <c r="G32" s="179">
        <v>21000</v>
      </c>
      <c r="H32" s="4"/>
    </row>
    <row r="33" spans="1:8" x14ac:dyDescent="0.25">
      <c r="A33" s="181" t="s">
        <v>236</v>
      </c>
      <c r="B33" s="178"/>
      <c r="C33" s="179">
        <v>30000</v>
      </c>
      <c r="D33" s="4"/>
      <c r="E33" s="181" t="s">
        <v>236</v>
      </c>
      <c r="F33" s="178"/>
      <c r="G33" s="179">
        <v>30000</v>
      </c>
      <c r="H33" s="4"/>
    </row>
    <row r="34" spans="1:8" x14ac:dyDescent="0.25">
      <c r="A34" s="181"/>
      <c r="B34" s="178"/>
      <c r="C34" s="179"/>
      <c r="D34" s="4"/>
      <c r="E34" s="181"/>
      <c r="F34" s="178"/>
      <c r="G34" s="179"/>
      <c r="H34" s="4"/>
    </row>
    <row r="35" spans="1:8" x14ac:dyDescent="0.25">
      <c r="A35" s="183"/>
      <c r="B35" s="178"/>
      <c r="C35" s="179"/>
      <c r="D35" s="4"/>
      <c r="E35" s="183"/>
      <c r="F35" s="178"/>
      <c r="G35" s="179"/>
      <c r="H35" s="4"/>
    </row>
    <row r="36" spans="1:8" x14ac:dyDescent="0.25">
      <c r="A36" s="174" t="s">
        <v>3</v>
      </c>
      <c r="B36" s="89">
        <f>B29</f>
        <v>59170</v>
      </c>
      <c r="C36" s="122">
        <f>SUM(C31:C35)</f>
        <v>61110</v>
      </c>
      <c r="D36" s="122">
        <f>B36-C36</f>
        <v>-1940</v>
      </c>
      <c r="E36" s="174" t="s">
        <v>3</v>
      </c>
      <c r="F36" s="89">
        <f>F29</f>
        <v>51850</v>
      </c>
      <c r="G36" s="122">
        <f>SUM(G31:G35)</f>
        <v>61110</v>
      </c>
      <c r="H36" s="122">
        <f>F36-G36</f>
        <v>-9260</v>
      </c>
    </row>
    <row r="37" spans="1:8" x14ac:dyDescent="0.25">
      <c r="A37" s="68" t="s">
        <v>230</v>
      </c>
      <c r="B37" s="68"/>
      <c r="C37" s="3" t="s">
        <v>42</v>
      </c>
      <c r="D37" s="3" t="s">
        <v>217</v>
      </c>
      <c r="E37" s="68" t="s">
        <v>230</v>
      </c>
      <c r="F37" s="68"/>
      <c r="G37" s="3" t="s">
        <v>42</v>
      </c>
      <c r="H37" s="3" t="s">
        <v>217</v>
      </c>
    </row>
    <row r="38" spans="1:8" x14ac:dyDescent="0.25">
      <c r="A38" s="3" t="s">
        <v>231</v>
      </c>
      <c r="B38" s="3"/>
      <c r="C38" s="3" t="s">
        <v>45</v>
      </c>
      <c r="D38" s="3"/>
      <c r="E38" s="3" t="s">
        <v>231</v>
      </c>
      <c r="F38" s="3"/>
      <c r="G38" s="3" t="s">
        <v>45</v>
      </c>
      <c r="H38" s="3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6" workbookViewId="0">
      <selection activeCell="H39" sqref="H39"/>
    </sheetView>
  </sheetViews>
  <sheetFormatPr defaultRowHeight="15" x14ac:dyDescent="0.25"/>
  <cols>
    <col min="1" max="1" width="21.7109375" customWidth="1"/>
    <col min="2" max="2" width="12.85546875" customWidth="1"/>
    <col min="3" max="4" width="13" customWidth="1"/>
    <col min="5" max="5" width="15.5703125" customWidth="1"/>
    <col min="6" max="6" width="12" customWidth="1"/>
    <col min="7" max="7" width="14.28515625" customWidth="1"/>
    <col min="8" max="8" width="11.570312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246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233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>C7+D7</f>
        <v>7000</v>
      </c>
      <c r="F7" s="57">
        <v>7000</v>
      </c>
      <c r="G7" s="122">
        <f t="shared" ref="G7:G18" si="0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>C8+D8</f>
        <v>6000</v>
      </c>
      <c r="F8" s="58">
        <v>6000</v>
      </c>
      <c r="G8" s="122">
        <f t="shared" si="0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>C9+D9</f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-32499</v>
      </c>
      <c r="D10" s="58">
        <v>8000</v>
      </c>
      <c r="E10" s="57">
        <f t="shared" ref="E10:E17" si="1">C10+D10</f>
        <v>-24499</v>
      </c>
      <c r="F10" s="58">
        <v>8000</v>
      </c>
      <c r="G10" s="122">
        <f t="shared" si="0"/>
        <v>-32499</v>
      </c>
      <c r="H10" s="113"/>
    </row>
    <row r="11" spans="1:8" x14ac:dyDescent="0.25">
      <c r="A11" s="32" t="s">
        <v>221</v>
      </c>
      <c r="B11" s="10"/>
      <c r="C11" s="9">
        <v>32000</v>
      </c>
      <c r="D11" s="58"/>
      <c r="E11" s="57">
        <f t="shared" si="1"/>
        <v>32000</v>
      </c>
      <c r="F11" s="58"/>
      <c r="G11" s="122">
        <f t="shared" si="0"/>
        <v>32000</v>
      </c>
      <c r="H11" s="113"/>
    </row>
    <row r="12" spans="1:8" x14ac:dyDescent="0.25">
      <c r="A12" s="32" t="s">
        <v>238</v>
      </c>
      <c r="B12" s="10">
        <v>7</v>
      </c>
      <c r="C12" s="9">
        <v>27000</v>
      </c>
      <c r="D12" s="58">
        <v>9000</v>
      </c>
      <c r="E12" s="57">
        <f t="shared" si="1"/>
        <v>36000</v>
      </c>
      <c r="F12" s="58">
        <v>9000</v>
      </c>
      <c r="G12" s="122">
        <f t="shared" si="0"/>
        <v>27000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f t="shared" si="1"/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/>
      <c r="E14" s="57">
        <f t="shared" si="1"/>
        <v>2000</v>
      </c>
      <c r="F14" s="58"/>
      <c r="G14" s="122">
        <f t="shared" si="0"/>
        <v>2000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>
        <f t="shared" si="1"/>
        <v>0</v>
      </c>
      <c r="F15" s="58"/>
      <c r="G15" s="122">
        <f t="shared" si="0"/>
        <v>0</v>
      </c>
      <c r="H15" s="113"/>
    </row>
    <row r="16" spans="1:8" x14ac:dyDescent="0.25">
      <c r="A16" s="33" t="s">
        <v>131</v>
      </c>
      <c r="B16" s="9" t="s">
        <v>19</v>
      </c>
      <c r="C16" s="9">
        <v>-8599</v>
      </c>
      <c r="D16" s="58">
        <v>10000</v>
      </c>
      <c r="E16" s="57">
        <f t="shared" si="1"/>
        <v>1401</v>
      </c>
      <c r="F16" s="58">
        <v>10000</v>
      </c>
      <c r="G16" s="122">
        <f>E16-F16</f>
        <v>-8599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f t="shared" si="1"/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0"/>
        <v>0</v>
      </c>
      <c r="H18" s="113"/>
    </row>
    <row r="19" spans="1:8" x14ac:dyDescent="0.25">
      <c r="A19" s="97" t="s">
        <v>3</v>
      </c>
      <c r="B19" s="98"/>
      <c r="C19" s="98">
        <f>SUM(C6:C18)</f>
        <v>19902</v>
      </c>
      <c r="D19" s="99">
        <f>SUM(D6:D18)</f>
        <v>63000</v>
      </c>
      <c r="E19" s="99">
        <f>SUM(E6:E18)</f>
        <v>82902</v>
      </c>
      <c r="F19" s="99">
        <f>SUM(F6:F18)</f>
        <v>63000</v>
      </c>
      <c r="G19" s="122">
        <f>SUM(G6:G18)</f>
        <v>54902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247</v>
      </c>
      <c r="B23" s="176">
        <f>D19</f>
        <v>63000</v>
      </c>
      <c r="C23" s="4"/>
      <c r="D23" s="4"/>
      <c r="E23" s="173" t="s">
        <v>247</v>
      </c>
      <c r="F23" s="176">
        <f>F19</f>
        <v>63000</v>
      </c>
      <c r="G23" s="4"/>
      <c r="H23" s="4"/>
    </row>
    <row r="24" spans="1:8" x14ac:dyDescent="0.25">
      <c r="A24" s="173" t="s">
        <v>233</v>
      </c>
      <c r="B24" s="176">
        <f>F24</f>
        <v>-9260</v>
      </c>
      <c r="C24" s="4"/>
      <c r="D24" s="4"/>
      <c r="E24" s="173" t="s">
        <v>233</v>
      </c>
      <c r="F24" s="176">
        <v>-9260</v>
      </c>
      <c r="G24" s="4"/>
      <c r="H24" s="4"/>
    </row>
    <row r="25" spans="1:8" s="113" customFormat="1" x14ac:dyDescent="0.25">
      <c r="A25" s="173"/>
      <c r="B25" s="176"/>
      <c r="C25" s="4"/>
      <c r="D25" s="4"/>
      <c r="E25" s="186">
        <v>7.0000000000000007E-2</v>
      </c>
      <c r="F25" s="176"/>
      <c r="G25" s="122">
        <f>F23*E25</f>
        <v>4410</v>
      </c>
      <c r="H25" s="4"/>
    </row>
    <row r="26" spans="1:8" s="113" customFormat="1" x14ac:dyDescent="0.25">
      <c r="A26" s="173"/>
      <c r="B26" s="176"/>
      <c r="C26" s="4"/>
      <c r="D26" s="4"/>
      <c r="E26" s="173"/>
      <c r="F26" s="176"/>
      <c r="G26" s="4"/>
      <c r="H26" s="4"/>
    </row>
    <row r="27" spans="1:8" x14ac:dyDescent="0.25">
      <c r="A27" s="4"/>
      <c r="B27" s="122">
        <f>SUM(B23:B24)</f>
        <v>53740</v>
      </c>
      <c r="C27" s="4"/>
      <c r="D27" s="4"/>
      <c r="E27" s="177"/>
      <c r="F27" s="122"/>
      <c r="G27" s="4"/>
      <c r="H27" s="4"/>
    </row>
    <row r="28" spans="1:8" x14ac:dyDescent="0.25">
      <c r="A28" s="4" t="s">
        <v>190</v>
      </c>
      <c r="B28" s="177">
        <v>7.0000000000000007E-2</v>
      </c>
      <c r="C28" s="122">
        <f>B23*B28</f>
        <v>4410</v>
      </c>
      <c r="D28" s="4"/>
      <c r="E28" s="174" t="s">
        <v>196</v>
      </c>
      <c r="F28" s="177"/>
      <c r="G28" s="122"/>
      <c r="H28" s="4"/>
    </row>
    <row r="29" spans="1:8" x14ac:dyDescent="0.25">
      <c r="A29" s="113"/>
      <c r="B29" s="122">
        <f>B27-C28</f>
        <v>49330</v>
      </c>
      <c r="C29" s="122"/>
      <c r="D29" s="4"/>
      <c r="E29" s="113" t="s">
        <v>248</v>
      </c>
      <c r="H29" s="4"/>
    </row>
    <row r="30" spans="1:8" s="113" customFormat="1" x14ac:dyDescent="0.25">
      <c r="A30" s="4"/>
      <c r="B30" s="122"/>
      <c r="C30" s="122"/>
      <c r="D30" s="4"/>
      <c r="E30" s="184">
        <v>43079</v>
      </c>
      <c r="G30" s="122">
        <v>15110</v>
      </c>
      <c r="H30" s="4"/>
    </row>
    <row r="31" spans="1:8" s="113" customFormat="1" x14ac:dyDescent="0.25">
      <c r="A31" s="4"/>
      <c r="B31" s="122"/>
      <c r="C31" s="122"/>
      <c r="D31" s="4"/>
      <c r="E31" s="4" t="s">
        <v>250</v>
      </c>
      <c r="G31" s="122">
        <v>5000</v>
      </c>
      <c r="H31" s="4"/>
    </row>
    <row r="32" spans="1:8" x14ac:dyDescent="0.25">
      <c r="A32" s="4"/>
      <c r="B32" s="122">
        <f>SUM(B29:B29)</f>
        <v>49330</v>
      </c>
      <c r="C32" s="122"/>
      <c r="D32" s="4"/>
      <c r="E32" s="184" t="s">
        <v>251</v>
      </c>
      <c r="F32" s="122"/>
      <c r="G32" s="122">
        <v>30000</v>
      </c>
      <c r="H32" s="4"/>
    </row>
    <row r="33" spans="1:8" x14ac:dyDescent="0.25">
      <c r="A33" s="180" t="s">
        <v>196</v>
      </c>
      <c r="B33" s="177"/>
      <c r="C33" s="122"/>
      <c r="D33" s="4"/>
      <c r="E33" s="185" t="s">
        <v>252</v>
      </c>
      <c r="F33" s="177"/>
      <c r="G33" s="122">
        <v>15732</v>
      </c>
      <c r="H33" s="4"/>
    </row>
    <row r="34" spans="1:8" x14ac:dyDescent="0.25">
      <c r="A34" s="181" t="s">
        <v>249</v>
      </c>
      <c r="B34" s="178"/>
      <c r="C34" s="4"/>
      <c r="D34" s="4"/>
      <c r="E34" s="181"/>
      <c r="F34" s="178"/>
      <c r="G34" s="4"/>
      <c r="H34" s="4"/>
    </row>
    <row r="35" spans="1:8" x14ac:dyDescent="0.25">
      <c r="A35" s="187">
        <v>43079</v>
      </c>
      <c r="B35" s="178"/>
      <c r="C35" s="179">
        <v>15110</v>
      </c>
      <c r="D35" s="4"/>
      <c r="E35" s="181"/>
      <c r="F35" s="178"/>
      <c r="G35" s="179"/>
      <c r="H35" s="4"/>
    </row>
    <row r="36" spans="1:8" x14ac:dyDescent="0.25">
      <c r="A36" s="181" t="s">
        <v>250</v>
      </c>
      <c r="B36" s="178"/>
      <c r="C36" s="179">
        <v>5000</v>
      </c>
      <c r="D36" s="4"/>
      <c r="E36" s="181"/>
      <c r="F36" s="178"/>
      <c r="G36" s="179"/>
      <c r="H36" s="4"/>
    </row>
    <row r="37" spans="1:8" x14ac:dyDescent="0.25">
      <c r="A37" s="181" t="s">
        <v>248</v>
      </c>
      <c r="B37" s="178"/>
      <c r="C37" s="179">
        <v>30000</v>
      </c>
      <c r="D37" s="4"/>
      <c r="E37" s="181"/>
      <c r="F37" s="178"/>
      <c r="G37" s="179"/>
      <c r="H37" s="4"/>
    </row>
    <row r="38" spans="1:8" x14ac:dyDescent="0.25">
      <c r="A38" s="183" t="s">
        <v>251</v>
      </c>
      <c r="B38" s="178"/>
      <c r="C38" s="188">
        <v>15732</v>
      </c>
      <c r="D38" s="4"/>
      <c r="E38" s="183"/>
      <c r="F38" s="178"/>
      <c r="G38" s="179"/>
      <c r="H38" s="4"/>
    </row>
    <row r="39" spans="1:8" x14ac:dyDescent="0.25">
      <c r="A39" s="174" t="s">
        <v>3</v>
      </c>
      <c r="B39" s="89">
        <f>B32</f>
        <v>49330</v>
      </c>
      <c r="C39" s="122">
        <f>SUM(C35:C38)</f>
        <v>65842</v>
      </c>
      <c r="D39" s="122">
        <f>B39-C39</f>
        <v>-16512</v>
      </c>
      <c r="E39" s="174" t="s">
        <v>3</v>
      </c>
      <c r="F39" s="89">
        <f>F23+F24</f>
        <v>53740</v>
      </c>
      <c r="G39" s="122">
        <f>SUM(G25:G38)</f>
        <v>70252</v>
      </c>
      <c r="H39" s="122">
        <f>F39-G39</f>
        <v>-16512</v>
      </c>
    </row>
    <row r="40" spans="1:8" x14ac:dyDescent="0.25">
      <c r="A40" s="68" t="s">
        <v>230</v>
      </c>
      <c r="B40" s="68"/>
      <c r="C40" s="3" t="s">
        <v>42</v>
      </c>
      <c r="D40" s="3" t="s">
        <v>217</v>
      </c>
      <c r="E40" s="68" t="s">
        <v>230</v>
      </c>
      <c r="F40" s="68"/>
      <c r="G40" s="3" t="s">
        <v>42</v>
      </c>
      <c r="H40" s="3" t="s">
        <v>217</v>
      </c>
    </row>
    <row r="41" spans="1:8" x14ac:dyDescent="0.25">
      <c r="A41" s="3" t="s">
        <v>231</v>
      </c>
      <c r="B41" s="3"/>
      <c r="C41" s="3" t="s">
        <v>45</v>
      </c>
      <c r="D41" s="3"/>
      <c r="E41" s="3" t="s">
        <v>231</v>
      </c>
      <c r="F41" s="3"/>
      <c r="G41" s="3" t="s">
        <v>45</v>
      </c>
      <c r="H41" s="3"/>
    </row>
  </sheetData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workbookViewId="0">
      <selection activeCell="G40" sqref="G40"/>
    </sheetView>
  </sheetViews>
  <sheetFormatPr defaultRowHeight="15" x14ac:dyDescent="0.25"/>
  <cols>
    <col min="1" max="1" width="14.5703125" customWidth="1"/>
    <col min="2" max="2" width="14.140625" customWidth="1"/>
    <col min="3" max="3" width="12.42578125" customWidth="1"/>
    <col min="4" max="4" width="13.5703125" customWidth="1"/>
    <col min="5" max="5" width="17.28515625" customWidth="1"/>
    <col min="6" max="6" width="12" customWidth="1"/>
    <col min="7" max="7" width="11.85546875" customWidth="1"/>
    <col min="8" max="8" width="12.8554687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255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257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f>C6+D6</f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8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8000</v>
      </c>
      <c r="E10" s="57">
        <f t="shared" si="0"/>
        <v>8000</v>
      </c>
      <c r="F10" s="58">
        <v>8000</v>
      </c>
      <c r="G10" s="122">
        <f t="shared" si="1"/>
        <v>0</v>
      </c>
      <c r="H10" s="113"/>
    </row>
    <row r="11" spans="1:8" x14ac:dyDescent="0.25">
      <c r="A11" s="32" t="s">
        <v>256</v>
      </c>
      <c r="B11" s="10"/>
      <c r="C11" s="9"/>
      <c r="D11" s="58">
        <v>30000</v>
      </c>
      <c r="E11" s="57">
        <f t="shared" si="0"/>
        <v>30000</v>
      </c>
      <c r="F11" s="58">
        <v>30000</v>
      </c>
      <c r="G11" s="122">
        <f t="shared" si="1"/>
        <v>0</v>
      </c>
      <c r="H11" s="113"/>
    </row>
    <row r="12" spans="1:8" x14ac:dyDescent="0.25">
      <c r="A12" s="32" t="s">
        <v>238</v>
      </c>
      <c r="B12" s="10">
        <v>7</v>
      </c>
      <c r="C12" s="9"/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f t="shared" si="0"/>
        <v>0</v>
      </c>
      <c r="F13" s="58"/>
      <c r="G13" s="122"/>
      <c r="H13" s="113"/>
    </row>
    <row r="14" spans="1:8" x14ac:dyDescent="0.25">
      <c r="A14" s="32" t="s">
        <v>239</v>
      </c>
      <c r="B14" s="10" t="s">
        <v>16</v>
      </c>
      <c r="C14" s="9"/>
      <c r="D14" s="58"/>
      <c r="E14" s="57">
        <f t="shared" si="0"/>
        <v>0</v>
      </c>
      <c r="F14" s="58"/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f t="shared" si="0"/>
        <v>10000</v>
      </c>
      <c r="F16" s="58">
        <v>10000</v>
      </c>
      <c r="G16" s="122">
        <f>E16-F16</f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f t="shared" si="0"/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 t="shared" si="0"/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0</v>
      </c>
      <c r="D19" s="99">
        <f>SUM(D6:D18)</f>
        <v>93000</v>
      </c>
      <c r="E19" s="99">
        <f>SUM(E6:E18)</f>
        <v>93000</v>
      </c>
      <c r="F19" s="99">
        <f>SUM(F6:F18)</f>
        <v>93000</v>
      </c>
      <c r="G19" s="122">
        <f>SUM(G6:G18)</f>
        <v>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254</v>
      </c>
      <c r="B23" s="176">
        <f>D19</f>
        <v>93000</v>
      </c>
      <c r="C23" s="4"/>
      <c r="D23" s="4"/>
      <c r="E23" s="173" t="s">
        <v>254</v>
      </c>
      <c r="F23" s="176">
        <f>F19</f>
        <v>93000</v>
      </c>
      <c r="G23" s="4"/>
      <c r="H23" s="4"/>
    </row>
    <row r="24" spans="1:8" x14ac:dyDescent="0.25">
      <c r="A24" s="173" t="s">
        <v>233</v>
      </c>
      <c r="B24" s="176">
        <f>F24</f>
        <v>-16512</v>
      </c>
      <c r="C24" s="4"/>
      <c r="D24" s="4"/>
      <c r="E24" s="173" t="s">
        <v>233</v>
      </c>
      <c r="F24" s="176">
        <f>OCTOMBER2017!H39</f>
        <v>-16512</v>
      </c>
      <c r="G24" s="4"/>
      <c r="H24" s="4"/>
    </row>
    <row r="25" spans="1:8" x14ac:dyDescent="0.25">
      <c r="A25" s="173"/>
      <c r="B25" s="176"/>
      <c r="C25" s="4"/>
      <c r="D25" s="4"/>
      <c r="E25" s="186">
        <v>7.0000000000000007E-2</v>
      </c>
      <c r="F25" s="176"/>
      <c r="G25" s="4"/>
      <c r="H25" s="4"/>
    </row>
    <row r="26" spans="1:8" x14ac:dyDescent="0.25">
      <c r="A26" s="173"/>
      <c r="B26" s="176"/>
      <c r="C26" s="4"/>
      <c r="D26" s="4"/>
      <c r="E26" s="173"/>
      <c r="F26" s="176"/>
      <c r="G26" s="4"/>
      <c r="H26" s="4"/>
    </row>
    <row r="27" spans="1:8" x14ac:dyDescent="0.25">
      <c r="A27" s="4"/>
      <c r="B27" s="122">
        <f>SUM(B23:B26)</f>
        <v>76488</v>
      </c>
      <c r="C27" s="4"/>
      <c r="D27" s="4"/>
      <c r="E27" s="177"/>
      <c r="F27" s="122"/>
      <c r="G27" s="4"/>
      <c r="H27" s="4"/>
    </row>
    <row r="28" spans="1:8" x14ac:dyDescent="0.25">
      <c r="A28" s="4" t="s">
        <v>190</v>
      </c>
      <c r="B28" s="177">
        <v>7.0000000000000007E-2</v>
      </c>
      <c r="C28" s="122">
        <f>B23*B28</f>
        <v>6510.0000000000009</v>
      </c>
      <c r="D28" s="4"/>
      <c r="E28" s="174" t="s">
        <v>196</v>
      </c>
      <c r="F28" s="177"/>
      <c r="G28" s="122"/>
      <c r="H28" s="4"/>
    </row>
    <row r="29" spans="1:8" x14ac:dyDescent="0.25">
      <c r="A29" s="113"/>
      <c r="B29" s="122"/>
      <c r="C29" s="122"/>
      <c r="D29" s="4"/>
      <c r="E29" s="113" t="s">
        <v>248</v>
      </c>
      <c r="F29" s="113"/>
      <c r="G29" s="122">
        <f>F23*E25</f>
        <v>6510.0000000000009</v>
      </c>
      <c r="H29" s="4"/>
    </row>
    <row r="30" spans="1:8" x14ac:dyDescent="0.25">
      <c r="A30" s="4"/>
      <c r="B30" s="122"/>
      <c r="C30" s="122"/>
      <c r="D30" s="4"/>
      <c r="E30" s="184" t="s">
        <v>253</v>
      </c>
      <c r="F30" s="113"/>
      <c r="G30" s="122"/>
      <c r="H30" s="4"/>
    </row>
    <row r="31" spans="1:8" x14ac:dyDescent="0.25">
      <c r="A31" s="4"/>
      <c r="B31" s="122"/>
      <c r="C31" s="122"/>
      <c r="D31" s="4"/>
      <c r="E31" s="4"/>
      <c r="F31" s="113"/>
      <c r="G31" s="122"/>
      <c r="H31" s="4"/>
    </row>
    <row r="32" spans="1:8" x14ac:dyDescent="0.25">
      <c r="A32" s="4"/>
      <c r="B32" s="122">
        <f>SUM(B29:B29)</f>
        <v>0</v>
      </c>
      <c r="C32" s="122"/>
      <c r="D32" s="4"/>
      <c r="E32" s="184"/>
      <c r="F32" s="122"/>
      <c r="G32" s="122"/>
      <c r="H32" s="4"/>
    </row>
    <row r="33" spans="1:8" x14ac:dyDescent="0.25">
      <c r="A33" s="180" t="s">
        <v>196</v>
      </c>
      <c r="B33" s="177"/>
      <c r="C33" s="122"/>
      <c r="D33" s="4"/>
      <c r="E33" s="185"/>
      <c r="F33" s="177"/>
      <c r="G33" s="122"/>
      <c r="H33" s="4"/>
    </row>
    <row r="34" spans="1:8" x14ac:dyDescent="0.25">
      <c r="A34" s="181" t="s">
        <v>178</v>
      </c>
      <c r="B34" s="178"/>
      <c r="C34" s="4">
        <v>20000</v>
      </c>
      <c r="D34" s="4"/>
      <c r="E34" s="181"/>
      <c r="F34" s="178"/>
      <c r="G34" s="4">
        <v>20000</v>
      </c>
      <c r="H34" s="4"/>
    </row>
    <row r="35" spans="1:8" x14ac:dyDescent="0.25">
      <c r="A35" s="187"/>
      <c r="B35" s="178"/>
      <c r="C35" s="179">
        <v>45110</v>
      </c>
      <c r="D35" s="4"/>
      <c r="E35" s="181"/>
      <c r="F35" s="178"/>
      <c r="G35" s="179">
        <v>45110</v>
      </c>
      <c r="H35" s="4"/>
    </row>
    <row r="36" spans="1:8" x14ac:dyDescent="0.25">
      <c r="A36" s="181"/>
      <c r="B36" s="178"/>
      <c r="C36" s="179">
        <v>1340</v>
      </c>
      <c r="D36" s="4"/>
      <c r="E36" s="181"/>
      <c r="F36" s="178"/>
      <c r="G36" s="179">
        <v>1340</v>
      </c>
      <c r="H36" s="4"/>
    </row>
    <row r="37" spans="1:8" x14ac:dyDescent="0.25">
      <c r="A37" s="181"/>
      <c r="B37" s="178"/>
      <c r="C37" s="179"/>
      <c r="D37" s="4"/>
      <c r="E37" s="181"/>
      <c r="F37" s="178"/>
      <c r="G37" s="179"/>
      <c r="H37" s="4"/>
    </row>
    <row r="38" spans="1:8" x14ac:dyDescent="0.25">
      <c r="A38" s="183"/>
      <c r="B38" s="178"/>
      <c r="C38" s="179"/>
      <c r="D38" s="4"/>
      <c r="E38" s="183"/>
      <c r="F38" s="178"/>
      <c r="G38" s="179"/>
      <c r="H38" s="4"/>
    </row>
    <row r="39" spans="1:8" x14ac:dyDescent="0.25">
      <c r="A39" s="174" t="s">
        <v>3</v>
      </c>
      <c r="B39" s="89">
        <f>B27</f>
        <v>76488</v>
      </c>
      <c r="C39" s="122">
        <f>SUM(C28:C38)</f>
        <v>72960</v>
      </c>
      <c r="D39" s="122">
        <f>B39-C39</f>
        <v>3528</v>
      </c>
      <c r="E39" s="174" t="s">
        <v>3</v>
      </c>
      <c r="F39" s="89">
        <f>F23+F24</f>
        <v>76488</v>
      </c>
      <c r="G39" s="122">
        <f>SUM(G29:G38)</f>
        <v>72960</v>
      </c>
      <c r="H39" s="122">
        <f>F39-G39</f>
        <v>3528</v>
      </c>
    </row>
    <row r="40" spans="1:8" s="113" customFormat="1" x14ac:dyDescent="0.25">
      <c r="A40" s="189"/>
      <c r="B40" s="190"/>
      <c r="C40" s="191"/>
      <c r="D40" s="191"/>
      <c r="E40" s="189"/>
      <c r="F40" s="190"/>
      <c r="G40" s="191"/>
      <c r="H40" s="191"/>
    </row>
    <row r="41" spans="1:8" s="113" customFormat="1" x14ac:dyDescent="0.25">
      <c r="A41" s="189"/>
      <c r="B41" s="190"/>
      <c r="C41" s="191"/>
      <c r="D41" s="191"/>
      <c r="E41" s="189"/>
      <c r="F41" s="190"/>
      <c r="G41" s="191"/>
      <c r="H41" s="191"/>
    </row>
    <row r="42" spans="1:8" x14ac:dyDescent="0.25">
      <c r="A42" s="68" t="s">
        <v>230</v>
      </c>
      <c r="B42" s="68"/>
      <c r="C42" s="3" t="s">
        <v>42</v>
      </c>
      <c r="D42" s="3" t="s">
        <v>217</v>
      </c>
      <c r="E42" s="68" t="s">
        <v>230</v>
      </c>
      <c r="F42" s="68"/>
      <c r="G42" s="3" t="s">
        <v>42</v>
      </c>
      <c r="H42" s="3" t="s">
        <v>217</v>
      </c>
    </row>
    <row r="43" spans="1:8" x14ac:dyDescent="0.25">
      <c r="A43" s="3" t="s">
        <v>231</v>
      </c>
      <c r="B43" s="3"/>
      <c r="C43" s="3" t="s">
        <v>45</v>
      </c>
      <c r="D43" s="3"/>
      <c r="E43" s="3" t="s">
        <v>231</v>
      </c>
      <c r="F43" s="3"/>
      <c r="G43" s="3" t="s">
        <v>45</v>
      </c>
      <c r="H43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G34" sqref="G34"/>
    </sheetView>
  </sheetViews>
  <sheetFormatPr defaultRowHeight="15" x14ac:dyDescent="0.25"/>
  <cols>
    <col min="1" max="1" width="22.7109375" customWidth="1"/>
    <col min="2" max="2" width="12" customWidth="1"/>
    <col min="3" max="3" width="10.5703125" customWidth="1"/>
    <col min="4" max="4" width="11.5703125" customWidth="1"/>
    <col min="6" max="6" width="11.85546875" customWidth="1"/>
    <col min="7" max="7" width="11.28515625" customWidth="1"/>
    <col min="8" max="8" width="11" customWidth="1"/>
  </cols>
  <sheetData>
    <row r="1" spans="1:8" ht="18.75" x14ac:dyDescent="0.3">
      <c r="B1" s="159"/>
      <c r="C1" s="158" t="s">
        <v>260</v>
      </c>
      <c r="E1" s="161"/>
      <c r="F1" s="21"/>
      <c r="G1" s="21"/>
      <c r="H1" s="113"/>
    </row>
    <row r="2" spans="1:8" ht="21" x14ac:dyDescent="0.35">
      <c r="A2" s="65" t="s">
        <v>258</v>
      </c>
      <c r="B2" s="77"/>
      <c r="C2" s="77"/>
      <c r="D2" s="157"/>
      <c r="E2" s="77"/>
      <c r="F2" s="77"/>
      <c r="G2" s="27"/>
      <c r="H2" s="113"/>
    </row>
    <row r="3" spans="1:8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</row>
    <row r="4" spans="1:8" x14ac:dyDescent="0.25">
      <c r="A4" s="39" t="s">
        <v>241</v>
      </c>
      <c r="B4" s="36">
        <v>1</v>
      </c>
      <c r="C4" s="36"/>
      <c r="D4" s="57">
        <v>8000</v>
      </c>
      <c r="E4" s="57">
        <f>C4+D4</f>
        <v>8000</v>
      </c>
      <c r="F4" s="57">
        <v>8000</v>
      </c>
      <c r="G4" s="122">
        <f>E4-F4</f>
        <v>0</v>
      </c>
      <c r="H4" s="113"/>
    </row>
    <row r="5" spans="1:8" x14ac:dyDescent="0.25">
      <c r="A5" s="39" t="s">
        <v>226</v>
      </c>
      <c r="B5" s="36">
        <v>2</v>
      </c>
      <c r="C5" s="36">
        <v>0</v>
      </c>
      <c r="D5" s="57">
        <v>7000</v>
      </c>
      <c r="E5" s="57">
        <f>C5+D5</f>
        <v>7000</v>
      </c>
      <c r="F5" s="57">
        <v>7000</v>
      </c>
      <c r="G5" s="122">
        <f t="shared" ref="G5:G13" si="0">E5-F5</f>
        <v>0</v>
      </c>
      <c r="H5" s="113"/>
    </row>
    <row r="6" spans="1:8" x14ac:dyDescent="0.25">
      <c r="A6" s="31" t="s">
        <v>6</v>
      </c>
      <c r="B6" s="6">
        <v>3</v>
      </c>
      <c r="C6" s="8">
        <v>0</v>
      </c>
      <c r="D6" s="58">
        <v>6000</v>
      </c>
      <c r="E6" s="57">
        <f>C6+D6</f>
        <v>6000</v>
      </c>
      <c r="F6" s="58">
        <v>6000</v>
      </c>
      <c r="G6" s="122">
        <f t="shared" si="0"/>
        <v>0</v>
      </c>
      <c r="H6" s="113"/>
    </row>
    <row r="7" spans="1:8" x14ac:dyDescent="0.25">
      <c r="A7" s="32" t="s">
        <v>120</v>
      </c>
      <c r="B7" s="6">
        <v>4</v>
      </c>
      <c r="C7" s="8">
        <v>0</v>
      </c>
      <c r="D7" s="58">
        <v>8000</v>
      </c>
      <c r="E7" s="57">
        <f>C7+D7</f>
        <v>8000</v>
      </c>
      <c r="F7" s="58">
        <v>8000</v>
      </c>
      <c r="G7" s="122"/>
      <c r="H7" s="113"/>
    </row>
    <row r="8" spans="1:8" x14ac:dyDescent="0.25">
      <c r="A8" s="33" t="s">
        <v>13</v>
      </c>
      <c r="B8" s="10">
        <v>5</v>
      </c>
      <c r="C8" s="9">
        <v>0</v>
      </c>
      <c r="D8" s="58">
        <v>8000</v>
      </c>
      <c r="E8" s="57">
        <f>C8+D8</f>
        <v>8000</v>
      </c>
      <c r="F8" s="58">
        <v>8000</v>
      </c>
      <c r="G8" s="122">
        <f t="shared" si="0"/>
        <v>0</v>
      </c>
      <c r="H8" s="113"/>
    </row>
    <row r="9" spans="1:8" x14ac:dyDescent="0.25">
      <c r="A9" s="32" t="s">
        <v>263</v>
      </c>
      <c r="B9" s="10"/>
      <c r="C9" s="9"/>
      <c r="D9" s="58">
        <v>8000</v>
      </c>
      <c r="E9" s="57">
        <v>8000</v>
      </c>
      <c r="F9" s="58">
        <v>8000</v>
      </c>
      <c r="G9" s="122">
        <f t="shared" si="0"/>
        <v>0</v>
      </c>
      <c r="H9" s="113"/>
    </row>
    <row r="10" spans="1:8" x14ac:dyDescent="0.25">
      <c r="A10" s="32" t="s">
        <v>238</v>
      </c>
      <c r="B10" s="10">
        <v>7</v>
      </c>
      <c r="C10" s="9"/>
      <c r="D10" s="58">
        <v>9000</v>
      </c>
      <c r="E10" s="57">
        <f>C10+D10</f>
        <v>9000</v>
      </c>
      <c r="F10" s="58">
        <v>9000</v>
      </c>
      <c r="G10" s="122">
        <f t="shared" si="0"/>
        <v>0</v>
      </c>
      <c r="H10" s="113"/>
    </row>
    <row r="11" spans="1:8" x14ac:dyDescent="0.25">
      <c r="A11" s="33" t="s">
        <v>131</v>
      </c>
      <c r="B11" s="9" t="s">
        <v>19</v>
      </c>
      <c r="C11" s="9"/>
      <c r="D11" s="58">
        <v>10000</v>
      </c>
      <c r="E11" s="57">
        <f>C11+D11</f>
        <v>10000</v>
      </c>
      <c r="F11" s="58">
        <v>10000</v>
      </c>
      <c r="G11" s="122">
        <f>E11-F11</f>
        <v>0</v>
      </c>
      <c r="H11" s="113"/>
    </row>
    <row r="12" spans="1:8" x14ac:dyDescent="0.25">
      <c r="A12" s="34" t="s">
        <v>240</v>
      </c>
      <c r="B12" s="14"/>
      <c r="C12" s="16"/>
      <c r="D12" s="59">
        <v>7000</v>
      </c>
      <c r="E12" s="57">
        <f>C12+D12</f>
        <v>7000</v>
      </c>
      <c r="F12" s="59">
        <v>7000</v>
      </c>
      <c r="G12" s="122"/>
      <c r="H12" s="113"/>
    </row>
    <row r="13" spans="1:8" x14ac:dyDescent="0.25">
      <c r="A13" s="33" t="s">
        <v>262</v>
      </c>
      <c r="B13" s="5"/>
      <c r="C13" s="5"/>
      <c r="D13" s="60"/>
      <c r="E13" s="57">
        <f>C13+D13</f>
        <v>0</v>
      </c>
      <c r="F13" s="60"/>
      <c r="G13" s="122">
        <f t="shared" si="0"/>
        <v>0</v>
      </c>
      <c r="H13" s="113"/>
    </row>
    <row r="14" spans="1:8" x14ac:dyDescent="0.25">
      <c r="A14" s="97" t="s">
        <v>3</v>
      </c>
      <c r="B14" s="98"/>
      <c r="C14" s="98">
        <f>SUM(C4:C13)</f>
        <v>0</v>
      </c>
      <c r="D14" s="99">
        <f>SUM(D4:D13)</f>
        <v>71000</v>
      </c>
      <c r="E14" s="99">
        <f>SUM(E4:E13)</f>
        <v>71000</v>
      </c>
      <c r="F14" s="99">
        <f>SUM(F4:F13)</f>
        <v>71000</v>
      </c>
      <c r="G14" s="122">
        <f>SUM(G4:G13)</f>
        <v>0</v>
      </c>
      <c r="H14" s="113"/>
    </row>
    <row r="15" spans="1:8" x14ac:dyDescent="0.25">
      <c r="A15" s="113"/>
      <c r="B15" s="113"/>
      <c r="C15" s="113"/>
      <c r="D15" s="113"/>
      <c r="E15" s="113"/>
      <c r="F15" s="113"/>
      <c r="G15" s="113"/>
      <c r="H15" s="113"/>
    </row>
    <row r="16" spans="1:8" x14ac:dyDescent="0.25">
      <c r="A16" s="170" t="s">
        <v>184</v>
      </c>
      <c r="B16" s="113"/>
      <c r="C16" s="47"/>
      <c r="D16" s="151"/>
      <c r="E16" s="113"/>
      <c r="F16" s="171"/>
      <c r="G16" s="48"/>
      <c r="H16" s="113"/>
    </row>
    <row r="17" spans="1:8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</row>
    <row r="18" spans="1:8" x14ac:dyDescent="0.25">
      <c r="A18" s="173" t="s">
        <v>259</v>
      </c>
      <c r="B18" s="176">
        <f>D14</f>
        <v>71000</v>
      </c>
      <c r="C18" s="4"/>
      <c r="D18" s="4"/>
      <c r="E18" s="173" t="s">
        <v>259</v>
      </c>
      <c r="F18" s="176">
        <f>F14</f>
        <v>71000</v>
      </c>
      <c r="G18" s="4"/>
      <c r="H18" s="4"/>
    </row>
    <row r="19" spans="1:8" x14ac:dyDescent="0.25">
      <c r="A19" s="173" t="s">
        <v>233</v>
      </c>
      <c r="B19" s="176">
        <f>'NOV 2017'!D39</f>
        <v>3528</v>
      </c>
      <c r="C19" s="4"/>
      <c r="D19" s="4"/>
      <c r="E19" s="173" t="s">
        <v>233</v>
      </c>
      <c r="F19" s="176">
        <f>'NOV 2017'!H39</f>
        <v>3528</v>
      </c>
      <c r="G19" s="4"/>
      <c r="H19" s="4"/>
    </row>
    <row r="20" spans="1:8" x14ac:dyDescent="0.25">
      <c r="A20" s="173"/>
      <c r="B20" s="176">
        <v>0</v>
      </c>
      <c r="C20" s="4"/>
      <c r="D20" s="4"/>
      <c r="E20" s="186">
        <v>7.0000000000000007E-2</v>
      </c>
      <c r="F20" s="176"/>
      <c r="G20" s="4"/>
      <c r="H20" s="4"/>
    </row>
    <row r="21" spans="1:8" x14ac:dyDescent="0.25">
      <c r="A21" s="4"/>
      <c r="B21" s="122">
        <f>SUM(B18:B20)</f>
        <v>74528</v>
      </c>
      <c r="C21" s="4"/>
      <c r="D21" s="4"/>
      <c r="E21" s="177"/>
      <c r="F21" s="122"/>
      <c r="G21" s="4"/>
      <c r="H21" s="4"/>
    </row>
    <row r="22" spans="1:8" x14ac:dyDescent="0.25">
      <c r="A22" s="4" t="s">
        <v>190</v>
      </c>
      <c r="B22" s="177">
        <v>7.0000000000000007E-2</v>
      </c>
      <c r="C22" s="122">
        <f>B18*B22</f>
        <v>4970.0000000000009</v>
      </c>
      <c r="D22" s="4"/>
      <c r="E22" s="174" t="s">
        <v>196</v>
      </c>
      <c r="F22" s="177"/>
      <c r="G22" s="122"/>
      <c r="H22" s="4"/>
    </row>
    <row r="23" spans="1:8" x14ac:dyDescent="0.25">
      <c r="A23" s="113"/>
      <c r="B23" s="122"/>
      <c r="C23" s="122"/>
      <c r="D23" s="4"/>
      <c r="E23" s="113" t="s">
        <v>248</v>
      </c>
      <c r="F23" s="113"/>
      <c r="G23" s="122">
        <f>F18*E20</f>
        <v>4970.0000000000009</v>
      </c>
      <c r="H23" s="4"/>
    </row>
    <row r="24" spans="1:8" x14ac:dyDescent="0.25">
      <c r="A24" s="4"/>
      <c r="B24" s="122"/>
      <c r="C24" s="122"/>
      <c r="D24" s="4"/>
      <c r="E24" s="184"/>
      <c r="F24" s="113"/>
      <c r="G24" s="122"/>
      <c r="H24" s="4"/>
    </row>
    <row r="25" spans="1:8" x14ac:dyDescent="0.25">
      <c r="A25" s="4"/>
      <c r="B25" s="122"/>
      <c r="C25" s="122"/>
      <c r="D25" s="4"/>
      <c r="E25" s="4"/>
      <c r="F25" s="113"/>
      <c r="G25" s="122"/>
      <c r="H25" s="4"/>
    </row>
    <row r="26" spans="1:8" x14ac:dyDescent="0.25">
      <c r="A26" s="4"/>
      <c r="B26" s="122">
        <f>SUM(B23:B23)</f>
        <v>0</v>
      </c>
      <c r="C26" s="122"/>
      <c r="D26" s="4"/>
      <c r="E26" s="184"/>
      <c r="F26" s="122"/>
      <c r="G26" s="122"/>
      <c r="H26" s="4"/>
    </row>
    <row r="27" spans="1:8" x14ac:dyDescent="0.25">
      <c r="A27" s="180" t="s">
        <v>196</v>
      </c>
      <c r="B27" s="177"/>
      <c r="C27" s="122"/>
      <c r="D27" s="4"/>
      <c r="E27" s="185"/>
      <c r="F27" s="177"/>
      <c r="G27" s="122"/>
      <c r="H27" s="4"/>
    </row>
    <row r="28" spans="1:8" x14ac:dyDescent="0.25">
      <c r="A28" s="181" t="s">
        <v>178</v>
      </c>
      <c r="B28" s="178"/>
      <c r="C28" s="4">
        <v>32110</v>
      </c>
      <c r="D28" s="4"/>
      <c r="E28" s="181" t="s">
        <v>178</v>
      </c>
      <c r="F28" s="178"/>
      <c r="G28" s="4">
        <v>32110</v>
      </c>
      <c r="H28" s="4"/>
    </row>
    <row r="29" spans="1:8" x14ac:dyDescent="0.25">
      <c r="A29" s="187">
        <v>43083</v>
      </c>
      <c r="B29" s="178"/>
      <c r="C29">
        <v>10110</v>
      </c>
      <c r="D29" s="4"/>
      <c r="E29" s="187">
        <v>43083</v>
      </c>
      <c r="F29" s="178"/>
      <c r="G29" s="113">
        <v>10110</v>
      </c>
      <c r="H29" s="4"/>
    </row>
    <row r="30" spans="1:8" x14ac:dyDescent="0.25">
      <c r="A30" s="187">
        <v>43089</v>
      </c>
      <c r="B30" s="178"/>
      <c r="C30" s="179">
        <v>15095</v>
      </c>
      <c r="D30" s="4"/>
      <c r="E30" s="187">
        <v>43089</v>
      </c>
      <c r="F30" s="178"/>
      <c r="G30" s="179">
        <v>15095</v>
      </c>
      <c r="H30" s="4"/>
    </row>
    <row r="31" spans="1:8" x14ac:dyDescent="0.25">
      <c r="A31" s="181"/>
      <c r="B31" s="178"/>
      <c r="C31" s="179"/>
      <c r="D31" s="4"/>
      <c r="E31" s="181"/>
      <c r="F31" s="178"/>
      <c r="G31" s="179"/>
      <c r="H31" s="4"/>
    </row>
    <row r="32" spans="1:8" x14ac:dyDescent="0.25">
      <c r="A32" s="183"/>
      <c r="B32" s="178"/>
      <c r="C32" s="179"/>
      <c r="D32" s="4"/>
      <c r="E32" s="183"/>
      <c r="F32" s="178"/>
      <c r="G32" s="179"/>
      <c r="H32" s="4"/>
    </row>
    <row r="33" spans="1:8" x14ac:dyDescent="0.25">
      <c r="A33" s="174" t="s">
        <v>3</v>
      </c>
      <c r="B33" s="89">
        <f>B21</f>
        <v>74528</v>
      </c>
      <c r="C33" s="122">
        <f>SUM(C22:C32)</f>
        <v>62285</v>
      </c>
      <c r="D33" s="122">
        <f>B33-C33</f>
        <v>12243</v>
      </c>
      <c r="E33" s="174" t="s">
        <v>3</v>
      </c>
      <c r="F33" s="89">
        <f>F18+F19</f>
        <v>74528</v>
      </c>
      <c r="G33" s="122">
        <f>SUM(G23:G32)</f>
        <v>62285</v>
      </c>
      <c r="H33" s="122">
        <f>F33-G33</f>
        <v>12243</v>
      </c>
    </row>
    <row r="34" spans="1:8" x14ac:dyDescent="0.25">
      <c r="A34" s="189"/>
      <c r="B34" s="190"/>
      <c r="C34" s="191"/>
      <c r="D34" s="191"/>
      <c r="E34" s="189"/>
      <c r="F34" s="190"/>
      <c r="G34" s="191"/>
      <c r="H34" s="191"/>
    </row>
    <row r="35" spans="1:8" x14ac:dyDescent="0.25">
      <c r="A35" s="189"/>
      <c r="B35" s="190"/>
      <c r="C35" s="179"/>
      <c r="D35" s="191"/>
      <c r="E35" s="189"/>
      <c r="F35" s="190"/>
      <c r="G35" s="191"/>
      <c r="H35" s="191"/>
    </row>
    <row r="36" spans="1:8" x14ac:dyDescent="0.25">
      <c r="A36" s="68" t="s">
        <v>230</v>
      </c>
      <c r="B36" s="68"/>
      <c r="C36" s="3" t="s">
        <v>42</v>
      </c>
      <c r="D36" s="3" t="s">
        <v>217</v>
      </c>
      <c r="E36" s="68" t="s">
        <v>230</v>
      </c>
      <c r="F36" s="68"/>
      <c r="G36" s="3" t="s">
        <v>42</v>
      </c>
      <c r="H36" s="3" t="s">
        <v>217</v>
      </c>
    </row>
    <row r="37" spans="1:8" x14ac:dyDescent="0.25">
      <c r="A37" s="3" t="s">
        <v>231</v>
      </c>
      <c r="B37" s="3"/>
      <c r="C37" s="3" t="s">
        <v>45</v>
      </c>
      <c r="D37" s="3"/>
      <c r="E37" s="3" t="s">
        <v>231</v>
      </c>
      <c r="F37" s="3"/>
      <c r="G37" s="3" t="s">
        <v>45</v>
      </c>
      <c r="H37" s="3"/>
    </row>
  </sheetData>
  <pageMargins left="0.25" right="0.25" top="0.75" bottom="0.75" header="0.3" footer="0.3"/>
  <pageSetup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11" sqref="C11"/>
    </sheetView>
  </sheetViews>
  <sheetFormatPr defaultRowHeight="15" x14ac:dyDescent="0.25"/>
  <cols>
    <col min="1" max="1" width="15" customWidth="1"/>
    <col min="2" max="2" width="11.42578125" customWidth="1"/>
    <col min="3" max="4" width="10.85546875" customWidth="1"/>
    <col min="6" max="6" width="11.5703125" customWidth="1"/>
    <col min="7" max="7" width="10.7109375" customWidth="1"/>
    <col min="8" max="8" width="11.14062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264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57">
        <v>8000</v>
      </c>
      <c r="E4" s="57">
        <f>C4+D4</f>
        <v>8000</v>
      </c>
      <c r="F4" s="57">
        <v>8000</v>
      </c>
      <c r="G4" s="122">
        <f>E4-F4</f>
        <v>0</v>
      </c>
      <c r="H4" s="113"/>
      <c r="I4" s="113"/>
    </row>
    <row r="5" spans="1:9" x14ac:dyDescent="0.25">
      <c r="A5" s="39" t="s">
        <v>226</v>
      </c>
      <c r="B5" s="36">
        <v>2</v>
      </c>
      <c r="C5" s="36">
        <v>0</v>
      </c>
      <c r="D5" s="57">
        <v>7000</v>
      </c>
      <c r="E5" s="57">
        <f t="shared" ref="E5:E13" si="0">C5+D5</f>
        <v>7000</v>
      </c>
      <c r="F5" s="57">
        <v>7000</v>
      </c>
      <c r="G5" s="122">
        <f t="shared" ref="G5:G13" si="1">E5-F5</f>
        <v>0</v>
      </c>
      <c r="H5" s="113"/>
      <c r="I5" s="113"/>
    </row>
    <row r="6" spans="1:9" x14ac:dyDescent="0.25">
      <c r="A6" s="31" t="s">
        <v>6</v>
      </c>
      <c r="B6" s="6">
        <v>3</v>
      </c>
      <c r="C6" s="8">
        <v>0</v>
      </c>
      <c r="D6" s="58">
        <v>6000</v>
      </c>
      <c r="E6" s="57">
        <f t="shared" si="0"/>
        <v>6000</v>
      </c>
      <c r="F6" s="58">
        <v>6000</v>
      </c>
      <c r="G6" s="122">
        <f t="shared" si="1"/>
        <v>0</v>
      </c>
      <c r="H6" s="113"/>
      <c r="I6" s="113"/>
    </row>
    <row r="7" spans="1:9" x14ac:dyDescent="0.25">
      <c r="A7" s="32" t="s">
        <v>120</v>
      </c>
      <c r="B7" s="6">
        <v>4</v>
      </c>
      <c r="C7" s="8">
        <v>0</v>
      </c>
      <c r="D7" s="58">
        <v>8000</v>
      </c>
      <c r="E7" s="57">
        <f t="shared" si="0"/>
        <v>8000</v>
      </c>
      <c r="F7" s="58">
        <v>8000</v>
      </c>
      <c r="G7" s="122"/>
      <c r="H7" s="113"/>
      <c r="I7" s="113"/>
    </row>
    <row r="8" spans="1:9" x14ac:dyDescent="0.25">
      <c r="A8" s="33" t="s">
        <v>13</v>
      </c>
      <c r="B8" s="10">
        <v>5</v>
      </c>
      <c r="C8" s="9">
        <v>0</v>
      </c>
      <c r="D8" s="58">
        <v>8000</v>
      </c>
      <c r="E8" s="57">
        <f t="shared" si="0"/>
        <v>8000</v>
      </c>
      <c r="F8" s="58">
        <v>8000</v>
      </c>
      <c r="G8" s="122">
        <f t="shared" si="1"/>
        <v>0</v>
      </c>
      <c r="H8" s="113"/>
      <c r="I8" s="113"/>
    </row>
    <row r="9" spans="1:9" x14ac:dyDescent="0.25">
      <c r="A9" s="32" t="s">
        <v>263</v>
      </c>
      <c r="B9" s="10"/>
      <c r="C9" s="9"/>
      <c r="D9" s="58">
        <v>8000</v>
      </c>
      <c r="E9" s="57">
        <v>8000</v>
      </c>
      <c r="F9" s="58">
        <v>8000</v>
      </c>
      <c r="G9" s="122">
        <f t="shared" si="1"/>
        <v>0</v>
      </c>
      <c r="H9" s="113"/>
      <c r="I9" s="113"/>
    </row>
    <row r="10" spans="1:9" x14ac:dyDescent="0.25">
      <c r="A10" s="32" t="s">
        <v>238</v>
      </c>
      <c r="B10" s="10">
        <v>7</v>
      </c>
      <c r="C10" s="9"/>
      <c r="D10" s="58">
        <v>9000</v>
      </c>
      <c r="E10" s="57">
        <v>9000</v>
      </c>
      <c r="F10" s="58">
        <v>9000</v>
      </c>
      <c r="G10" s="12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58">
        <v>10000</v>
      </c>
      <c r="E11" s="57">
        <f t="shared" si="0"/>
        <v>10000</v>
      </c>
      <c r="F11" s="58">
        <v>10000</v>
      </c>
      <c r="G11" s="12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59">
        <v>7000</v>
      </c>
      <c r="E12" s="57">
        <f t="shared" si="0"/>
        <v>7000</v>
      </c>
      <c r="F12" s="59">
        <v>7000</v>
      </c>
      <c r="G12" s="122">
        <f>E12-F12</f>
        <v>0</v>
      </c>
      <c r="H12" s="113"/>
      <c r="I12" s="113"/>
    </row>
    <row r="13" spans="1:9" x14ac:dyDescent="0.25">
      <c r="A13" s="33" t="s">
        <v>262</v>
      </c>
      <c r="B13" s="5"/>
      <c r="C13" s="5"/>
      <c r="D13" s="60">
        <v>15000</v>
      </c>
      <c r="E13" s="57">
        <f t="shared" si="0"/>
        <v>15000</v>
      </c>
      <c r="F13" s="60">
        <v>15000</v>
      </c>
      <c r="G13" s="12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>
        <f>SUM(C4:C13)</f>
        <v>0</v>
      </c>
      <c r="D14" s="99">
        <f>SUM(D4:D13)</f>
        <v>86000</v>
      </c>
      <c r="E14" s="99">
        <f>SUM(E4:E13)</f>
        <v>86000</v>
      </c>
      <c r="F14" s="99">
        <f>SUM(F4:F13)</f>
        <v>86000</v>
      </c>
      <c r="G14" s="122">
        <f>SUM(G4:G13)</f>
        <v>0</v>
      </c>
      <c r="H14" s="113"/>
      <c r="I14" s="113"/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261</v>
      </c>
      <c r="B18" s="176">
        <f>D14</f>
        <v>86000</v>
      </c>
      <c r="C18" s="4"/>
      <c r="D18" s="4"/>
      <c r="E18" s="173" t="s">
        <v>261</v>
      </c>
      <c r="F18" s="176">
        <f>F14</f>
        <v>86000</v>
      </c>
      <c r="G18" s="4"/>
      <c r="H18" s="4"/>
      <c r="I18" s="113"/>
    </row>
    <row r="19" spans="1:9" x14ac:dyDescent="0.25">
      <c r="A19" s="173" t="s">
        <v>233</v>
      </c>
      <c r="B19" s="176">
        <f>DEC!D33</f>
        <v>12243</v>
      </c>
      <c r="C19" s="4"/>
      <c r="D19" s="4"/>
      <c r="E19" s="173" t="s">
        <v>233</v>
      </c>
      <c r="F19" s="176">
        <f>DEC!H33</f>
        <v>12243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7.0000000000000007E-2</v>
      </c>
      <c r="F20" s="176"/>
      <c r="G20" s="4"/>
      <c r="H20" s="4"/>
      <c r="I20" s="113"/>
    </row>
    <row r="21" spans="1:9" x14ac:dyDescent="0.25">
      <c r="A21" s="4"/>
      <c r="B21" s="122">
        <f>SUM(B18:B19)</f>
        <v>98243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7.0000000000000007E-2</v>
      </c>
      <c r="C22" s="122">
        <f>B18*'FEB18'!B22</f>
        <v>8600</v>
      </c>
      <c r="D22" s="4"/>
      <c r="E22" s="174" t="s">
        <v>196</v>
      </c>
      <c r="F22" s="177"/>
      <c r="G22" s="122"/>
      <c r="H22" s="4"/>
      <c r="I22" s="113"/>
    </row>
    <row r="23" spans="1:9" x14ac:dyDescent="0.25">
      <c r="A23" s="113"/>
      <c r="B23" s="122"/>
      <c r="C23" s="122"/>
      <c r="D23" s="4"/>
      <c r="E23" s="113" t="s">
        <v>248</v>
      </c>
      <c r="F23" s="113"/>
      <c r="G23" s="122">
        <f>C22</f>
        <v>8600</v>
      </c>
      <c r="H23" s="4"/>
      <c r="I23" s="113"/>
    </row>
    <row r="24" spans="1:9" x14ac:dyDescent="0.25">
      <c r="A24" s="4"/>
      <c r="B24" s="122"/>
      <c r="C24" s="122"/>
      <c r="D24" s="4"/>
      <c r="E24" s="184"/>
      <c r="F24" s="113"/>
      <c r="G24" s="122"/>
      <c r="H24" s="4"/>
      <c r="I24" s="113"/>
    </row>
    <row r="25" spans="1:9" x14ac:dyDescent="0.25">
      <c r="A25" s="4"/>
      <c r="B25" s="122"/>
      <c r="C25" s="122"/>
      <c r="D25" s="4"/>
      <c r="E25" s="4"/>
      <c r="F25" s="113"/>
      <c r="G25" s="122"/>
      <c r="H25" s="4"/>
      <c r="I25" s="113"/>
    </row>
    <row r="26" spans="1:9" x14ac:dyDescent="0.25">
      <c r="A26" s="4"/>
      <c r="B26" s="122"/>
      <c r="C26" s="122"/>
      <c r="D26" s="4"/>
      <c r="E26" s="184"/>
      <c r="F26" s="122"/>
      <c r="G26" s="122"/>
      <c r="H26" s="4"/>
      <c r="I26" s="113"/>
    </row>
    <row r="27" spans="1:9" x14ac:dyDescent="0.25">
      <c r="A27" s="180" t="s">
        <v>196</v>
      </c>
      <c r="B27" s="177"/>
      <c r="C27" s="122"/>
      <c r="D27" s="4"/>
      <c r="E27" s="185"/>
      <c r="F27" s="177"/>
      <c r="G27" s="122"/>
      <c r="H27" s="4"/>
      <c r="I27" s="113"/>
    </row>
    <row r="28" spans="1:9" x14ac:dyDescent="0.25">
      <c r="A28" s="181" t="s">
        <v>178</v>
      </c>
      <c r="B28" s="178"/>
      <c r="C28" s="4"/>
      <c r="D28" s="4"/>
      <c r="E28" s="181" t="s">
        <v>178</v>
      </c>
      <c r="F28" s="178"/>
      <c r="G28" s="4"/>
      <c r="H28" s="4"/>
      <c r="I28" s="113"/>
    </row>
    <row r="29" spans="1:9" x14ac:dyDescent="0.25">
      <c r="A29" s="187">
        <v>43111</v>
      </c>
      <c r="B29" s="178"/>
      <c r="C29" s="113">
        <v>20100</v>
      </c>
      <c r="D29" s="4"/>
      <c r="E29" s="187">
        <v>43111</v>
      </c>
      <c r="F29" s="178"/>
      <c r="G29" s="113">
        <v>20100</v>
      </c>
      <c r="H29" s="4"/>
      <c r="I29" s="113"/>
    </row>
    <row r="30" spans="1:9" x14ac:dyDescent="0.25">
      <c r="A30" s="187">
        <v>43113</v>
      </c>
      <c r="B30" s="178"/>
      <c r="C30" s="179">
        <v>40000</v>
      </c>
      <c r="D30" s="4"/>
      <c r="E30" s="187">
        <v>43113</v>
      </c>
      <c r="F30" s="178"/>
      <c r="G30" s="179">
        <v>40000</v>
      </c>
      <c r="H30" s="4"/>
      <c r="I30" s="113"/>
    </row>
    <row r="31" spans="1:9" x14ac:dyDescent="0.25">
      <c r="A31" s="187">
        <v>43119</v>
      </c>
      <c r="B31" s="178"/>
      <c r="C31" s="179">
        <v>20000</v>
      </c>
      <c r="D31" s="4"/>
      <c r="E31" s="187">
        <v>43119</v>
      </c>
      <c r="F31" s="178"/>
      <c r="G31" s="179">
        <v>20000</v>
      </c>
      <c r="H31" s="4"/>
      <c r="I31" s="113"/>
    </row>
    <row r="32" spans="1:9" x14ac:dyDescent="0.25">
      <c r="A32" s="183"/>
      <c r="B32" s="178"/>
      <c r="C32" s="179"/>
      <c r="D32" s="4"/>
      <c r="E32" s="183"/>
      <c r="F32" s="178"/>
      <c r="G32" s="179"/>
      <c r="H32" s="4"/>
      <c r="I32" s="113"/>
    </row>
    <row r="33" spans="1:9" x14ac:dyDescent="0.25">
      <c r="A33" s="174" t="s">
        <v>3</v>
      </c>
      <c r="B33" s="89">
        <f>B21</f>
        <v>98243</v>
      </c>
      <c r="C33" s="122">
        <f>SUM(C22:C32)</f>
        <v>88700</v>
      </c>
      <c r="D33" s="122">
        <f>B33-C33</f>
        <v>9543</v>
      </c>
      <c r="E33" s="174" t="s">
        <v>3</v>
      </c>
      <c r="F33" s="89">
        <f>F18+F19</f>
        <v>98243</v>
      </c>
      <c r="G33" s="122">
        <f>SUM(G23:G32)</f>
        <v>88700</v>
      </c>
      <c r="H33" s="122">
        <f>F33-G33</f>
        <v>9543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179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3" t="s">
        <v>42</v>
      </c>
      <c r="D36" s="3" t="s">
        <v>217</v>
      </c>
      <c r="E36" s="68" t="s">
        <v>230</v>
      </c>
      <c r="F36" s="68"/>
      <c r="G36" s="3" t="s">
        <v>42</v>
      </c>
      <c r="H36" s="3" t="s">
        <v>217</v>
      </c>
      <c r="I36" s="113"/>
    </row>
    <row r="37" spans="1:9" x14ac:dyDescent="0.25">
      <c r="A37" s="3" t="s">
        <v>231</v>
      </c>
      <c r="B37" s="3"/>
      <c r="C37" s="3" t="s">
        <v>45</v>
      </c>
      <c r="D37" s="3"/>
      <c r="E37" s="3" t="s">
        <v>231</v>
      </c>
      <c r="F37" s="3"/>
      <c r="G37" s="3" t="s">
        <v>45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</sheetData>
  <pageMargins left="0.7" right="0.7" top="0.75" bottom="0.75" header="0.3" footer="0.3"/>
  <pageSetup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" workbookViewId="0">
      <selection activeCell="A4" sqref="A4"/>
    </sheetView>
  </sheetViews>
  <sheetFormatPr defaultRowHeight="15" x14ac:dyDescent="0.25"/>
  <cols>
    <col min="1" max="1" width="15.140625" customWidth="1"/>
    <col min="2" max="2" width="11.7109375" customWidth="1"/>
    <col min="3" max="3" width="9.85546875" customWidth="1"/>
    <col min="4" max="4" width="11.42578125" customWidth="1"/>
    <col min="5" max="5" width="12.5703125" customWidth="1"/>
    <col min="6" max="6" width="10.42578125" customWidth="1"/>
    <col min="7" max="7" width="10.85546875" customWidth="1"/>
    <col min="8" max="8" width="10.28515625" customWidth="1"/>
  </cols>
  <sheetData>
    <row r="1" spans="1:8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</row>
    <row r="2" spans="1:8" ht="21" x14ac:dyDescent="0.35">
      <c r="A2" s="65" t="s">
        <v>271</v>
      </c>
      <c r="B2" s="77"/>
      <c r="C2" s="77"/>
      <c r="D2" s="157"/>
      <c r="E2" s="77"/>
      <c r="F2" s="77"/>
      <c r="G2" s="27"/>
      <c r="H2" s="113"/>
    </row>
    <row r="3" spans="1:8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</row>
    <row r="4" spans="1:8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57">
        <v>8000</v>
      </c>
      <c r="G4" s="192">
        <f>E4-F4</f>
        <v>0</v>
      </c>
      <c r="H4" s="113"/>
    </row>
    <row r="5" spans="1:8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57">
        <v>7000</v>
      </c>
      <c r="G5" s="192">
        <f t="shared" ref="G5:G13" si="1">E5-F5</f>
        <v>0</v>
      </c>
      <c r="H5" s="113"/>
    </row>
    <row r="6" spans="1:8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58">
        <v>6000</v>
      </c>
      <c r="G6" s="192">
        <f t="shared" si="1"/>
        <v>0</v>
      </c>
      <c r="H6" s="113"/>
    </row>
    <row r="7" spans="1:8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58">
        <v>8000</v>
      </c>
      <c r="G7" s="192"/>
      <c r="H7" s="113"/>
    </row>
    <row r="8" spans="1:8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58">
        <v>8000</v>
      </c>
      <c r="G8" s="192">
        <f t="shared" si="1"/>
        <v>0</v>
      </c>
      <c r="H8" s="113"/>
    </row>
    <row r="9" spans="1:8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58">
        <v>8000</v>
      </c>
      <c r="G9" s="192">
        <f t="shared" si="1"/>
        <v>0</v>
      </c>
      <c r="H9" s="113"/>
    </row>
    <row r="10" spans="1:8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58">
        <v>9000</v>
      </c>
      <c r="G10" s="192">
        <f t="shared" si="1"/>
        <v>0</v>
      </c>
      <c r="H10" s="113"/>
    </row>
    <row r="11" spans="1:8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58">
        <v>10000</v>
      </c>
      <c r="G11" s="192">
        <f>E11-F11</f>
        <v>0</v>
      </c>
      <c r="H11" s="113"/>
    </row>
    <row r="12" spans="1:8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59">
        <v>7000</v>
      </c>
      <c r="G12" s="192">
        <f>E12-F12</f>
        <v>0</v>
      </c>
      <c r="H12" s="113"/>
    </row>
    <row r="13" spans="1:8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60">
        <v>15000</v>
      </c>
      <c r="G13" s="192">
        <f t="shared" si="1"/>
        <v>0</v>
      </c>
      <c r="H13" s="113"/>
    </row>
    <row r="14" spans="1:8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99">
        <f>SUM(F4:F13)</f>
        <v>86000</v>
      </c>
      <c r="G14" s="192">
        <f>SUM(G4:G13)</f>
        <v>0</v>
      </c>
      <c r="H14" s="113"/>
    </row>
    <row r="15" spans="1:8" x14ac:dyDescent="0.25">
      <c r="A15" s="113"/>
      <c r="B15" s="113"/>
      <c r="C15" s="113"/>
      <c r="D15" s="113"/>
      <c r="E15" s="113"/>
      <c r="F15" s="113"/>
      <c r="G15" s="113"/>
      <c r="H15" s="113"/>
    </row>
    <row r="16" spans="1:8" x14ac:dyDescent="0.25">
      <c r="A16" s="170" t="s">
        <v>184</v>
      </c>
      <c r="B16" s="113"/>
      <c r="C16" s="47"/>
      <c r="D16" s="151"/>
      <c r="E16" s="113"/>
      <c r="F16" s="171"/>
      <c r="G16" s="48"/>
      <c r="H16" s="113"/>
    </row>
    <row r="17" spans="1:8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</row>
    <row r="18" spans="1:8" x14ac:dyDescent="0.25">
      <c r="A18" s="173" t="s">
        <v>266</v>
      </c>
      <c r="B18" s="194">
        <f>D14</f>
        <v>86000</v>
      </c>
      <c r="C18" s="192"/>
      <c r="D18" s="4"/>
      <c r="E18" s="173" t="s">
        <v>266</v>
      </c>
      <c r="F18" s="194">
        <f>F14</f>
        <v>86000</v>
      </c>
      <c r="G18" s="4"/>
      <c r="H18" s="4"/>
    </row>
    <row r="19" spans="1:8" x14ac:dyDescent="0.25">
      <c r="A19" s="173" t="s">
        <v>233</v>
      </c>
      <c r="B19" s="194">
        <f>'JAN '!D33</f>
        <v>9543</v>
      </c>
      <c r="C19" s="192"/>
      <c r="D19" s="4"/>
      <c r="E19" s="173" t="s">
        <v>233</v>
      </c>
      <c r="F19" s="194">
        <f>'JAN '!H33</f>
        <v>9543</v>
      </c>
      <c r="G19" s="4"/>
      <c r="H19" s="4"/>
    </row>
    <row r="20" spans="1:8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</row>
    <row r="21" spans="1:8" x14ac:dyDescent="0.25">
      <c r="A21" s="4"/>
      <c r="B21" s="122"/>
      <c r="C21" s="4"/>
      <c r="D21" s="4"/>
      <c r="E21" s="177"/>
      <c r="F21" s="122"/>
      <c r="G21" s="4"/>
      <c r="H21" s="4"/>
    </row>
    <row r="22" spans="1:8" x14ac:dyDescent="0.25">
      <c r="A22" s="4" t="s">
        <v>190</v>
      </c>
      <c r="B22" s="177">
        <v>0.1</v>
      </c>
      <c r="C22" s="192">
        <f>B18*B22</f>
        <v>8600</v>
      </c>
      <c r="D22" s="4"/>
      <c r="F22" s="177"/>
      <c r="G22" s="122"/>
      <c r="H22" s="4"/>
    </row>
    <row r="23" spans="1:8" x14ac:dyDescent="0.25">
      <c r="A23" s="113"/>
      <c r="B23" s="122"/>
      <c r="C23" s="122"/>
      <c r="D23" s="4"/>
      <c r="E23" s="4" t="s">
        <v>248</v>
      </c>
      <c r="F23" s="4"/>
      <c r="G23" s="192">
        <f>B22*B18</f>
        <v>8600</v>
      </c>
      <c r="H23" s="4"/>
    </row>
    <row r="24" spans="1:8" x14ac:dyDescent="0.25">
      <c r="A24" s="4"/>
      <c r="B24" s="122"/>
      <c r="C24" s="122"/>
      <c r="D24" s="4"/>
      <c r="E24" s="184"/>
      <c r="F24" s="4"/>
      <c r="G24" s="122"/>
      <c r="H24" s="4"/>
    </row>
    <row r="25" spans="1:8" x14ac:dyDescent="0.25">
      <c r="A25" s="4"/>
      <c r="B25" s="122"/>
      <c r="C25" s="122"/>
      <c r="D25" s="4"/>
      <c r="E25" s="4"/>
      <c r="F25" s="4"/>
      <c r="G25" s="122"/>
      <c r="H25" s="4"/>
    </row>
    <row r="26" spans="1:8" x14ac:dyDescent="0.25">
      <c r="A26" s="4"/>
      <c r="B26" s="122"/>
      <c r="C26" s="122"/>
      <c r="D26" s="4"/>
      <c r="E26" s="184"/>
      <c r="F26" s="122"/>
      <c r="G26" s="122"/>
      <c r="H26" s="4"/>
    </row>
    <row r="27" spans="1:8" x14ac:dyDescent="0.25">
      <c r="A27" s="180" t="s">
        <v>196</v>
      </c>
      <c r="B27" s="177"/>
      <c r="C27" s="122"/>
      <c r="D27" s="4"/>
      <c r="E27" s="180" t="s">
        <v>196</v>
      </c>
      <c r="F27" s="177"/>
      <c r="G27" s="122"/>
      <c r="H27" s="4"/>
    </row>
    <row r="28" spans="1:8" x14ac:dyDescent="0.25">
      <c r="A28" s="187">
        <v>43139</v>
      </c>
      <c r="B28" s="178"/>
      <c r="C28" s="4">
        <v>20100</v>
      </c>
      <c r="D28" s="4"/>
      <c r="E28" s="187">
        <v>43139</v>
      </c>
      <c r="F28" s="178"/>
      <c r="G28" s="4">
        <v>20100</v>
      </c>
      <c r="H28" s="4"/>
    </row>
    <row r="29" spans="1:8" x14ac:dyDescent="0.25">
      <c r="A29" s="187">
        <v>43143</v>
      </c>
      <c r="B29" s="178"/>
      <c r="C29" s="113">
        <v>50110</v>
      </c>
      <c r="D29" s="4"/>
      <c r="E29" s="187">
        <v>43143</v>
      </c>
      <c r="F29" s="178"/>
      <c r="G29" s="113">
        <v>50110</v>
      </c>
      <c r="H29" s="4"/>
    </row>
    <row r="30" spans="1:8" x14ac:dyDescent="0.25">
      <c r="A30" s="187" t="s">
        <v>272</v>
      </c>
      <c r="B30" s="178"/>
      <c r="C30" s="179">
        <v>522</v>
      </c>
      <c r="D30" s="4"/>
      <c r="E30" s="187" t="s">
        <v>272</v>
      </c>
      <c r="F30" s="178"/>
      <c r="G30" s="179">
        <v>522</v>
      </c>
      <c r="H30" s="202">
        <f>G28+G29+G30+G31+G32</f>
        <v>72432</v>
      </c>
    </row>
    <row r="31" spans="1:8" x14ac:dyDescent="0.25">
      <c r="A31" s="187" t="s">
        <v>274</v>
      </c>
      <c r="B31" s="178"/>
      <c r="C31" s="179">
        <v>1700</v>
      </c>
      <c r="D31" s="4"/>
      <c r="E31" s="187" t="s">
        <v>274</v>
      </c>
      <c r="F31" s="178"/>
      <c r="G31" s="179">
        <v>1700</v>
      </c>
      <c r="H31" s="4"/>
    </row>
    <row r="32" spans="1:8" x14ac:dyDescent="0.25">
      <c r="A32" s="201"/>
      <c r="B32" s="178"/>
      <c r="C32" s="179"/>
      <c r="D32" s="4"/>
      <c r="E32" s="201"/>
      <c r="F32" s="178"/>
      <c r="G32" s="179"/>
      <c r="H32" s="4"/>
    </row>
    <row r="33" spans="1:8" x14ac:dyDescent="0.25">
      <c r="A33" s="174" t="s">
        <v>3</v>
      </c>
      <c r="B33" s="193">
        <f>B18+B19</f>
        <v>95543</v>
      </c>
      <c r="C33" s="192">
        <f>SUM(C22:C32)</f>
        <v>81032</v>
      </c>
      <c r="D33" s="192">
        <f>B33-C33</f>
        <v>14511</v>
      </c>
      <c r="E33" s="174" t="s">
        <v>3</v>
      </c>
      <c r="F33" s="193">
        <f>F18+F19</f>
        <v>95543</v>
      </c>
      <c r="G33" s="192">
        <f>SUM(G23:G32)</f>
        <v>81032</v>
      </c>
      <c r="H33" s="192">
        <f>F33-G33</f>
        <v>14511</v>
      </c>
    </row>
    <row r="34" spans="1:8" x14ac:dyDescent="0.25">
      <c r="A34" s="189"/>
      <c r="B34" s="190"/>
      <c r="C34" s="191"/>
      <c r="D34" s="191"/>
      <c r="E34" s="189"/>
      <c r="F34" s="190"/>
      <c r="G34" s="191"/>
      <c r="H34" s="191"/>
    </row>
    <row r="35" spans="1:8" x14ac:dyDescent="0.25">
      <c r="A35" s="189"/>
      <c r="B35" s="190"/>
      <c r="C35" s="200"/>
      <c r="D35" s="191"/>
      <c r="E35" s="189"/>
      <c r="F35" s="190"/>
      <c r="G35" s="191"/>
      <c r="H35" s="191"/>
    </row>
    <row r="36" spans="1:8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</row>
    <row r="37" spans="1:8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</row>
    <row r="38" spans="1:8" x14ac:dyDescent="0.25">
      <c r="A38" s="113"/>
      <c r="B38" s="113"/>
      <c r="C38" s="113"/>
      <c r="D38" s="113"/>
      <c r="E38" s="113"/>
      <c r="F38" s="113"/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</sheetData>
  <pageMargins left="0.25" right="0.25" top="0.75" bottom="0.75" header="0.3" footer="0.3"/>
  <pageSetup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D33" sqref="D33"/>
    </sheetView>
  </sheetViews>
  <sheetFormatPr defaultRowHeight="15" x14ac:dyDescent="0.25"/>
  <cols>
    <col min="1" max="1" width="13.85546875" customWidth="1"/>
    <col min="3" max="3" width="10.5703125" bestFit="1" customWidth="1"/>
    <col min="5" max="5" width="12.140625" customWidth="1"/>
    <col min="7" max="7" width="10.8554687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276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57">
        <v>8000</v>
      </c>
      <c r="G4" s="192">
        <f>E4-F4</f>
        <v>0</v>
      </c>
      <c r="H4" s="113"/>
      <c r="I4" s="113"/>
    </row>
    <row r="5" spans="1:9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57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58">
        <v>6000</v>
      </c>
      <c r="G6" s="192">
        <f t="shared" si="1"/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58">
        <v>8000</v>
      </c>
      <c r="G7" s="192"/>
      <c r="H7" s="113"/>
      <c r="I7" s="113"/>
    </row>
    <row r="8" spans="1:9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58">
        <v>8000</v>
      </c>
      <c r="G8" s="192">
        <f t="shared" si="1"/>
        <v>0</v>
      </c>
      <c r="H8" s="113"/>
      <c r="I8" s="113"/>
    </row>
    <row r="9" spans="1:9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58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58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58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59">
        <v>7000</v>
      </c>
      <c r="G12" s="192">
        <f>E12-F12</f>
        <v>0</v>
      </c>
      <c r="H12" s="113"/>
      <c r="I12" s="113"/>
    </row>
    <row r="13" spans="1:9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60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99">
        <f>SUM(F4:F13)</f>
        <v>86000</v>
      </c>
      <c r="G14" s="192">
        <f>SUM(G4:G13)</f>
        <v>0</v>
      </c>
      <c r="H14" s="113"/>
      <c r="I14" s="113"/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275</v>
      </c>
      <c r="B18" s="194">
        <f>D14</f>
        <v>86000</v>
      </c>
      <c r="C18" s="192"/>
      <c r="D18" s="4"/>
      <c r="E18" s="173" t="s">
        <v>275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'FEB18'!D33</f>
        <v>14511</v>
      </c>
      <c r="C19" s="192"/>
      <c r="D19" s="4"/>
      <c r="E19" s="173" t="s">
        <v>233</v>
      </c>
      <c r="F19" s="194">
        <f>'FEB18'!H33</f>
        <v>14511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22"/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9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9" x14ac:dyDescent="0.25">
      <c r="A26" s="184">
        <v>43161</v>
      </c>
      <c r="B26" s="122"/>
      <c r="C26" s="192">
        <v>15095</v>
      </c>
      <c r="D26" s="4"/>
      <c r="E26" s="184">
        <v>43161</v>
      </c>
      <c r="F26" s="122"/>
      <c r="G26" s="192">
        <v>15095</v>
      </c>
      <c r="H26" s="4"/>
      <c r="I26" s="113"/>
    </row>
    <row r="27" spans="1:9" x14ac:dyDescent="0.25">
      <c r="A27" s="184">
        <v>43167</v>
      </c>
      <c r="B27" s="177"/>
      <c r="C27" s="192">
        <v>20100</v>
      </c>
      <c r="D27" s="4"/>
      <c r="E27" s="184">
        <v>43167</v>
      </c>
      <c r="F27" s="177"/>
      <c r="G27" s="192">
        <v>20100</v>
      </c>
      <c r="H27" s="4"/>
      <c r="I27" s="113"/>
    </row>
    <row r="28" spans="1:9" x14ac:dyDescent="0.25">
      <c r="A28" s="187">
        <v>43171</v>
      </c>
      <c r="B28" s="178"/>
      <c r="C28" s="4">
        <v>30100</v>
      </c>
      <c r="D28" s="4"/>
      <c r="E28" s="187">
        <v>43171</v>
      </c>
      <c r="F28" s="178"/>
      <c r="G28" s="4">
        <v>30100</v>
      </c>
      <c r="H28" s="4"/>
      <c r="I28" s="113"/>
    </row>
    <row r="29" spans="1:9" x14ac:dyDescent="0.25">
      <c r="A29" s="187">
        <v>43178</v>
      </c>
      <c r="B29" s="178"/>
      <c r="C29" s="4">
        <v>10000</v>
      </c>
      <c r="D29" s="4"/>
      <c r="E29" s="187">
        <v>43178</v>
      </c>
      <c r="F29" s="178"/>
      <c r="G29" s="4">
        <v>10000</v>
      </c>
      <c r="H29" s="4"/>
      <c r="I29" s="113"/>
    </row>
    <row r="30" spans="1:9" x14ac:dyDescent="0.25">
      <c r="A30" s="187"/>
      <c r="B30" s="178"/>
      <c r="C30" s="179"/>
      <c r="D30" s="4"/>
      <c r="E30" s="187"/>
      <c r="F30" s="178"/>
      <c r="G30" s="179"/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100511</v>
      </c>
      <c r="C33" s="192">
        <f>SUM(C22:C32)</f>
        <v>83895</v>
      </c>
      <c r="D33" s="192">
        <f>B33-C33</f>
        <v>16616</v>
      </c>
      <c r="E33" s="174" t="s">
        <v>3</v>
      </c>
      <c r="F33" s="193">
        <f>F18+F19</f>
        <v>100511</v>
      </c>
      <c r="G33" s="192">
        <f>SUM(G22:G32)</f>
        <v>83895</v>
      </c>
      <c r="H33" s="192">
        <f>F33-G33</f>
        <v>16616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  <row r="39" spans="1:9" x14ac:dyDescent="0.25">
      <c r="A39" s="113"/>
      <c r="B39" s="113"/>
      <c r="C39" s="113"/>
      <c r="D39" s="113"/>
      <c r="E39" s="113"/>
      <c r="F39" s="113"/>
      <c r="G39" s="113"/>
      <c r="H39" s="113"/>
      <c r="I39" s="113"/>
    </row>
    <row r="40" spans="1:9" x14ac:dyDescent="0.25">
      <c r="A40" s="113"/>
      <c r="B40" s="113"/>
      <c r="C40" s="113"/>
      <c r="D40" s="113"/>
      <c r="E40" s="113"/>
      <c r="F40" s="113"/>
      <c r="G40" s="113"/>
      <c r="H40" s="113"/>
      <c r="I40" s="113"/>
    </row>
  </sheetData>
  <pageMargins left="0.25" right="0.25" top="0.75" bottom="0.75" header="0.3" footer="0.3"/>
  <pageSetup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28" sqref="C28"/>
    </sheetView>
  </sheetViews>
  <sheetFormatPr defaultRowHeight="15" x14ac:dyDescent="0.25"/>
  <cols>
    <col min="1" max="1" width="14.5703125" customWidth="1"/>
    <col min="2" max="2" width="11.85546875" customWidth="1"/>
    <col min="5" max="5" width="11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</row>
    <row r="2" spans="1:9" ht="21" x14ac:dyDescent="0.35">
      <c r="A2" s="65" t="s">
        <v>277</v>
      </c>
      <c r="B2" s="77"/>
      <c r="C2" s="77"/>
      <c r="D2" s="157"/>
      <c r="E2" s="77"/>
      <c r="F2" s="77"/>
      <c r="G2" s="27"/>
      <c r="H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</row>
    <row r="5" spans="1:9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</row>
    <row r="6" spans="1:9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</row>
    <row r="8" spans="1:9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</row>
    <row r="9" spans="1:9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</row>
    <row r="13" spans="1:9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</row>
    <row r="17" spans="1:8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</row>
    <row r="18" spans="1:8" x14ac:dyDescent="0.25">
      <c r="A18" s="173" t="s">
        <v>278</v>
      </c>
      <c r="B18" s="194">
        <f>D14</f>
        <v>86000</v>
      </c>
      <c r="C18" s="192"/>
      <c r="D18" s="4"/>
      <c r="E18" s="173" t="s">
        <v>278</v>
      </c>
      <c r="F18" s="194">
        <f>F14</f>
        <v>86000</v>
      </c>
      <c r="G18" s="4"/>
      <c r="H18" s="4"/>
    </row>
    <row r="19" spans="1:8" x14ac:dyDescent="0.25">
      <c r="A19" s="173" t="s">
        <v>233</v>
      </c>
      <c r="B19" s="194">
        <f>'MAR 18'!D33</f>
        <v>16616</v>
      </c>
      <c r="C19" s="192"/>
      <c r="D19" s="4"/>
      <c r="E19" s="173" t="s">
        <v>233</v>
      </c>
      <c r="F19" s="194">
        <f>'MAR 18'!H33</f>
        <v>16616</v>
      </c>
      <c r="G19" s="4"/>
      <c r="H19" s="4"/>
    </row>
    <row r="20" spans="1:8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</row>
    <row r="21" spans="1:8" x14ac:dyDescent="0.25">
      <c r="A21" s="4"/>
      <c r="B21" s="122">
        <f>SUM(B18:B20)</f>
        <v>102616</v>
      </c>
      <c r="C21" s="4"/>
      <c r="D21" s="4"/>
      <c r="E21" s="177"/>
      <c r="F21" s="122"/>
      <c r="G21" s="4"/>
      <c r="H21" s="4"/>
    </row>
    <row r="22" spans="1:8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</row>
    <row r="23" spans="1:8" x14ac:dyDescent="0.25">
      <c r="A23" s="4"/>
      <c r="B23" s="122"/>
      <c r="C23" s="122"/>
      <c r="D23" s="4"/>
      <c r="E23" s="4"/>
      <c r="F23" s="4"/>
      <c r="G23" s="4"/>
      <c r="H23" s="4"/>
    </row>
    <row r="24" spans="1:8" x14ac:dyDescent="0.25">
      <c r="A24" s="4"/>
      <c r="B24" s="122"/>
      <c r="C24" s="122"/>
      <c r="D24" s="4"/>
      <c r="E24" s="184"/>
      <c r="F24" s="4"/>
      <c r="G24" s="122"/>
      <c r="H24" s="4"/>
    </row>
    <row r="25" spans="1:8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</row>
    <row r="26" spans="1:8" x14ac:dyDescent="0.25">
      <c r="A26" s="184">
        <v>43200</v>
      </c>
      <c r="B26" s="177"/>
      <c r="C26" s="192">
        <v>30300</v>
      </c>
      <c r="D26" s="4"/>
      <c r="E26" s="184">
        <v>43200</v>
      </c>
      <c r="F26" s="177"/>
      <c r="G26" s="192">
        <v>30300</v>
      </c>
      <c r="H26" s="4"/>
    </row>
    <row r="27" spans="1:8" x14ac:dyDescent="0.25">
      <c r="A27" s="187">
        <v>43199</v>
      </c>
      <c r="B27" s="178"/>
      <c r="C27" s="4">
        <v>42110</v>
      </c>
      <c r="D27" s="4"/>
      <c r="E27" s="187">
        <v>43199</v>
      </c>
      <c r="F27" s="178"/>
      <c r="G27" s="4">
        <v>42110</v>
      </c>
      <c r="H27" s="4"/>
    </row>
    <row r="28" spans="1:8" x14ac:dyDescent="0.25">
      <c r="H28" s="4"/>
    </row>
    <row r="29" spans="1:8" x14ac:dyDescent="0.25">
      <c r="A29" s="187"/>
      <c r="B29" s="178"/>
      <c r="C29" s="4"/>
      <c r="D29" s="4"/>
      <c r="E29" s="187"/>
      <c r="F29" s="178"/>
      <c r="G29" s="4"/>
      <c r="H29" s="4"/>
    </row>
    <row r="30" spans="1:8" x14ac:dyDescent="0.25">
      <c r="A30" s="187"/>
      <c r="B30" s="178"/>
      <c r="C30" s="179"/>
      <c r="D30" s="4"/>
      <c r="E30" s="187"/>
      <c r="F30" s="178"/>
      <c r="G30" s="179"/>
      <c r="H30" s="4"/>
    </row>
    <row r="31" spans="1:8" x14ac:dyDescent="0.25">
      <c r="A31" s="187"/>
      <c r="B31" s="178"/>
      <c r="C31" s="179"/>
      <c r="D31" s="4"/>
      <c r="E31" s="187"/>
      <c r="F31" s="178"/>
      <c r="G31" s="179"/>
      <c r="H31" s="4"/>
    </row>
    <row r="32" spans="1:8" x14ac:dyDescent="0.25">
      <c r="A32" s="187"/>
      <c r="B32" s="178"/>
      <c r="C32" s="179"/>
      <c r="D32" s="4"/>
      <c r="E32" s="187"/>
      <c r="F32" s="178"/>
      <c r="G32" s="179"/>
      <c r="H32" s="4"/>
    </row>
    <row r="33" spans="1:8" x14ac:dyDescent="0.25">
      <c r="A33" s="174" t="s">
        <v>3</v>
      </c>
      <c r="B33" s="193">
        <f>B18+B19</f>
        <v>102616</v>
      </c>
      <c r="C33" s="192">
        <f>SUM(C22:C32)</f>
        <v>81010</v>
      </c>
      <c r="D33" s="192">
        <f>B33-C33</f>
        <v>21606</v>
      </c>
      <c r="E33" s="174" t="s">
        <v>3</v>
      </c>
      <c r="F33" s="193">
        <f>F18+F19</f>
        <v>102616</v>
      </c>
      <c r="G33" s="192">
        <f>SUM(G22:G32)</f>
        <v>81010</v>
      </c>
      <c r="H33" s="192">
        <f>F33-G33</f>
        <v>21606</v>
      </c>
    </row>
    <row r="34" spans="1:8" x14ac:dyDescent="0.25">
      <c r="A34" s="189"/>
      <c r="B34" s="190"/>
      <c r="C34" s="191"/>
      <c r="D34" s="191"/>
      <c r="E34" s="189"/>
      <c r="F34" s="190"/>
      <c r="G34" s="191"/>
      <c r="H34" s="191"/>
    </row>
    <row r="35" spans="1:8" x14ac:dyDescent="0.25">
      <c r="A35" s="189"/>
      <c r="B35" s="190"/>
      <c r="C35" s="200"/>
      <c r="D35" s="191"/>
      <c r="E35" s="189"/>
      <c r="F35" s="190"/>
      <c r="G35" s="191"/>
      <c r="H35" s="191"/>
    </row>
    <row r="36" spans="1:8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</row>
    <row r="37" spans="1:8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</row>
    <row r="38" spans="1:8" x14ac:dyDescent="0.25">
      <c r="A38" s="113"/>
      <c r="B38" s="113"/>
      <c r="C38" s="113"/>
      <c r="D38" s="113"/>
      <c r="E38" s="113"/>
      <c r="F38" s="113"/>
      <c r="G38" s="113"/>
      <c r="H38" s="11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4" workbookViewId="0">
      <selection activeCell="P26" sqref="P26"/>
    </sheetView>
  </sheetViews>
  <sheetFormatPr defaultRowHeight="15" x14ac:dyDescent="0.25"/>
  <cols>
    <col min="1" max="1" width="15.28515625" customWidth="1"/>
    <col min="2" max="2" width="3.5703125" customWidth="1"/>
    <col min="6" max="6" width="7.85546875" customWidth="1"/>
    <col min="7" max="7" width="16.7109375" customWidth="1"/>
    <col min="8" max="8" width="12.85546875" customWidth="1"/>
    <col min="9" max="9" width="12.42578125" customWidth="1"/>
    <col min="10" max="10" width="7.85546875" customWidth="1"/>
    <col min="12" max="12" width="6.42578125" customWidth="1"/>
    <col min="13" max="13" width="10" bestFit="1" customWidth="1"/>
  </cols>
  <sheetData>
    <row r="1" spans="1:14" ht="28.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  <c r="N1" s="2"/>
    </row>
    <row r="2" spans="1:14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  <c r="N2" s="2"/>
    </row>
    <row r="3" spans="1:14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  <c r="N4" s="2"/>
    </row>
    <row r="5" spans="1:14" ht="16.5" customHeight="1" x14ac:dyDescent="0.25">
      <c r="A5" s="79"/>
      <c r="B5" s="79"/>
      <c r="C5" s="80" t="s">
        <v>50</v>
      </c>
      <c r="D5" s="79"/>
      <c r="E5" s="79"/>
      <c r="F5" s="79"/>
      <c r="G5" s="79"/>
      <c r="H5" s="79"/>
      <c r="I5" s="79"/>
      <c r="J5" s="91" t="s">
        <v>28</v>
      </c>
      <c r="K5" s="79"/>
      <c r="L5" s="79"/>
      <c r="M5" s="79"/>
      <c r="N5" s="79"/>
    </row>
    <row r="6" spans="1:14" ht="18" customHeight="1" x14ac:dyDescent="0.25">
      <c r="A6" s="74"/>
      <c r="B6" s="74"/>
      <c r="C6" s="74"/>
      <c r="D6" s="77"/>
      <c r="E6" s="77"/>
      <c r="F6" s="78" t="s">
        <v>85</v>
      </c>
      <c r="G6" s="77"/>
      <c r="H6" s="77"/>
      <c r="I6" s="77"/>
      <c r="J6" s="77"/>
      <c r="K6" s="77"/>
      <c r="L6" s="74"/>
      <c r="M6" s="74"/>
      <c r="N6" s="74"/>
    </row>
    <row r="7" spans="1:14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  <c r="N7" s="2"/>
    </row>
    <row r="8" spans="1:14" ht="12.95" customHeight="1" x14ac:dyDescent="0.25">
      <c r="A8" s="39" t="s">
        <v>80</v>
      </c>
      <c r="B8" s="36">
        <v>1</v>
      </c>
      <c r="C8" s="36"/>
      <c r="D8" s="37"/>
      <c r="E8" s="37"/>
      <c r="F8" s="36">
        <v>9000</v>
      </c>
      <c r="G8" s="57">
        <v>9000</v>
      </c>
      <c r="H8" s="57">
        <v>18000</v>
      </c>
      <c r="I8" s="57">
        <v>18000</v>
      </c>
      <c r="J8" s="57"/>
      <c r="K8" s="37"/>
      <c r="L8" s="37"/>
      <c r="M8" s="86"/>
      <c r="N8" s="2"/>
    </row>
    <row r="9" spans="1:14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/>
      <c r="J9" s="57"/>
      <c r="K9" s="37"/>
      <c r="L9" s="37"/>
      <c r="M9" s="87">
        <v>7000</v>
      </c>
      <c r="N9" s="2"/>
    </row>
    <row r="10" spans="1:14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  <c r="N10" s="2"/>
    </row>
    <row r="11" spans="1:14" ht="12.95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/>
      <c r="H11" s="58">
        <v>7000</v>
      </c>
      <c r="I11" s="58"/>
      <c r="J11" s="58"/>
      <c r="K11" s="9"/>
      <c r="L11" s="9"/>
      <c r="M11" s="88">
        <v>7000</v>
      </c>
      <c r="N11" s="2"/>
    </row>
    <row r="12" spans="1:14" ht="12.95" customHeight="1" x14ac:dyDescent="0.25">
      <c r="A12" s="32" t="s">
        <v>83</v>
      </c>
      <c r="B12" s="10">
        <v>5</v>
      </c>
      <c r="C12" s="11" t="s">
        <v>70</v>
      </c>
      <c r="D12" s="9">
        <v>9000</v>
      </c>
      <c r="E12" s="11"/>
      <c r="F12" s="9"/>
      <c r="G12" s="58">
        <v>9000</v>
      </c>
      <c r="H12" s="58">
        <v>9000</v>
      </c>
      <c r="I12" s="58">
        <v>9000</v>
      </c>
      <c r="J12" s="92" t="s">
        <v>82</v>
      </c>
      <c r="K12" s="9"/>
      <c r="L12" s="9"/>
      <c r="M12" s="88"/>
      <c r="N12" s="2"/>
    </row>
    <row r="13" spans="1:14" ht="12.95" customHeight="1" x14ac:dyDescent="0.25">
      <c r="A13" s="33" t="s">
        <v>13</v>
      </c>
      <c r="B13" s="10">
        <v>7</v>
      </c>
      <c r="C13" s="11" t="s">
        <v>81</v>
      </c>
      <c r="D13" s="9"/>
      <c r="E13" s="11" t="s">
        <v>81</v>
      </c>
      <c r="F13" s="9"/>
      <c r="G13" s="58">
        <v>14000</v>
      </c>
      <c r="H13" s="58">
        <v>14000</v>
      </c>
      <c r="I13" s="58">
        <v>14000</v>
      </c>
      <c r="J13" s="92" t="s">
        <v>82</v>
      </c>
      <c r="K13" s="9"/>
      <c r="L13" s="9"/>
      <c r="M13" s="88"/>
      <c r="N13" s="2"/>
    </row>
    <row r="14" spans="1:14" ht="12.95" customHeight="1" x14ac:dyDescent="0.25">
      <c r="A14" s="32" t="s">
        <v>69</v>
      </c>
      <c r="B14" s="10">
        <v>6</v>
      </c>
      <c r="C14" s="11" t="s">
        <v>71</v>
      </c>
      <c r="D14" s="9">
        <v>25000</v>
      </c>
      <c r="E14" s="11"/>
      <c r="F14" s="9">
        <v>25000</v>
      </c>
      <c r="G14" s="58">
        <v>30000</v>
      </c>
      <c r="H14" s="58">
        <v>50000</v>
      </c>
      <c r="I14" s="58">
        <v>35000</v>
      </c>
      <c r="J14" s="58"/>
      <c r="K14" s="9"/>
      <c r="L14" s="9"/>
      <c r="M14" s="88">
        <f>SUM(H14-I14)</f>
        <v>15000</v>
      </c>
      <c r="N14" s="2"/>
    </row>
    <row r="15" spans="1:14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/>
      <c r="J15" s="58"/>
      <c r="K15" s="9"/>
      <c r="L15" s="9"/>
      <c r="M15" s="88">
        <v>15000</v>
      </c>
      <c r="N15" s="2"/>
    </row>
    <row r="16" spans="1:14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/>
      <c r="N16" s="2"/>
    </row>
    <row r="17" spans="1:14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88"/>
      <c r="N17" s="2"/>
    </row>
    <row r="18" spans="1:14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89"/>
      <c r="N18" s="2"/>
    </row>
    <row r="19" spans="1:14" ht="12.95" customHeight="1" x14ac:dyDescent="0.25">
      <c r="A19" s="33"/>
      <c r="B19" s="5"/>
      <c r="C19" s="5"/>
      <c r="D19" s="5"/>
      <c r="E19" s="17"/>
      <c r="F19" s="5"/>
      <c r="G19" s="60"/>
      <c r="H19" s="60"/>
      <c r="I19" s="60"/>
      <c r="J19" s="60"/>
      <c r="K19" s="5"/>
      <c r="L19" s="5"/>
      <c r="M19" s="89"/>
      <c r="N19" s="2"/>
    </row>
    <row r="20" spans="1:14" ht="12.95" customHeight="1" x14ac:dyDescent="0.25">
      <c r="A20" s="43" t="s">
        <v>3</v>
      </c>
      <c r="B20" s="44"/>
      <c r="C20" s="44"/>
      <c r="D20" s="44"/>
      <c r="E20" s="44"/>
      <c r="F20" s="44"/>
      <c r="G20" s="61">
        <f>SUM(G8:G19)</f>
        <v>111000</v>
      </c>
      <c r="H20" s="61">
        <f>SUM(H8:H19)</f>
        <v>147000</v>
      </c>
      <c r="I20" s="61">
        <f>SUM(I8:I19)</f>
        <v>103000</v>
      </c>
      <c r="J20" s="61"/>
      <c r="K20" s="44"/>
      <c r="L20" s="44"/>
      <c r="M20" s="90">
        <f>SUM(M8:M19)</f>
        <v>44000</v>
      </c>
      <c r="N20" s="2"/>
    </row>
    <row r="21" spans="1:14" x14ac:dyDescent="0.25">
      <c r="D21" s="81"/>
      <c r="E21" s="82" t="s">
        <v>76</v>
      </c>
      <c r="F21" s="82"/>
      <c r="G21" s="83"/>
      <c r="H21" s="83"/>
      <c r="I21" s="83"/>
      <c r="J21" s="83"/>
      <c r="K21" s="82"/>
      <c r="L21" s="82"/>
      <c r="M21" s="84"/>
      <c r="N21" s="2"/>
    </row>
    <row r="22" spans="1:14" x14ac:dyDescent="0.25">
      <c r="B22" s="3"/>
      <c r="C22" s="67"/>
      <c r="D22" s="3" t="s">
        <v>40</v>
      </c>
      <c r="E22" s="48"/>
      <c r="F22" s="2"/>
      <c r="G22" s="62">
        <f>SUM(G20)</f>
        <v>111000</v>
      </c>
      <c r="H22" s="66"/>
      <c r="I22" s="2"/>
      <c r="J22" s="2"/>
      <c r="K22" s="2"/>
      <c r="L22" s="2"/>
      <c r="M22" s="2"/>
      <c r="N22" s="2"/>
    </row>
    <row r="23" spans="1:14" x14ac:dyDescent="0.25">
      <c r="B23" s="3"/>
      <c r="C23" s="67"/>
      <c r="D23" s="3" t="s">
        <v>60</v>
      </c>
      <c r="E23" s="48"/>
      <c r="F23" s="2"/>
      <c r="G23" s="70">
        <f>SUM(G22-G25)</f>
        <v>103230</v>
      </c>
      <c r="H23" s="2"/>
      <c r="I23" s="66"/>
      <c r="J23" s="66"/>
      <c r="K23" s="2"/>
      <c r="L23" s="2"/>
      <c r="M23" s="2"/>
      <c r="N23" s="2"/>
    </row>
    <row r="24" spans="1:14" x14ac:dyDescent="0.25">
      <c r="B24" s="3"/>
      <c r="C24" s="67"/>
      <c r="D24" s="76" t="s">
        <v>73</v>
      </c>
      <c r="E24" s="48"/>
      <c r="F24" s="2"/>
      <c r="G24" s="70"/>
      <c r="H24" s="2"/>
      <c r="I24" s="66"/>
      <c r="J24" s="66"/>
      <c r="K24" s="2"/>
      <c r="L24" s="2"/>
      <c r="M24" s="2"/>
      <c r="N24" s="2"/>
    </row>
    <row r="25" spans="1:14" x14ac:dyDescent="0.25">
      <c r="B25" s="3"/>
      <c r="C25" s="67"/>
      <c r="D25" s="3" t="s">
        <v>52</v>
      </c>
      <c r="E25" s="50"/>
      <c r="F25" s="2"/>
      <c r="G25" s="69">
        <f>SUM(G22*7%)</f>
        <v>7770.0000000000009</v>
      </c>
      <c r="H25" s="2"/>
      <c r="I25" s="2"/>
      <c r="J25" s="66"/>
      <c r="K25" s="2"/>
      <c r="L25" s="2"/>
      <c r="M25" s="2"/>
      <c r="N25" s="2"/>
    </row>
    <row r="26" spans="1:14" x14ac:dyDescent="0.25">
      <c r="B26" s="3"/>
      <c r="C26" s="67"/>
      <c r="D26" s="3" t="s">
        <v>75</v>
      </c>
      <c r="E26" s="50"/>
      <c r="F26" s="2"/>
      <c r="G26" s="69">
        <v>500</v>
      </c>
      <c r="H26" s="2"/>
      <c r="I26" s="2"/>
      <c r="J26" s="66"/>
      <c r="K26" s="2"/>
      <c r="L26" s="2"/>
      <c r="M26" s="2"/>
      <c r="N26" s="2"/>
    </row>
    <row r="27" spans="1:14" x14ac:dyDescent="0.25">
      <c r="B27" s="3"/>
      <c r="C27" s="3"/>
      <c r="D27" s="68" t="s">
        <v>64</v>
      </c>
      <c r="E27" s="47"/>
      <c r="F27" s="2"/>
      <c r="G27" s="71">
        <v>40000</v>
      </c>
      <c r="H27" s="2"/>
      <c r="I27" s="2" t="s">
        <v>56</v>
      </c>
      <c r="J27" s="2"/>
      <c r="K27" s="2"/>
      <c r="L27" s="2"/>
      <c r="M27" s="18"/>
      <c r="N27" s="2"/>
    </row>
    <row r="28" spans="1:14" x14ac:dyDescent="0.25">
      <c r="B28" s="3"/>
      <c r="C28" s="3"/>
      <c r="D28" s="68" t="s">
        <v>84</v>
      </c>
      <c r="E28" s="47"/>
      <c r="F28" s="2"/>
      <c r="G28" s="71">
        <v>23000</v>
      </c>
      <c r="H28" s="2"/>
      <c r="I28" s="66"/>
      <c r="J28" s="66"/>
      <c r="K28" s="2"/>
      <c r="L28" s="2"/>
      <c r="M28" s="18"/>
      <c r="N28" s="2"/>
    </row>
    <row r="29" spans="1:14" s="93" customFormat="1" x14ac:dyDescent="0.25">
      <c r="D29" s="93" t="s">
        <v>3</v>
      </c>
      <c r="G29" s="94">
        <f>SUM(G25:G28)</f>
        <v>71270</v>
      </c>
    </row>
    <row r="30" spans="1:14" ht="18" x14ac:dyDescent="0.4">
      <c r="B30" s="3"/>
      <c r="C30" s="3"/>
      <c r="D30" s="68" t="s">
        <v>61</v>
      </c>
      <c r="E30" s="2"/>
      <c r="F30" s="2"/>
      <c r="G30" s="72">
        <f>SUM(G22-G29)</f>
        <v>39730</v>
      </c>
      <c r="H30" s="2"/>
      <c r="I30" s="2"/>
      <c r="J30" s="2"/>
      <c r="K30" s="2"/>
      <c r="L30" s="2"/>
      <c r="M30" s="2"/>
      <c r="N30" s="2"/>
    </row>
    <row r="31" spans="1:14" x14ac:dyDescent="0.25">
      <c r="A31" s="52"/>
      <c r="B31" s="53" t="s">
        <v>41</v>
      </c>
      <c r="C31" s="2"/>
      <c r="E31" s="2"/>
      <c r="F31" s="52" t="s">
        <v>42</v>
      </c>
      <c r="G31" s="52"/>
      <c r="H31" s="52"/>
      <c r="I31" s="52" t="s">
        <v>43</v>
      </c>
      <c r="J31" s="52"/>
      <c r="K31" s="2"/>
      <c r="L31" s="2"/>
      <c r="M31" s="2"/>
      <c r="N31" s="2"/>
    </row>
    <row r="32" spans="1:14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  <c r="N32" s="2"/>
    </row>
    <row r="34" spans="1:14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  <c r="N34" s="2"/>
    </row>
    <row r="35" spans="1:14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4" sqref="A4"/>
    </sheetView>
  </sheetViews>
  <sheetFormatPr defaultRowHeight="15" x14ac:dyDescent="0.25"/>
  <cols>
    <col min="1" max="1" width="14.140625" customWidth="1"/>
    <col min="2" max="2" width="10.5703125" bestFit="1" customWidth="1"/>
  </cols>
  <sheetData>
    <row r="1" spans="1:15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15" ht="21" x14ac:dyDescent="0.35">
      <c r="A2" s="65" t="s">
        <v>283</v>
      </c>
      <c r="B2" s="77"/>
      <c r="C2" s="77"/>
      <c r="D2" s="157"/>
      <c r="E2" s="77"/>
      <c r="F2" s="77"/>
      <c r="G2" s="27"/>
      <c r="H2" s="113"/>
      <c r="I2" s="113"/>
    </row>
    <row r="3" spans="1:15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15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15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  <c r="N5" t="s">
        <v>285</v>
      </c>
    </row>
    <row r="6" spans="1:15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  <c r="M6">
        <v>3000</v>
      </c>
      <c r="N6">
        <v>1000</v>
      </c>
    </row>
    <row r="7" spans="1:15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  <c r="M7">
        <v>3000</v>
      </c>
      <c r="N7">
        <v>2000</v>
      </c>
    </row>
    <row r="8" spans="1:15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  <c r="M8">
        <v>4500</v>
      </c>
      <c r="N8">
        <v>2000</v>
      </c>
    </row>
    <row r="9" spans="1:15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  <c r="M9">
        <v>1000</v>
      </c>
      <c r="N9">
        <v>4000</v>
      </c>
    </row>
    <row r="10" spans="1:15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15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  <c r="M11">
        <f>SUM(M6:M10)</f>
        <v>11500</v>
      </c>
      <c r="N11">
        <f>SUM(N6:N10)</f>
        <v>9000</v>
      </c>
      <c r="O11">
        <f>M11+N11</f>
        <v>20500</v>
      </c>
    </row>
    <row r="12" spans="1:15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15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  <c r="K13">
        <v>2337</v>
      </c>
      <c r="M13">
        <v>13800</v>
      </c>
    </row>
    <row r="14" spans="1:15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  <c r="K14">
        <v>9000</v>
      </c>
      <c r="M14">
        <v>211</v>
      </c>
    </row>
    <row r="15" spans="1:15" x14ac:dyDescent="0.25">
      <c r="A15" s="113"/>
      <c r="B15" s="113"/>
      <c r="C15" s="113"/>
      <c r="D15" s="113"/>
      <c r="E15" s="113"/>
      <c r="F15" s="113"/>
      <c r="G15" s="113"/>
      <c r="H15" s="113"/>
      <c r="I15" s="113"/>
      <c r="K15">
        <v>13800</v>
      </c>
      <c r="M15">
        <f>SUM(M13:M14)</f>
        <v>14011</v>
      </c>
      <c r="N15">
        <f>K16-M15</f>
        <v>11126</v>
      </c>
      <c r="O15">
        <v>1590</v>
      </c>
    </row>
    <row r="16" spans="1:15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  <c r="K16">
        <f>SUM(K13:K15)</f>
        <v>25137</v>
      </c>
      <c r="N16">
        <f>N15-O19</f>
        <v>8836</v>
      </c>
      <c r="O16">
        <v>200</v>
      </c>
    </row>
    <row r="17" spans="1:15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  <c r="N17">
        <v>8790</v>
      </c>
      <c r="O17">
        <v>200</v>
      </c>
    </row>
    <row r="18" spans="1:15" x14ac:dyDescent="0.25">
      <c r="A18" s="173" t="s">
        <v>284</v>
      </c>
      <c r="B18" s="194">
        <f>D14</f>
        <v>86000</v>
      </c>
      <c r="C18" s="192"/>
      <c r="D18" s="4"/>
      <c r="E18" s="173" t="s">
        <v>284</v>
      </c>
      <c r="F18" s="194">
        <f>F14</f>
        <v>86000</v>
      </c>
      <c r="G18" s="4"/>
      <c r="H18" s="4"/>
      <c r="I18" s="113"/>
      <c r="N18">
        <f>N16-N17</f>
        <v>46</v>
      </c>
      <c r="O18">
        <v>300</v>
      </c>
    </row>
    <row r="19" spans="1:15" x14ac:dyDescent="0.25">
      <c r="A19" s="173" t="s">
        <v>233</v>
      </c>
      <c r="B19" s="194">
        <f>APRIL!D33</f>
        <v>21606</v>
      </c>
      <c r="C19" s="192"/>
      <c r="D19" s="4"/>
      <c r="E19" s="173" t="s">
        <v>233</v>
      </c>
      <c r="F19" s="194">
        <f>APRIL!H33</f>
        <v>21606</v>
      </c>
      <c r="G19" s="4"/>
      <c r="H19" s="4"/>
      <c r="I19" s="113"/>
      <c r="O19">
        <f>SUM(O15:O18)</f>
        <v>2290</v>
      </c>
    </row>
    <row r="20" spans="1:15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15" x14ac:dyDescent="0.25">
      <c r="A21" s="4"/>
      <c r="B21" s="192">
        <f>SUM(B18:B20)</f>
        <v>107606</v>
      </c>
      <c r="C21" s="4"/>
      <c r="D21" s="4"/>
      <c r="E21" s="177"/>
      <c r="F21" s="122"/>
      <c r="G21" s="4"/>
      <c r="H21" s="4"/>
      <c r="I21" s="113"/>
    </row>
    <row r="22" spans="1:15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15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15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15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15" x14ac:dyDescent="0.25">
      <c r="A26" s="184">
        <v>43223</v>
      </c>
      <c r="B26" s="122"/>
      <c r="C26" s="192">
        <v>10205</v>
      </c>
      <c r="D26" s="4"/>
      <c r="E26" s="184">
        <v>43223</v>
      </c>
      <c r="F26" s="122"/>
      <c r="G26" s="192">
        <v>10205</v>
      </c>
      <c r="H26" s="4"/>
      <c r="I26" s="113"/>
    </row>
    <row r="27" spans="1:15" x14ac:dyDescent="0.25">
      <c r="A27" s="184">
        <v>43228</v>
      </c>
      <c r="B27" s="177"/>
      <c r="C27" s="192">
        <v>20100</v>
      </c>
      <c r="D27" s="4"/>
      <c r="E27" s="184">
        <v>43228</v>
      </c>
      <c r="F27" s="177"/>
      <c r="G27" s="192">
        <v>20100</v>
      </c>
      <c r="H27" s="4"/>
      <c r="I27" s="113"/>
    </row>
    <row r="28" spans="1:15" x14ac:dyDescent="0.25">
      <c r="A28" s="187">
        <v>43234</v>
      </c>
      <c r="B28" s="178"/>
      <c r="C28" s="4">
        <v>20095</v>
      </c>
      <c r="D28" s="4"/>
      <c r="E28" s="187">
        <v>43234</v>
      </c>
      <c r="F28" s="178"/>
      <c r="G28" s="4">
        <v>20095</v>
      </c>
      <c r="H28" s="4"/>
      <c r="I28" s="113"/>
    </row>
    <row r="29" spans="1:15" x14ac:dyDescent="0.25">
      <c r="A29" s="187">
        <v>43236</v>
      </c>
      <c r="B29" s="178"/>
      <c r="C29" s="4">
        <v>13800</v>
      </c>
      <c r="D29" s="4"/>
      <c r="E29" s="187">
        <v>43236</v>
      </c>
      <c r="F29" s="178"/>
      <c r="G29" s="4">
        <v>13800</v>
      </c>
      <c r="H29" s="4"/>
      <c r="I29" s="113"/>
    </row>
    <row r="30" spans="1:15" x14ac:dyDescent="0.25">
      <c r="A30" s="187">
        <v>43241</v>
      </c>
      <c r="B30" s="178"/>
      <c r="C30" s="179">
        <v>16600</v>
      </c>
      <c r="D30" s="4"/>
      <c r="E30" s="187">
        <v>43241</v>
      </c>
      <c r="F30" s="178"/>
      <c r="G30" s="179">
        <v>16600</v>
      </c>
      <c r="H30" s="4"/>
      <c r="I30" s="113"/>
    </row>
    <row r="31" spans="1:15" x14ac:dyDescent="0.25">
      <c r="A31" s="187">
        <v>43249</v>
      </c>
      <c r="B31" s="178"/>
      <c r="C31" s="179">
        <v>13095</v>
      </c>
      <c r="D31" s="4"/>
      <c r="E31" s="187">
        <v>43249</v>
      </c>
      <c r="F31" s="178"/>
      <c r="G31" s="179">
        <v>13095</v>
      </c>
      <c r="H31" s="4"/>
      <c r="I31" s="113"/>
    </row>
    <row r="32" spans="1:15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107606</v>
      </c>
      <c r="C33" s="192">
        <f>SUM(C22:C32)</f>
        <v>102495</v>
      </c>
      <c r="D33" s="192">
        <f>B33-C33</f>
        <v>5111</v>
      </c>
      <c r="E33" s="174" t="s">
        <v>3</v>
      </c>
      <c r="F33" s="193">
        <f>F18+F19</f>
        <v>107606</v>
      </c>
      <c r="G33" s="192">
        <f>SUM(G22:G32)</f>
        <v>102495</v>
      </c>
      <c r="H33" s="192">
        <f>F33-G33</f>
        <v>5111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A4" sqref="A4"/>
    </sheetView>
  </sheetViews>
  <sheetFormatPr defaultRowHeight="15" x14ac:dyDescent="0.25"/>
  <cols>
    <col min="1" max="1" width="15.85546875" customWidth="1"/>
    <col min="3" max="3" width="10.5703125" bestFit="1" customWidth="1"/>
    <col min="5" max="5" width="12.4257812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286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9" x14ac:dyDescent="0.25">
      <c r="A5" s="39" t="s">
        <v>288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289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</row>
    <row r="8" spans="1:9" x14ac:dyDescent="0.25">
      <c r="A8" s="33" t="s">
        <v>290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</row>
    <row r="9" spans="1:9" x14ac:dyDescent="0.25">
      <c r="A9" s="32" t="s">
        <v>292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9" x14ac:dyDescent="0.25">
      <c r="A13" s="33" t="s">
        <v>291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287</v>
      </c>
      <c r="B18" s="194">
        <f>D14</f>
        <v>86000</v>
      </c>
      <c r="C18" s="192"/>
      <c r="D18" s="4"/>
      <c r="E18" s="173" t="s">
        <v>287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'MAY 18'!D33</f>
        <v>5111</v>
      </c>
      <c r="C19" s="192"/>
      <c r="D19" s="4"/>
      <c r="E19" s="173" t="s">
        <v>233</v>
      </c>
      <c r="F19" s="194">
        <f>'MAY 18'!H33</f>
        <v>5111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92">
        <f>SUM(B18:B20)</f>
        <v>91111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9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9" x14ac:dyDescent="0.25">
      <c r="A26" s="204">
        <v>43226</v>
      </c>
      <c r="B26" s="205"/>
      <c r="C26" s="203">
        <v>8085</v>
      </c>
      <c r="D26" s="206"/>
      <c r="E26" s="204">
        <v>43226</v>
      </c>
      <c r="F26" s="205"/>
      <c r="G26" s="203">
        <v>8085</v>
      </c>
      <c r="H26" s="4"/>
      <c r="I26" s="113"/>
    </row>
    <row r="27" spans="1:9" x14ac:dyDescent="0.25">
      <c r="A27" s="204">
        <v>43260</v>
      </c>
      <c r="B27" s="207"/>
      <c r="C27" s="210">
        <v>50110</v>
      </c>
      <c r="D27" s="206"/>
      <c r="E27" s="204">
        <v>43260</v>
      </c>
      <c r="F27" s="207"/>
      <c r="G27" s="203">
        <v>50110</v>
      </c>
      <c r="H27" s="4"/>
      <c r="I27" s="113"/>
    </row>
    <row r="28" spans="1:9" x14ac:dyDescent="0.25">
      <c r="A28" s="208">
        <v>43262</v>
      </c>
      <c r="B28" s="209"/>
      <c r="C28" s="206">
        <v>20100</v>
      </c>
      <c r="D28" s="206"/>
      <c r="E28" s="208">
        <v>43262</v>
      </c>
      <c r="F28" s="209"/>
      <c r="G28" s="206">
        <v>20100</v>
      </c>
      <c r="H28" s="4"/>
      <c r="I28" s="113"/>
    </row>
    <row r="29" spans="1:9" x14ac:dyDescent="0.25">
      <c r="A29" s="187">
        <v>43266</v>
      </c>
      <c r="B29" s="178"/>
      <c r="C29" s="4">
        <v>5000</v>
      </c>
      <c r="D29" s="4"/>
      <c r="E29" s="187">
        <v>43266</v>
      </c>
      <c r="F29" s="178"/>
      <c r="G29" s="4">
        <v>5000</v>
      </c>
      <c r="H29" s="4"/>
      <c r="I29" s="113"/>
    </row>
    <row r="30" spans="1:9" x14ac:dyDescent="0.25">
      <c r="A30" s="187"/>
      <c r="B30" s="178"/>
      <c r="C30" s="179"/>
      <c r="D30" s="4"/>
      <c r="E30" s="187"/>
      <c r="F30" s="178"/>
      <c r="G30" s="179"/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91111</v>
      </c>
      <c r="C33" s="192">
        <f>SUM(C22:C32)</f>
        <v>91895</v>
      </c>
      <c r="D33" s="192">
        <f>B33-C33</f>
        <v>-784</v>
      </c>
      <c r="E33" s="174" t="s">
        <v>3</v>
      </c>
      <c r="F33" s="193">
        <f>F18+F19</f>
        <v>91111</v>
      </c>
      <c r="G33" s="192">
        <f>SUM(G22:G32)</f>
        <v>91895</v>
      </c>
      <c r="H33" s="192">
        <f>F33-G33</f>
        <v>-784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  <row r="39" spans="1:9" x14ac:dyDescent="0.25">
      <c r="A39" s="113"/>
      <c r="B39" s="113"/>
      <c r="C39" s="113"/>
      <c r="D39" s="113"/>
      <c r="E39" s="113"/>
      <c r="F39" s="113"/>
      <c r="G39" s="113"/>
      <c r="H39" s="113"/>
      <c r="I39" s="113"/>
    </row>
  </sheetData>
  <pageMargins left="0.7" right="0.7" top="0.75" bottom="0.75" header="0.3" footer="0.3"/>
  <pageSetup paperSize="286"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4" sqref="A4"/>
    </sheetView>
  </sheetViews>
  <sheetFormatPr defaultRowHeight="15" x14ac:dyDescent="0.25"/>
  <cols>
    <col min="1" max="1" width="15.2851562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294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9" x14ac:dyDescent="0.25">
      <c r="A5" s="39" t="s">
        <v>288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289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</row>
    <row r="8" spans="1:9" x14ac:dyDescent="0.25">
      <c r="A8" s="33" t="s">
        <v>290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</row>
    <row r="9" spans="1:9" x14ac:dyDescent="0.25">
      <c r="A9" s="32" t="s">
        <v>292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9" x14ac:dyDescent="0.25">
      <c r="A13" s="33" t="s">
        <v>291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293</v>
      </c>
      <c r="B18" s="194">
        <f>D14</f>
        <v>86000</v>
      </c>
      <c r="C18" s="192"/>
      <c r="D18" s="4"/>
      <c r="E18" s="173" t="s">
        <v>293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'JUNE '!D33</f>
        <v>-784</v>
      </c>
      <c r="C19" s="192"/>
      <c r="D19" s="4"/>
      <c r="E19" s="173" t="s">
        <v>233</v>
      </c>
      <c r="F19" s="194">
        <f>'JUNE '!H33</f>
        <v>-784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92">
        <f>SUM(B18:B20)</f>
        <v>85216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9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9" x14ac:dyDescent="0.25">
      <c r="A26" s="204">
        <v>43286</v>
      </c>
      <c r="B26" s="205"/>
      <c r="C26" s="203">
        <v>20215</v>
      </c>
      <c r="D26" s="206"/>
      <c r="E26" s="204">
        <v>43286</v>
      </c>
      <c r="F26" s="205"/>
      <c r="G26" s="203">
        <v>20215</v>
      </c>
      <c r="H26" s="4"/>
      <c r="I26" s="113"/>
    </row>
    <row r="27" spans="1:9" x14ac:dyDescent="0.25">
      <c r="A27" s="204">
        <v>43287</v>
      </c>
      <c r="B27" s="207"/>
      <c r="C27" s="210">
        <v>20102</v>
      </c>
      <c r="D27" s="206"/>
      <c r="E27" s="204">
        <v>43287</v>
      </c>
      <c r="F27" s="207"/>
      <c r="G27" s="210">
        <v>20102</v>
      </c>
      <c r="H27" s="4"/>
      <c r="I27" s="113"/>
    </row>
    <row r="28" spans="1:9" x14ac:dyDescent="0.25">
      <c r="A28" s="208">
        <v>43288</v>
      </c>
      <c r="B28" s="209"/>
      <c r="C28" s="206">
        <v>20102</v>
      </c>
      <c r="D28" s="206"/>
      <c r="E28" s="208">
        <v>43288</v>
      </c>
      <c r="F28" s="209"/>
      <c r="G28" s="206">
        <v>20102</v>
      </c>
      <c r="H28" s="4"/>
      <c r="I28" s="113"/>
    </row>
    <row r="29" spans="1:9" x14ac:dyDescent="0.25">
      <c r="A29" s="187">
        <v>43290</v>
      </c>
      <c r="B29" s="178"/>
      <c r="C29" s="4">
        <v>10397</v>
      </c>
      <c r="D29" s="4"/>
      <c r="E29" s="187">
        <v>43290</v>
      </c>
      <c r="F29" s="178"/>
      <c r="G29" s="4">
        <v>10397</v>
      </c>
      <c r="H29" s="4"/>
      <c r="I29" s="113"/>
    </row>
    <row r="30" spans="1:9" x14ac:dyDescent="0.25">
      <c r="A30" s="187">
        <v>43297</v>
      </c>
      <c r="B30" s="178"/>
      <c r="C30" s="179">
        <v>6077</v>
      </c>
      <c r="D30" s="4"/>
      <c r="E30" s="187">
        <v>43297</v>
      </c>
      <c r="F30" s="178"/>
      <c r="G30" s="179">
        <v>6077</v>
      </c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85216</v>
      </c>
      <c r="C33" s="192">
        <f>SUM(C22:C32)</f>
        <v>85493</v>
      </c>
      <c r="D33" s="192">
        <f>B33-C33</f>
        <v>-277</v>
      </c>
      <c r="E33" s="174" t="s">
        <v>3</v>
      </c>
      <c r="F33" s="193">
        <f>F18+F19</f>
        <v>85216</v>
      </c>
      <c r="G33" s="192">
        <f>SUM(G22:G32)</f>
        <v>85493</v>
      </c>
      <c r="H33" s="192">
        <f>F33-G33</f>
        <v>-277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4" sqref="A4"/>
    </sheetView>
  </sheetViews>
  <sheetFormatPr defaultRowHeight="15" x14ac:dyDescent="0.25"/>
  <cols>
    <col min="1" max="1" width="15.140625" customWidth="1"/>
    <col min="5" max="5" width="11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295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9" x14ac:dyDescent="0.25">
      <c r="A5" s="39" t="s">
        <v>288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289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</row>
    <row r="8" spans="1:9" x14ac:dyDescent="0.25">
      <c r="A8" s="33" t="s">
        <v>290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</row>
    <row r="9" spans="1:9" x14ac:dyDescent="0.25">
      <c r="A9" s="32" t="s">
        <v>292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9" x14ac:dyDescent="0.25">
      <c r="A13" s="33" t="s">
        <v>291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267</v>
      </c>
      <c r="B18" s="194">
        <f>D14</f>
        <v>86000</v>
      </c>
      <c r="C18" s="192"/>
      <c r="D18" s="4"/>
      <c r="E18" s="173" t="s">
        <v>267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JULY7!D33</f>
        <v>-277</v>
      </c>
      <c r="C19" s="192"/>
      <c r="D19" s="4"/>
      <c r="E19" s="173" t="s">
        <v>233</v>
      </c>
      <c r="F19" s="194">
        <f>JULY7!H33</f>
        <v>-277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92">
        <f>SUM(B18:B20)</f>
        <v>85723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180" t="s">
        <v>196</v>
      </c>
      <c r="B24" s="122"/>
      <c r="C24" s="122"/>
      <c r="D24" s="4"/>
      <c r="E24" s="180" t="s">
        <v>196</v>
      </c>
      <c r="F24" s="4"/>
      <c r="G24" s="122"/>
      <c r="H24" s="4"/>
      <c r="I24" s="113"/>
    </row>
    <row r="25" spans="1:9" x14ac:dyDescent="0.25">
      <c r="A25" s="184">
        <v>43316</v>
      </c>
      <c r="B25" s="4"/>
      <c r="C25" s="4">
        <v>40105</v>
      </c>
      <c r="D25" s="4"/>
      <c r="E25" s="184">
        <v>43316</v>
      </c>
      <c r="F25" s="4"/>
      <c r="G25" s="4">
        <v>40105</v>
      </c>
      <c r="H25" s="4"/>
      <c r="I25" s="113"/>
    </row>
    <row r="26" spans="1:9" x14ac:dyDescent="0.25">
      <c r="A26" s="204">
        <v>43319</v>
      </c>
      <c r="B26" s="205"/>
      <c r="C26" s="203">
        <v>20102</v>
      </c>
      <c r="D26" s="206"/>
      <c r="E26" s="204">
        <v>43319</v>
      </c>
      <c r="F26" s="205"/>
      <c r="G26" s="203">
        <v>20102</v>
      </c>
      <c r="H26" s="4"/>
      <c r="I26" s="113"/>
    </row>
    <row r="27" spans="1:9" x14ac:dyDescent="0.25">
      <c r="A27" s="204">
        <v>43323</v>
      </c>
      <c r="B27" s="207"/>
      <c r="C27" s="210">
        <v>10087</v>
      </c>
      <c r="D27" s="206"/>
      <c r="E27" s="204">
        <v>43323</v>
      </c>
      <c r="F27" s="207"/>
      <c r="G27" s="210">
        <v>10087</v>
      </c>
      <c r="H27" s="4"/>
      <c r="I27" s="113"/>
    </row>
    <row r="28" spans="1:9" x14ac:dyDescent="0.25">
      <c r="A28" s="208"/>
      <c r="B28" s="209"/>
      <c r="C28" s="206"/>
      <c r="D28" s="206"/>
      <c r="E28" s="208"/>
      <c r="F28" s="209"/>
      <c r="G28" s="206"/>
      <c r="H28" s="4"/>
      <c r="I28" s="113"/>
    </row>
    <row r="29" spans="1:9" x14ac:dyDescent="0.25">
      <c r="A29" s="187"/>
      <c r="B29" s="178"/>
      <c r="C29" s="4"/>
      <c r="D29" s="4"/>
      <c r="E29" s="187"/>
      <c r="F29" s="178"/>
      <c r="G29" s="4"/>
      <c r="H29" s="4"/>
      <c r="I29" s="113"/>
    </row>
    <row r="30" spans="1:9" x14ac:dyDescent="0.25">
      <c r="A30" s="187"/>
      <c r="B30" s="178"/>
      <c r="C30" s="179"/>
      <c r="D30" s="4"/>
      <c r="E30" s="187"/>
      <c r="F30" s="178"/>
      <c r="G30" s="179"/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85723</v>
      </c>
      <c r="C33" s="192">
        <f>SUM(C22:C32)</f>
        <v>78894</v>
      </c>
      <c r="D33" s="192">
        <f>B33-C33</f>
        <v>6829</v>
      </c>
      <c r="E33" s="174" t="s">
        <v>3</v>
      </c>
      <c r="F33" s="193">
        <f>F18+F19</f>
        <v>85723</v>
      </c>
      <c r="G33" s="192">
        <f>SUM(G22:G32)</f>
        <v>78894</v>
      </c>
      <c r="H33" s="192">
        <f>F33-G33</f>
        <v>6829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5" sqref="B5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16384" width="9.140625" style="113"/>
  </cols>
  <sheetData>
    <row r="1" spans="1:9" ht="18.75" x14ac:dyDescent="0.3">
      <c r="C1" s="158" t="s">
        <v>260</v>
      </c>
      <c r="D1" s="158"/>
      <c r="E1" s="158"/>
      <c r="F1" s="158"/>
    </row>
    <row r="2" spans="1:9" ht="18.75" x14ac:dyDescent="0.3">
      <c r="C2" s="158" t="s">
        <v>296</v>
      </c>
      <c r="D2" s="158"/>
      <c r="E2" s="158"/>
      <c r="F2" s="158"/>
    </row>
    <row r="3" spans="1:9" ht="18.75" x14ac:dyDescent="0.3">
      <c r="C3" s="158" t="s">
        <v>297</v>
      </c>
      <c r="D3" s="158"/>
      <c r="E3" s="158"/>
      <c r="F3" s="158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304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86000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 t="s">
        <v>184</v>
      </c>
      <c r="C17" s="52"/>
      <c r="D17" s="234"/>
      <c r="E17" s="52"/>
      <c r="F17" s="235"/>
      <c r="G17" s="235"/>
      <c r="H17" s="52"/>
      <c r="I17" s="52"/>
    </row>
    <row r="18" spans="2:9" x14ac:dyDescent="0.25">
      <c r="B18" s="236" t="s">
        <v>185</v>
      </c>
      <c r="C18" s="236" t="s">
        <v>186</v>
      </c>
      <c r="D18" s="236" t="s">
        <v>187</v>
      </c>
      <c r="E18" s="236" t="s">
        <v>183</v>
      </c>
      <c r="F18" s="236" t="s">
        <v>185</v>
      </c>
      <c r="G18" s="236" t="s">
        <v>186</v>
      </c>
      <c r="H18" s="236" t="s">
        <v>187</v>
      </c>
      <c r="I18" s="236" t="s">
        <v>183</v>
      </c>
    </row>
    <row r="19" spans="2:9" x14ac:dyDescent="0.25">
      <c r="B19" s="237" t="s">
        <v>269</v>
      </c>
      <c r="C19" s="238">
        <f>D15</f>
        <v>86000</v>
      </c>
      <c r="D19" s="238"/>
      <c r="E19" s="237"/>
      <c r="F19" s="237" t="s">
        <v>269</v>
      </c>
      <c r="G19" s="238">
        <f>F15</f>
        <v>86000</v>
      </c>
      <c r="H19" s="237"/>
      <c r="I19" s="239"/>
    </row>
    <row r="20" spans="2:9" x14ac:dyDescent="0.25">
      <c r="B20" s="237" t="s">
        <v>233</v>
      </c>
      <c r="C20" s="238">
        <f>AUG!D33</f>
        <v>6829</v>
      </c>
      <c r="D20" s="238"/>
      <c r="E20" s="237"/>
      <c r="F20" s="237" t="s">
        <v>233</v>
      </c>
      <c r="G20" s="238">
        <f>AUG!H33</f>
        <v>6829</v>
      </c>
      <c r="H20" s="237"/>
      <c r="I20" s="239"/>
    </row>
    <row r="21" spans="2:9" x14ac:dyDescent="0.25">
      <c r="B21" s="237"/>
      <c r="C21" s="240">
        <v>0</v>
      </c>
      <c r="D21" s="237"/>
      <c r="E21" s="237"/>
      <c r="F21" s="241">
        <v>0.1</v>
      </c>
      <c r="G21" s="240"/>
      <c r="H21" s="237"/>
      <c r="I21" s="239"/>
    </row>
    <row r="22" spans="2:9" x14ac:dyDescent="0.25">
      <c r="B22" s="237"/>
      <c r="C22" s="238">
        <f>SUM(C19:C21)</f>
        <v>92829</v>
      </c>
      <c r="D22" s="237"/>
      <c r="E22" s="237"/>
      <c r="F22" s="241"/>
      <c r="G22" s="240"/>
      <c r="H22" s="237"/>
      <c r="I22" s="239"/>
    </row>
    <row r="23" spans="2:9" x14ac:dyDescent="0.25">
      <c r="B23" s="237" t="s">
        <v>190</v>
      </c>
      <c r="C23" s="241">
        <v>0.1</v>
      </c>
      <c r="D23" s="238">
        <f>C19*C23</f>
        <v>8600</v>
      </c>
      <c r="E23" s="237"/>
      <c r="F23" s="237" t="s">
        <v>248</v>
      </c>
      <c r="G23" s="237"/>
      <c r="H23" s="238">
        <f>C23*C19</f>
        <v>8600</v>
      </c>
      <c r="I23" s="239"/>
    </row>
    <row r="24" spans="2:9" x14ac:dyDescent="0.25">
      <c r="B24" s="237"/>
      <c r="C24" s="240"/>
      <c r="D24" s="240"/>
      <c r="E24" s="237"/>
      <c r="F24" s="237"/>
      <c r="G24" s="237"/>
      <c r="H24" s="237"/>
      <c r="I24" s="239"/>
    </row>
    <row r="25" spans="2:9" x14ac:dyDescent="0.25">
      <c r="B25" s="242" t="s">
        <v>196</v>
      </c>
      <c r="C25" s="240"/>
      <c r="D25" s="240"/>
      <c r="E25" s="237"/>
      <c r="F25" s="242" t="s">
        <v>196</v>
      </c>
      <c r="G25" s="237"/>
      <c r="H25" s="240"/>
      <c r="I25" s="239"/>
    </row>
    <row r="26" spans="2:9" x14ac:dyDescent="0.25">
      <c r="B26" s="243" t="s">
        <v>236</v>
      </c>
      <c r="C26" s="237"/>
      <c r="D26" s="237">
        <v>55000</v>
      </c>
      <c r="E26" s="237"/>
      <c r="F26" s="243" t="s">
        <v>236</v>
      </c>
      <c r="G26" s="237"/>
      <c r="H26" s="237">
        <v>55000</v>
      </c>
      <c r="I26" s="239"/>
    </row>
    <row r="27" spans="2:9" x14ac:dyDescent="0.25">
      <c r="B27" s="244">
        <v>43354</v>
      </c>
      <c r="C27" s="245"/>
      <c r="D27" s="256">
        <v>34105</v>
      </c>
      <c r="E27" s="247"/>
      <c r="F27" s="244">
        <v>43354</v>
      </c>
      <c r="G27" s="245"/>
      <c r="H27" s="246">
        <v>34105</v>
      </c>
      <c r="I27" s="239"/>
    </row>
    <row r="28" spans="2:9" x14ac:dyDescent="0.25">
      <c r="B28" s="244">
        <v>43370</v>
      </c>
      <c r="C28" s="245"/>
      <c r="D28" s="256">
        <v>12097</v>
      </c>
      <c r="E28" s="247"/>
      <c r="F28" s="244">
        <v>43370</v>
      </c>
      <c r="G28" s="245"/>
      <c r="H28" s="256">
        <v>12097</v>
      </c>
      <c r="I28" s="239"/>
    </row>
    <row r="29" spans="2:9" x14ac:dyDescent="0.25">
      <c r="B29" s="244">
        <v>43371</v>
      </c>
      <c r="C29" s="248"/>
      <c r="D29" s="249">
        <v>2590</v>
      </c>
      <c r="E29" s="247"/>
      <c r="F29" s="244">
        <v>43371</v>
      </c>
      <c r="G29" s="248"/>
      <c r="H29" s="249">
        <v>2590</v>
      </c>
      <c r="I29" s="239"/>
    </row>
    <row r="30" spans="2:9" x14ac:dyDescent="0.25">
      <c r="B30" s="250" t="s">
        <v>3</v>
      </c>
      <c r="C30" s="251">
        <f>C19+C20</f>
        <v>92829</v>
      </c>
      <c r="D30" s="218">
        <f>SUM(D23:D29)</f>
        <v>112392</v>
      </c>
      <c r="E30" s="218">
        <f>C30-D30</f>
        <v>-19563</v>
      </c>
      <c r="F30" s="250" t="s">
        <v>3</v>
      </c>
      <c r="G30" s="251">
        <f>G19+G20</f>
        <v>92829</v>
      </c>
      <c r="H30" s="218">
        <f>SUM(H23:H29)</f>
        <v>112392</v>
      </c>
      <c r="I30" s="218">
        <f>G30-H30</f>
        <v>-19563</v>
      </c>
    </row>
    <row r="31" spans="2:9" x14ac:dyDescent="0.25">
      <c r="B31" s="252"/>
      <c r="C31" s="254"/>
      <c r="D31" s="254"/>
      <c r="E31" s="252"/>
      <c r="F31" s="253"/>
      <c r="G31" s="254"/>
      <c r="H31" s="254"/>
      <c r="I31" s="52"/>
    </row>
    <row r="32" spans="2:9" x14ac:dyDescent="0.25">
      <c r="B32" s="252"/>
      <c r="C32" s="255"/>
      <c r="D32" s="254"/>
      <c r="E32" s="252"/>
      <c r="F32" s="253"/>
      <c r="G32" s="254"/>
      <c r="H32" s="254"/>
      <c r="I32" s="52"/>
    </row>
    <row r="33" spans="2:9" x14ac:dyDescent="0.25">
      <c r="B33" s="53" t="s">
        <v>230</v>
      </c>
      <c r="C33" s="235"/>
      <c r="D33" s="52" t="s">
        <v>280</v>
      </c>
      <c r="E33" s="52"/>
      <c r="F33" s="53"/>
      <c r="G33" s="53" t="s">
        <v>273</v>
      </c>
      <c r="H33" s="52" t="s">
        <v>217</v>
      </c>
      <c r="I33" s="52"/>
    </row>
    <row r="34" spans="2:9" x14ac:dyDescent="0.25">
      <c r="B34" s="52" t="s">
        <v>279</v>
      </c>
      <c r="C34" s="52"/>
      <c r="D34" s="52" t="s">
        <v>281</v>
      </c>
      <c r="E34" s="52"/>
      <c r="F34" s="52"/>
      <c r="G34" s="52" t="s">
        <v>299</v>
      </c>
      <c r="H34" s="52"/>
      <c r="I34" s="52"/>
    </row>
    <row r="35" spans="2:9" x14ac:dyDescent="0.25">
      <c r="B35" s="52"/>
      <c r="C35" s="52"/>
      <c r="D35" s="52"/>
      <c r="E35" s="52"/>
      <c r="F35" s="52"/>
      <c r="G35" s="52"/>
      <c r="H35" s="52"/>
      <c r="I35" s="52"/>
    </row>
  </sheetData>
  <pageMargins left="0.7" right="0.7" top="0.75" bottom="0.75" header="0.3" footer="0.3"/>
  <pageSetup orientation="portrait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9" sqref="C9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16384" width="9.140625" style="113"/>
  </cols>
  <sheetData>
    <row r="1" spans="1:9" ht="18.75" x14ac:dyDescent="0.3">
      <c r="C1" s="158" t="s">
        <v>260</v>
      </c>
      <c r="D1" s="158"/>
      <c r="E1" s="158"/>
      <c r="F1" s="158"/>
    </row>
    <row r="2" spans="1:9" ht="18.75" x14ac:dyDescent="0.3">
      <c r="C2" s="158" t="s">
        <v>296</v>
      </c>
      <c r="D2" s="158"/>
      <c r="E2" s="158"/>
      <c r="F2" s="158"/>
    </row>
    <row r="3" spans="1:9" ht="18.75" x14ac:dyDescent="0.3">
      <c r="C3" s="158" t="s">
        <v>300</v>
      </c>
      <c r="D3" s="158"/>
      <c r="E3" s="158"/>
      <c r="F3" s="158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304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86000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 t="s">
        <v>184</v>
      </c>
      <c r="C17" s="52"/>
      <c r="D17" s="234"/>
      <c r="E17" s="52"/>
      <c r="F17" s="235"/>
      <c r="G17" s="235"/>
      <c r="H17" s="52"/>
      <c r="I17" s="52"/>
    </row>
    <row r="18" spans="2:9" x14ac:dyDescent="0.25">
      <c r="B18" s="236" t="s">
        <v>185</v>
      </c>
      <c r="C18" s="236" t="s">
        <v>186</v>
      </c>
      <c r="D18" s="236" t="s">
        <v>187</v>
      </c>
      <c r="E18" s="236" t="s">
        <v>183</v>
      </c>
      <c r="F18" s="236" t="s">
        <v>185</v>
      </c>
      <c r="G18" s="236" t="s">
        <v>186</v>
      </c>
      <c r="H18" s="236" t="s">
        <v>187</v>
      </c>
      <c r="I18" s="236" t="s">
        <v>183</v>
      </c>
    </row>
    <row r="19" spans="2:9" x14ac:dyDescent="0.25">
      <c r="B19" s="237" t="s">
        <v>301</v>
      </c>
      <c r="C19" s="238">
        <f>D15</f>
        <v>86000</v>
      </c>
      <c r="D19" s="238"/>
      <c r="E19" s="237"/>
      <c r="F19" s="237" t="s">
        <v>301</v>
      </c>
      <c r="G19" s="238">
        <f>F15</f>
        <v>86000</v>
      </c>
      <c r="H19" s="237"/>
      <c r="I19" s="239"/>
    </row>
    <row r="20" spans="2:9" x14ac:dyDescent="0.25">
      <c r="B20" s="237" t="s">
        <v>233</v>
      </c>
      <c r="C20" s="238">
        <f>SEP!E30</f>
        <v>-19563</v>
      </c>
      <c r="D20" s="238"/>
      <c r="E20" s="237"/>
      <c r="F20" s="237" t="s">
        <v>233</v>
      </c>
      <c r="G20" s="238">
        <f>SEP!I30</f>
        <v>-19563</v>
      </c>
      <c r="H20" s="237"/>
      <c r="I20" s="239"/>
    </row>
    <row r="21" spans="2:9" x14ac:dyDescent="0.25">
      <c r="B21" s="237"/>
      <c r="C21" s="240">
        <v>0</v>
      </c>
      <c r="D21" s="237"/>
      <c r="E21" s="237"/>
      <c r="F21" s="241">
        <v>0.1</v>
      </c>
      <c r="G21" s="240"/>
      <c r="H21" s="237"/>
      <c r="I21" s="239"/>
    </row>
    <row r="22" spans="2:9" x14ac:dyDescent="0.25">
      <c r="B22" s="237"/>
      <c r="C22" s="238">
        <f>SUM(C19:C21)</f>
        <v>66437</v>
      </c>
      <c r="D22" s="237"/>
      <c r="E22" s="237"/>
      <c r="F22" s="241"/>
      <c r="G22" s="240"/>
      <c r="H22" s="237"/>
      <c r="I22" s="239"/>
    </row>
    <row r="23" spans="2:9" x14ac:dyDescent="0.25">
      <c r="B23" s="237" t="s">
        <v>190</v>
      </c>
      <c r="C23" s="241">
        <v>0.1</v>
      </c>
      <c r="D23" s="238">
        <f>C19*C23</f>
        <v>8600</v>
      </c>
      <c r="E23" s="237"/>
      <c r="F23" s="237" t="s">
        <v>248</v>
      </c>
      <c r="G23" s="237"/>
      <c r="H23" s="238">
        <f>C23*C19</f>
        <v>8600</v>
      </c>
      <c r="I23" s="239"/>
    </row>
    <row r="24" spans="2:9" x14ac:dyDescent="0.25"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</row>
    <row r="25" spans="2:9" x14ac:dyDescent="0.25">
      <c r="B25" s="184">
        <v>43374</v>
      </c>
      <c r="C25" s="4"/>
      <c r="D25" s="4">
        <v>3056</v>
      </c>
      <c r="E25" s="4"/>
      <c r="F25" s="184">
        <v>43374</v>
      </c>
      <c r="G25" s="237"/>
      <c r="H25" s="240">
        <v>3056</v>
      </c>
      <c r="I25" s="239"/>
    </row>
    <row r="26" spans="2:9" x14ac:dyDescent="0.25">
      <c r="B26" s="243">
        <v>43385</v>
      </c>
      <c r="C26" s="237"/>
      <c r="D26" s="237">
        <v>20102</v>
      </c>
      <c r="E26" s="237"/>
      <c r="F26" s="243">
        <v>43385</v>
      </c>
      <c r="G26" s="237"/>
      <c r="H26" s="237">
        <v>20102</v>
      </c>
      <c r="I26" s="239"/>
    </row>
    <row r="27" spans="2:9" x14ac:dyDescent="0.25">
      <c r="B27" s="244">
        <v>43386</v>
      </c>
      <c r="C27" s="245"/>
      <c r="D27" s="246">
        <v>34500</v>
      </c>
      <c r="E27" s="247"/>
      <c r="F27" s="244">
        <v>43386</v>
      </c>
      <c r="G27" s="245"/>
      <c r="H27" s="246">
        <v>34500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C19+C20</f>
        <v>66437</v>
      </c>
      <c r="D29" s="218">
        <f>SUM(D23:D28)</f>
        <v>66258</v>
      </c>
      <c r="E29" s="218">
        <f>C29-D29</f>
        <v>179</v>
      </c>
      <c r="F29" s="250" t="s">
        <v>3</v>
      </c>
      <c r="G29" s="251">
        <f>G19+G20</f>
        <v>66437</v>
      </c>
      <c r="H29" s="218">
        <f>SUM(H23:H28)</f>
        <v>66258</v>
      </c>
      <c r="I29" s="218">
        <f>G29-H29</f>
        <v>179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28" sqref="G28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11.28515625" style="113" customWidth="1"/>
    <col min="7" max="16384" width="9.140625" style="113"/>
  </cols>
  <sheetData>
    <row r="1" spans="1:9" ht="18.75" x14ac:dyDescent="0.3">
      <c r="C1" s="158" t="s">
        <v>260</v>
      </c>
      <c r="D1" s="158"/>
      <c r="E1" s="158"/>
      <c r="F1" s="158"/>
    </row>
    <row r="2" spans="1:9" ht="18.75" x14ac:dyDescent="0.3">
      <c r="C2" s="158" t="s">
        <v>296</v>
      </c>
      <c r="D2" s="158"/>
      <c r="E2" s="158"/>
      <c r="F2" s="158"/>
    </row>
    <row r="3" spans="1:9" ht="18.75" x14ac:dyDescent="0.3">
      <c r="C3" s="158" t="s">
        <v>303</v>
      </c>
      <c r="D3" s="158"/>
      <c r="E3" s="158"/>
      <c r="F3" s="158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304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 t="s">
        <v>308</v>
      </c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86000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 t="s">
        <v>184</v>
      </c>
      <c r="C17" s="52"/>
      <c r="D17" s="234"/>
      <c r="E17" s="52"/>
      <c r="F17" s="235"/>
      <c r="G17" s="235"/>
      <c r="H17" s="52"/>
      <c r="I17" s="52"/>
    </row>
    <row r="18" spans="2:9" x14ac:dyDescent="0.25">
      <c r="B18" s="236" t="s">
        <v>185</v>
      </c>
      <c r="C18" s="236" t="s">
        <v>186</v>
      </c>
      <c r="D18" s="236" t="s">
        <v>187</v>
      </c>
      <c r="E18" s="236" t="s">
        <v>183</v>
      </c>
      <c r="F18" s="236" t="s">
        <v>185</v>
      </c>
      <c r="G18" s="236" t="s">
        <v>186</v>
      </c>
      <c r="H18" s="236" t="s">
        <v>187</v>
      </c>
      <c r="I18" s="236" t="s">
        <v>183</v>
      </c>
    </row>
    <row r="19" spans="2:9" x14ac:dyDescent="0.25">
      <c r="B19" s="237" t="s">
        <v>302</v>
      </c>
      <c r="C19" s="238">
        <f>D15</f>
        <v>86000</v>
      </c>
      <c r="D19" s="238"/>
      <c r="E19" s="237"/>
      <c r="F19" s="237" t="s">
        <v>302</v>
      </c>
      <c r="G19" s="238">
        <f>F15</f>
        <v>86000</v>
      </c>
      <c r="H19" s="237"/>
      <c r="I19" s="239"/>
    </row>
    <row r="20" spans="2:9" x14ac:dyDescent="0.25">
      <c r="B20" s="237" t="s">
        <v>233</v>
      </c>
      <c r="C20" s="238">
        <f>'OCTOBER '!E29</f>
        <v>179</v>
      </c>
      <c r="D20" s="238"/>
      <c r="E20" s="237"/>
      <c r="F20" s="237" t="s">
        <v>233</v>
      </c>
      <c r="G20" s="238">
        <f>'OCTOBER '!I29</f>
        <v>179</v>
      </c>
      <c r="H20" s="237"/>
      <c r="I20" s="239"/>
    </row>
    <row r="21" spans="2:9" x14ac:dyDescent="0.25">
      <c r="B21" s="237" t="s">
        <v>190</v>
      </c>
      <c r="C21" s="241">
        <v>0.1</v>
      </c>
      <c r="D21" s="238">
        <f>C19*C21</f>
        <v>8600</v>
      </c>
      <c r="E21" s="237"/>
      <c r="F21" s="237" t="s">
        <v>248</v>
      </c>
      <c r="G21" s="241">
        <v>0.1</v>
      </c>
      <c r="H21" s="238">
        <f>C21*C19</f>
        <v>8600</v>
      </c>
      <c r="I21" s="239"/>
    </row>
    <row r="22" spans="2:9" x14ac:dyDescent="0.25">
      <c r="B22" s="242" t="s">
        <v>196</v>
      </c>
      <c r="C22" s="240"/>
      <c r="D22" s="240"/>
      <c r="E22" s="237"/>
      <c r="F22" s="242" t="s">
        <v>196</v>
      </c>
      <c r="G22" s="237"/>
      <c r="H22" s="237"/>
      <c r="I22" s="239"/>
    </row>
    <row r="23" spans="2:9" x14ac:dyDescent="0.25">
      <c r="B23" s="184">
        <v>43410</v>
      </c>
      <c r="C23" s="4"/>
      <c r="D23" s="4">
        <v>30105</v>
      </c>
      <c r="E23" s="4"/>
      <c r="F23" s="184">
        <v>43410</v>
      </c>
      <c r="G23" s="4"/>
      <c r="H23" s="4">
        <v>30105</v>
      </c>
      <c r="I23" s="239"/>
    </row>
    <row r="24" spans="2:9" x14ac:dyDescent="0.25">
      <c r="B24" s="243">
        <v>43414</v>
      </c>
      <c r="C24" s="237"/>
      <c r="D24" s="237">
        <v>20102</v>
      </c>
      <c r="E24" s="237"/>
      <c r="F24" s="243">
        <v>43414</v>
      </c>
      <c r="G24" s="237"/>
      <c r="H24" s="237">
        <v>20102</v>
      </c>
      <c r="I24" s="239"/>
    </row>
    <row r="25" spans="2:9" x14ac:dyDescent="0.25">
      <c r="B25" s="244">
        <v>43417</v>
      </c>
      <c r="C25" s="245"/>
      <c r="D25" s="246">
        <v>20102</v>
      </c>
      <c r="E25" s="247"/>
      <c r="F25" s="244">
        <v>43417</v>
      </c>
      <c r="G25" s="245"/>
      <c r="H25" s="246">
        <v>20102</v>
      </c>
      <c r="I25" s="239"/>
    </row>
    <row r="26" spans="2:9" x14ac:dyDescent="0.25">
      <c r="B26" s="244">
        <v>43434</v>
      </c>
      <c r="C26" s="248"/>
      <c r="D26" s="249">
        <v>5061</v>
      </c>
      <c r="E26" s="247"/>
      <c r="F26" s="244">
        <v>43434</v>
      </c>
      <c r="G26" s="248"/>
      <c r="H26" s="249">
        <v>5061</v>
      </c>
      <c r="I26" s="239"/>
    </row>
    <row r="27" spans="2:9" x14ac:dyDescent="0.25">
      <c r="B27" s="250" t="s">
        <v>3</v>
      </c>
      <c r="C27" s="251">
        <f>C19+C20-D21</f>
        <v>77579</v>
      </c>
      <c r="D27" s="218">
        <f>SUM(D23:D26)</f>
        <v>75370</v>
      </c>
      <c r="E27" s="218">
        <f>C27-D27</f>
        <v>2209</v>
      </c>
      <c r="F27" s="250" t="s">
        <v>3</v>
      </c>
      <c r="G27" s="251">
        <f>G19+G20-H21</f>
        <v>77579</v>
      </c>
      <c r="H27" s="218">
        <f>SUM(H23:H26)</f>
        <v>75370</v>
      </c>
      <c r="I27" s="218">
        <f>G27-H27</f>
        <v>2209</v>
      </c>
    </row>
    <row r="28" spans="2:9" x14ac:dyDescent="0.25">
      <c r="B28" s="252"/>
      <c r="C28" s="254"/>
      <c r="D28" s="254"/>
      <c r="E28" s="252"/>
      <c r="F28" s="253"/>
      <c r="G28" s="254"/>
      <c r="H28" s="254"/>
      <c r="I28" s="52"/>
    </row>
    <row r="29" spans="2:9" x14ac:dyDescent="0.25">
      <c r="B29" s="252"/>
      <c r="C29" s="255"/>
      <c r="D29" s="254"/>
      <c r="E29" s="252"/>
      <c r="F29" s="253"/>
      <c r="G29" s="254"/>
      <c r="H29" s="254"/>
      <c r="I29" s="52"/>
    </row>
    <row r="30" spans="2:9" x14ac:dyDescent="0.25">
      <c r="B30" s="53" t="s">
        <v>230</v>
      </c>
      <c r="C30" s="235"/>
      <c r="D30" s="52" t="s">
        <v>280</v>
      </c>
      <c r="E30" s="52"/>
      <c r="F30" s="53"/>
      <c r="G30" s="53" t="s">
        <v>273</v>
      </c>
      <c r="H30" s="52" t="s">
        <v>217</v>
      </c>
      <c r="I30" s="52"/>
    </row>
    <row r="31" spans="2:9" x14ac:dyDescent="0.25">
      <c r="B31" s="52" t="s">
        <v>279</v>
      </c>
      <c r="C31" s="52"/>
      <c r="D31" s="52" t="s">
        <v>281</v>
      </c>
      <c r="E31" s="52"/>
      <c r="F31" s="52"/>
      <c r="G31" s="52" t="s">
        <v>299</v>
      </c>
      <c r="H31" s="52"/>
      <c r="I31" s="52"/>
    </row>
    <row r="32" spans="2:9" x14ac:dyDescent="0.25">
      <c r="B32" s="52"/>
      <c r="C32" s="52"/>
      <c r="D32" s="52"/>
      <c r="E32" s="52"/>
      <c r="F32" s="52"/>
      <c r="G32" s="52"/>
      <c r="H32" s="52"/>
      <c r="I32" s="5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" workbookViewId="0">
      <selection activeCell="E29" sqref="E29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305</v>
      </c>
      <c r="D3" s="19"/>
      <c r="E3" s="19"/>
      <c r="F3" s="19"/>
      <c r="G3" s="257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78000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33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259</v>
      </c>
      <c r="C20" s="238">
        <f>D15</f>
        <v>78000</v>
      </c>
      <c r="D20" s="238"/>
      <c r="E20" s="237"/>
      <c r="F20" s="237" t="s">
        <v>259</v>
      </c>
      <c r="G20" s="238">
        <f>F15</f>
        <v>78000</v>
      </c>
      <c r="H20" s="237"/>
      <c r="I20" s="239"/>
    </row>
    <row r="21" spans="2:9" x14ac:dyDescent="0.25">
      <c r="B21" s="237" t="s">
        <v>233</v>
      </c>
      <c r="C21" s="238">
        <f>'NOVEMBER '!E27</f>
        <v>2209</v>
      </c>
      <c r="D21" s="238"/>
      <c r="E21" s="237"/>
      <c r="F21" s="237" t="s">
        <v>233</v>
      </c>
      <c r="G21" s="238">
        <f>'NOVEMBER '!I27</f>
        <v>2209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>
        <v>43441</v>
      </c>
      <c r="C24" s="4"/>
      <c r="D24" s="4">
        <v>30105</v>
      </c>
      <c r="E24" s="4"/>
      <c r="F24" s="184">
        <v>43441</v>
      </c>
      <c r="G24" s="4"/>
      <c r="H24" s="4">
        <v>30105</v>
      </c>
      <c r="I24" s="239"/>
    </row>
    <row r="25" spans="2:9" x14ac:dyDescent="0.25">
      <c r="B25" s="243" t="s">
        <v>306</v>
      </c>
      <c r="C25" s="237"/>
      <c r="D25" s="237">
        <v>8000</v>
      </c>
      <c r="E25" s="237"/>
      <c r="F25" s="243" t="s">
        <v>306</v>
      </c>
      <c r="G25" s="237"/>
      <c r="H25" s="237">
        <v>8000</v>
      </c>
      <c r="I25" s="239"/>
    </row>
    <row r="26" spans="2:9" x14ac:dyDescent="0.25">
      <c r="B26" s="244" t="s">
        <v>307</v>
      </c>
      <c r="C26" s="245"/>
      <c r="D26" s="246">
        <v>33305</v>
      </c>
      <c r="E26" s="247"/>
      <c r="F26" s="4"/>
      <c r="G26" s="244" t="s">
        <v>307</v>
      </c>
      <c r="H26" s="246">
        <v>33305</v>
      </c>
      <c r="I26" s="239"/>
    </row>
    <row r="27" spans="2:9" x14ac:dyDescent="0.25">
      <c r="B27" s="244" t="s">
        <v>309</v>
      </c>
      <c r="C27" s="245"/>
      <c r="D27" s="246">
        <v>5277</v>
      </c>
      <c r="E27" s="247"/>
      <c r="F27" s="4"/>
      <c r="G27" s="244" t="s">
        <v>309</v>
      </c>
      <c r="H27" s="246">
        <v>5277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72409</v>
      </c>
      <c r="D29" s="218">
        <f>SUM(D24:D28)</f>
        <v>76687</v>
      </c>
      <c r="E29" s="218">
        <f>C29-D29</f>
        <v>-4278</v>
      </c>
      <c r="F29" s="250" t="s">
        <v>3</v>
      </c>
      <c r="G29" s="251">
        <f>G20+G21-H22</f>
        <v>72409</v>
      </c>
      <c r="H29" s="218">
        <f>SUM(H24:H28)</f>
        <v>76687</v>
      </c>
      <c r="I29" s="218">
        <f>G29-H29</f>
        <v>-4278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  <pageSetup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38" sqref="H38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310</v>
      </c>
      <c r="D3" s="19"/>
      <c r="E3" s="19"/>
      <c r="F3" s="19"/>
      <c r="G3" s="257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78000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33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261</v>
      </c>
      <c r="C20" s="238">
        <f>D15</f>
        <v>78000</v>
      </c>
      <c r="D20" s="238"/>
      <c r="E20" s="237"/>
      <c r="F20" s="237" t="s">
        <v>261</v>
      </c>
      <c r="G20" s="238">
        <f>F15</f>
        <v>78000</v>
      </c>
      <c r="H20" s="237"/>
      <c r="I20" s="239"/>
    </row>
    <row r="21" spans="2:9" x14ac:dyDescent="0.25">
      <c r="B21" s="237" t="s">
        <v>233</v>
      </c>
      <c r="C21" s="238">
        <f>DECEM!E29</f>
        <v>-4278</v>
      </c>
      <c r="D21" s="238"/>
      <c r="E21" s="237"/>
      <c r="F21" s="237" t="s">
        <v>233</v>
      </c>
      <c r="G21" s="238">
        <f>DECEM!I29</f>
        <v>-4278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311</v>
      </c>
      <c r="C24" s="4"/>
      <c r="D24" s="4">
        <v>32105</v>
      </c>
      <c r="E24" s="4"/>
      <c r="F24" s="184" t="s">
        <v>311</v>
      </c>
      <c r="G24" s="4"/>
      <c r="H24" s="4">
        <v>32105</v>
      </c>
      <c r="I24" s="239"/>
    </row>
    <row r="25" spans="2:9" x14ac:dyDescent="0.25">
      <c r="B25" s="243" t="s">
        <v>312</v>
      </c>
      <c r="C25" s="237"/>
      <c r="D25" s="237">
        <v>20505</v>
      </c>
      <c r="E25" s="237"/>
      <c r="F25" s="243" t="s">
        <v>312</v>
      </c>
      <c r="G25" s="237"/>
      <c r="H25" s="237">
        <v>20505</v>
      </c>
      <c r="I25" s="239"/>
    </row>
    <row r="26" spans="2:9" x14ac:dyDescent="0.25">
      <c r="B26" s="258" t="s">
        <v>313</v>
      </c>
      <c r="C26" s="245"/>
      <c r="D26" s="246">
        <v>10097</v>
      </c>
      <c r="E26" s="247"/>
      <c r="F26" s="113" t="s">
        <v>313</v>
      </c>
      <c r="G26" s="244"/>
      <c r="H26" s="246">
        <v>10097</v>
      </c>
      <c r="I26" s="239"/>
    </row>
    <row r="27" spans="2:9" x14ac:dyDescent="0.25">
      <c r="B27" s="258" t="s">
        <v>314</v>
      </c>
      <c r="C27" s="245"/>
      <c r="D27" s="246">
        <v>3356</v>
      </c>
      <c r="E27" s="247"/>
      <c r="F27" s="258" t="s">
        <v>314</v>
      </c>
      <c r="G27" s="245"/>
      <c r="H27" s="246">
        <v>3356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65922</v>
      </c>
      <c r="D29" s="218">
        <f>SUM(D24:D28)</f>
        <v>66063</v>
      </c>
      <c r="E29" s="218">
        <f>C29-D29</f>
        <v>-141</v>
      </c>
      <c r="F29" s="250" t="s">
        <v>3</v>
      </c>
      <c r="G29" s="251">
        <f>G20+G21-H22</f>
        <v>65922</v>
      </c>
      <c r="H29" s="218">
        <f>SUM(H24:H28)</f>
        <v>66063</v>
      </c>
      <c r="I29" s="218">
        <f>G29-H29</f>
        <v>-141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8" sqref="G38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315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78000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266</v>
      </c>
      <c r="C20" s="238">
        <f>D15</f>
        <v>78000</v>
      </c>
      <c r="D20" s="238"/>
      <c r="E20" s="237"/>
      <c r="F20" s="237" t="s">
        <v>266</v>
      </c>
      <c r="G20" s="238">
        <f>F15</f>
        <v>78000</v>
      </c>
      <c r="H20" s="237"/>
      <c r="I20" s="239"/>
    </row>
    <row r="21" spans="2:9" x14ac:dyDescent="0.25">
      <c r="B21" s="237" t="s">
        <v>233</v>
      </c>
      <c r="C21" s="238">
        <f>JANUARY!E29</f>
        <v>-141</v>
      </c>
      <c r="D21" s="238"/>
      <c r="E21" s="237"/>
      <c r="F21" s="237" t="s">
        <v>233</v>
      </c>
      <c r="G21" s="238">
        <f>JANUARY!I29</f>
        <v>-141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>
        <v>43503</v>
      </c>
      <c r="C24" s="4"/>
      <c r="D24" s="4">
        <v>50105</v>
      </c>
      <c r="E24" s="4"/>
      <c r="F24" s="184">
        <v>43503</v>
      </c>
      <c r="G24" s="4"/>
      <c r="H24" s="4">
        <v>50105</v>
      </c>
      <c r="I24" s="239"/>
    </row>
    <row r="25" spans="2:9" x14ac:dyDescent="0.25">
      <c r="B25" s="243">
        <v>43510</v>
      </c>
      <c r="C25" s="237"/>
      <c r="D25" s="237">
        <v>17102</v>
      </c>
      <c r="E25" s="237"/>
      <c r="F25" s="243">
        <v>43510</v>
      </c>
      <c r="G25" s="237"/>
      <c r="H25" s="237">
        <v>17102</v>
      </c>
      <c r="I25" s="239"/>
    </row>
    <row r="26" spans="2:9" x14ac:dyDescent="0.25">
      <c r="B26" s="258" t="s">
        <v>316</v>
      </c>
      <c r="C26" s="245"/>
      <c r="D26" s="246">
        <v>1076</v>
      </c>
      <c r="E26" s="247"/>
      <c r="F26" s="258" t="s">
        <v>316</v>
      </c>
      <c r="G26" s="245"/>
      <c r="H26" s="246">
        <v>1076</v>
      </c>
      <c r="I26" s="239"/>
    </row>
    <row r="27" spans="2:9" x14ac:dyDescent="0.25">
      <c r="B27" s="258"/>
      <c r="C27" s="245"/>
      <c r="D27" s="246"/>
      <c r="E27" s="247"/>
      <c r="F27" s="258"/>
      <c r="G27" s="245"/>
      <c r="H27" s="246"/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70059</v>
      </c>
      <c r="D29" s="218">
        <f>SUM(D24:D28)</f>
        <v>68283</v>
      </c>
      <c r="E29" s="218">
        <f>C29-D29</f>
        <v>1776</v>
      </c>
      <c r="F29" s="250" t="s">
        <v>3</v>
      </c>
      <c r="G29" s="251">
        <f>G20+G21-H22</f>
        <v>70059</v>
      </c>
      <c r="H29" s="218">
        <f>SUM(H24:H28)</f>
        <v>68283</v>
      </c>
      <c r="I29" s="218">
        <f>G29-H29</f>
        <v>1776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Q26" sqref="Q26"/>
    </sheetView>
  </sheetViews>
  <sheetFormatPr defaultRowHeight="15" x14ac:dyDescent="0.25"/>
  <cols>
    <col min="1" max="1" width="15.5703125" customWidth="1"/>
    <col min="7" max="7" width="13.5703125" customWidth="1"/>
    <col min="8" max="8" width="11.28515625" customWidth="1"/>
    <col min="9" max="9" width="10.42578125" customWidth="1"/>
    <col min="10" max="10" width="8" customWidth="1"/>
    <col min="12" max="12" width="8.42578125" customWidth="1"/>
    <col min="13" max="13" width="11" customWidth="1"/>
  </cols>
  <sheetData>
    <row r="1" spans="1:13" ht="28.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9"/>
      <c r="B5" s="79"/>
      <c r="C5" s="80" t="s">
        <v>50</v>
      </c>
      <c r="D5" s="79"/>
      <c r="E5" s="79"/>
      <c r="F5" s="79"/>
      <c r="G5" s="79"/>
      <c r="H5" s="79"/>
      <c r="I5" s="79"/>
      <c r="J5" s="91" t="s">
        <v>28</v>
      </c>
      <c r="K5" s="79"/>
      <c r="L5" s="79"/>
      <c r="M5" s="79"/>
    </row>
    <row r="6" spans="1:13" ht="17.25" customHeight="1" x14ac:dyDescent="0.25">
      <c r="A6" s="74"/>
      <c r="B6" s="74"/>
      <c r="C6" s="74"/>
      <c r="D6" s="77"/>
      <c r="E6" s="77"/>
      <c r="F6" s="78" t="s">
        <v>86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80</v>
      </c>
      <c r="B8" s="36">
        <v>1</v>
      </c>
      <c r="C8" s="36">
        <v>18000</v>
      </c>
      <c r="D8" s="37">
        <v>18000</v>
      </c>
      <c r="E8" s="37">
        <v>18000</v>
      </c>
      <c r="F8" s="36"/>
      <c r="G8" s="57">
        <v>9000</v>
      </c>
      <c r="H8" s="57">
        <v>9000</v>
      </c>
      <c r="I8" s="57">
        <v>9000</v>
      </c>
      <c r="J8" s="57"/>
      <c r="K8" s="37"/>
      <c r="L8" s="37"/>
      <c r="M8" s="86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/>
      <c r="J9" s="57"/>
      <c r="K9" s="37"/>
      <c r="L9" s="37"/>
      <c r="M9" s="87">
        <f>SUM(H9-I9)</f>
        <v>7000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/>
      <c r="H11" s="58"/>
      <c r="I11" s="58"/>
      <c r="J11" s="58"/>
      <c r="K11" s="9"/>
      <c r="L11" s="9"/>
      <c r="M11" s="88"/>
    </row>
    <row r="12" spans="1:13" ht="12.95" customHeight="1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ht="12.95" customHeight="1" x14ac:dyDescent="0.25">
      <c r="A13" s="33" t="s">
        <v>13</v>
      </c>
      <c r="B13" s="10">
        <v>7</v>
      </c>
      <c r="C13" s="11" t="s">
        <v>81</v>
      </c>
      <c r="D13" s="9"/>
      <c r="E13" s="11" t="s">
        <v>81</v>
      </c>
      <c r="F13" s="9"/>
      <c r="G13" s="58">
        <v>14000</v>
      </c>
      <c r="H13" s="58">
        <v>14000</v>
      </c>
      <c r="I13" s="58"/>
      <c r="J13" s="92"/>
      <c r="K13" s="9"/>
      <c r="L13" s="9"/>
      <c r="M13" s="88">
        <f>SUM(H13-I13)</f>
        <v>14000</v>
      </c>
    </row>
    <row r="14" spans="1:13" ht="12.95" customHeight="1" x14ac:dyDescent="0.25">
      <c r="A14" s="32" t="s">
        <v>69</v>
      </c>
      <c r="B14" s="10">
        <v>6</v>
      </c>
      <c r="C14" s="11" t="s">
        <v>71</v>
      </c>
      <c r="D14" s="9">
        <v>25000</v>
      </c>
      <c r="E14" s="11"/>
      <c r="F14" s="9"/>
      <c r="G14" s="58">
        <v>30000</v>
      </c>
      <c r="H14" s="58">
        <v>30000</v>
      </c>
      <c r="I14" s="58"/>
      <c r="J14" s="58"/>
      <c r="K14" s="9"/>
      <c r="L14" s="9"/>
      <c r="M14" s="88">
        <f>SUM(H14-I14)</f>
        <v>30000</v>
      </c>
    </row>
    <row r="15" spans="1:13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>
        <v>3000</v>
      </c>
      <c r="G15" s="58">
        <v>15000</v>
      </c>
      <c r="H15" s="58">
        <v>18000</v>
      </c>
      <c r="I15" s="58"/>
      <c r="J15" s="58"/>
      <c r="K15" s="9"/>
      <c r="L15" s="9"/>
      <c r="M15" s="88">
        <f>SUM(H15-I15)</f>
        <v>18000</v>
      </c>
    </row>
    <row r="16" spans="1:13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/>
    </row>
    <row r="17" spans="1:15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88"/>
    </row>
    <row r="18" spans="1:15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/>
      <c r="J18" s="59"/>
      <c r="K18" s="14"/>
      <c r="L18" s="14"/>
      <c r="M18" s="88">
        <f>SUM(H18-I18)</f>
        <v>12000</v>
      </c>
    </row>
    <row r="19" spans="1:15" ht="12.95" customHeight="1" x14ac:dyDescent="0.25">
      <c r="A19" s="33"/>
      <c r="B19" s="5"/>
      <c r="C19" s="5"/>
      <c r="D19" s="5"/>
      <c r="E19" s="17"/>
      <c r="F19" s="5"/>
      <c r="G19" s="60"/>
      <c r="H19" s="60"/>
      <c r="I19" s="60"/>
      <c r="J19" s="60"/>
      <c r="K19" s="5"/>
      <c r="L19" s="5"/>
      <c r="M19" s="89"/>
    </row>
    <row r="20" spans="1:15" ht="12.95" customHeight="1" x14ac:dyDescent="0.25">
      <c r="A20" s="43" t="s">
        <v>3</v>
      </c>
      <c r="B20" s="44"/>
      <c r="C20" s="44"/>
      <c r="D20" s="44"/>
      <c r="E20" s="44"/>
      <c r="F20" s="44"/>
      <c r="G20" s="61">
        <f>SUM(G8:G19)</f>
        <v>111000</v>
      </c>
      <c r="H20" s="61">
        <f>SUM(H8:H19)</f>
        <v>114000</v>
      </c>
      <c r="I20" s="61">
        <f>SUM(I8:I19)</f>
        <v>33000</v>
      </c>
      <c r="J20" s="61"/>
      <c r="K20" s="44"/>
      <c r="L20" s="44"/>
      <c r="M20" s="90">
        <f>SUM(M8:M19)</f>
        <v>81000</v>
      </c>
    </row>
    <row r="21" spans="1:15" x14ac:dyDescent="0.25">
      <c r="A21" s="2"/>
      <c r="B21" s="2"/>
      <c r="C21" s="2"/>
      <c r="D21" s="81"/>
      <c r="E21" s="82" t="s">
        <v>76</v>
      </c>
      <c r="F21" s="82"/>
      <c r="G21" s="83"/>
      <c r="H21" s="83"/>
      <c r="I21" s="83"/>
      <c r="J21" s="83"/>
      <c r="K21" s="83"/>
      <c r="L21" s="83"/>
      <c r="M21" s="83"/>
      <c r="N21" s="83"/>
      <c r="O21" s="83"/>
    </row>
    <row r="22" spans="1:15" x14ac:dyDescent="0.25">
      <c r="A22" s="2"/>
      <c r="B22" s="3"/>
      <c r="C22" s="67"/>
      <c r="D22" s="3" t="s">
        <v>40</v>
      </c>
      <c r="E22" s="48"/>
      <c r="F22" s="2"/>
      <c r="G22" s="62">
        <f>SUM(G20)</f>
        <v>111000</v>
      </c>
      <c r="H22" s="66"/>
      <c r="I22" s="2"/>
      <c r="J22" s="2"/>
      <c r="K22" s="2"/>
      <c r="L22" s="2"/>
      <c r="M22" s="2"/>
      <c r="N22" s="2"/>
      <c r="O22" s="2"/>
    </row>
    <row r="23" spans="1:15" x14ac:dyDescent="0.25">
      <c r="A23" s="2" t="s">
        <v>87</v>
      </c>
      <c r="B23" s="3"/>
      <c r="C23" s="67"/>
      <c r="D23" s="3" t="s">
        <v>60</v>
      </c>
      <c r="E23" s="48"/>
      <c r="F23" s="2"/>
      <c r="G23" s="70">
        <f>SUM(G22-G25)</f>
        <v>103230</v>
      </c>
      <c r="H23" s="2"/>
      <c r="I23" s="66"/>
      <c r="J23" s="66"/>
      <c r="K23" s="66"/>
      <c r="L23" s="66"/>
      <c r="M23" s="66"/>
      <c r="N23" s="66"/>
      <c r="O23" s="66"/>
    </row>
    <row r="24" spans="1:15" x14ac:dyDescent="0.25">
      <c r="A24" s="2"/>
      <c r="B24" s="3"/>
      <c r="C24" s="67"/>
      <c r="D24" s="76" t="s">
        <v>73</v>
      </c>
      <c r="E24" s="48"/>
      <c r="F24" s="2"/>
      <c r="G24" s="70"/>
      <c r="H24" s="2"/>
      <c r="I24" s="66"/>
      <c r="J24" s="66"/>
      <c r="K24" s="66"/>
      <c r="L24" s="66"/>
      <c r="M24" s="66"/>
      <c r="N24" s="66"/>
      <c r="O24" s="66"/>
    </row>
    <row r="25" spans="1:15" x14ac:dyDescent="0.25">
      <c r="A25" s="2"/>
      <c r="B25" s="3"/>
      <c r="C25" s="67"/>
      <c r="D25" s="3" t="s">
        <v>52</v>
      </c>
      <c r="E25" s="50"/>
      <c r="F25" s="2"/>
      <c r="G25" s="69">
        <f>SUM(G22*7%)</f>
        <v>7770.0000000000009</v>
      </c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3"/>
      <c r="C26" s="67"/>
      <c r="D26" s="3" t="s">
        <v>75</v>
      </c>
      <c r="E26" s="50"/>
      <c r="F26" s="2"/>
      <c r="G26" s="69">
        <v>500</v>
      </c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3"/>
      <c r="C27" s="3"/>
      <c r="D27" s="68" t="s">
        <v>64</v>
      </c>
      <c r="E27" s="47"/>
      <c r="F27" s="2"/>
      <c r="G27" s="71">
        <v>20000</v>
      </c>
      <c r="H27" s="2"/>
      <c r="I27" s="2" t="s">
        <v>56</v>
      </c>
      <c r="J27" s="2" t="s">
        <v>56</v>
      </c>
      <c r="K27" s="2" t="s">
        <v>56</v>
      </c>
      <c r="L27" s="2" t="s">
        <v>56</v>
      </c>
      <c r="M27" s="2" t="s">
        <v>56</v>
      </c>
      <c r="N27" s="2" t="s">
        <v>56</v>
      </c>
      <c r="O27" s="2" t="s">
        <v>56</v>
      </c>
    </row>
    <row r="28" spans="1:15" x14ac:dyDescent="0.25">
      <c r="A28" s="2"/>
      <c r="B28" s="3"/>
      <c r="C28" s="3"/>
      <c r="D28" s="68"/>
      <c r="E28" s="47"/>
      <c r="F28" s="2"/>
      <c r="G28" s="71"/>
      <c r="H28" s="2"/>
      <c r="I28" s="66"/>
      <c r="J28" s="66"/>
      <c r="K28" s="66"/>
      <c r="L28" s="66"/>
      <c r="M28" s="66"/>
      <c r="N28" s="66"/>
      <c r="O28" s="66"/>
    </row>
    <row r="29" spans="1:15" x14ac:dyDescent="0.25">
      <c r="A29" s="93"/>
      <c r="B29" s="93"/>
      <c r="C29" s="93"/>
      <c r="D29" s="93" t="s">
        <v>3</v>
      </c>
      <c r="E29" s="93"/>
      <c r="F29" s="93"/>
      <c r="G29" s="94">
        <f>SUM(G25:G28)</f>
        <v>28270</v>
      </c>
      <c r="H29" s="93"/>
      <c r="I29" s="93"/>
      <c r="J29" s="93"/>
      <c r="K29" s="93"/>
      <c r="L29" s="93"/>
      <c r="M29" s="93"/>
      <c r="N29" s="93"/>
      <c r="O29" s="93"/>
    </row>
    <row r="30" spans="1:15" ht="18" x14ac:dyDescent="0.4">
      <c r="A30" s="2"/>
      <c r="B30" s="3"/>
      <c r="C30" s="3"/>
      <c r="D30" s="68" t="s">
        <v>61</v>
      </c>
      <c r="E30" s="2"/>
      <c r="F30" s="2"/>
      <c r="G30" s="72">
        <f>SUM(G22-G29)</f>
        <v>82730</v>
      </c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52"/>
      <c r="B31" s="53" t="s">
        <v>41</v>
      </c>
      <c r="C31" s="2"/>
      <c r="D31" s="2"/>
      <c r="E31" s="2"/>
      <c r="F31" s="52" t="s">
        <v>42</v>
      </c>
      <c r="G31" s="52"/>
      <c r="H31" s="52"/>
      <c r="I31" s="52" t="s">
        <v>43</v>
      </c>
      <c r="J31" s="52"/>
      <c r="K31" s="2"/>
      <c r="L31" s="2"/>
      <c r="M31" s="2"/>
    </row>
    <row r="32" spans="1:15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</row>
    <row r="33" spans="1:13" ht="7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1" sqref="G31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318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7000</v>
      </c>
      <c r="G8" s="218">
        <f>E8-F8</f>
        <v>1000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77000</v>
      </c>
      <c r="G15" s="231">
        <f>SUM(G5:G14)</f>
        <v>1000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317</v>
      </c>
      <c r="C20" s="238">
        <f>D15</f>
        <v>78000</v>
      </c>
      <c r="D20" s="238"/>
      <c r="E20" s="237"/>
      <c r="F20" s="237" t="s">
        <v>317</v>
      </c>
      <c r="G20" s="238">
        <f>F15</f>
        <v>77000</v>
      </c>
      <c r="H20" s="237"/>
      <c r="I20" s="239"/>
    </row>
    <row r="21" spans="2:9" x14ac:dyDescent="0.25">
      <c r="B21" s="237" t="s">
        <v>233</v>
      </c>
      <c r="C21" s="238">
        <f>'FEB '!E29</f>
        <v>1776</v>
      </c>
      <c r="D21" s="238"/>
      <c r="E21" s="237"/>
      <c r="F21" s="237" t="s">
        <v>233</v>
      </c>
      <c r="G21" s="238">
        <f>'FEB '!I29</f>
        <v>1776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319</v>
      </c>
      <c r="C24" s="4"/>
      <c r="D24" s="4">
        <v>105000</v>
      </c>
      <c r="E24" s="4"/>
      <c r="F24" s="184" t="s">
        <v>319</v>
      </c>
      <c r="G24" s="4"/>
      <c r="H24" s="4">
        <v>105000</v>
      </c>
      <c r="I24" s="239"/>
    </row>
    <row r="25" spans="2:9" x14ac:dyDescent="0.25">
      <c r="B25" s="243" t="s">
        <v>320</v>
      </c>
      <c r="C25" s="237"/>
      <c r="D25" s="237">
        <v>4000</v>
      </c>
      <c r="E25" s="237"/>
      <c r="F25" s="243" t="s">
        <v>320</v>
      </c>
      <c r="G25" s="237"/>
      <c r="H25" s="237">
        <v>4000</v>
      </c>
      <c r="I25" s="239"/>
    </row>
    <row r="26" spans="2:9" x14ac:dyDescent="0.25">
      <c r="B26" s="258"/>
      <c r="C26" s="245"/>
      <c r="D26" s="246"/>
      <c r="E26" s="247"/>
      <c r="F26" s="258"/>
      <c r="G26" s="245"/>
      <c r="H26" s="246"/>
      <c r="I26" s="239"/>
    </row>
    <row r="27" spans="2:9" x14ac:dyDescent="0.25">
      <c r="B27" s="258"/>
      <c r="C27" s="245"/>
      <c r="D27" s="246"/>
      <c r="E27" s="247"/>
      <c r="F27" s="258"/>
      <c r="G27" s="245"/>
      <c r="H27" s="246"/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71976</v>
      </c>
      <c r="D29" s="218">
        <f>SUM(D24:D28)</f>
        <v>109000</v>
      </c>
      <c r="E29" s="218">
        <f>C29-D29</f>
        <v>-37024</v>
      </c>
      <c r="F29" s="250" t="s">
        <v>3</v>
      </c>
      <c r="G29" s="251">
        <f>G20+G21-H22</f>
        <v>70976</v>
      </c>
      <c r="H29" s="218">
        <f>SUM(H24:H28)</f>
        <v>109000</v>
      </c>
      <c r="I29" s="218">
        <f>G29-H29</f>
        <v>-38024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5" sqref="B5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321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333</v>
      </c>
      <c r="C5" s="216"/>
      <c r="D5" s="217">
        <v>16000</v>
      </c>
      <c r="E5" s="217">
        <f>C5+D5</f>
        <v>16000</v>
      </c>
      <c r="F5" s="217">
        <v>16000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52"/>
      <c r="I7" s="52"/>
    </row>
    <row r="8" spans="1:9" x14ac:dyDescent="0.25">
      <c r="A8" s="4">
        <v>4</v>
      </c>
      <c r="B8" s="223" t="s">
        <v>120</v>
      </c>
      <c r="C8" s="221">
        <v>1000</v>
      </c>
      <c r="D8" s="222">
        <v>8000</v>
      </c>
      <c r="E8" s="217">
        <f t="shared" si="0"/>
        <v>9000</v>
      </c>
      <c r="F8" s="222">
        <v>9000</v>
      </c>
      <c r="G8" s="218">
        <f t="shared" si="1"/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 t="shared" si="1"/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94000</v>
      </c>
      <c r="E15" s="230">
        <f>SUM(E5:E14)</f>
        <v>95000</v>
      </c>
      <c r="F15" s="230">
        <f>SUM(F5:F14)</f>
        <v>95000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322</v>
      </c>
      <c r="C20" s="238">
        <f>D15</f>
        <v>94000</v>
      </c>
      <c r="D20" s="238"/>
      <c r="E20" s="237"/>
      <c r="F20" s="237" t="s">
        <v>322</v>
      </c>
      <c r="G20" s="238">
        <f>F15</f>
        <v>95000</v>
      </c>
      <c r="H20" s="237"/>
      <c r="I20" s="239"/>
    </row>
    <row r="21" spans="2:9" x14ac:dyDescent="0.25">
      <c r="B21" s="237" t="s">
        <v>233</v>
      </c>
      <c r="C21" s="238">
        <f>'MARCH '!E29</f>
        <v>-37024</v>
      </c>
      <c r="D21" s="238"/>
      <c r="E21" s="237"/>
      <c r="F21" s="237" t="s">
        <v>233</v>
      </c>
      <c r="G21" s="238">
        <f>'MARCH '!I29</f>
        <v>-38024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9400</v>
      </c>
      <c r="E22" s="237"/>
      <c r="F22" s="237" t="s">
        <v>248</v>
      </c>
      <c r="G22" s="241">
        <v>0.1</v>
      </c>
      <c r="H22" s="238">
        <f>C22*C20</f>
        <v>9400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323</v>
      </c>
      <c r="C24" s="4"/>
      <c r="D24" s="4">
        <v>47405</v>
      </c>
      <c r="E24" s="4"/>
      <c r="F24" s="184" t="s">
        <v>323</v>
      </c>
      <c r="G24" s="4"/>
      <c r="H24" s="4">
        <v>47405</v>
      </c>
      <c r="I24" s="239"/>
    </row>
    <row r="25" spans="2:9" x14ac:dyDescent="0.25">
      <c r="B25" s="243" t="s">
        <v>324</v>
      </c>
      <c r="C25" s="237"/>
      <c r="D25" s="237">
        <v>20102</v>
      </c>
      <c r="E25" s="237"/>
      <c r="F25" s="243" t="s">
        <v>324</v>
      </c>
      <c r="G25" s="237"/>
      <c r="H25" s="237">
        <v>20102</v>
      </c>
      <c r="I25" s="239"/>
    </row>
    <row r="26" spans="2:9" x14ac:dyDescent="0.25">
      <c r="B26" s="258"/>
      <c r="C26" s="245"/>
      <c r="D26" s="246"/>
      <c r="E26" s="247"/>
      <c r="F26" s="258"/>
      <c r="G26" s="245"/>
      <c r="H26" s="246"/>
      <c r="I26" s="239"/>
    </row>
    <row r="27" spans="2:9" x14ac:dyDescent="0.25">
      <c r="B27" s="258"/>
      <c r="C27" s="245"/>
      <c r="D27" s="246"/>
      <c r="E27" s="247"/>
      <c r="F27" s="258"/>
      <c r="G27" s="245"/>
      <c r="H27" s="246"/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47576</v>
      </c>
      <c r="D29" s="218">
        <f>SUM(D24:D28)</f>
        <v>67507</v>
      </c>
      <c r="E29" s="218">
        <f>C29-D29</f>
        <v>-19931</v>
      </c>
      <c r="F29" s="250" t="s">
        <v>3</v>
      </c>
      <c r="G29" s="251">
        <f>G20+G21-H22</f>
        <v>47576</v>
      </c>
      <c r="H29" s="218">
        <f>SUM(H24:H28)</f>
        <v>67507</v>
      </c>
      <c r="I29" s="218">
        <f>G29-H29</f>
        <v>-19931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32" sqref="F32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325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333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6000</v>
      </c>
      <c r="G13" s="218">
        <f t="shared" si="1"/>
        <v>1000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85000</v>
      </c>
      <c r="G15" s="231">
        <f>SUM(G5:G14)</f>
        <v>1000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284</v>
      </c>
      <c r="C20" s="238">
        <f>D15</f>
        <v>86000</v>
      </c>
      <c r="D20" s="238"/>
      <c r="E20" s="237"/>
      <c r="F20" s="237" t="s">
        <v>284</v>
      </c>
      <c r="G20" s="238">
        <f>F15</f>
        <v>85000</v>
      </c>
      <c r="H20" s="237"/>
      <c r="I20" s="239"/>
    </row>
    <row r="21" spans="2:9" x14ac:dyDescent="0.25">
      <c r="B21" s="237" t="s">
        <v>233</v>
      </c>
      <c r="C21" s="238">
        <f>'APRIL '!E29</f>
        <v>-19931</v>
      </c>
      <c r="D21" s="238"/>
      <c r="E21" s="237"/>
      <c r="F21" s="237" t="s">
        <v>233</v>
      </c>
      <c r="G21" s="238">
        <f>'APRIL '!I29</f>
        <v>-19931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8600</v>
      </c>
      <c r="E22" s="237"/>
      <c r="F22" s="237" t="s">
        <v>248</v>
      </c>
      <c r="G22" s="241">
        <v>0.1</v>
      </c>
      <c r="H22" s="238">
        <f>C22*C20</f>
        <v>8600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326</v>
      </c>
      <c r="C24" s="4"/>
      <c r="D24" s="4">
        <v>10087</v>
      </c>
      <c r="E24" s="4"/>
      <c r="F24" s="184" t="s">
        <v>326</v>
      </c>
      <c r="G24" s="4"/>
      <c r="H24" s="4">
        <v>10087</v>
      </c>
      <c r="I24" s="239"/>
    </row>
    <row r="25" spans="2:9" x14ac:dyDescent="0.25">
      <c r="B25" s="243" t="s">
        <v>327</v>
      </c>
      <c r="C25" s="237"/>
      <c r="D25" s="237">
        <v>10087</v>
      </c>
      <c r="E25" s="237"/>
      <c r="F25" s="243" t="s">
        <v>327</v>
      </c>
      <c r="G25" s="237"/>
      <c r="H25" s="237">
        <v>10087</v>
      </c>
      <c r="I25" s="239"/>
    </row>
    <row r="26" spans="2:9" x14ac:dyDescent="0.25">
      <c r="B26" s="258" t="s">
        <v>328</v>
      </c>
      <c r="C26" s="245"/>
      <c r="D26" s="246">
        <v>37105</v>
      </c>
      <c r="E26" s="247"/>
      <c r="F26" s="258" t="s">
        <v>328</v>
      </c>
      <c r="G26" s="245"/>
      <c r="H26" s="246">
        <v>37105</v>
      </c>
      <c r="I26" s="239"/>
    </row>
    <row r="27" spans="2:9" x14ac:dyDescent="0.25">
      <c r="B27" s="258" t="s">
        <v>331</v>
      </c>
      <c r="C27" s="245"/>
      <c r="D27" s="246">
        <v>325</v>
      </c>
      <c r="E27" s="247"/>
      <c r="F27" s="258" t="s">
        <v>331</v>
      </c>
      <c r="G27" s="245"/>
      <c r="H27" s="246">
        <v>325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57469</v>
      </c>
      <c r="D29" s="218">
        <f>SUM(D24:D28)</f>
        <v>57604</v>
      </c>
      <c r="E29" s="218">
        <f>C29-D29</f>
        <v>-135</v>
      </c>
      <c r="F29" s="250" t="s">
        <v>3</v>
      </c>
      <c r="G29" s="251">
        <f>G20+G21-H22</f>
        <v>56469</v>
      </c>
      <c r="H29" s="218">
        <f>SUM(H24:H28)</f>
        <v>57604</v>
      </c>
      <c r="I29" s="218">
        <f>G29-H29</f>
        <v>-1135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24" sqref="L24"/>
    </sheetView>
  </sheetViews>
  <sheetFormatPr defaultRowHeight="15" x14ac:dyDescent="0.25"/>
  <cols>
    <col min="1" max="1" width="4.7109375" style="113" customWidth="1"/>
    <col min="2" max="2" width="19.28515625" style="113" customWidth="1"/>
    <col min="3" max="3" width="10.7109375" style="113" customWidth="1"/>
    <col min="4" max="4" width="9.42578125" style="113" customWidth="1"/>
    <col min="5" max="5" width="9.28515625" style="113" customWidth="1"/>
    <col min="6" max="6" width="18.7109375" style="113" customWidth="1"/>
    <col min="7" max="7" width="10.140625" style="113" customWidth="1"/>
    <col min="8" max="8" width="10" style="113" bestFit="1" customWidth="1"/>
    <col min="9" max="9" width="9.42578125" style="113" bestFit="1" customWidth="1"/>
    <col min="10" max="16384" width="9.140625" style="113"/>
  </cols>
  <sheetData>
    <row r="1" spans="1:10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</row>
    <row r="2" spans="1:10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</row>
    <row r="3" spans="1:10" ht="15.75" x14ac:dyDescent="0.25">
      <c r="A3" s="156"/>
      <c r="B3" s="156"/>
      <c r="C3" s="19" t="s">
        <v>330</v>
      </c>
      <c r="D3" s="19"/>
      <c r="E3" s="19"/>
      <c r="F3" s="19"/>
      <c r="G3" s="156"/>
      <c r="H3" s="156"/>
      <c r="I3" s="156"/>
      <c r="J3" s="156"/>
    </row>
    <row r="4" spans="1:10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</row>
    <row r="5" spans="1:10" x14ac:dyDescent="0.25">
      <c r="A5" s="178">
        <v>1</v>
      </c>
      <c r="B5" s="215" t="s">
        <v>333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</row>
    <row r="6" spans="1:10" x14ac:dyDescent="0.25">
      <c r="A6" s="178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239"/>
      <c r="I6" s="156"/>
      <c r="J6" s="156"/>
    </row>
    <row r="7" spans="1:10" x14ac:dyDescent="0.25">
      <c r="A7" s="178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/>
      <c r="I7" s="156"/>
      <c r="J7" s="156"/>
    </row>
    <row r="8" spans="1:10" x14ac:dyDescent="0.25">
      <c r="A8" s="178">
        <v>4</v>
      </c>
      <c r="B8" s="223" t="s">
        <v>334</v>
      </c>
      <c r="C8" s="221"/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/>
      <c r="I8" s="156"/>
      <c r="J8" s="156"/>
    </row>
    <row r="9" spans="1:10" x14ac:dyDescent="0.25">
      <c r="A9" s="178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</row>
    <row r="10" spans="1:10" x14ac:dyDescent="0.25">
      <c r="A10" s="178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/>
      <c r="I10" s="156"/>
      <c r="J10" s="156"/>
    </row>
    <row r="11" spans="1:10" x14ac:dyDescent="0.25">
      <c r="A11" s="178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239"/>
      <c r="I11" s="156"/>
      <c r="J11" s="156"/>
    </row>
    <row r="12" spans="1:10" x14ac:dyDescent="0.25">
      <c r="A12" s="178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239">
        <v>900</v>
      </c>
      <c r="I12" s="156"/>
      <c r="J12" s="156"/>
    </row>
    <row r="13" spans="1:10" x14ac:dyDescent="0.25">
      <c r="A13" s="178">
        <v>9</v>
      </c>
      <c r="B13" s="224" t="s">
        <v>240</v>
      </c>
      <c r="C13" s="22">
        <v>1000</v>
      </c>
      <c r="D13" s="225">
        <v>7000</v>
      </c>
      <c r="E13" s="217">
        <f t="shared" si="0"/>
        <v>8000</v>
      </c>
      <c r="F13" s="225">
        <v>5500</v>
      </c>
      <c r="G13" s="218">
        <f t="shared" si="1"/>
        <v>2500</v>
      </c>
      <c r="H13" s="239"/>
      <c r="I13" s="156"/>
      <c r="J13" s="156"/>
    </row>
    <row r="14" spans="1:10" x14ac:dyDescent="0.25">
      <c r="A14" s="178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239"/>
      <c r="I14" s="156"/>
      <c r="J14" s="156"/>
    </row>
    <row r="15" spans="1:10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87000</v>
      </c>
      <c r="F15" s="230">
        <f>SUM(F5:F14)</f>
        <v>84500</v>
      </c>
      <c r="G15" s="231">
        <f>SUM(G5:G14)</f>
        <v>2500</v>
      </c>
      <c r="H15" s="260">
        <f>SUM(H5:H14)</f>
        <v>2700</v>
      </c>
      <c r="I15" s="211" t="s">
        <v>56</v>
      </c>
    </row>
    <row r="16" spans="1:10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</row>
    <row r="17" spans="1:10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</row>
    <row r="18" spans="1:10" x14ac:dyDescent="0.25">
      <c r="A18" s="156"/>
      <c r="B18" s="265" t="s">
        <v>184</v>
      </c>
      <c r="C18" s="156"/>
      <c r="D18" s="263"/>
      <c r="E18" s="156"/>
      <c r="F18" s="264"/>
      <c r="G18" s="264"/>
      <c r="H18" s="156"/>
      <c r="I18" s="156"/>
      <c r="J18" s="156"/>
    </row>
    <row r="19" spans="1:10" x14ac:dyDescent="0.25">
      <c r="A19" s="156"/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56"/>
    </row>
    <row r="20" spans="1:10" x14ac:dyDescent="0.25">
      <c r="A20" s="156"/>
      <c r="B20" s="237" t="s">
        <v>287</v>
      </c>
      <c r="C20" s="238">
        <f>D15</f>
        <v>86000</v>
      </c>
      <c r="D20" s="238"/>
      <c r="E20" s="237"/>
      <c r="F20" s="237" t="s">
        <v>287</v>
      </c>
      <c r="G20" s="238">
        <f>F15</f>
        <v>84500</v>
      </c>
      <c r="H20" s="237"/>
      <c r="I20" s="239"/>
      <c r="J20" s="156"/>
    </row>
    <row r="21" spans="1:10" x14ac:dyDescent="0.25">
      <c r="A21" s="156"/>
      <c r="B21" s="237" t="s">
        <v>233</v>
      </c>
      <c r="C21" s="238">
        <f>'MAY '!E29</f>
        <v>-135</v>
      </c>
      <c r="D21" s="238"/>
      <c r="E21" s="237"/>
      <c r="F21" s="237" t="s">
        <v>233</v>
      </c>
      <c r="G21" s="238">
        <f>'MAY '!I29</f>
        <v>-1135</v>
      </c>
      <c r="H21" s="237"/>
      <c r="I21" s="239"/>
      <c r="J21" s="156"/>
    </row>
    <row r="22" spans="1:10" x14ac:dyDescent="0.25">
      <c r="A22" s="156"/>
      <c r="B22" s="237" t="s">
        <v>329</v>
      </c>
      <c r="C22" s="238">
        <f>H15</f>
        <v>2700</v>
      </c>
      <c r="D22" s="238"/>
      <c r="E22" s="237"/>
      <c r="F22" s="237" t="s">
        <v>329</v>
      </c>
      <c r="G22" s="238">
        <f>H15</f>
        <v>2700</v>
      </c>
      <c r="H22" s="237"/>
      <c r="I22" s="239"/>
      <c r="J22" s="156"/>
    </row>
    <row r="23" spans="1:10" x14ac:dyDescent="0.25">
      <c r="A23" s="156"/>
      <c r="B23" s="237" t="s">
        <v>190</v>
      </c>
      <c r="C23" s="241">
        <v>0.1</v>
      </c>
      <c r="D23" s="238">
        <f>C20*C23</f>
        <v>8600</v>
      </c>
      <c r="E23" s="237"/>
      <c r="F23" s="237" t="s">
        <v>248</v>
      </c>
      <c r="G23" s="241">
        <v>0.1</v>
      </c>
      <c r="H23" s="238">
        <f>C23*C20</f>
        <v>8600</v>
      </c>
      <c r="I23" s="239"/>
      <c r="J23" s="156"/>
    </row>
    <row r="24" spans="1:10" x14ac:dyDescent="0.25">
      <c r="A24" s="156"/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  <c r="J24" s="156"/>
    </row>
    <row r="25" spans="1:10" x14ac:dyDescent="0.25">
      <c r="A25" s="156"/>
      <c r="B25" s="268" t="s">
        <v>332</v>
      </c>
      <c r="C25" s="239"/>
      <c r="D25" s="239">
        <v>40105</v>
      </c>
      <c r="E25" s="239"/>
      <c r="F25" s="268" t="s">
        <v>332</v>
      </c>
      <c r="G25" s="239"/>
      <c r="H25" s="239">
        <v>40105</v>
      </c>
      <c r="I25" s="239"/>
      <c r="J25" s="156"/>
    </row>
    <row r="26" spans="1:10" x14ac:dyDescent="0.25">
      <c r="A26" s="156"/>
      <c r="B26" s="243" t="s">
        <v>336</v>
      </c>
      <c r="C26" s="237"/>
      <c r="D26" s="237">
        <v>18000</v>
      </c>
      <c r="E26" s="237"/>
      <c r="F26" s="243" t="s">
        <v>336</v>
      </c>
      <c r="G26" s="237"/>
      <c r="H26" s="237">
        <v>18000</v>
      </c>
      <c r="I26" s="239"/>
      <c r="J26" s="156"/>
    </row>
    <row r="27" spans="1:10" x14ac:dyDescent="0.25">
      <c r="A27" s="156"/>
      <c r="B27" s="258" t="s">
        <v>335</v>
      </c>
      <c r="C27" s="245"/>
      <c r="D27" s="246">
        <v>20805</v>
      </c>
      <c r="E27" s="247"/>
      <c r="F27" s="258" t="s">
        <v>335</v>
      </c>
      <c r="G27" s="245"/>
      <c r="H27" s="246">
        <v>20805</v>
      </c>
      <c r="I27" s="239"/>
      <c r="J27" s="156"/>
    </row>
    <row r="28" spans="1:10" x14ac:dyDescent="0.25">
      <c r="A28" s="156"/>
      <c r="B28" s="258" t="s">
        <v>337</v>
      </c>
      <c r="C28" s="245"/>
      <c r="D28" s="246">
        <v>4034</v>
      </c>
      <c r="E28" s="247"/>
      <c r="F28" s="258" t="s">
        <v>337</v>
      </c>
      <c r="G28" s="245"/>
      <c r="H28" s="246">
        <v>4034</v>
      </c>
      <c r="I28" s="239"/>
      <c r="J28" s="156"/>
    </row>
    <row r="29" spans="1:10" x14ac:dyDescent="0.25">
      <c r="A29" s="156"/>
      <c r="B29" s="258" t="s">
        <v>338</v>
      </c>
      <c r="C29" s="248"/>
      <c r="D29" s="249">
        <v>10087</v>
      </c>
      <c r="E29" s="247"/>
      <c r="F29" s="258" t="s">
        <v>338</v>
      </c>
      <c r="G29" s="248"/>
      <c r="H29" s="249">
        <v>10087</v>
      </c>
      <c r="I29" s="239"/>
      <c r="J29" s="156"/>
    </row>
    <row r="30" spans="1:10" x14ac:dyDescent="0.25">
      <c r="A30" s="156"/>
      <c r="B30" s="250" t="s">
        <v>3</v>
      </c>
      <c r="C30" s="269">
        <f>C20+C21+C22-D23</f>
        <v>79965</v>
      </c>
      <c r="D30" s="270">
        <f>SUM(D25:D29)</f>
        <v>93031</v>
      </c>
      <c r="E30" s="270">
        <f>C30-D30</f>
        <v>-13066</v>
      </c>
      <c r="F30" s="250" t="s">
        <v>3</v>
      </c>
      <c r="G30" s="269">
        <f>G20+G21+G22-H23</f>
        <v>77465</v>
      </c>
      <c r="H30" s="270">
        <f>SUM(H25:H29)</f>
        <v>93031</v>
      </c>
      <c r="I30" s="270">
        <f>G30-H30</f>
        <v>-15566</v>
      </c>
      <c r="J30" s="156"/>
    </row>
    <row r="31" spans="1:10" x14ac:dyDescent="0.25">
      <c r="A31" s="156"/>
      <c r="B31" s="189"/>
      <c r="C31" s="266"/>
      <c r="D31" s="266"/>
      <c r="E31" s="189"/>
      <c r="F31" s="190"/>
      <c r="G31" s="266"/>
      <c r="H31" s="266"/>
      <c r="I31" s="156"/>
      <c r="J31" s="156"/>
    </row>
    <row r="32" spans="1:10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</row>
    <row r="33" spans="1:10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</row>
    <row r="34" spans="1:10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</row>
    <row r="35" spans="1:10" x14ac:dyDescent="0.25">
      <c r="A35" s="156"/>
      <c r="B35" s="156" t="s">
        <v>340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</row>
  </sheetData>
  <pageMargins left="0.7" right="0.7" top="0.75" bottom="0.75" header="0.3" footer="0.3"/>
  <pageSetup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F36" sqref="F36"/>
    </sheetView>
  </sheetViews>
  <sheetFormatPr defaultRowHeight="15" x14ac:dyDescent="0.25"/>
  <cols>
    <col min="1" max="1" width="4.7109375" style="113" customWidth="1"/>
    <col min="2" max="2" width="19.28515625" style="113" customWidth="1"/>
    <col min="3" max="3" width="10.7109375" style="113" customWidth="1"/>
    <col min="4" max="4" width="9.42578125" style="113" customWidth="1"/>
    <col min="5" max="5" width="9.28515625" style="113" customWidth="1"/>
    <col min="6" max="6" width="17.7109375" style="113" customWidth="1"/>
    <col min="7" max="7" width="10.140625" style="113" customWidth="1"/>
    <col min="8" max="8" width="10" style="113" bestFit="1" customWidth="1"/>
    <col min="9" max="9" width="9.42578125" style="113" bestFit="1" customWidth="1"/>
    <col min="10" max="16384" width="9.140625" style="113"/>
  </cols>
  <sheetData>
    <row r="1" spans="1:10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</row>
    <row r="2" spans="1:10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</row>
    <row r="3" spans="1:10" ht="15.75" x14ac:dyDescent="0.25">
      <c r="A3" s="156"/>
      <c r="B3" s="156"/>
      <c r="C3" s="19" t="s">
        <v>344</v>
      </c>
      <c r="D3" s="19"/>
      <c r="E3" s="19"/>
      <c r="F3" s="19"/>
      <c r="G3" s="156"/>
      <c r="H3" s="156"/>
      <c r="I3" s="156"/>
      <c r="J3" s="156"/>
    </row>
    <row r="4" spans="1:10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</row>
    <row r="5" spans="1:10" x14ac:dyDescent="0.25">
      <c r="A5" s="178">
        <v>1</v>
      </c>
      <c r="B5" s="215" t="s">
        <v>333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</row>
    <row r="6" spans="1:10" x14ac:dyDescent="0.25">
      <c r="A6" s="178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3" si="1">E6-F6</f>
        <v>0</v>
      </c>
      <c r="H6" s="239">
        <v>900</v>
      </c>
      <c r="I6" s="156"/>
      <c r="J6" s="156"/>
    </row>
    <row r="7" spans="1:10" x14ac:dyDescent="0.25">
      <c r="A7" s="178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  <c r="J7" s="156"/>
    </row>
    <row r="8" spans="1:10" x14ac:dyDescent="0.25">
      <c r="A8" s="178">
        <v>4</v>
      </c>
      <c r="B8" s="223" t="s">
        <v>334</v>
      </c>
      <c r="C8" s="221"/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/>
      <c r="I8" s="156"/>
      <c r="J8" s="156"/>
    </row>
    <row r="9" spans="1:10" x14ac:dyDescent="0.25">
      <c r="A9" s="178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</row>
    <row r="10" spans="1:10" x14ac:dyDescent="0.25">
      <c r="A10" s="178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  <c r="J10" s="156"/>
    </row>
    <row r="11" spans="1:10" x14ac:dyDescent="0.25">
      <c r="A11" s="178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239"/>
      <c r="I11" s="156"/>
      <c r="J11" s="156"/>
    </row>
    <row r="12" spans="1:10" x14ac:dyDescent="0.25">
      <c r="A12" s="178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239">
        <v>1000</v>
      </c>
      <c r="I12" s="156"/>
      <c r="J12" s="156"/>
    </row>
    <row r="13" spans="1:10" x14ac:dyDescent="0.25">
      <c r="A13" s="178">
        <v>9</v>
      </c>
      <c r="B13" s="224" t="s">
        <v>240</v>
      </c>
      <c r="C13" s="22">
        <v>2500</v>
      </c>
      <c r="D13" s="225">
        <v>7000</v>
      </c>
      <c r="E13" s="217">
        <f t="shared" si="0"/>
        <v>9500</v>
      </c>
      <c r="F13" s="225">
        <v>7600</v>
      </c>
      <c r="G13" s="218">
        <f t="shared" si="1"/>
        <v>1900</v>
      </c>
      <c r="H13" s="239">
        <v>1800</v>
      </c>
      <c r="I13" s="156"/>
      <c r="J13" s="156"/>
    </row>
    <row r="14" spans="1:10" x14ac:dyDescent="0.25">
      <c r="A14" s="178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>E14-F14</f>
        <v>0</v>
      </c>
      <c r="H14" s="239"/>
      <c r="I14" s="156"/>
      <c r="J14" s="156"/>
    </row>
    <row r="15" spans="1:10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88500</v>
      </c>
      <c r="F15" s="230">
        <f>SUM(F5:F14)</f>
        <v>86600</v>
      </c>
      <c r="G15" s="231">
        <f>SUM(G5:G14)</f>
        <v>1900</v>
      </c>
      <c r="H15" s="260">
        <f>SUM(H5:H14)</f>
        <v>7300</v>
      </c>
      <c r="I15" s="211" t="s">
        <v>56</v>
      </c>
    </row>
    <row r="16" spans="1:10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</row>
    <row r="17" spans="1:10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</row>
    <row r="18" spans="1:10" x14ac:dyDescent="0.25">
      <c r="A18" s="156"/>
      <c r="B18" s="265" t="s">
        <v>184</v>
      </c>
      <c r="C18" s="156"/>
      <c r="D18" s="263"/>
      <c r="E18" s="156"/>
      <c r="F18" s="264"/>
      <c r="G18" s="264"/>
      <c r="H18" s="156"/>
      <c r="I18" s="156"/>
      <c r="J18" s="156"/>
    </row>
    <row r="19" spans="1:10" x14ac:dyDescent="0.25">
      <c r="A19" s="156"/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56"/>
    </row>
    <row r="20" spans="1:10" x14ac:dyDescent="0.25">
      <c r="A20" s="156"/>
      <c r="B20" s="237" t="s">
        <v>293</v>
      </c>
      <c r="C20" s="238">
        <f>D15</f>
        <v>86000</v>
      </c>
      <c r="D20" s="238"/>
      <c r="E20" s="237"/>
      <c r="F20" s="237" t="s">
        <v>293</v>
      </c>
      <c r="G20" s="238">
        <f>F15</f>
        <v>86600</v>
      </c>
      <c r="H20" s="237"/>
      <c r="I20" s="239"/>
      <c r="J20" s="156"/>
    </row>
    <row r="21" spans="1:10" x14ac:dyDescent="0.25">
      <c r="A21" s="156"/>
      <c r="B21" s="237" t="s">
        <v>233</v>
      </c>
      <c r="C21" s="238">
        <f>'JUNEE '!E30</f>
        <v>-13066</v>
      </c>
      <c r="D21" s="238"/>
      <c r="E21" s="237"/>
      <c r="F21" s="237" t="s">
        <v>233</v>
      </c>
      <c r="G21" s="238">
        <f>'JUNEE '!I30</f>
        <v>-15566</v>
      </c>
      <c r="H21" s="237"/>
      <c r="I21" s="239"/>
      <c r="J21" s="156"/>
    </row>
    <row r="22" spans="1:10" x14ac:dyDescent="0.25">
      <c r="A22" s="156"/>
      <c r="B22" s="237" t="s">
        <v>329</v>
      </c>
      <c r="C22" s="238">
        <f>H15</f>
        <v>7300</v>
      </c>
      <c r="D22" s="238"/>
      <c r="E22" s="237"/>
      <c r="F22" s="237" t="s">
        <v>329</v>
      </c>
      <c r="G22" s="238">
        <f>H15</f>
        <v>7300</v>
      </c>
      <c r="H22" s="237"/>
      <c r="I22" s="239"/>
      <c r="J22" s="156"/>
    </row>
    <row r="23" spans="1:10" x14ac:dyDescent="0.25">
      <c r="A23" s="156"/>
      <c r="B23" s="237" t="s">
        <v>190</v>
      </c>
      <c r="C23" s="241">
        <v>0.1</v>
      </c>
      <c r="D23" s="238">
        <f>C20*C23</f>
        <v>8600</v>
      </c>
      <c r="E23" s="237"/>
      <c r="F23" s="237" t="s">
        <v>248</v>
      </c>
      <c r="G23" s="241">
        <v>0.1</v>
      </c>
      <c r="H23" s="238">
        <f>C23*C20</f>
        <v>8600</v>
      </c>
      <c r="I23" s="239"/>
      <c r="J23" s="156"/>
    </row>
    <row r="24" spans="1:10" x14ac:dyDescent="0.25">
      <c r="A24" s="156"/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  <c r="J24" s="156"/>
    </row>
    <row r="25" spans="1:10" x14ac:dyDescent="0.25">
      <c r="A25" s="156"/>
      <c r="B25" s="268" t="s">
        <v>345</v>
      </c>
      <c r="C25" s="239"/>
      <c r="D25" s="239">
        <v>40105</v>
      </c>
      <c r="E25" s="239"/>
      <c r="F25" s="268" t="s">
        <v>345</v>
      </c>
      <c r="G25" s="239"/>
      <c r="H25" s="239">
        <v>40105</v>
      </c>
      <c r="I25" s="239"/>
      <c r="J25" s="156"/>
    </row>
    <row r="26" spans="1:10" x14ac:dyDescent="0.25">
      <c r="A26" s="156"/>
      <c r="B26" s="243" t="s">
        <v>346</v>
      </c>
      <c r="C26" s="237"/>
      <c r="D26" s="237">
        <v>25105</v>
      </c>
      <c r="E26" s="237"/>
      <c r="F26" s="243" t="s">
        <v>346</v>
      </c>
      <c r="G26" s="237"/>
      <c r="H26" s="237">
        <v>25105</v>
      </c>
      <c r="I26" s="239"/>
      <c r="J26" s="156"/>
    </row>
    <row r="27" spans="1:10" x14ac:dyDescent="0.25">
      <c r="A27" s="156"/>
      <c r="B27" s="258"/>
      <c r="C27" s="245"/>
      <c r="D27" s="246"/>
      <c r="E27" s="247"/>
      <c r="F27" s="258"/>
      <c r="G27" s="245"/>
      <c r="H27" s="246"/>
      <c r="I27" s="239"/>
      <c r="J27" s="156"/>
    </row>
    <row r="28" spans="1:10" x14ac:dyDescent="0.25">
      <c r="A28" s="156"/>
      <c r="B28" s="258"/>
      <c r="C28" s="245"/>
      <c r="D28" s="246"/>
      <c r="E28" s="247"/>
      <c r="F28" s="258"/>
      <c r="G28" s="245"/>
      <c r="H28" s="246"/>
      <c r="I28" s="239"/>
      <c r="J28" s="156"/>
    </row>
    <row r="29" spans="1:10" x14ac:dyDescent="0.25">
      <c r="A29" s="156"/>
      <c r="B29" s="258"/>
      <c r="C29" s="248"/>
      <c r="D29" s="249"/>
      <c r="E29" s="247"/>
      <c r="F29" s="258"/>
      <c r="G29" s="248"/>
      <c r="H29" s="249"/>
      <c r="I29" s="239"/>
      <c r="J29" s="156"/>
    </row>
    <row r="30" spans="1:10" x14ac:dyDescent="0.25">
      <c r="A30" s="156"/>
      <c r="B30" s="250" t="s">
        <v>3</v>
      </c>
      <c r="C30" s="269">
        <f>C20+C21+C22-D23</f>
        <v>71634</v>
      </c>
      <c r="D30" s="270">
        <f>SUM(D25:D29)</f>
        <v>65210</v>
      </c>
      <c r="E30" s="270">
        <f>C30-D30</f>
        <v>6424</v>
      </c>
      <c r="F30" s="250" t="s">
        <v>3</v>
      </c>
      <c r="G30" s="269">
        <f>G20+G21+G22-H23</f>
        <v>69734</v>
      </c>
      <c r="H30" s="270">
        <f>SUM(H25:H29)</f>
        <v>65210</v>
      </c>
      <c r="I30" s="270">
        <f>G30-H30</f>
        <v>4524</v>
      </c>
      <c r="J30" s="156"/>
    </row>
    <row r="31" spans="1:10" x14ac:dyDescent="0.25">
      <c r="A31" s="156"/>
      <c r="B31" s="189"/>
      <c r="C31" s="266"/>
      <c r="D31" s="266"/>
      <c r="E31" s="189"/>
      <c r="F31" s="190"/>
      <c r="G31" s="266"/>
      <c r="H31" s="266"/>
      <c r="I31" s="156"/>
      <c r="J31" s="156"/>
    </row>
    <row r="32" spans="1:10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</row>
    <row r="33" spans="1:10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</row>
    <row r="34" spans="1:10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</row>
    <row r="35" spans="1:10" x14ac:dyDescent="0.25">
      <c r="A35" s="156"/>
      <c r="B35" s="156" t="s">
        <v>340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D8" sqref="D8"/>
    </sheetView>
  </sheetViews>
  <sheetFormatPr defaultRowHeight="15" x14ac:dyDescent="0.25"/>
  <cols>
    <col min="2" max="2" width="17.28515625" customWidth="1"/>
  </cols>
  <sheetData>
    <row r="1" spans="1:10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</row>
    <row r="2" spans="1:10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</row>
    <row r="3" spans="1:10" ht="15.75" x14ac:dyDescent="0.25">
      <c r="A3" s="156"/>
      <c r="B3" s="156"/>
      <c r="C3" s="19" t="s">
        <v>347</v>
      </c>
      <c r="D3" s="19"/>
      <c r="E3" s="19"/>
      <c r="F3" s="19"/>
      <c r="G3" s="156"/>
      <c r="H3" s="156"/>
      <c r="I3" s="156"/>
      <c r="J3" s="156"/>
    </row>
    <row r="4" spans="1:10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</row>
    <row r="5" spans="1:10" x14ac:dyDescent="0.25">
      <c r="A5" s="178">
        <v>1</v>
      </c>
      <c r="B5" s="215" t="s">
        <v>333</v>
      </c>
      <c r="C5" s="216">
        <f>'JULY  '!G5:G15</f>
        <v>0</v>
      </c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</row>
    <row r="6" spans="1:10" x14ac:dyDescent="0.25">
      <c r="A6" s="178">
        <v>2</v>
      </c>
      <c r="B6" s="215" t="s">
        <v>288</v>
      </c>
      <c r="C6" s="216">
        <f>'JULY  '!G6:G16</f>
        <v>0</v>
      </c>
      <c r="D6" s="217">
        <v>7000</v>
      </c>
      <c r="E6" s="217">
        <f t="shared" ref="E6:E14" si="0">C6+D6</f>
        <v>7000</v>
      </c>
      <c r="F6" s="217">
        <v>7000</v>
      </c>
      <c r="G6" s="218">
        <f t="shared" ref="G6:G12" si="1">E6-F6</f>
        <v>0</v>
      </c>
      <c r="H6" s="239"/>
      <c r="I6" s="156"/>
      <c r="J6" s="156"/>
    </row>
    <row r="7" spans="1:10" x14ac:dyDescent="0.25">
      <c r="A7" s="178">
        <v>3</v>
      </c>
      <c r="B7" s="219" t="s">
        <v>289</v>
      </c>
      <c r="C7" s="216">
        <f>'JULY  '!G7:G17</f>
        <v>0</v>
      </c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  <c r="J7" s="156"/>
    </row>
    <row r="8" spans="1:10" x14ac:dyDescent="0.25">
      <c r="A8" s="178">
        <v>4</v>
      </c>
      <c r="B8" s="223" t="s">
        <v>334</v>
      </c>
      <c r="C8" s="216">
        <f>'JULY  '!G8:G18</f>
        <v>0</v>
      </c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>
        <v>900</v>
      </c>
      <c r="I8" s="156"/>
      <c r="J8" s="156"/>
    </row>
    <row r="9" spans="1:10" x14ac:dyDescent="0.25">
      <c r="A9" s="178">
        <v>5</v>
      </c>
      <c r="B9" s="219" t="s">
        <v>290</v>
      </c>
      <c r="C9" s="216">
        <f>'JULY  '!G9:G19</f>
        <v>0</v>
      </c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</row>
    <row r="10" spans="1:10" x14ac:dyDescent="0.25">
      <c r="A10" s="178">
        <v>6</v>
      </c>
      <c r="B10" s="223" t="s">
        <v>292</v>
      </c>
      <c r="C10" s="216">
        <f>'JULY  '!G10:G20</f>
        <v>0</v>
      </c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  <c r="J10" s="156"/>
    </row>
    <row r="11" spans="1:10" x14ac:dyDescent="0.25">
      <c r="A11" s="178">
        <v>7</v>
      </c>
      <c r="B11" s="223" t="s">
        <v>265</v>
      </c>
      <c r="C11" s="216">
        <f>'JULY  '!G11:G21</f>
        <v>0</v>
      </c>
      <c r="D11" s="222">
        <v>9000</v>
      </c>
      <c r="E11" s="217">
        <v>9000</v>
      </c>
      <c r="F11" s="222"/>
      <c r="G11" s="218">
        <f t="shared" si="1"/>
        <v>9000</v>
      </c>
      <c r="H11" s="239"/>
      <c r="I11" s="156"/>
      <c r="J11" s="156"/>
    </row>
    <row r="12" spans="1:10" x14ac:dyDescent="0.25">
      <c r="A12" s="178">
        <v>8</v>
      </c>
      <c r="B12" s="219" t="s">
        <v>131</v>
      </c>
      <c r="C12" s="216">
        <f>'JULY  '!G12:G22</f>
        <v>0</v>
      </c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239">
        <v>800</v>
      </c>
      <c r="I12" s="156"/>
      <c r="J12" s="156"/>
    </row>
    <row r="13" spans="1:10" x14ac:dyDescent="0.25">
      <c r="A13" s="178">
        <v>9</v>
      </c>
      <c r="B13" s="224" t="s">
        <v>240</v>
      </c>
      <c r="C13" s="216">
        <f>'JULY  '!G13:G23</f>
        <v>1900</v>
      </c>
      <c r="D13" s="225">
        <v>7000</v>
      </c>
      <c r="E13" s="217">
        <f t="shared" si="0"/>
        <v>8900</v>
      </c>
      <c r="F13" s="225">
        <v>8900</v>
      </c>
      <c r="G13" s="218">
        <f>E13-F13</f>
        <v>0</v>
      </c>
      <c r="H13" s="239">
        <v>900</v>
      </c>
      <c r="I13" s="156"/>
      <c r="J13" s="156"/>
    </row>
    <row r="14" spans="1:10" x14ac:dyDescent="0.25">
      <c r="A14" s="178">
        <v>10</v>
      </c>
      <c r="B14" s="219" t="s">
        <v>291</v>
      </c>
      <c r="C14" s="216">
        <f>'JULY  '!G14:G24</f>
        <v>0</v>
      </c>
      <c r="D14" s="227">
        <v>15000</v>
      </c>
      <c r="E14" s="217">
        <f t="shared" si="0"/>
        <v>15000</v>
      </c>
      <c r="F14" s="227">
        <v>15000</v>
      </c>
      <c r="G14" s="218">
        <f>E14-F14</f>
        <v>0</v>
      </c>
      <c r="H14" s="239"/>
      <c r="I14" s="156"/>
      <c r="J14" s="156"/>
    </row>
    <row r="15" spans="1:10" x14ac:dyDescent="0.25">
      <c r="A15" s="212"/>
      <c r="B15" s="228" t="s">
        <v>3</v>
      </c>
      <c r="C15" s="216">
        <f>'JULY  '!G15:G25</f>
        <v>1900</v>
      </c>
      <c r="D15" s="230">
        <f>SUM(D5:D14)</f>
        <v>86000</v>
      </c>
      <c r="E15" s="230">
        <f>SUM(E5:E14)</f>
        <v>87900</v>
      </c>
      <c r="F15" s="230">
        <f>SUM(F5:F14)</f>
        <v>78900</v>
      </c>
      <c r="G15" s="231">
        <f>SUM(G5:G14)</f>
        <v>9000</v>
      </c>
      <c r="H15" s="260">
        <f>SUM(H5:H14)</f>
        <v>6200</v>
      </c>
      <c r="I15" s="211" t="s">
        <v>56</v>
      </c>
      <c r="J15" s="211"/>
    </row>
    <row r="16" spans="1:10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</row>
    <row r="17" spans="1:12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</row>
    <row r="18" spans="1:12" x14ac:dyDescent="0.25">
      <c r="A18" s="156"/>
      <c r="B18" s="265" t="s">
        <v>184</v>
      </c>
      <c r="C18" s="156"/>
      <c r="D18" s="263"/>
      <c r="E18" s="156"/>
      <c r="F18" s="264"/>
      <c r="G18" s="264"/>
      <c r="H18" s="156"/>
      <c r="I18" s="156"/>
      <c r="J18" s="156"/>
    </row>
    <row r="19" spans="1:12" x14ac:dyDescent="0.25">
      <c r="A19" s="156"/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56"/>
      <c r="L19" s="271">
        <f>F15+H15</f>
        <v>85100</v>
      </c>
    </row>
    <row r="20" spans="1:12" x14ac:dyDescent="0.25">
      <c r="A20" s="156"/>
      <c r="B20" s="237" t="s">
        <v>267</v>
      </c>
      <c r="C20" s="238">
        <f>D15</f>
        <v>86000</v>
      </c>
      <c r="D20" s="238"/>
      <c r="E20" s="237"/>
      <c r="F20" s="237" t="s">
        <v>267</v>
      </c>
      <c r="G20" s="238">
        <f>F15</f>
        <v>78900</v>
      </c>
      <c r="H20" s="237"/>
      <c r="I20" s="239"/>
      <c r="J20" s="156"/>
    </row>
    <row r="21" spans="1:12" x14ac:dyDescent="0.25">
      <c r="A21" s="156"/>
      <c r="B21" s="237" t="s">
        <v>233</v>
      </c>
      <c r="C21" s="238">
        <f>'JULY  '!E30</f>
        <v>6424</v>
      </c>
      <c r="D21" s="238"/>
      <c r="E21" s="237"/>
      <c r="F21" s="237" t="s">
        <v>233</v>
      </c>
      <c r="G21" s="238">
        <f>'JULY  '!I30</f>
        <v>4524</v>
      </c>
      <c r="H21" s="237"/>
      <c r="I21" s="239"/>
      <c r="J21" s="156"/>
    </row>
    <row r="22" spans="1:12" x14ac:dyDescent="0.25">
      <c r="A22" s="156"/>
      <c r="B22" s="237" t="s">
        <v>329</v>
      </c>
      <c r="C22" s="238">
        <f>H15</f>
        <v>6200</v>
      </c>
      <c r="D22" s="238"/>
      <c r="E22" s="237"/>
      <c r="F22" s="237" t="s">
        <v>329</v>
      </c>
      <c r="G22" s="238">
        <f>H15</f>
        <v>6200</v>
      </c>
      <c r="H22" s="237"/>
      <c r="I22" s="239"/>
      <c r="J22" s="156"/>
    </row>
    <row r="23" spans="1:12" x14ac:dyDescent="0.25">
      <c r="A23" s="156"/>
      <c r="B23" s="237" t="s">
        <v>190</v>
      </c>
      <c r="C23" s="241">
        <v>0.1</v>
      </c>
      <c r="D23" s="238">
        <f>C20*C23</f>
        <v>8600</v>
      </c>
      <c r="E23" s="237"/>
      <c r="F23" s="237" t="s">
        <v>248</v>
      </c>
      <c r="G23" s="241">
        <v>0.1</v>
      </c>
      <c r="H23" s="238">
        <f>C23*C20</f>
        <v>8600</v>
      </c>
      <c r="I23" s="239"/>
      <c r="J23" s="156"/>
    </row>
    <row r="24" spans="1:12" x14ac:dyDescent="0.25">
      <c r="A24" s="156"/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  <c r="J24" s="156"/>
    </row>
    <row r="25" spans="1:12" x14ac:dyDescent="0.25">
      <c r="A25" s="156"/>
      <c r="B25" s="268" t="s">
        <v>348</v>
      </c>
      <c r="C25" s="239"/>
      <c r="D25" s="239">
        <v>40105</v>
      </c>
      <c r="E25" s="239"/>
      <c r="F25" s="268" t="s">
        <v>348</v>
      </c>
      <c r="G25" s="239"/>
      <c r="H25" s="239">
        <v>40105</v>
      </c>
      <c r="I25" s="239"/>
      <c r="J25" s="156"/>
    </row>
    <row r="26" spans="1:12" x14ac:dyDescent="0.25">
      <c r="A26" s="156"/>
      <c r="B26" s="243" t="s">
        <v>348</v>
      </c>
      <c r="C26" s="237"/>
      <c r="D26" s="237">
        <v>20102</v>
      </c>
      <c r="E26" s="237"/>
      <c r="F26" s="243" t="s">
        <v>348</v>
      </c>
      <c r="G26" s="237"/>
      <c r="H26" s="237">
        <v>20102</v>
      </c>
      <c r="I26" s="237"/>
      <c r="J26" s="156"/>
    </row>
    <row r="27" spans="1:12" x14ac:dyDescent="0.25">
      <c r="A27" s="156"/>
      <c r="B27" s="258" t="s">
        <v>349</v>
      </c>
      <c r="C27" s="245"/>
      <c r="D27" s="246">
        <v>19102</v>
      </c>
      <c r="E27" s="247"/>
      <c r="F27" s="258" t="s">
        <v>349</v>
      </c>
      <c r="G27" s="245"/>
      <c r="H27" s="246">
        <v>19102</v>
      </c>
      <c r="I27" s="239"/>
      <c r="J27" s="156"/>
    </row>
    <row r="28" spans="1:12" x14ac:dyDescent="0.25">
      <c r="A28" s="156"/>
      <c r="B28" s="258" t="s">
        <v>349</v>
      </c>
      <c r="C28" s="245"/>
      <c r="D28" s="246">
        <v>6077</v>
      </c>
      <c r="E28" s="247"/>
      <c r="F28" s="258" t="s">
        <v>349</v>
      </c>
      <c r="G28" s="245"/>
      <c r="H28" s="246">
        <v>6077</v>
      </c>
      <c r="I28" s="239"/>
      <c r="J28" s="156"/>
    </row>
    <row r="29" spans="1:12" x14ac:dyDescent="0.25">
      <c r="A29" s="156"/>
      <c r="B29" s="258" t="s">
        <v>350</v>
      </c>
      <c r="C29" s="248"/>
      <c r="D29" s="249">
        <v>20102</v>
      </c>
      <c r="E29" s="247"/>
      <c r="F29" s="258" t="s">
        <v>350</v>
      </c>
      <c r="G29" s="248"/>
      <c r="H29" s="249">
        <v>20102</v>
      </c>
      <c r="I29" s="239"/>
      <c r="J29" s="156"/>
    </row>
    <row r="30" spans="1:12" x14ac:dyDescent="0.25">
      <c r="A30" s="156"/>
      <c r="B30" s="250" t="s">
        <v>3</v>
      </c>
      <c r="C30" s="269">
        <f>C20+C21+C22-D23</f>
        <v>90024</v>
      </c>
      <c r="D30" s="270">
        <f>SUM(D25:D29)</f>
        <v>105488</v>
      </c>
      <c r="E30" s="270">
        <f>C30-D30</f>
        <v>-15464</v>
      </c>
      <c r="F30" s="250" t="s">
        <v>3</v>
      </c>
      <c r="G30" s="269">
        <f>G20+G21+G22-H23</f>
        <v>81024</v>
      </c>
      <c r="H30" s="270">
        <f>SUM(H25:H29)</f>
        <v>105488</v>
      </c>
      <c r="I30" s="270">
        <f>G30-H30</f>
        <v>-24464</v>
      </c>
      <c r="J30" s="156"/>
    </row>
    <row r="31" spans="1:12" x14ac:dyDescent="0.25">
      <c r="A31" s="156"/>
      <c r="B31" s="189"/>
      <c r="C31" s="266"/>
      <c r="D31" s="266"/>
      <c r="E31" s="189"/>
      <c r="F31" s="190"/>
      <c r="G31" s="266"/>
      <c r="H31" s="266"/>
      <c r="I31" s="156"/>
      <c r="J31" s="156"/>
    </row>
    <row r="32" spans="1:12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</row>
    <row r="33" spans="1:10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</row>
    <row r="34" spans="1:10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</row>
    <row r="35" spans="1:10" x14ac:dyDescent="0.25">
      <c r="A35" s="156"/>
      <c r="B35" s="156" t="s">
        <v>351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</row>
    <row r="36" spans="1:10" x14ac:dyDescent="0.25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4" sqref="H24"/>
    </sheetView>
  </sheetViews>
  <sheetFormatPr defaultRowHeight="15" x14ac:dyDescent="0.25"/>
  <cols>
    <col min="2" max="2" width="19.85546875" bestFit="1" customWidth="1"/>
  </cols>
  <sheetData>
    <row r="1" spans="1:12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  <c r="K1" s="113"/>
      <c r="L1" s="113"/>
    </row>
    <row r="2" spans="1:12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  <c r="K2" s="113"/>
      <c r="L2" s="113"/>
    </row>
    <row r="3" spans="1:12" ht="15.75" x14ac:dyDescent="0.25">
      <c r="A3" s="156"/>
      <c r="B3" s="156"/>
      <c r="C3" s="19" t="s">
        <v>353</v>
      </c>
      <c r="D3" s="19"/>
      <c r="E3" s="19"/>
      <c r="F3" s="19"/>
      <c r="G3" s="156"/>
      <c r="H3" s="156"/>
      <c r="I3" s="156"/>
      <c r="J3" s="156"/>
      <c r="K3" s="113"/>
      <c r="L3" s="113"/>
    </row>
    <row r="4" spans="1:12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  <c r="K4" s="113"/>
      <c r="L4" s="113"/>
    </row>
    <row r="5" spans="1:12" x14ac:dyDescent="0.25">
      <c r="A5" s="178">
        <v>1</v>
      </c>
      <c r="B5" s="215" t="s">
        <v>333</v>
      </c>
      <c r="C5" s="216">
        <f>AUGUST19!G5:G15</f>
        <v>0</v>
      </c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  <c r="K5" s="113"/>
      <c r="L5" s="113"/>
    </row>
    <row r="6" spans="1:12" x14ac:dyDescent="0.25">
      <c r="A6" s="178">
        <v>2</v>
      </c>
      <c r="B6" s="215" t="s">
        <v>288</v>
      </c>
      <c r="C6" s="216">
        <f>AUGUST19!G6:G16</f>
        <v>0</v>
      </c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239">
        <v>900</v>
      </c>
      <c r="I6" s="156"/>
      <c r="J6" s="156"/>
      <c r="K6" s="113"/>
      <c r="L6" s="113"/>
    </row>
    <row r="7" spans="1:12" x14ac:dyDescent="0.25">
      <c r="A7" s="178">
        <v>3</v>
      </c>
      <c r="B7" s="219" t="s">
        <v>289</v>
      </c>
      <c r="C7" s="216">
        <f>AUGUST19!G7:G17</f>
        <v>0</v>
      </c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  <c r="J7" s="156"/>
      <c r="K7" s="113"/>
      <c r="L7" s="113"/>
    </row>
    <row r="8" spans="1:12" x14ac:dyDescent="0.25">
      <c r="A8" s="178">
        <v>4</v>
      </c>
      <c r="B8" s="223" t="s">
        <v>334</v>
      </c>
      <c r="C8" s="216">
        <f>AUGUST19!G8:G18</f>
        <v>0</v>
      </c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>
        <v>900</v>
      </c>
      <c r="I8" s="156"/>
      <c r="J8" s="156"/>
      <c r="K8" s="113"/>
      <c r="L8" s="113"/>
    </row>
    <row r="9" spans="1:12" x14ac:dyDescent="0.25">
      <c r="A9" s="178">
        <v>5</v>
      </c>
      <c r="B9" s="219" t="s">
        <v>290</v>
      </c>
      <c r="C9" s="216">
        <f>AUGUST19!G9:G19</f>
        <v>0</v>
      </c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  <c r="K9" s="113"/>
      <c r="L9" s="113"/>
    </row>
    <row r="10" spans="1:12" x14ac:dyDescent="0.25">
      <c r="A10" s="178">
        <v>6</v>
      </c>
      <c r="B10" s="223" t="s">
        <v>292</v>
      </c>
      <c r="C10" s="216">
        <f>AUGUST19!G10:G20</f>
        <v>0</v>
      </c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  <c r="J10" s="156"/>
      <c r="K10" s="113"/>
      <c r="L10" s="113"/>
    </row>
    <row r="11" spans="1:12" x14ac:dyDescent="0.25">
      <c r="A11" s="178">
        <v>7</v>
      </c>
      <c r="B11" s="223" t="s">
        <v>265</v>
      </c>
      <c r="C11" s="216">
        <f>AUGUST19!G11:G21</f>
        <v>9000</v>
      </c>
      <c r="D11" s="222">
        <v>9000</v>
      </c>
      <c r="E11" s="217">
        <f t="shared" si="0"/>
        <v>18000</v>
      </c>
      <c r="F11" s="222">
        <v>18000</v>
      </c>
      <c r="G11" s="218">
        <f t="shared" si="1"/>
        <v>0</v>
      </c>
      <c r="H11" s="239"/>
      <c r="I11" s="156"/>
      <c r="J11" s="156"/>
      <c r="K11" s="113"/>
      <c r="L11" s="113"/>
    </row>
    <row r="12" spans="1:12" x14ac:dyDescent="0.25">
      <c r="A12" s="178">
        <v>8</v>
      </c>
      <c r="B12" s="219" t="s">
        <v>131</v>
      </c>
      <c r="C12" s="216">
        <f>AUGUST19!G12:G22</f>
        <v>0</v>
      </c>
      <c r="D12" s="222">
        <v>10000</v>
      </c>
      <c r="E12" s="217">
        <f t="shared" si="0"/>
        <v>10000</v>
      </c>
      <c r="F12" s="268">
        <v>10000</v>
      </c>
      <c r="G12" s="218">
        <f t="shared" si="1"/>
        <v>0</v>
      </c>
      <c r="H12" s="218">
        <v>900</v>
      </c>
      <c r="I12" s="156"/>
      <c r="J12" s="156"/>
      <c r="K12" s="113"/>
      <c r="L12" s="113"/>
    </row>
    <row r="13" spans="1:12" x14ac:dyDescent="0.25">
      <c r="A13" s="178">
        <v>9</v>
      </c>
      <c r="B13" s="224" t="s">
        <v>240</v>
      </c>
      <c r="C13" s="216">
        <f>AUGUST19!G13:G23</f>
        <v>0</v>
      </c>
      <c r="D13" s="225">
        <v>7000</v>
      </c>
      <c r="E13" s="217">
        <f t="shared" si="0"/>
        <v>7000</v>
      </c>
      <c r="F13" s="272">
        <f>2000+1500+500+350+2650</f>
        <v>7000</v>
      </c>
      <c r="G13" s="218">
        <f t="shared" si="1"/>
        <v>0</v>
      </c>
      <c r="H13" s="237">
        <v>900</v>
      </c>
      <c r="I13" s="156"/>
      <c r="J13" s="156"/>
      <c r="K13" s="113"/>
      <c r="L13" s="113"/>
    </row>
    <row r="14" spans="1:12" x14ac:dyDescent="0.25">
      <c r="A14" s="178">
        <v>10</v>
      </c>
      <c r="B14" s="219" t="s">
        <v>291</v>
      </c>
      <c r="C14" s="216">
        <f>AUGUST19!G14:G24</f>
        <v>0</v>
      </c>
      <c r="D14" s="227">
        <v>15000</v>
      </c>
      <c r="E14" s="217">
        <f t="shared" si="0"/>
        <v>15000</v>
      </c>
      <c r="F14" s="258">
        <v>15000</v>
      </c>
      <c r="G14" s="218">
        <f t="shared" si="1"/>
        <v>0</v>
      </c>
      <c r="H14" s="246"/>
      <c r="I14" s="156"/>
      <c r="J14" s="156"/>
      <c r="K14" s="113"/>
      <c r="L14" s="113"/>
    </row>
    <row r="15" spans="1:12" x14ac:dyDescent="0.25">
      <c r="A15" s="212"/>
      <c r="B15" s="228" t="s">
        <v>3</v>
      </c>
      <c r="C15" s="216">
        <f>AUGUST19!G15:G25</f>
        <v>9000</v>
      </c>
      <c r="D15" s="230">
        <f>SUM(D5:D14)</f>
        <v>86000</v>
      </c>
      <c r="E15" s="230">
        <f>C15+D15</f>
        <v>95000</v>
      </c>
      <c r="F15" s="273">
        <f>SUM(F5:F14)</f>
        <v>95000</v>
      </c>
      <c r="G15" s="218">
        <f>E15-F15</f>
        <v>0</v>
      </c>
      <c r="H15" s="246">
        <f>SUM(H5:H14)</f>
        <v>7200</v>
      </c>
      <c r="I15" s="211" t="s">
        <v>56</v>
      </c>
      <c r="J15" s="211"/>
      <c r="K15" s="113"/>
      <c r="L15" s="113"/>
    </row>
    <row r="16" spans="1:12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13"/>
      <c r="L16" s="113"/>
    </row>
    <row r="17" spans="1:12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  <c r="K17" s="113"/>
      <c r="L17" s="113"/>
    </row>
    <row r="18" spans="1:12" x14ac:dyDescent="0.25">
      <c r="A18" s="265" t="s">
        <v>184</v>
      </c>
      <c r="B18" s="156"/>
      <c r="C18" s="263"/>
      <c r="D18" s="156"/>
      <c r="E18" s="264"/>
      <c r="F18" s="264"/>
      <c r="G18" s="156"/>
      <c r="H18" s="156"/>
      <c r="J18" s="156"/>
      <c r="K18" s="113"/>
      <c r="L18" s="113"/>
    </row>
    <row r="19" spans="1:12" x14ac:dyDescent="0.25">
      <c r="A19" s="236" t="s">
        <v>185</v>
      </c>
      <c r="B19" s="236" t="s">
        <v>186</v>
      </c>
      <c r="C19" s="236" t="s">
        <v>187</v>
      </c>
      <c r="D19" s="236" t="s">
        <v>183</v>
      </c>
      <c r="E19" s="236" t="s">
        <v>185</v>
      </c>
      <c r="F19" s="236" t="s">
        <v>186</v>
      </c>
      <c r="G19" s="236" t="s">
        <v>187</v>
      </c>
      <c r="H19" s="236" t="s">
        <v>183</v>
      </c>
      <c r="J19" s="156"/>
      <c r="K19" s="113"/>
      <c r="L19" s="271"/>
    </row>
    <row r="20" spans="1:12" x14ac:dyDescent="0.25">
      <c r="A20" s="237" t="s">
        <v>356</v>
      </c>
      <c r="B20" s="238">
        <f>D15</f>
        <v>86000</v>
      </c>
      <c r="C20" s="238"/>
      <c r="D20" s="237"/>
      <c r="E20" s="237" t="s">
        <v>356</v>
      </c>
      <c r="F20" s="238">
        <f>F15</f>
        <v>95000</v>
      </c>
      <c r="G20" s="237"/>
      <c r="H20" s="239"/>
      <c r="J20" s="156"/>
      <c r="K20" s="113"/>
      <c r="L20" s="113"/>
    </row>
    <row r="21" spans="1:12" x14ac:dyDescent="0.25">
      <c r="A21" s="237" t="s">
        <v>233</v>
      </c>
      <c r="B21" s="238">
        <f>AUGUST19!E30</f>
        <v>-15464</v>
      </c>
      <c r="C21" s="238"/>
      <c r="D21" s="237"/>
      <c r="E21" s="237" t="s">
        <v>233</v>
      </c>
      <c r="F21" s="238">
        <f>AUGUST19!I30</f>
        <v>-24464</v>
      </c>
      <c r="G21" s="237"/>
      <c r="H21" s="239"/>
      <c r="J21" s="156"/>
      <c r="K21" s="113"/>
      <c r="L21" s="113"/>
    </row>
    <row r="22" spans="1:12" x14ac:dyDescent="0.25">
      <c r="A22" s="237" t="s">
        <v>329</v>
      </c>
      <c r="B22" s="238">
        <f>H15</f>
        <v>7200</v>
      </c>
      <c r="C22" s="238"/>
      <c r="D22" s="237"/>
      <c r="E22" s="237" t="s">
        <v>329</v>
      </c>
      <c r="F22" s="238">
        <f>H15</f>
        <v>7200</v>
      </c>
      <c r="G22" s="237"/>
      <c r="H22" s="239"/>
      <c r="J22" s="156"/>
      <c r="K22" s="113"/>
      <c r="L22" s="113"/>
    </row>
    <row r="23" spans="1:12" x14ac:dyDescent="0.25">
      <c r="A23" s="237" t="s">
        <v>190</v>
      </c>
      <c r="B23" s="241">
        <v>0.1</v>
      </c>
      <c r="C23" s="238">
        <f>B20*B23</f>
        <v>8600</v>
      </c>
      <c r="D23" s="237"/>
      <c r="E23" s="237" t="s">
        <v>248</v>
      </c>
      <c r="F23" s="241">
        <v>0.1</v>
      </c>
      <c r="G23" s="238">
        <f>B23*B20</f>
        <v>8600</v>
      </c>
      <c r="H23" s="239"/>
      <c r="J23" s="156"/>
      <c r="K23" s="113"/>
      <c r="L23" s="113"/>
    </row>
    <row r="24" spans="1:12" x14ac:dyDescent="0.25">
      <c r="A24" s="242" t="s">
        <v>196</v>
      </c>
      <c r="B24" s="240"/>
      <c r="C24" s="240"/>
      <c r="D24" s="237"/>
      <c r="E24" s="242" t="s">
        <v>196</v>
      </c>
      <c r="F24" s="237"/>
      <c r="G24" s="237"/>
      <c r="H24" s="239"/>
      <c r="J24" s="156"/>
      <c r="K24" s="113"/>
      <c r="L24" s="113"/>
    </row>
    <row r="25" spans="1:12" x14ac:dyDescent="0.25">
      <c r="A25" s="268" t="s">
        <v>352</v>
      </c>
      <c r="B25" s="239"/>
      <c r="C25" s="218">
        <f>C11+D11</f>
        <v>18000</v>
      </c>
      <c r="D25" s="239"/>
      <c r="E25" s="268" t="s">
        <v>352</v>
      </c>
      <c r="F25" s="239"/>
      <c r="G25" s="218">
        <f>E11</f>
        <v>18000</v>
      </c>
      <c r="H25" s="239"/>
      <c r="J25" s="156"/>
      <c r="K25" s="113"/>
      <c r="L25" s="113"/>
    </row>
    <row r="26" spans="1:12" x14ac:dyDescent="0.25">
      <c r="A26" s="272" t="s">
        <v>354</v>
      </c>
      <c r="B26" s="237"/>
      <c r="C26" s="237">
        <v>16102</v>
      </c>
      <c r="D26" s="237"/>
      <c r="E26" s="272" t="s">
        <v>354</v>
      </c>
      <c r="F26" s="237"/>
      <c r="G26" s="237">
        <v>16102</v>
      </c>
      <c r="H26" s="237"/>
      <c r="J26" s="156"/>
      <c r="K26" s="113"/>
      <c r="L26" s="113"/>
    </row>
    <row r="27" spans="1:12" x14ac:dyDescent="0.25">
      <c r="A27" s="258" t="s">
        <v>355</v>
      </c>
      <c r="B27" s="245"/>
      <c r="C27" s="246">
        <v>32105</v>
      </c>
      <c r="D27" s="247"/>
      <c r="E27" s="258" t="s">
        <v>355</v>
      </c>
      <c r="F27" s="245"/>
      <c r="G27" s="246">
        <v>32105</v>
      </c>
      <c r="H27" s="239"/>
      <c r="J27" s="156"/>
      <c r="K27" s="113"/>
      <c r="L27" s="113"/>
    </row>
    <row r="28" spans="1:12" x14ac:dyDescent="0.25">
      <c r="A28" s="258" t="s">
        <v>357</v>
      </c>
      <c r="B28" s="245"/>
      <c r="C28" s="246">
        <v>15097</v>
      </c>
      <c r="D28" s="247"/>
      <c r="E28" s="258" t="s">
        <v>357</v>
      </c>
      <c r="F28" s="245"/>
      <c r="G28" s="246">
        <v>15097</v>
      </c>
      <c r="H28" s="239"/>
      <c r="J28" s="156"/>
      <c r="K28" s="113"/>
      <c r="L28" s="113"/>
    </row>
    <row r="29" spans="1:12" x14ac:dyDescent="0.25">
      <c r="A29" s="258"/>
      <c r="B29" s="248"/>
      <c r="C29" s="249"/>
      <c r="D29" s="247"/>
      <c r="E29" s="258"/>
      <c r="F29" s="248"/>
      <c r="G29" s="249"/>
      <c r="H29" s="239"/>
      <c r="J29" s="156"/>
      <c r="K29" s="113"/>
      <c r="L29" s="113"/>
    </row>
    <row r="30" spans="1:12" x14ac:dyDescent="0.25">
      <c r="A30" s="250" t="s">
        <v>3</v>
      </c>
      <c r="B30" s="269">
        <f>B20+B21+B22-C23</f>
        <v>69136</v>
      </c>
      <c r="C30" s="270">
        <f>SUM(C25:C29)</f>
        <v>81304</v>
      </c>
      <c r="D30" s="270">
        <f>B30-C30</f>
        <v>-12168</v>
      </c>
      <c r="E30" s="250" t="s">
        <v>3</v>
      </c>
      <c r="F30" s="269">
        <f>F20+F21+F22-G23</f>
        <v>69136</v>
      </c>
      <c r="G30" s="270">
        <f>SUM(G25:G29)</f>
        <v>81304</v>
      </c>
      <c r="H30" s="270">
        <f>F30-G30</f>
        <v>-12168</v>
      </c>
      <c r="J30" s="156"/>
      <c r="K30" s="113"/>
      <c r="L30" s="113"/>
    </row>
    <row r="31" spans="1:12" x14ac:dyDescent="0.25">
      <c r="A31" s="189"/>
      <c r="B31" s="266"/>
      <c r="C31" s="266"/>
      <c r="D31" s="189"/>
      <c r="E31" s="190"/>
      <c r="F31" s="266"/>
      <c r="G31" s="266"/>
      <c r="H31" s="156"/>
      <c r="J31" s="156"/>
      <c r="K31" s="113"/>
      <c r="L31" s="113"/>
    </row>
    <row r="32" spans="1:12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  <c r="K32" s="113"/>
      <c r="L32" s="113"/>
    </row>
    <row r="33" spans="1:12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  <c r="K33" s="113"/>
      <c r="L33" s="113"/>
    </row>
    <row r="34" spans="1:12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  <c r="K34" s="113"/>
      <c r="L34" s="113"/>
    </row>
    <row r="35" spans="1:12" x14ac:dyDescent="0.25">
      <c r="A35" s="156"/>
      <c r="B35" s="156" t="s">
        <v>351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  <c r="K35" s="113"/>
      <c r="L35" s="113"/>
    </row>
  </sheetData>
  <pageMargins left="0.7" right="0.7" top="0.75" bottom="0.75" header="0.3" footer="0.3"/>
  <pageSetup orientation="portrait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J21" sqref="J21"/>
    </sheetView>
  </sheetViews>
  <sheetFormatPr defaultRowHeight="15" x14ac:dyDescent="0.25"/>
  <cols>
    <col min="2" max="2" width="18" customWidth="1"/>
  </cols>
  <sheetData>
    <row r="1" spans="1:9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</row>
    <row r="2" spans="1:9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</row>
    <row r="3" spans="1:9" ht="15.75" x14ac:dyDescent="0.25">
      <c r="A3" s="156"/>
      <c r="B3" s="156"/>
      <c r="C3" s="19" t="s">
        <v>359</v>
      </c>
      <c r="D3" s="19"/>
      <c r="E3" s="19"/>
      <c r="F3" s="19"/>
      <c r="G3" s="156"/>
      <c r="H3" s="156"/>
      <c r="I3" s="156"/>
    </row>
    <row r="4" spans="1:9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</row>
    <row r="5" spans="1:9" x14ac:dyDescent="0.25">
      <c r="A5" s="178">
        <v>1</v>
      </c>
      <c r="B5" s="215" t="s">
        <v>333</v>
      </c>
      <c r="C5" s="216">
        <f>AUGUST19!G5:G15</f>
        <v>0</v>
      </c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</row>
    <row r="6" spans="1:9" x14ac:dyDescent="0.25">
      <c r="A6" s="178">
        <v>2</v>
      </c>
      <c r="B6" s="215" t="s">
        <v>288</v>
      </c>
      <c r="C6" s="216">
        <f>AUGUST19!G6:G16</f>
        <v>0</v>
      </c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239">
        <v>900</v>
      </c>
      <c r="I6" s="156"/>
    </row>
    <row r="7" spans="1:9" x14ac:dyDescent="0.25">
      <c r="A7" s="178">
        <v>3</v>
      </c>
      <c r="B7" s="219" t="s">
        <v>289</v>
      </c>
      <c r="C7" s="216">
        <f>AUGUST19!G7:G17</f>
        <v>0</v>
      </c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</row>
    <row r="8" spans="1:9" x14ac:dyDescent="0.25">
      <c r="A8" s="178">
        <v>4</v>
      </c>
      <c r="B8" s="223" t="s">
        <v>334</v>
      </c>
      <c r="C8" s="216">
        <f>AUGUST19!G8:G18</f>
        <v>0</v>
      </c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>
        <v>900</v>
      </c>
      <c r="I8" s="156"/>
    </row>
    <row r="9" spans="1:9" x14ac:dyDescent="0.25">
      <c r="A9" s="178">
        <v>5</v>
      </c>
      <c r="B9" s="219" t="s">
        <v>290</v>
      </c>
      <c r="C9" s="216">
        <f>AUGUST19!G9:G19</f>
        <v>0</v>
      </c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</row>
    <row r="10" spans="1:9" x14ac:dyDescent="0.25">
      <c r="A10" s="178">
        <v>6</v>
      </c>
      <c r="B10" s="223" t="s">
        <v>292</v>
      </c>
      <c r="C10" s="216">
        <f>AUGUST19!G10:G20</f>
        <v>0</v>
      </c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</row>
    <row r="11" spans="1:9" x14ac:dyDescent="0.25">
      <c r="A11" s="178">
        <v>7</v>
      </c>
      <c r="B11" s="223" t="s">
        <v>362</v>
      </c>
      <c r="C11" s="216"/>
      <c r="D11" s="222"/>
      <c r="E11" s="217">
        <f t="shared" si="0"/>
        <v>0</v>
      </c>
      <c r="F11" s="222"/>
      <c r="G11" s="218">
        <f t="shared" si="1"/>
        <v>0</v>
      </c>
      <c r="H11" s="239"/>
      <c r="I11" s="156"/>
    </row>
    <row r="12" spans="1:9" x14ac:dyDescent="0.25">
      <c r="A12" s="178">
        <v>8</v>
      </c>
      <c r="B12" s="219" t="s">
        <v>131</v>
      </c>
      <c r="C12" s="216">
        <f>AUGUST19!G12:G22</f>
        <v>0</v>
      </c>
      <c r="D12" s="222">
        <v>10000</v>
      </c>
      <c r="E12" s="217">
        <f t="shared" si="0"/>
        <v>10000</v>
      </c>
      <c r="F12" s="268">
        <v>10000</v>
      </c>
      <c r="G12" s="218">
        <f t="shared" si="1"/>
        <v>0</v>
      </c>
      <c r="H12" s="218">
        <v>900</v>
      </c>
      <c r="I12" s="156"/>
    </row>
    <row r="13" spans="1:9" x14ac:dyDescent="0.25">
      <c r="A13" s="178">
        <v>9</v>
      </c>
      <c r="B13" s="224" t="s">
        <v>240</v>
      </c>
      <c r="C13" s="216">
        <f>AUGUST19!G13:G23</f>
        <v>0</v>
      </c>
      <c r="D13" s="225">
        <v>7000</v>
      </c>
      <c r="E13" s="217">
        <f t="shared" si="0"/>
        <v>7000</v>
      </c>
      <c r="F13" s="272">
        <f>2000+500+4500</f>
        <v>7000</v>
      </c>
      <c r="G13" s="218">
        <f t="shared" si="1"/>
        <v>0</v>
      </c>
      <c r="H13" s="237">
        <v>800</v>
      </c>
      <c r="I13" s="156"/>
    </row>
    <row r="14" spans="1:9" x14ac:dyDescent="0.25">
      <c r="A14" s="178">
        <v>10</v>
      </c>
      <c r="B14" s="219" t="s">
        <v>291</v>
      </c>
      <c r="C14" s="216">
        <f>AUGUST19!G14:G24</f>
        <v>0</v>
      </c>
      <c r="D14" s="227">
        <v>15000</v>
      </c>
      <c r="E14" s="217">
        <f t="shared" si="0"/>
        <v>15000</v>
      </c>
      <c r="F14" s="258">
        <v>15000</v>
      </c>
      <c r="G14" s="218">
        <f t="shared" si="1"/>
        <v>0</v>
      </c>
      <c r="H14" s="246"/>
      <c r="I14" s="156"/>
    </row>
    <row r="15" spans="1:9" x14ac:dyDescent="0.25">
      <c r="A15" s="212"/>
      <c r="B15" s="228" t="s">
        <v>3</v>
      </c>
      <c r="C15" s="216">
        <f>SUM(C5:C14)</f>
        <v>0</v>
      </c>
      <c r="D15" s="230">
        <f>SUM(D5:D14)</f>
        <v>77000</v>
      </c>
      <c r="E15" s="230">
        <f>D15+C15</f>
        <v>77000</v>
      </c>
      <c r="F15" s="273">
        <f>SUM(F5:F14)</f>
        <v>77000</v>
      </c>
      <c r="G15" s="218">
        <f>E15-F15</f>
        <v>0</v>
      </c>
      <c r="H15" s="246">
        <f>SUM(H5:H14)</f>
        <v>7100</v>
      </c>
      <c r="I15" s="211" t="s">
        <v>56</v>
      </c>
    </row>
    <row r="16" spans="1:9" x14ac:dyDescent="0.25">
      <c r="A16" s="156"/>
      <c r="B16" s="156"/>
      <c r="C16" s="156"/>
      <c r="D16" s="156"/>
      <c r="E16" s="156"/>
      <c r="F16" s="156"/>
      <c r="G16" s="156"/>
      <c r="H16" s="156"/>
      <c r="I16" s="156"/>
    </row>
    <row r="17" spans="1:9" x14ac:dyDescent="0.25">
      <c r="A17" s="156"/>
      <c r="B17" s="170"/>
      <c r="C17" s="156"/>
      <c r="D17" s="263"/>
      <c r="E17" s="156"/>
      <c r="F17" s="264"/>
      <c r="G17" s="264"/>
      <c r="H17" s="156"/>
      <c r="I17" s="156"/>
    </row>
    <row r="18" spans="1:9" x14ac:dyDescent="0.25">
      <c r="A18" s="265" t="s">
        <v>184</v>
      </c>
      <c r="B18" s="156"/>
      <c r="C18" s="263"/>
      <c r="D18" s="156"/>
      <c r="E18" s="264"/>
      <c r="F18" s="264"/>
      <c r="G18" s="156"/>
      <c r="H18" s="156"/>
      <c r="I18" s="113"/>
    </row>
    <row r="19" spans="1:9" x14ac:dyDescent="0.25">
      <c r="A19" s="236" t="s">
        <v>185</v>
      </c>
      <c r="B19" s="236" t="s">
        <v>186</v>
      </c>
      <c r="C19" s="236" t="s">
        <v>187</v>
      </c>
      <c r="D19" s="236" t="s">
        <v>183</v>
      </c>
      <c r="E19" s="236" t="s">
        <v>185</v>
      </c>
      <c r="F19" s="236" t="s">
        <v>186</v>
      </c>
      <c r="G19" s="236" t="s">
        <v>187</v>
      </c>
      <c r="H19" s="236" t="s">
        <v>183</v>
      </c>
      <c r="I19" s="113"/>
    </row>
    <row r="20" spans="1:9" x14ac:dyDescent="0.25">
      <c r="A20" s="237" t="s">
        <v>358</v>
      </c>
      <c r="B20" s="238">
        <f>D15</f>
        <v>77000</v>
      </c>
      <c r="C20" s="238"/>
      <c r="D20" s="237"/>
      <c r="E20" s="237" t="s">
        <v>301</v>
      </c>
      <c r="F20" s="238">
        <f>F15</f>
        <v>77000</v>
      </c>
      <c r="G20" s="237"/>
      <c r="H20" s="239"/>
      <c r="I20" s="113"/>
    </row>
    <row r="21" spans="1:9" x14ac:dyDescent="0.25">
      <c r="A21" s="237" t="s">
        <v>233</v>
      </c>
      <c r="B21" s="238">
        <f>'SEPTEMBER 19'!D30</f>
        <v>-12168</v>
      </c>
      <c r="C21" s="238"/>
      <c r="D21" s="237"/>
      <c r="E21" s="237" t="s">
        <v>233</v>
      </c>
      <c r="F21" s="238">
        <f>'SEPTEMBER 19'!H30</f>
        <v>-12168</v>
      </c>
      <c r="G21" s="237"/>
      <c r="H21" s="239"/>
      <c r="I21" s="113"/>
    </row>
    <row r="22" spans="1:9" x14ac:dyDescent="0.25">
      <c r="A22" s="237" t="s">
        <v>329</v>
      </c>
      <c r="B22" s="238">
        <f>H15</f>
        <v>7100</v>
      </c>
      <c r="C22" s="238"/>
      <c r="D22" s="237"/>
      <c r="E22" s="237" t="s">
        <v>329</v>
      </c>
      <c r="F22" s="238">
        <f>H15</f>
        <v>7100</v>
      </c>
      <c r="G22" s="237"/>
      <c r="H22" s="239"/>
      <c r="I22" s="113"/>
    </row>
    <row r="23" spans="1:9" x14ac:dyDescent="0.25">
      <c r="A23" s="237" t="s">
        <v>190</v>
      </c>
      <c r="B23" s="241">
        <v>0.1</v>
      </c>
      <c r="C23" s="238">
        <f>B20*B23</f>
        <v>7700</v>
      </c>
      <c r="D23" s="237"/>
      <c r="E23" s="237" t="s">
        <v>248</v>
      </c>
      <c r="F23" s="241">
        <v>0.1</v>
      </c>
      <c r="G23" s="238">
        <f>B23*B20</f>
        <v>7700</v>
      </c>
      <c r="H23" s="239"/>
      <c r="I23" s="113"/>
    </row>
    <row r="24" spans="1:9" x14ac:dyDescent="0.25">
      <c r="A24" s="242" t="s">
        <v>196</v>
      </c>
      <c r="B24" s="240"/>
      <c r="C24" s="240"/>
      <c r="D24" s="237"/>
      <c r="E24" s="242" t="s">
        <v>196</v>
      </c>
      <c r="F24" s="237"/>
      <c r="G24" s="237"/>
      <c r="H24" s="239"/>
      <c r="I24" s="113"/>
    </row>
    <row r="25" spans="1:9" x14ac:dyDescent="0.25">
      <c r="A25" s="268" t="s">
        <v>360</v>
      </c>
      <c r="B25" s="239"/>
      <c r="C25" s="218">
        <v>30105</v>
      </c>
      <c r="D25" s="239"/>
      <c r="E25" s="268" t="s">
        <v>360</v>
      </c>
      <c r="F25" s="239"/>
      <c r="G25" s="218">
        <v>30105</v>
      </c>
      <c r="H25" s="239"/>
      <c r="I25" s="113"/>
    </row>
    <row r="26" spans="1:9" x14ac:dyDescent="0.25">
      <c r="A26" s="272" t="s">
        <v>361</v>
      </c>
      <c r="B26" s="237"/>
      <c r="C26" s="237">
        <v>20102</v>
      </c>
      <c r="D26" s="237"/>
      <c r="E26" s="272" t="s">
        <v>361</v>
      </c>
      <c r="F26" s="237"/>
      <c r="G26" s="237">
        <v>20102</v>
      </c>
      <c r="H26" s="237"/>
      <c r="I26" s="113"/>
    </row>
    <row r="27" spans="1:9" x14ac:dyDescent="0.25">
      <c r="A27" s="258" t="s">
        <v>363</v>
      </c>
      <c r="B27" s="245"/>
      <c r="C27" s="246">
        <v>13097</v>
      </c>
      <c r="D27" s="247"/>
      <c r="E27" s="258" t="s">
        <v>363</v>
      </c>
      <c r="F27" s="245"/>
      <c r="G27" s="246">
        <v>13097</v>
      </c>
      <c r="H27" s="239"/>
      <c r="I27" s="113"/>
    </row>
    <row r="28" spans="1:9" x14ac:dyDescent="0.25">
      <c r="A28" s="258"/>
      <c r="B28" s="245"/>
      <c r="C28" s="246"/>
      <c r="D28" s="247"/>
      <c r="E28" s="258"/>
      <c r="F28" s="245"/>
      <c r="G28" s="246"/>
      <c r="H28" s="239"/>
      <c r="I28" s="113"/>
    </row>
    <row r="29" spans="1:9" x14ac:dyDescent="0.25">
      <c r="A29" s="258"/>
      <c r="B29" s="248"/>
      <c r="C29" s="249"/>
      <c r="D29" s="247"/>
      <c r="E29" s="258"/>
      <c r="F29" s="248"/>
      <c r="G29" s="249"/>
      <c r="H29" s="239"/>
      <c r="I29" s="113"/>
    </row>
    <row r="30" spans="1:9" x14ac:dyDescent="0.25">
      <c r="A30" s="250" t="s">
        <v>3</v>
      </c>
      <c r="B30" s="269">
        <f>B20+B21+B22-C23</f>
        <v>64232</v>
      </c>
      <c r="C30" s="270">
        <f>SUM(C25:C29)</f>
        <v>63304</v>
      </c>
      <c r="D30" s="270">
        <f>B30-C30</f>
        <v>928</v>
      </c>
      <c r="E30" s="250" t="s">
        <v>3</v>
      </c>
      <c r="F30" s="269">
        <f>F20+F21+F22-G23</f>
        <v>64232</v>
      </c>
      <c r="G30" s="270">
        <f>SUM(G25:G29)</f>
        <v>63304</v>
      </c>
      <c r="H30" s="270">
        <f>F30-G30</f>
        <v>928</v>
      </c>
      <c r="I30" s="113"/>
    </row>
    <row r="31" spans="1:9" x14ac:dyDescent="0.25">
      <c r="A31" s="189"/>
      <c r="B31" s="266"/>
      <c r="C31" s="266"/>
      <c r="D31" s="189"/>
      <c r="E31" s="190"/>
      <c r="F31" s="266"/>
      <c r="G31" s="266"/>
      <c r="H31" s="156"/>
      <c r="I31" s="113"/>
    </row>
    <row r="32" spans="1:9" x14ac:dyDescent="0.25">
      <c r="A32" s="156"/>
      <c r="B32" s="189"/>
      <c r="C32" s="200"/>
      <c r="D32" s="266"/>
      <c r="E32" s="189"/>
      <c r="F32" s="190"/>
      <c r="G32" s="266"/>
      <c r="H32" s="266"/>
      <c r="I32" s="156"/>
    </row>
    <row r="33" spans="1:9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</row>
    <row r="34" spans="1:9" x14ac:dyDescent="0.25">
      <c r="A34" s="156"/>
      <c r="B34" s="156"/>
      <c r="C34" s="156"/>
      <c r="D34" s="156"/>
      <c r="E34" s="156"/>
      <c r="F34" s="156"/>
      <c r="G34" s="156"/>
      <c r="H34" s="156"/>
      <c r="I34" s="156"/>
    </row>
    <row r="35" spans="1:9" x14ac:dyDescent="0.25">
      <c r="A35" s="156"/>
      <c r="B35" s="156" t="s">
        <v>351</v>
      </c>
      <c r="C35" s="156"/>
      <c r="D35" s="156" t="s">
        <v>342</v>
      </c>
      <c r="E35" s="156"/>
      <c r="F35" s="156"/>
      <c r="G35" s="156" t="s">
        <v>343</v>
      </c>
      <c r="H35" s="156"/>
      <c r="I35" s="156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4" workbookViewId="0">
      <selection activeCell="C39" sqref="C39"/>
    </sheetView>
  </sheetViews>
  <sheetFormatPr defaultRowHeight="15" x14ac:dyDescent="0.25"/>
  <cols>
    <col min="1" max="1" width="9.140625" customWidth="1"/>
    <col min="2" max="2" width="14.7109375" customWidth="1"/>
    <col min="3" max="3" width="10.42578125" style="113" customWidth="1"/>
    <col min="8" max="8" width="10" bestFit="1" customWidth="1"/>
  </cols>
  <sheetData>
    <row r="1" spans="1:11" ht="15.75" x14ac:dyDescent="0.25">
      <c r="A1" s="156"/>
      <c r="B1" s="156"/>
      <c r="C1" s="156"/>
      <c r="D1" s="19" t="s">
        <v>260</v>
      </c>
      <c r="E1" s="19"/>
      <c r="F1" s="19"/>
      <c r="G1" s="19"/>
      <c r="H1" s="156"/>
      <c r="I1" s="156"/>
      <c r="J1" s="156"/>
      <c r="K1" s="113"/>
    </row>
    <row r="2" spans="1:11" ht="15.75" x14ac:dyDescent="0.25">
      <c r="A2" s="156"/>
      <c r="B2" s="156"/>
      <c r="C2" s="156"/>
      <c r="D2" s="19" t="s">
        <v>296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56"/>
      <c r="C3" s="156"/>
      <c r="D3" s="19" t="s">
        <v>364</v>
      </c>
      <c r="E3" s="19"/>
      <c r="F3" s="19"/>
      <c r="G3" s="19"/>
      <c r="H3" s="156"/>
      <c r="I3" s="156"/>
      <c r="J3" s="156"/>
      <c r="K3" s="113"/>
    </row>
    <row r="4" spans="1:11" x14ac:dyDescent="0.25">
      <c r="A4" s="174" t="s">
        <v>298</v>
      </c>
      <c r="B4" s="261" t="s">
        <v>0</v>
      </c>
      <c r="C4" s="261" t="s">
        <v>123</v>
      </c>
      <c r="D4" s="261" t="s">
        <v>233</v>
      </c>
      <c r="E4" s="261" t="s">
        <v>2</v>
      </c>
      <c r="F4" s="262" t="s">
        <v>34</v>
      </c>
      <c r="G4" s="261" t="s">
        <v>4</v>
      </c>
      <c r="H4" s="262" t="s">
        <v>183</v>
      </c>
      <c r="I4" s="174" t="s">
        <v>329</v>
      </c>
      <c r="J4" s="156"/>
      <c r="K4" s="113"/>
    </row>
    <row r="5" spans="1:11" x14ac:dyDescent="0.25">
      <c r="A5" s="178">
        <v>1</v>
      </c>
      <c r="B5" s="215" t="s">
        <v>333</v>
      </c>
      <c r="C5" s="215"/>
      <c r="D5" s="216">
        <f>OCTOBER19!G5:G15</f>
        <v>0</v>
      </c>
      <c r="E5" s="217">
        <v>8000</v>
      </c>
      <c r="F5" s="217">
        <f t="shared" ref="F5:F15" si="0">D5+E5+C5</f>
        <v>8000</v>
      </c>
      <c r="G5" s="217">
        <v>8000</v>
      </c>
      <c r="H5" s="218">
        <f>F5-G5</f>
        <v>0</v>
      </c>
      <c r="I5" s="239">
        <v>900</v>
      </c>
      <c r="J5" s="156"/>
      <c r="K5" s="113"/>
    </row>
    <row r="6" spans="1:11" x14ac:dyDescent="0.25">
      <c r="A6" s="178">
        <v>2</v>
      </c>
      <c r="B6" s="215" t="s">
        <v>288</v>
      </c>
      <c r="C6" s="215"/>
      <c r="D6" s="216">
        <f>OCTOBER19!G6:G16</f>
        <v>0</v>
      </c>
      <c r="E6" s="217">
        <v>7000</v>
      </c>
      <c r="F6" s="217">
        <f t="shared" si="0"/>
        <v>7000</v>
      </c>
      <c r="G6" s="217">
        <v>7000</v>
      </c>
      <c r="H6" s="218">
        <f t="shared" ref="H6:H14" si="1">F6-G6</f>
        <v>0</v>
      </c>
      <c r="I6" s="239">
        <v>1400</v>
      </c>
      <c r="J6" s="156"/>
      <c r="K6" s="113"/>
    </row>
    <row r="7" spans="1:11" x14ac:dyDescent="0.25">
      <c r="A7" s="178">
        <v>3</v>
      </c>
      <c r="B7" s="219" t="s">
        <v>289</v>
      </c>
      <c r="C7" s="219"/>
      <c r="D7" s="216">
        <f>OCTOBER19!G7:G17</f>
        <v>0</v>
      </c>
      <c r="E7" s="222">
        <v>6000</v>
      </c>
      <c r="F7" s="217">
        <f t="shared" si="0"/>
        <v>6000</v>
      </c>
      <c r="G7" s="222">
        <v>6000</v>
      </c>
      <c r="H7" s="218">
        <f t="shared" si="1"/>
        <v>0</v>
      </c>
      <c r="I7" s="239">
        <v>900</v>
      </c>
      <c r="J7" s="156"/>
      <c r="K7" s="113"/>
    </row>
    <row r="8" spans="1:11" x14ac:dyDescent="0.25">
      <c r="A8" s="178">
        <v>4</v>
      </c>
      <c r="B8" s="274" t="s">
        <v>365</v>
      </c>
      <c r="C8" s="274"/>
      <c r="D8" s="216">
        <f>OCTOBER19!G8:G18</f>
        <v>0</v>
      </c>
      <c r="E8" s="222"/>
      <c r="F8" s="217">
        <f t="shared" si="0"/>
        <v>0</v>
      </c>
      <c r="G8" s="222"/>
      <c r="H8" s="218">
        <f t="shared" si="1"/>
        <v>0</v>
      </c>
      <c r="I8" s="239"/>
      <c r="J8" s="156"/>
      <c r="K8" s="113"/>
    </row>
    <row r="9" spans="1:11" x14ac:dyDescent="0.25">
      <c r="A9" s="178">
        <v>5</v>
      </c>
      <c r="B9" s="219" t="s">
        <v>290</v>
      </c>
      <c r="C9" s="219"/>
      <c r="D9" s="216">
        <f>OCTOBER19!G9:G19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</row>
    <row r="10" spans="1:11" x14ac:dyDescent="0.25">
      <c r="A10" s="178">
        <v>6</v>
      </c>
      <c r="B10" s="223" t="s">
        <v>292</v>
      </c>
      <c r="C10" s="223"/>
      <c r="D10" s="216">
        <f>OCTOBER19!G10:G20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7</v>
      </c>
      <c r="B11" s="275" t="s">
        <v>367</v>
      </c>
      <c r="C11" s="275">
        <v>9000</v>
      </c>
      <c r="D11" s="216">
        <f>OCTOBER19!G11:G21</f>
        <v>0</v>
      </c>
      <c r="E11" s="222">
        <v>9000</v>
      </c>
      <c r="F11" s="217">
        <f t="shared" si="0"/>
        <v>18000</v>
      </c>
      <c r="G11" s="222">
        <v>18000</v>
      </c>
      <c r="H11" s="218">
        <f>F11-G11</f>
        <v>0</v>
      </c>
      <c r="I11" s="239">
        <v>900</v>
      </c>
      <c r="J11" s="156"/>
      <c r="K11" s="113"/>
    </row>
    <row r="12" spans="1:11" x14ac:dyDescent="0.25">
      <c r="A12" s="178">
        <v>8</v>
      </c>
      <c r="B12" s="219" t="s">
        <v>131</v>
      </c>
      <c r="C12" s="219"/>
      <c r="D12" s="216">
        <f>OCTOBER19!G12:G22</f>
        <v>0</v>
      </c>
      <c r="E12" s="222">
        <v>10000</v>
      </c>
      <c r="F12" s="217">
        <f t="shared" si="0"/>
        <v>10000</v>
      </c>
      <c r="G12" s="268">
        <v>10000</v>
      </c>
      <c r="H12" s="218">
        <f t="shared" si="1"/>
        <v>0</v>
      </c>
      <c r="I12" s="218">
        <v>900</v>
      </c>
      <c r="J12" s="156"/>
      <c r="K12" s="113"/>
    </row>
    <row r="13" spans="1:11" x14ac:dyDescent="0.25">
      <c r="A13" s="178">
        <v>9</v>
      </c>
      <c r="B13" s="224" t="s">
        <v>240</v>
      </c>
      <c r="C13" s="224"/>
      <c r="D13" s="216">
        <f>OCTOBER19!G13:G23</f>
        <v>0</v>
      </c>
      <c r="E13" s="225">
        <v>7000</v>
      </c>
      <c r="F13" s="217">
        <f t="shared" si="0"/>
        <v>7000</v>
      </c>
      <c r="G13" s="272">
        <f>3000+1500+2500</f>
        <v>7000</v>
      </c>
      <c r="H13" s="218">
        <f t="shared" si="1"/>
        <v>0</v>
      </c>
      <c r="I13" s="237">
        <v>900</v>
      </c>
      <c r="J13" s="156"/>
      <c r="K13" s="113"/>
    </row>
    <row r="14" spans="1:11" x14ac:dyDescent="0.25">
      <c r="A14" s="178">
        <v>10</v>
      </c>
      <c r="B14" s="219" t="s">
        <v>291</v>
      </c>
      <c r="C14" s="219"/>
      <c r="D14" s="216">
        <f>OCTOBER19!G14:G24</f>
        <v>0</v>
      </c>
      <c r="E14" s="227">
        <v>15000</v>
      </c>
      <c r="F14" s="217">
        <f t="shared" si="0"/>
        <v>15000</v>
      </c>
      <c r="G14" s="258">
        <v>15000</v>
      </c>
      <c r="H14" s="218">
        <f t="shared" si="1"/>
        <v>0</v>
      </c>
      <c r="I14" s="246"/>
      <c r="J14" s="156"/>
      <c r="K14" s="113"/>
    </row>
    <row r="15" spans="1:11" x14ac:dyDescent="0.25">
      <c r="A15" s="212"/>
      <c r="B15" s="228" t="s">
        <v>3</v>
      </c>
      <c r="C15" s="228">
        <f>SUM(C5:C14)</f>
        <v>9000</v>
      </c>
      <c r="D15" s="216">
        <f>SUM(D5:D14)</f>
        <v>0</v>
      </c>
      <c r="E15" s="230">
        <f>SUM(E5:E14)</f>
        <v>78000</v>
      </c>
      <c r="F15" s="217">
        <f t="shared" si="0"/>
        <v>87000</v>
      </c>
      <c r="G15" s="273">
        <f>SUM(G5:G14)</f>
        <v>87000</v>
      </c>
      <c r="H15" s="218">
        <f>F15-G15</f>
        <v>0</v>
      </c>
      <c r="I15" s="246">
        <f>SUM(I5:I14)</f>
        <v>7700</v>
      </c>
      <c r="J15" s="211" t="s">
        <v>56</v>
      </c>
      <c r="K15" s="113"/>
    </row>
    <row r="16" spans="1:1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13"/>
    </row>
    <row r="17" spans="1:11" x14ac:dyDescent="0.25">
      <c r="A17" s="156"/>
      <c r="B17" s="170"/>
      <c r="C17" s="170"/>
      <c r="D17" s="156"/>
      <c r="E17" s="263"/>
      <c r="F17" s="156"/>
      <c r="G17" s="217">
        <f>E17+F17+D17</f>
        <v>0</v>
      </c>
      <c r="H17" s="264"/>
      <c r="I17" s="156"/>
      <c r="J17" s="156"/>
      <c r="K17" s="113"/>
    </row>
    <row r="18" spans="1:11" x14ac:dyDescent="0.25">
      <c r="A18" s="265" t="s">
        <v>184</v>
      </c>
      <c r="B18" s="156"/>
      <c r="C18" s="156"/>
      <c r="D18" s="263"/>
      <c r="E18" s="156"/>
      <c r="F18" s="264"/>
      <c r="G18" s="264"/>
      <c r="H18" s="156"/>
      <c r="I18" s="156"/>
      <c r="J18" s="113"/>
      <c r="K18" s="113"/>
    </row>
    <row r="19" spans="1:11" x14ac:dyDescent="0.25">
      <c r="A19" s="236" t="s">
        <v>185</v>
      </c>
      <c r="B19" s="236" t="s">
        <v>186</v>
      </c>
      <c r="C19" s="236"/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13"/>
      <c r="K19" s="113"/>
    </row>
    <row r="20" spans="1:11" x14ac:dyDescent="0.25">
      <c r="A20" s="237" t="s">
        <v>366</v>
      </c>
      <c r="B20" s="238">
        <f>E15</f>
        <v>78000</v>
      </c>
      <c r="C20" s="238"/>
      <c r="D20" s="238"/>
      <c r="E20" s="237"/>
      <c r="F20" s="237" t="s">
        <v>366</v>
      </c>
      <c r="G20" s="238">
        <f>G15</f>
        <v>87000</v>
      </c>
      <c r="H20" s="237"/>
      <c r="I20" s="239"/>
      <c r="J20" s="113"/>
      <c r="K20" s="113"/>
    </row>
    <row r="21" spans="1:11" s="113" customFormat="1" x14ac:dyDescent="0.25">
      <c r="A21" s="237" t="s">
        <v>123</v>
      </c>
      <c r="B21" s="238">
        <v>9000</v>
      </c>
      <c r="C21" s="238"/>
      <c r="D21" s="238"/>
      <c r="E21" s="237"/>
      <c r="F21" s="237"/>
      <c r="G21" s="238"/>
      <c r="H21" s="237"/>
      <c r="I21" s="239"/>
    </row>
    <row r="22" spans="1:11" x14ac:dyDescent="0.25">
      <c r="A22" s="237" t="s">
        <v>233</v>
      </c>
      <c r="B22" s="238">
        <f>OCTOBER19!D30</f>
        <v>928</v>
      </c>
      <c r="C22" s="238"/>
      <c r="D22" s="238"/>
      <c r="E22" s="237"/>
      <c r="F22" s="237" t="s">
        <v>233</v>
      </c>
      <c r="G22" s="238">
        <f>OCTOBER19!H30</f>
        <v>928</v>
      </c>
      <c r="H22" s="237"/>
      <c r="I22" s="239"/>
      <c r="J22" s="113"/>
      <c r="K22" s="113"/>
    </row>
    <row r="23" spans="1:11" x14ac:dyDescent="0.25">
      <c r="A23" s="237" t="s">
        <v>329</v>
      </c>
      <c r="B23" s="238">
        <f>I15</f>
        <v>7700</v>
      </c>
      <c r="C23" s="238"/>
      <c r="D23" s="238"/>
      <c r="E23" s="237"/>
      <c r="F23" s="237" t="s">
        <v>329</v>
      </c>
      <c r="G23" s="238">
        <f>I15</f>
        <v>7700</v>
      </c>
      <c r="H23" s="237"/>
      <c r="I23" s="239"/>
      <c r="J23" s="113"/>
      <c r="K23" s="113"/>
    </row>
    <row r="24" spans="1:11" x14ac:dyDescent="0.25">
      <c r="A24" s="237" t="s">
        <v>190</v>
      </c>
      <c r="B24" s="241">
        <v>0.1</v>
      </c>
      <c r="C24" s="241"/>
      <c r="D24" s="238">
        <f>B20*B24</f>
        <v>7800</v>
      </c>
      <c r="E24" s="237"/>
      <c r="F24" s="237" t="s">
        <v>248</v>
      </c>
      <c r="G24" s="241">
        <v>0.1</v>
      </c>
      <c r="H24" s="238">
        <f>B24*B20</f>
        <v>7800</v>
      </c>
      <c r="I24" s="239"/>
      <c r="J24" s="113"/>
      <c r="K24" s="113"/>
    </row>
    <row r="25" spans="1:11" x14ac:dyDescent="0.25">
      <c r="A25" s="242" t="s">
        <v>196</v>
      </c>
      <c r="B25" s="240"/>
      <c r="C25" s="240"/>
      <c r="D25" s="240"/>
      <c r="E25" s="237"/>
      <c r="F25" s="242" t="s">
        <v>196</v>
      </c>
      <c r="G25" s="237"/>
      <c r="H25" s="237"/>
      <c r="I25" s="239"/>
      <c r="J25" s="113"/>
      <c r="K25" s="113"/>
    </row>
    <row r="26" spans="1:11" x14ac:dyDescent="0.25">
      <c r="A26" s="268" t="s">
        <v>368</v>
      </c>
      <c r="B26" s="239"/>
      <c r="C26" s="239"/>
      <c r="D26" s="218">
        <v>35105</v>
      </c>
      <c r="E26" s="239"/>
      <c r="F26" s="268" t="s">
        <v>368</v>
      </c>
      <c r="G26" s="239"/>
      <c r="H26" s="239">
        <v>35105</v>
      </c>
      <c r="I26" s="218"/>
      <c r="J26" s="113"/>
      <c r="K26" s="113"/>
    </row>
    <row r="27" spans="1:11" x14ac:dyDescent="0.25">
      <c r="A27" s="272" t="s">
        <v>369</v>
      </c>
      <c r="B27" s="237"/>
      <c r="C27" s="237"/>
      <c r="D27" s="237">
        <v>30105</v>
      </c>
      <c r="E27" s="237"/>
      <c r="F27" s="272" t="s">
        <v>369</v>
      </c>
      <c r="G27" s="237"/>
      <c r="H27" s="237">
        <v>30105</v>
      </c>
      <c r="I27" s="237"/>
      <c r="J27" s="113"/>
      <c r="K27" s="113"/>
    </row>
    <row r="28" spans="1:11" x14ac:dyDescent="0.25">
      <c r="A28" s="258" t="s">
        <v>370</v>
      </c>
      <c r="C28" s="245"/>
      <c r="D28" s="246">
        <v>21105</v>
      </c>
      <c r="E28" s="247"/>
      <c r="F28" s="258" t="s">
        <v>370</v>
      </c>
      <c r="G28" s="113"/>
      <c r="H28" s="245">
        <v>21105</v>
      </c>
      <c r="I28" s="246"/>
      <c r="J28" s="113"/>
      <c r="K28" s="113"/>
    </row>
    <row r="29" spans="1:11" x14ac:dyDescent="0.25">
      <c r="A29" s="258" t="s">
        <v>371</v>
      </c>
      <c r="B29" s="245"/>
      <c r="C29" s="245"/>
      <c r="D29" s="246">
        <v>10087</v>
      </c>
      <c r="E29" s="247"/>
      <c r="F29" s="258" t="s">
        <v>371</v>
      </c>
      <c r="G29" s="245"/>
      <c r="H29" s="245">
        <v>10087</v>
      </c>
      <c r="I29" s="246"/>
      <c r="J29" s="113"/>
      <c r="K29" s="113"/>
    </row>
    <row r="30" spans="1:11" x14ac:dyDescent="0.25">
      <c r="A30" s="258" t="s">
        <v>374</v>
      </c>
      <c r="B30" s="248">
        <v>0.3</v>
      </c>
      <c r="C30" s="248"/>
      <c r="D30" s="249">
        <f>B30*E11</f>
        <v>2700</v>
      </c>
      <c r="E30" s="247"/>
      <c r="F30" s="258" t="s">
        <v>374</v>
      </c>
      <c r="G30" s="248">
        <v>0.3</v>
      </c>
      <c r="H30" s="248">
        <f>G30*E11</f>
        <v>2700</v>
      </c>
      <c r="I30" s="249">
        <f>G30*J11</f>
        <v>0</v>
      </c>
      <c r="J30" s="113"/>
      <c r="K30" s="113"/>
    </row>
    <row r="31" spans="1:11" x14ac:dyDescent="0.25">
      <c r="A31" s="250" t="s">
        <v>3</v>
      </c>
      <c r="B31" s="269">
        <f>B20+B22+B21+B23-D24</f>
        <v>87828</v>
      </c>
      <c r="C31" s="269"/>
      <c r="D31" s="270">
        <f>SUM(D26:D30)</f>
        <v>99102</v>
      </c>
      <c r="E31" s="270">
        <f>B31-D31</f>
        <v>-11274</v>
      </c>
      <c r="F31" s="250" t="s">
        <v>3</v>
      </c>
      <c r="G31" s="269">
        <f>G20+G22+G23-H24</f>
        <v>87828</v>
      </c>
      <c r="H31" s="270">
        <f>SUM(H26:H30)</f>
        <v>99102</v>
      </c>
      <c r="I31" s="270">
        <f>G31-H31</f>
        <v>-11274</v>
      </c>
      <c r="J31" s="113"/>
      <c r="K31" s="113"/>
    </row>
    <row r="32" spans="1:11" x14ac:dyDescent="0.25">
      <c r="A32" s="189"/>
      <c r="B32" s="266"/>
      <c r="C32" s="266"/>
      <c r="D32" s="266"/>
      <c r="E32" s="189"/>
      <c r="F32" s="190"/>
      <c r="G32" s="266"/>
      <c r="H32" s="266"/>
      <c r="I32" s="156"/>
      <c r="J32" s="113"/>
      <c r="K32" s="113"/>
    </row>
    <row r="33" spans="1:11" x14ac:dyDescent="0.25">
      <c r="A33" s="156"/>
      <c r="B33" s="189"/>
      <c r="C33" s="189"/>
      <c r="D33" s="200"/>
      <c r="E33" s="266"/>
      <c r="F33" s="189"/>
      <c r="G33" s="190"/>
      <c r="H33" s="266"/>
      <c r="I33" s="266"/>
      <c r="J33" s="156"/>
      <c r="K33" s="113"/>
    </row>
    <row r="34" spans="1:11" x14ac:dyDescent="0.25">
      <c r="A34" s="156"/>
      <c r="B34" s="267" t="s">
        <v>339</v>
      </c>
      <c r="C34" s="267"/>
      <c r="D34" s="264"/>
      <c r="E34" s="156" t="s">
        <v>341</v>
      </c>
      <c r="F34" s="156"/>
      <c r="G34" s="267"/>
      <c r="H34" s="267" t="s">
        <v>273</v>
      </c>
      <c r="I34" s="156"/>
      <c r="J34" s="156"/>
      <c r="K34" s="113"/>
    </row>
    <row r="35" spans="1:11" x14ac:dyDescent="0.25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13"/>
    </row>
    <row r="36" spans="1:11" x14ac:dyDescent="0.25">
      <c r="A36" s="156"/>
      <c r="B36" s="156" t="s">
        <v>351</v>
      </c>
      <c r="C36" s="156"/>
      <c r="D36" s="156"/>
      <c r="E36" s="156" t="s">
        <v>342</v>
      </c>
      <c r="F36" s="156"/>
      <c r="G36" s="156"/>
      <c r="H36" s="156" t="s">
        <v>343</v>
      </c>
      <c r="I36" s="156"/>
      <c r="J36" s="156"/>
      <c r="K36" s="113"/>
    </row>
    <row r="37" spans="1:11" x14ac:dyDescent="0.25">
      <c r="A37" s="113"/>
      <c r="B37" s="113"/>
      <c r="D37" s="113"/>
      <c r="E37" s="113"/>
      <c r="F37" s="113"/>
      <c r="G37" s="113"/>
      <c r="H37" s="113"/>
      <c r="I37" s="113"/>
      <c r="J37" s="113"/>
      <c r="K37" s="113"/>
    </row>
  </sheetData>
  <pageMargins left="0.7" right="0.7" top="0.75" bottom="0.75" header="0.3" footer="0.3"/>
  <pageSetup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P14" sqref="P14"/>
    </sheetView>
  </sheetViews>
  <sheetFormatPr defaultRowHeight="15" x14ac:dyDescent="0.25"/>
  <cols>
    <col min="8" max="8" width="10" bestFit="1" customWidth="1"/>
  </cols>
  <sheetData>
    <row r="1" spans="1:11" ht="15.75" x14ac:dyDescent="0.25">
      <c r="C1" s="156"/>
      <c r="D1" s="19" t="s">
        <v>260</v>
      </c>
      <c r="E1" s="19"/>
      <c r="F1" s="19"/>
      <c r="G1" s="19"/>
      <c r="H1" s="156"/>
      <c r="I1" s="156"/>
      <c r="J1" s="156"/>
      <c r="K1" s="113"/>
    </row>
    <row r="2" spans="1:11" ht="15.75" x14ac:dyDescent="0.25">
      <c r="A2" s="156"/>
      <c r="C2" s="156"/>
      <c r="D2" s="19" t="s">
        <v>296</v>
      </c>
      <c r="E2" s="156"/>
      <c r="F2" s="19"/>
      <c r="G2" s="19"/>
      <c r="H2" s="156"/>
      <c r="I2" s="156"/>
      <c r="J2" s="156"/>
      <c r="K2" s="113"/>
    </row>
    <row r="3" spans="1:11" ht="15.75" x14ac:dyDescent="0.25">
      <c r="A3" s="156"/>
      <c r="B3" s="156"/>
      <c r="C3" s="156"/>
      <c r="D3" s="19" t="s">
        <v>372</v>
      </c>
      <c r="E3" s="19"/>
      <c r="F3" s="19"/>
      <c r="G3" s="19"/>
      <c r="H3" s="156"/>
      <c r="I3" s="156"/>
      <c r="J3" s="156"/>
      <c r="K3" s="113"/>
    </row>
    <row r="4" spans="1:11" x14ac:dyDescent="0.25">
      <c r="A4" s="174" t="s">
        <v>298</v>
      </c>
      <c r="B4" s="261" t="s">
        <v>0</v>
      </c>
      <c r="C4" s="261" t="s">
        <v>123</v>
      </c>
      <c r="D4" s="261" t="s">
        <v>233</v>
      </c>
      <c r="E4" s="261" t="s">
        <v>2</v>
      </c>
      <c r="F4" s="262" t="s">
        <v>34</v>
      </c>
      <c r="G4" s="261" t="s">
        <v>4</v>
      </c>
      <c r="H4" s="262" t="s">
        <v>183</v>
      </c>
      <c r="I4" s="174" t="s">
        <v>329</v>
      </c>
      <c r="J4" s="156"/>
      <c r="K4" s="113"/>
    </row>
    <row r="5" spans="1:11" x14ac:dyDescent="0.25">
      <c r="A5" s="178">
        <v>1</v>
      </c>
      <c r="B5" s="215" t="s">
        <v>333</v>
      </c>
      <c r="C5" s="215"/>
      <c r="D5" s="216">
        <f>OCTOBER19!G5:G15</f>
        <v>0</v>
      </c>
      <c r="E5" s="217">
        <v>8000</v>
      </c>
      <c r="F5" s="217">
        <f t="shared" ref="F5:F15" si="0">D5+E5+C5</f>
        <v>8000</v>
      </c>
      <c r="G5" s="217">
        <v>8000</v>
      </c>
      <c r="H5" s="218">
        <f>F5-G5</f>
        <v>0</v>
      </c>
      <c r="I5" s="239">
        <v>900</v>
      </c>
      <c r="J5" s="156"/>
      <c r="K5" s="113"/>
    </row>
    <row r="6" spans="1:11" x14ac:dyDescent="0.25">
      <c r="A6" s="178">
        <v>2</v>
      </c>
      <c r="B6" s="215" t="s">
        <v>288</v>
      </c>
      <c r="C6" s="215"/>
      <c r="D6" s="216">
        <f>OCTOBER19!G6:G16</f>
        <v>0</v>
      </c>
      <c r="E6" s="217">
        <v>7000</v>
      </c>
      <c r="F6" s="217">
        <f t="shared" si="0"/>
        <v>7000</v>
      </c>
      <c r="G6" s="217">
        <v>7000</v>
      </c>
      <c r="H6" s="218">
        <f t="shared" ref="H6:H14" si="1">F6-G6</f>
        <v>0</v>
      </c>
      <c r="I6" s="239">
        <v>900</v>
      </c>
      <c r="J6" s="156"/>
      <c r="K6" s="113"/>
    </row>
    <row r="7" spans="1:11" x14ac:dyDescent="0.25">
      <c r="A7" s="178">
        <v>3</v>
      </c>
      <c r="B7" s="219" t="s">
        <v>289</v>
      </c>
      <c r="C7" s="219"/>
      <c r="D7" s="216">
        <f>OCTOBER19!G7:G17</f>
        <v>0</v>
      </c>
      <c r="E7" s="222">
        <v>6000</v>
      </c>
      <c r="F7" s="217">
        <f t="shared" si="0"/>
        <v>6000</v>
      </c>
      <c r="G7" s="222">
        <v>6000</v>
      </c>
      <c r="H7" s="218">
        <f t="shared" si="1"/>
        <v>0</v>
      </c>
      <c r="I7" s="239">
        <v>900</v>
      </c>
      <c r="J7" s="156"/>
      <c r="K7" s="113"/>
    </row>
    <row r="8" spans="1:11" x14ac:dyDescent="0.25">
      <c r="A8" s="178">
        <v>4</v>
      </c>
      <c r="B8" s="275" t="s">
        <v>367</v>
      </c>
      <c r="C8" s="274"/>
      <c r="D8" s="216">
        <f>OCTOBER19!G8:G18</f>
        <v>0</v>
      </c>
      <c r="E8" s="222">
        <v>8000</v>
      </c>
      <c r="F8" s="217">
        <f t="shared" si="0"/>
        <v>8000</v>
      </c>
      <c r="G8" s="222">
        <v>8000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5</v>
      </c>
      <c r="B9" s="219" t="s">
        <v>290</v>
      </c>
      <c r="C9" s="219"/>
      <c r="D9" s="216">
        <f>OCTOBER19!G9:G19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</row>
    <row r="10" spans="1:11" x14ac:dyDescent="0.25">
      <c r="A10" s="178">
        <v>6</v>
      </c>
      <c r="B10" s="223" t="s">
        <v>292</v>
      </c>
      <c r="C10" s="223"/>
      <c r="D10" s="216">
        <f>OCTOBER19!G10:G20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7</v>
      </c>
      <c r="B11" s="274" t="s">
        <v>365</v>
      </c>
      <c r="C11" s="275"/>
      <c r="D11" s="216">
        <f>OCTOBER19!G11:G21</f>
        <v>0</v>
      </c>
      <c r="E11" s="222"/>
      <c r="F11" s="217">
        <f t="shared" si="0"/>
        <v>0</v>
      </c>
      <c r="G11" s="222"/>
      <c r="H11" s="218">
        <f>F11-G11</f>
        <v>0</v>
      </c>
      <c r="I11" s="239"/>
      <c r="J11" s="156"/>
      <c r="K11" s="113"/>
    </row>
    <row r="12" spans="1:11" x14ac:dyDescent="0.25">
      <c r="A12" s="178">
        <v>8</v>
      </c>
      <c r="B12" s="219" t="s">
        <v>131</v>
      </c>
      <c r="C12" s="219"/>
      <c r="D12" s="216">
        <f>OCTOBER19!G12:G22</f>
        <v>0</v>
      </c>
      <c r="E12" s="222">
        <v>10000</v>
      </c>
      <c r="F12" s="217">
        <f>D12+E12+C12</f>
        <v>10000</v>
      </c>
      <c r="G12" s="268">
        <v>10000</v>
      </c>
      <c r="H12" s="218">
        <f t="shared" si="1"/>
        <v>0</v>
      </c>
      <c r="I12" s="218">
        <v>900</v>
      </c>
      <c r="J12" s="156"/>
      <c r="K12" s="113"/>
    </row>
    <row r="13" spans="1:11" x14ac:dyDescent="0.25">
      <c r="A13" s="178">
        <v>9</v>
      </c>
      <c r="B13" s="224" t="s">
        <v>240</v>
      </c>
      <c r="C13" s="224"/>
      <c r="D13" s="216">
        <f>OCTOBER19!G13:G23</f>
        <v>0</v>
      </c>
      <c r="E13" s="225">
        <v>7000</v>
      </c>
      <c r="F13" s="217">
        <f t="shared" si="0"/>
        <v>7000</v>
      </c>
      <c r="G13" s="272">
        <v>4000</v>
      </c>
      <c r="H13" s="218">
        <f t="shared" si="1"/>
        <v>3000</v>
      </c>
      <c r="I13" s="237"/>
      <c r="J13" s="156"/>
      <c r="K13" s="113"/>
    </row>
    <row r="14" spans="1:11" x14ac:dyDescent="0.25">
      <c r="A14" s="178">
        <v>10</v>
      </c>
      <c r="B14" s="219" t="s">
        <v>291</v>
      </c>
      <c r="C14" s="219"/>
      <c r="D14" s="216">
        <f>OCTOBER19!G14:G24</f>
        <v>0</v>
      </c>
      <c r="E14" s="227">
        <v>15000</v>
      </c>
      <c r="F14" s="217">
        <f t="shared" si="0"/>
        <v>15000</v>
      </c>
      <c r="G14" s="258">
        <v>15000</v>
      </c>
      <c r="H14" s="218">
        <f t="shared" si="1"/>
        <v>0</v>
      </c>
      <c r="I14" s="246"/>
      <c r="J14" s="156"/>
      <c r="K14" s="113"/>
    </row>
    <row r="15" spans="1:11" x14ac:dyDescent="0.25">
      <c r="A15" s="212"/>
      <c r="B15" s="228" t="s">
        <v>3</v>
      </c>
      <c r="C15" s="228">
        <f>SUM(C5:C14)</f>
        <v>0</v>
      </c>
      <c r="D15" s="216">
        <f>SUM(D5:D14)</f>
        <v>0</v>
      </c>
      <c r="E15" s="230">
        <f>SUM(E5:E14)</f>
        <v>77000</v>
      </c>
      <c r="F15" s="217">
        <f t="shared" si="0"/>
        <v>77000</v>
      </c>
      <c r="G15" s="273">
        <f>SUM(G5:G14)</f>
        <v>74000</v>
      </c>
      <c r="H15" s="218">
        <f>F15-G15</f>
        <v>3000</v>
      </c>
      <c r="I15" s="246">
        <f>SUM(I5:I14)</f>
        <v>6300</v>
      </c>
      <c r="J15" s="211" t="s">
        <v>56</v>
      </c>
      <c r="K15" s="113"/>
    </row>
    <row r="16" spans="1:1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13"/>
    </row>
    <row r="17" spans="1:13" x14ac:dyDescent="0.25">
      <c r="A17" s="156"/>
      <c r="B17" s="170"/>
      <c r="C17" s="170"/>
      <c r="D17" s="156"/>
      <c r="E17" s="263"/>
      <c r="F17" s="156"/>
      <c r="G17" s="217">
        <f>E17+F17+D17</f>
        <v>0</v>
      </c>
      <c r="H17" s="264"/>
      <c r="I17" s="156"/>
      <c r="J17" s="156"/>
      <c r="K17" s="113"/>
    </row>
    <row r="18" spans="1:13" x14ac:dyDescent="0.25">
      <c r="A18" s="265" t="s">
        <v>184</v>
      </c>
      <c r="B18" s="156"/>
      <c r="C18" s="156"/>
      <c r="D18" s="263"/>
      <c r="E18" s="156"/>
      <c r="F18" s="264"/>
      <c r="G18" s="264"/>
      <c r="H18" s="156"/>
      <c r="I18" s="156"/>
      <c r="J18" s="113"/>
      <c r="K18" s="113"/>
    </row>
    <row r="19" spans="1:13" x14ac:dyDescent="0.25">
      <c r="A19" s="236" t="s">
        <v>185</v>
      </c>
      <c r="B19" s="236" t="s">
        <v>186</v>
      </c>
      <c r="C19" s="236"/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13"/>
      <c r="K19" s="113"/>
    </row>
    <row r="20" spans="1:13" x14ac:dyDescent="0.25">
      <c r="A20" s="237" t="s">
        <v>373</v>
      </c>
      <c r="B20" s="238">
        <f>E15</f>
        <v>77000</v>
      </c>
      <c r="C20" s="238"/>
      <c r="D20" s="238"/>
      <c r="E20" s="237"/>
      <c r="F20" s="237" t="s">
        <v>373</v>
      </c>
      <c r="G20" s="238">
        <f>G15</f>
        <v>74000</v>
      </c>
      <c r="H20" s="237"/>
      <c r="I20" s="239"/>
      <c r="J20" s="113"/>
      <c r="K20" s="113"/>
    </row>
    <row r="21" spans="1:13" x14ac:dyDescent="0.25">
      <c r="A21" s="237" t="s">
        <v>123</v>
      </c>
      <c r="B21" s="238"/>
      <c r="C21" s="238"/>
      <c r="D21" s="238"/>
      <c r="E21" s="237"/>
      <c r="F21" s="237"/>
      <c r="G21" s="238"/>
      <c r="H21" s="237"/>
      <c r="I21" s="239"/>
      <c r="J21" s="113"/>
      <c r="K21" s="113"/>
    </row>
    <row r="22" spans="1:13" x14ac:dyDescent="0.25">
      <c r="A22" s="237" t="s">
        <v>233</v>
      </c>
      <c r="B22" s="238">
        <f>'NOVEMBER 19'!E31</f>
        <v>-11274</v>
      </c>
      <c r="C22" s="238"/>
      <c r="D22" s="238"/>
      <c r="E22" s="237"/>
      <c r="F22" s="237" t="s">
        <v>233</v>
      </c>
      <c r="G22" s="238">
        <f>'NOVEMBER 19'!I31</f>
        <v>-11274</v>
      </c>
      <c r="H22" s="237"/>
      <c r="I22" s="239"/>
      <c r="J22" s="113"/>
      <c r="K22" s="113"/>
    </row>
    <row r="23" spans="1:13" x14ac:dyDescent="0.25">
      <c r="A23" s="237" t="s">
        <v>329</v>
      </c>
      <c r="B23" s="238">
        <f>I15</f>
        <v>6300</v>
      </c>
      <c r="C23" s="238"/>
      <c r="D23" s="238"/>
      <c r="E23" s="237"/>
      <c r="F23" s="237" t="s">
        <v>329</v>
      </c>
      <c r="G23" s="238">
        <f>I15</f>
        <v>6300</v>
      </c>
      <c r="H23" s="237"/>
      <c r="I23" s="239"/>
      <c r="J23" s="113"/>
      <c r="K23" s="113"/>
    </row>
    <row r="24" spans="1:13" x14ac:dyDescent="0.25">
      <c r="A24" s="237" t="s">
        <v>190</v>
      </c>
      <c r="B24" s="241">
        <v>0.1</v>
      </c>
      <c r="C24" s="241"/>
      <c r="D24" s="238">
        <f>B20*B24</f>
        <v>7700</v>
      </c>
      <c r="E24" s="237"/>
      <c r="F24" s="237" t="s">
        <v>248</v>
      </c>
      <c r="G24" s="241">
        <v>0.1</v>
      </c>
      <c r="H24" s="238">
        <f>B24*B20</f>
        <v>7700</v>
      </c>
      <c r="I24" s="239"/>
      <c r="J24" s="113"/>
      <c r="K24" s="113"/>
    </row>
    <row r="25" spans="1:13" x14ac:dyDescent="0.25">
      <c r="A25" s="242" t="s">
        <v>196</v>
      </c>
      <c r="B25" s="240"/>
      <c r="C25" s="240"/>
      <c r="D25" s="240"/>
      <c r="E25" s="237"/>
      <c r="F25" s="242" t="s">
        <v>196</v>
      </c>
      <c r="G25" s="237"/>
      <c r="H25" s="237"/>
      <c r="I25" s="239"/>
      <c r="J25" s="113"/>
      <c r="K25" s="113"/>
    </row>
    <row r="26" spans="1:13" x14ac:dyDescent="0.25">
      <c r="A26" s="268" t="s">
        <v>374</v>
      </c>
      <c r="B26" s="239"/>
      <c r="C26" s="239"/>
      <c r="D26" s="218"/>
      <c r="E26" s="239"/>
      <c r="F26" s="268"/>
      <c r="G26" s="239"/>
      <c r="H26" s="239"/>
      <c r="I26" s="218"/>
      <c r="J26" s="113"/>
      <c r="K26" s="113"/>
    </row>
    <row r="27" spans="1:13" x14ac:dyDescent="0.25">
      <c r="A27" s="272" t="s">
        <v>381</v>
      </c>
      <c r="D27" s="237">
        <v>30105</v>
      </c>
      <c r="E27" s="237"/>
      <c r="F27" s="272" t="s">
        <v>381</v>
      </c>
      <c r="G27" s="113"/>
      <c r="H27" s="113">
        <v>30105</v>
      </c>
      <c r="I27" s="237"/>
      <c r="J27" s="113"/>
      <c r="K27" s="113"/>
    </row>
    <row r="28" spans="1:13" x14ac:dyDescent="0.25">
      <c r="A28" s="272" t="s">
        <v>382</v>
      </c>
      <c r="B28" s="113"/>
      <c r="C28" s="245"/>
      <c r="D28" s="246">
        <v>30105</v>
      </c>
      <c r="E28" s="247"/>
      <c r="F28" s="272" t="s">
        <v>382</v>
      </c>
      <c r="G28" s="113"/>
      <c r="H28" s="245">
        <v>30105</v>
      </c>
      <c r="I28" s="246"/>
      <c r="J28" s="113"/>
      <c r="K28" s="113"/>
      <c r="M28">
        <v>30</v>
      </c>
    </row>
    <row r="29" spans="1:13" x14ac:dyDescent="0.25">
      <c r="A29" s="258"/>
      <c r="B29" s="245"/>
      <c r="C29" s="245"/>
      <c r="D29" s="246"/>
      <c r="E29" s="247"/>
      <c r="F29" s="258"/>
      <c r="G29" s="245"/>
      <c r="H29" s="245"/>
      <c r="I29" s="246"/>
      <c r="J29" s="113"/>
      <c r="K29" s="113"/>
    </row>
    <row r="30" spans="1:13" x14ac:dyDescent="0.25">
      <c r="A30" s="258"/>
      <c r="B30" s="248"/>
      <c r="C30" s="248"/>
      <c r="D30" s="249"/>
      <c r="E30" s="247"/>
      <c r="F30" s="258"/>
      <c r="G30" s="248"/>
      <c r="H30" s="249"/>
      <c r="I30" s="239"/>
      <c r="J30" s="113"/>
      <c r="K30" s="113"/>
    </row>
    <row r="31" spans="1:13" x14ac:dyDescent="0.25">
      <c r="A31" s="250" t="s">
        <v>3</v>
      </c>
      <c r="B31" s="269">
        <f>B20+B22+B21+B23-D24</f>
        <v>64326</v>
      </c>
      <c r="C31" s="269"/>
      <c r="D31" s="270">
        <f>SUM(D26:D30)</f>
        <v>60210</v>
      </c>
      <c r="E31" s="270">
        <f>B31-D31</f>
        <v>4116</v>
      </c>
      <c r="F31" s="250" t="s">
        <v>3</v>
      </c>
      <c r="G31" s="269">
        <f>G20+G22+G23-H24</f>
        <v>61326</v>
      </c>
      <c r="H31" s="270">
        <f>SUM(H26:H30)</f>
        <v>60210</v>
      </c>
      <c r="I31" s="270">
        <f>G31-H31</f>
        <v>1116</v>
      </c>
      <c r="J31" s="113"/>
      <c r="K31" s="113"/>
    </row>
    <row r="32" spans="1:13" x14ac:dyDescent="0.25">
      <c r="A32" s="189"/>
      <c r="B32" s="266"/>
      <c r="C32" s="266"/>
      <c r="D32" s="266"/>
      <c r="E32" s="189"/>
      <c r="F32" s="190"/>
      <c r="G32" s="266"/>
      <c r="H32" s="266"/>
      <c r="I32" s="156"/>
      <c r="J32" s="113"/>
      <c r="K32" s="113"/>
    </row>
    <row r="33" spans="1:11" x14ac:dyDescent="0.25">
      <c r="A33" s="156"/>
      <c r="B33" s="189"/>
      <c r="C33" s="189"/>
      <c r="D33" s="200"/>
      <c r="E33" s="266"/>
      <c r="F33" s="189"/>
      <c r="G33" s="190"/>
      <c r="H33" s="266"/>
      <c r="I33" s="266"/>
      <c r="J33" s="156"/>
      <c r="K33" s="113"/>
    </row>
    <row r="34" spans="1:11" x14ac:dyDescent="0.25">
      <c r="A34" s="156"/>
      <c r="B34" s="267" t="s">
        <v>339</v>
      </c>
      <c r="C34" s="267"/>
      <c r="D34" s="264"/>
      <c r="E34" s="156" t="s">
        <v>341</v>
      </c>
      <c r="F34" s="156"/>
      <c r="G34" s="267"/>
      <c r="H34" s="267" t="s">
        <v>273</v>
      </c>
      <c r="I34" s="156"/>
      <c r="J34" s="156"/>
      <c r="K34" s="113"/>
    </row>
    <row r="35" spans="1:11" x14ac:dyDescent="0.25">
      <c r="A35" s="156"/>
      <c r="B35" s="156"/>
      <c r="C35" s="156"/>
      <c r="D35" s="156"/>
      <c r="E35" s="156"/>
      <c r="F35" s="156"/>
      <c r="G35" s="156"/>
      <c r="H35" s="113"/>
      <c r="I35" s="156"/>
      <c r="J35" s="156"/>
      <c r="K35" s="113"/>
    </row>
    <row r="36" spans="1:11" x14ac:dyDescent="0.25">
      <c r="A36" s="156"/>
      <c r="B36" s="156" t="s">
        <v>351</v>
      </c>
      <c r="C36" s="156"/>
      <c r="D36" s="156"/>
      <c r="E36" s="156" t="s">
        <v>342</v>
      </c>
      <c r="F36" s="156"/>
      <c r="G36" s="156"/>
      <c r="H36" s="156" t="s">
        <v>343</v>
      </c>
      <c r="I36" s="156"/>
      <c r="J36" s="156"/>
    </row>
    <row r="37" spans="1:11" x14ac:dyDescent="0.25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4" workbookViewId="0">
      <selection activeCell="I15" sqref="I15"/>
    </sheetView>
  </sheetViews>
  <sheetFormatPr defaultRowHeight="15" x14ac:dyDescent="0.25"/>
  <cols>
    <col min="1" max="1" width="14.5703125" customWidth="1"/>
    <col min="2" max="2" width="3.85546875" customWidth="1"/>
    <col min="4" max="4" width="7.42578125" customWidth="1"/>
    <col min="6" max="6" width="7.42578125" customWidth="1"/>
    <col min="7" max="7" width="12" customWidth="1"/>
    <col min="8" max="8" width="10.7109375" customWidth="1"/>
    <col min="9" max="9" width="11.42578125" customWidth="1"/>
    <col min="13" max="13" width="11.5703125" customWidth="1"/>
  </cols>
  <sheetData>
    <row r="1" spans="1:13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9"/>
      <c r="B5" s="79"/>
      <c r="C5" s="80" t="s">
        <v>50</v>
      </c>
      <c r="D5" s="79"/>
      <c r="E5" s="79"/>
      <c r="F5" s="79"/>
      <c r="G5" s="79"/>
      <c r="H5" s="79"/>
      <c r="I5" s="79"/>
      <c r="J5" s="91" t="s">
        <v>28</v>
      </c>
      <c r="K5" s="79"/>
      <c r="L5" s="79"/>
      <c r="M5" s="79"/>
    </row>
    <row r="6" spans="1:13" ht="21" x14ac:dyDescent="0.25">
      <c r="A6" s="74"/>
      <c r="B6" s="74"/>
      <c r="C6" s="74"/>
      <c r="D6" s="77"/>
      <c r="E6" s="77"/>
      <c r="F6" s="78" t="s">
        <v>91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80</v>
      </c>
      <c r="B8" s="36">
        <v>1</v>
      </c>
      <c r="C8" s="36">
        <v>18000</v>
      </c>
      <c r="D8" s="37">
        <v>18000</v>
      </c>
      <c r="E8" s="37">
        <v>18000</v>
      </c>
      <c r="F8" s="36"/>
      <c r="G8" s="57">
        <v>9000</v>
      </c>
      <c r="H8" s="57">
        <v>9000</v>
      </c>
      <c r="I8" s="57">
        <v>9000</v>
      </c>
      <c r="J8" s="57"/>
      <c r="K8" s="37"/>
      <c r="L8" s="37"/>
      <c r="M8" s="86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9000</v>
      </c>
      <c r="H11" s="58">
        <v>9000</v>
      </c>
      <c r="I11" s="58">
        <v>8000</v>
      </c>
      <c r="J11" s="58"/>
      <c r="K11" s="9"/>
      <c r="L11" s="9"/>
      <c r="M11" s="88">
        <v>1000</v>
      </c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3" t="s">
        <v>13</v>
      </c>
      <c r="B13" s="10">
        <v>7</v>
      </c>
      <c r="C13" s="11" t="s">
        <v>81</v>
      </c>
      <c r="D13" s="9"/>
      <c r="E13" s="11" t="s">
        <v>81</v>
      </c>
      <c r="F13" s="9"/>
      <c r="G13" s="58">
        <v>14000</v>
      </c>
      <c r="H13" s="58">
        <v>14000</v>
      </c>
      <c r="I13" s="58">
        <v>14000</v>
      </c>
      <c r="J13" s="92"/>
      <c r="K13" s="9"/>
      <c r="L13" s="9"/>
      <c r="M13" s="88">
        <f>SUM(H13-I13)</f>
        <v>0</v>
      </c>
    </row>
    <row r="14" spans="1:13" x14ac:dyDescent="0.25">
      <c r="A14" s="32" t="s">
        <v>69</v>
      </c>
      <c r="B14" s="10">
        <v>6</v>
      </c>
      <c r="C14" s="11" t="s">
        <v>71</v>
      </c>
      <c r="D14" s="9">
        <v>25000</v>
      </c>
      <c r="E14" s="11"/>
      <c r="F14" s="9"/>
      <c r="G14" s="58">
        <v>30000</v>
      </c>
      <c r="H14" s="58">
        <v>30000</v>
      </c>
      <c r="I14" s="58">
        <v>30000</v>
      </c>
      <c r="J14" s="58"/>
      <c r="K14" s="9"/>
      <c r="L14" s="9"/>
      <c r="M14" s="88">
        <f>SUM(H14-I14)</f>
        <v>0</v>
      </c>
    </row>
    <row r="15" spans="1:13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>
        <v>4000</v>
      </c>
      <c r="J15" s="58"/>
      <c r="K15" s="9"/>
      <c r="L15" s="9"/>
      <c r="M15" s="88">
        <f>SUM(H15-I15)</f>
        <v>11000</v>
      </c>
    </row>
    <row r="16" spans="1:13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/>
    </row>
    <row r="17" spans="1:13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88"/>
    </row>
    <row r="18" spans="1:13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88">
        <f>SUM(H18-I18)</f>
        <v>0</v>
      </c>
    </row>
    <row r="19" spans="1:13" x14ac:dyDescent="0.25">
      <c r="A19" s="33"/>
      <c r="B19" s="5"/>
      <c r="C19" s="5"/>
      <c r="D19" s="5"/>
      <c r="E19" s="17"/>
      <c r="F19" s="5"/>
      <c r="G19" s="60"/>
      <c r="H19" s="60"/>
      <c r="I19" s="60"/>
      <c r="J19" s="60"/>
      <c r="K19" s="5"/>
      <c r="L19" s="5"/>
      <c r="M19" s="89"/>
    </row>
    <row r="20" spans="1:13" x14ac:dyDescent="0.25">
      <c r="A20" s="43" t="s">
        <v>3</v>
      </c>
      <c r="B20" s="44"/>
      <c r="C20" s="44"/>
      <c r="D20" s="44"/>
      <c r="E20" s="44"/>
      <c r="F20" s="44"/>
      <c r="G20" s="61">
        <f>SUM(G8:G19)</f>
        <v>120000</v>
      </c>
      <c r="H20" s="61">
        <f>SUM(H8:H19)</f>
        <v>120000</v>
      </c>
      <c r="I20" s="61">
        <f>SUM(I8:I19)</f>
        <v>108000</v>
      </c>
      <c r="J20" s="61"/>
      <c r="K20" s="44"/>
      <c r="L20" s="44"/>
      <c r="M20" s="90">
        <f>SUM(M8:M19)</f>
        <v>12000</v>
      </c>
    </row>
    <row r="21" spans="1:13" x14ac:dyDescent="0.25">
      <c r="A21" s="2"/>
      <c r="B21" s="2"/>
      <c r="C21" s="2"/>
      <c r="D21" s="81"/>
      <c r="E21" s="82" t="s">
        <v>76</v>
      </c>
      <c r="F21" s="82"/>
      <c r="G21" s="83"/>
      <c r="H21" s="83"/>
      <c r="I21" s="83"/>
      <c r="J21" s="83"/>
      <c r="K21" s="83"/>
      <c r="L21" s="83"/>
      <c r="M21" s="83"/>
    </row>
    <row r="22" spans="1:13" x14ac:dyDescent="0.25">
      <c r="A22" s="2"/>
      <c r="B22" s="3"/>
      <c r="C22" s="67"/>
      <c r="D22" s="3" t="s">
        <v>40</v>
      </c>
      <c r="E22" s="48"/>
      <c r="F22" s="2"/>
      <c r="G22" s="62">
        <f>SUM(G20)</f>
        <v>120000</v>
      </c>
      <c r="H22" s="66"/>
      <c r="I22" s="2"/>
      <c r="J22" s="2"/>
      <c r="K22" s="2"/>
      <c r="L22" s="2"/>
      <c r="M22" s="2"/>
    </row>
    <row r="23" spans="1:13" x14ac:dyDescent="0.25">
      <c r="A23" s="2" t="s">
        <v>87</v>
      </c>
      <c r="B23" s="3"/>
      <c r="C23" s="67"/>
      <c r="D23" s="3" t="s">
        <v>60</v>
      </c>
      <c r="E23" s="48"/>
      <c r="F23" s="2"/>
      <c r="G23" s="70">
        <f>SUM(G22-G25)</f>
        <v>111600</v>
      </c>
      <c r="H23" s="2"/>
      <c r="I23" s="66"/>
      <c r="J23" s="66"/>
      <c r="K23" s="66"/>
      <c r="L23" s="66"/>
      <c r="M23" s="66"/>
    </row>
    <row r="24" spans="1:13" x14ac:dyDescent="0.25">
      <c r="A24" s="2"/>
      <c r="B24" s="3"/>
      <c r="C24" s="67"/>
      <c r="D24" s="76" t="s">
        <v>73</v>
      </c>
      <c r="E24" s="48"/>
      <c r="F24" s="2"/>
      <c r="G24" s="70"/>
      <c r="H24" s="2"/>
      <c r="I24" s="66"/>
      <c r="J24" s="66"/>
      <c r="K24" s="66"/>
      <c r="L24" s="66"/>
      <c r="M24" s="66"/>
    </row>
    <row r="25" spans="1:13" x14ac:dyDescent="0.25">
      <c r="A25" s="2"/>
      <c r="B25" s="3"/>
      <c r="C25" s="67"/>
      <c r="D25" s="3" t="s">
        <v>52</v>
      </c>
      <c r="E25" s="50"/>
      <c r="F25" s="2"/>
      <c r="G25" s="69">
        <f>SUM(G22*7%)</f>
        <v>8400</v>
      </c>
      <c r="H25" s="2"/>
      <c r="I25" s="2"/>
      <c r="J25" s="2"/>
      <c r="K25" s="2"/>
      <c r="L25" s="2"/>
      <c r="M25" s="2"/>
    </row>
    <row r="26" spans="1:13" x14ac:dyDescent="0.25">
      <c r="A26" s="2"/>
      <c r="B26" s="3"/>
      <c r="C26" s="67"/>
      <c r="D26" s="3" t="s">
        <v>75</v>
      </c>
      <c r="E26" s="50"/>
      <c r="F26" s="2"/>
      <c r="G26" s="69">
        <v>500</v>
      </c>
      <c r="H26" s="2"/>
      <c r="I26" s="2"/>
      <c r="J26" s="2"/>
      <c r="K26" s="2"/>
      <c r="L26" s="2"/>
      <c r="M26" s="2"/>
    </row>
    <row r="27" spans="1:13" x14ac:dyDescent="0.25">
      <c r="A27" s="2"/>
      <c r="B27" s="3"/>
      <c r="C27" s="3"/>
      <c r="D27" s="68" t="s">
        <v>64</v>
      </c>
      <c r="E27" s="47"/>
      <c r="F27" s="2"/>
      <c r="G27" s="71">
        <v>30000</v>
      </c>
      <c r="H27" s="2"/>
      <c r="I27" s="2" t="s">
        <v>56</v>
      </c>
      <c r="J27" s="2" t="s">
        <v>56</v>
      </c>
      <c r="K27" s="2" t="s">
        <v>56</v>
      </c>
      <c r="L27" s="2" t="s">
        <v>56</v>
      </c>
      <c r="M27" s="2" t="s">
        <v>56</v>
      </c>
    </row>
    <row r="28" spans="1:13" x14ac:dyDescent="0.25">
      <c r="A28" s="2"/>
      <c r="B28" s="3"/>
      <c r="C28" s="3"/>
      <c r="D28" s="68" t="s">
        <v>90</v>
      </c>
      <c r="E28" s="47"/>
      <c r="F28" s="2"/>
      <c r="G28" s="71">
        <v>7000</v>
      </c>
      <c r="H28" s="2"/>
      <c r="I28" s="66"/>
      <c r="J28" s="66"/>
      <c r="K28" s="66"/>
      <c r="L28" s="66"/>
      <c r="M28" s="66"/>
    </row>
    <row r="29" spans="1:13" x14ac:dyDescent="0.25">
      <c r="A29" s="93"/>
      <c r="B29" s="93"/>
      <c r="C29" s="93"/>
      <c r="D29" s="93" t="s">
        <v>3</v>
      </c>
      <c r="E29" s="93"/>
      <c r="F29" s="93"/>
      <c r="G29" s="94">
        <f>SUM(G25:G28)</f>
        <v>45900</v>
      </c>
      <c r="H29" s="93"/>
      <c r="I29" s="93"/>
      <c r="J29" s="93"/>
      <c r="K29" s="93"/>
      <c r="L29" s="93"/>
      <c r="M29" s="93"/>
    </row>
    <row r="30" spans="1:13" ht="18" x14ac:dyDescent="0.4">
      <c r="A30" s="2"/>
      <c r="B30" s="3"/>
      <c r="C30" s="3"/>
      <c r="D30" s="68" t="s">
        <v>61</v>
      </c>
      <c r="E30" s="2"/>
      <c r="F30" s="2"/>
      <c r="G30" s="72">
        <f>SUM(G22-G29)</f>
        <v>74100</v>
      </c>
      <c r="H30" s="2"/>
      <c r="I30" s="2"/>
      <c r="J30" s="2"/>
      <c r="K30" s="2"/>
      <c r="L30" s="2"/>
      <c r="M30" s="2"/>
    </row>
    <row r="31" spans="1:13" x14ac:dyDescent="0.25">
      <c r="A31" s="52"/>
      <c r="B31" s="53" t="s">
        <v>41</v>
      </c>
      <c r="C31" s="2"/>
      <c r="D31" s="2"/>
      <c r="E31" s="2"/>
      <c r="F31" s="52" t="s">
        <v>42</v>
      </c>
      <c r="G31" s="52"/>
      <c r="H31" s="52"/>
      <c r="I31" s="52" t="s">
        <v>43</v>
      </c>
      <c r="J31" s="52"/>
      <c r="K31" s="2"/>
      <c r="L31" s="2"/>
      <c r="M31" s="2"/>
    </row>
    <row r="32" spans="1:13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workbookViewId="0">
      <selection activeCell="K20" sqref="K20"/>
    </sheetView>
  </sheetViews>
  <sheetFormatPr defaultRowHeight="15" x14ac:dyDescent="0.25"/>
  <cols>
    <col min="7" max="7" width="8.5703125" bestFit="1" customWidth="1"/>
    <col min="8" max="8" width="10" bestFit="1" customWidth="1"/>
  </cols>
  <sheetData>
    <row r="2" spans="1:12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</row>
    <row r="3" spans="1:12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</row>
    <row r="4" spans="1:12" ht="15.75" x14ac:dyDescent="0.25">
      <c r="A4" s="156"/>
      <c r="B4" s="156"/>
      <c r="C4" s="156"/>
      <c r="D4" s="19" t="s">
        <v>376</v>
      </c>
      <c r="E4" s="19"/>
      <c r="F4" s="19"/>
      <c r="G4" s="19"/>
      <c r="H4" s="156"/>
      <c r="I4" s="156"/>
      <c r="J4" s="156"/>
      <c r="K4" s="113"/>
      <c r="L4" s="113"/>
    </row>
    <row r="5" spans="1:12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</row>
    <row r="6" spans="1:12" x14ac:dyDescent="0.25">
      <c r="A6" s="178">
        <v>1</v>
      </c>
      <c r="B6" s="215" t="s">
        <v>333</v>
      </c>
      <c r="C6" s="215"/>
      <c r="D6" s="216">
        <f>'DECEMBER 19'!H5:H14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800</v>
      </c>
      <c r="J6" s="156"/>
      <c r="K6" s="113"/>
      <c r="L6" s="113"/>
    </row>
    <row r="7" spans="1:12" x14ac:dyDescent="0.25">
      <c r="A7" s="178">
        <v>2</v>
      </c>
      <c r="B7" s="215" t="s">
        <v>288</v>
      </c>
      <c r="C7" s="215"/>
      <c r="D7" s="216">
        <f>'DECEMBER 19'!H6:H15</f>
        <v>0</v>
      </c>
      <c r="E7" s="217">
        <v>7000</v>
      </c>
      <c r="F7" s="217">
        <f t="shared" si="0"/>
        <v>7000</v>
      </c>
      <c r="G7" s="217">
        <v>7000</v>
      </c>
      <c r="H7" s="218">
        <f t="shared" ref="H7:H15" si="1">F7-G7</f>
        <v>0</v>
      </c>
      <c r="I7" s="239">
        <v>900</v>
      </c>
      <c r="J7" s="156"/>
      <c r="K7" s="113"/>
      <c r="L7" s="113"/>
    </row>
    <row r="8" spans="1:12" x14ac:dyDescent="0.25">
      <c r="A8" s="178">
        <v>3</v>
      </c>
      <c r="B8" s="219" t="s">
        <v>289</v>
      </c>
      <c r="C8" s="219"/>
      <c r="D8" s="216">
        <f>'DECEMBER 19'!H7:H16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  <c r="L8" s="113"/>
    </row>
    <row r="9" spans="1:12" x14ac:dyDescent="0.25">
      <c r="A9" s="178">
        <v>4</v>
      </c>
      <c r="B9" s="275" t="s">
        <v>367</v>
      </c>
      <c r="C9" s="274"/>
      <c r="D9" s="216">
        <f>'DECEMBER 19'!H8:H17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  <c r="L9" s="113"/>
    </row>
    <row r="10" spans="1:12" x14ac:dyDescent="0.25">
      <c r="A10" s="178">
        <v>5</v>
      </c>
      <c r="B10" s="219" t="s">
        <v>290</v>
      </c>
      <c r="C10" s="219"/>
      <c r="D10" s="216">
        <f>'DECEMBER 19'!H9:H18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</row>
    <row r="11" spans="1:12" x14ac:dyDescent="0.25">
      <c r="A11" s="178">
        <v>6</v>
      </c>
      <c r="B11" s="223" t="s">
        <v>292</v>
      </c>
      <c r="C11" s="223"/>
      <c r="D11" s="216">
        <f>'DECEMBER 19'!H10:H19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</row>
    <row r="12" spans="1:12" x14ac:dyDescent="0.25">
      <c r="A12" s="178">
        <v>7</v>
      </c>
      <c r="B12" s="274" t="s">
        <v>365</v>
      </c>
      <c r="C12" s="275"/>
      <c r="D12" s="216">
        <f>'DECEMBER 19'!H11:H20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</row>
    <row r="13" spans="1:12" x14ac:dyDescent="0.25">
      <c r="A13" s="178">
        <v>8</v>
      </c>
      <c r="B13" s="219" t="s">
        <v>131</v>
      </c>
      <c r="C13" s="219"/>
      <c r="D13" s="216"/>
      <c r="E13" s="222">
        <v>10000</v>
      </c>
      <c r="F13" s="217">
        <f>D13+E13+C13</f>
        <v>10000</v>
      </c>
      <c r="G13" s="268">
        <v>10000</v>
      </c>
      <c r="H13" s="218">
        <f>F13-G13</f>
        <v>0</v>
      </c>
      <c r="I13" s="218">
        <v>900</v>
      </c>
      <c r="J13" s="156"/>
      <c r="K13" s="113"/>
      <c r="L13" s="113"/>
    </row>
    <row r="14" spans="1:12" x14ac:dyDescent="0.25">
      <c r="A14" s="178">
        <v>9</v>
      </c>
      <c r="B14" s="224" t="s">
        <v>240</v>
      </c>
      <c r="C14" s="224"/>
      <c r="D14" s="216">
        <f>'DECEMBER 19'!H13</f>
        <v>3000</v>
      </c>
      <c r="E14" s="225">
        <v>7000</v>
      </c>
      <c r="F14" s="217">
        <f t="shared" si="0"/>
        <v>10000</v>
      </c>
      <c r="G14" s="272">
        <f>9000+900</f>
        <v>9900</v>
      </c>
      <c r="H14" s="218">
        <f t="shared" si="1"/>
        <v>100</v>
      </c>
      <c r="I14" s="237"/>
      <c r="J14" s="156"/>
      <c r="K14" s="113"/>
      <c r="L14" s="113"/>
    </row>
    <row r="15" spans="1:12" x14ac:dyDescent="0.25">
      <c r="A15" s="178">
        <v>10</v>
      </c>
      <c r="B15" s="219" t="s">
        <v>291</v>
      </c>
      <c r="C15" s="219"/>
      <c r="D15" s="216"/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  <c r="K15" s="113"/>
      <c r="L15" s="113"/>
    </row>
    <row r="16" spans="1:12" x14ac:dyDescent="0.25">
      <c r="A16" s="212"/>
      <c r="B16" s="228" t="s">
        <v>3</v>
      </c>
      <c r="C16" s="228">
        <f>SUM(C6:C15)</f>
        <v>0</v>
      </c>
      <c r="D16" s="216">
        <f>SUM(D6:D15)</f>
        <v>3000</v>
      </c>
      <c r="E16" s="230">
        <f>SUM(E6:E15)</f>
        <v>77000</v>
      </c>
      <c r="F16" s="217">
        <f t="shared" si="0"/>
        <v>80000</v>
      </c>
      <c r="G16" s="273">
        <f>SUM(G6:G15)</f>
        <v>79900</v>
      </c>
      <c r="H16" s="218">
        <f>F16-G16</f>
        <v>100</v>
      </c>
      <c r="I16" s="246">
        <f>SUM(I6:I15)</f>
        <v>6200</v>
      </c>
      <c r="J16" s="211" t="s">
        <v>56</v>
      </c>
      <c r="K16" s="113"/>
      <c r="L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</row>
    <row r="21" spans="1:12" x14ac:dyDescent="0.25">
      <c r="A21" s="237" t="s">
        <v>375</v>
      </c>
      <c r="B21" s="238">
        <f>E16</f>
        <v>77000</v>
      </c>
      <c r="C21" s="238"/>
      <c r="D21" s="238"/>
      <c r="E21" s="237"/>
      <c r="F21" s="237" t="s">
        <v>375</v>
      </c>
      <c r="G21" s="238">
        <f>G16</f>
        <v>79900</v>
      </c>
      <c r="H21" s="237"/>
      <c r="I21" s="239"/>
      <c r="J21" s="113"/>
      <c r="K21" s="113"/>
      <c r="L21" s="113"/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  <c r="L22" s="113"/>
    </row>
    <row r="23" spans="1:12" x14ac:dyDescent="0.25">
      <c r="A23" s="237" t="s">
        <v>233</v>
      </c>
      <c r="B23" s="238">
        <f>'DECEMBER 19'!E31</f>
        <v>4116</v>
      </c>
      <c r="C23" s="238"/>
      <c r="D23" s="238"/>
      <c r="E23" s="237"/>
      <c r="F23" s="237" t="s">
        <v>233</v>
      </c>
      <c r="G23" s="238">
        <f>'DECEMBER 19'!I31</f>
        <v>1116</v>
      </c>
      <c r="H23" s="237"/>
      <c r="I23" s="239"/>
      <c r="J23" s="113"/>
      <c r="K23" s="113"/>
      <c r="L23" s="113"/>
    </row>
    <row r="24" spans="1:12" x14ac:dyDescent="0.25">
      <c r="A24" s="237" t="s">
        <v>329</v>
      </c>
      <c r="B24" s="238">
        <f>I16</f>
        <v>6200</v>
      </c>
      <c r="C24" s="238"/>
      <c r="D24" s="238"/>
      <c r="E24" s="237"/>
      <c r="F24" s="237" t="s">
        <v>329</v>
      </c>
      <c r="G24" s="238">
        <f>I16</f>
        <v>6200</v>
      </c>
      <c r="H24" s="237"/>
      <c r="I24" s="239"/>
      <c r="J24" s="113"/>
      <c r="K24" s="113"/>
      <c r="L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7700</v>
      </c>
      <c r="E25" s="237"/>
      <c r="F25" s="237" t="s">
        <v>248</v>
      </c>
      <c r="G25" s="241">
        <v>0.1</v>
      </c>
      <c r="H25" s="238">
        <f>B25*B21</f>
        <v>7700</v>
      </c>
      <c r="I25" s="239"/>
      <c r="J25" s="113"/>
      <c r="K25" s="113"/>
      <c r="L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</row>
    <row r="27" spans="1:12" x14ac:dyDescent="0.25">
      <c r="A27" s="272" t="s">
        <v>377</v>
      </c>
      <c r="B27" s="268"/>
      <c r="C27" s="239"/>
      <c r="D27" s="218">
        <v>15602</v>
      </c>
      <c r="E27" s="239"/>
      <c r="F27" s="272" t="s">
        <v>377</v>
      </c>
      <c r="G27" s="268"/>
      <c r="H27" s="239">
        <v>15602</v>
      </c>
      <c r="I27" s="218"/>
      <c r="J27" s="113"/>
      <c r="K27" s="113"/>
      <c r="L27" s="113"/>
    </row>
    <row r="28" spans="1:12" x14ac:dyDescent="0.25">
      <c r="A28" s="272" t="s">
        <v>236</v>
      </c>
      <c r="B28" s="113"/>
      <c r="C28" s="113"/>
      <c r="D28" s="237">
        <v>40000</v>
      </c>
      <c r="E28" s="237"/>
      <c r="F28" s="272" t="s">
        <v>236</v>
      </c>
      <c r="G28" s="113"/>
      <c r="H28" s="113">
        <v>40000</v>
      </c>
      <c r="I28" s="237"/>
      <c r="J28" s="113"/>
      <c r="K28" s="113"/>
      <c r="L28" s="113"/>
    </row>
    <row r="29" spans="1:12" x14ac:dyDescent="0.25">
      <c r="A29" s="258" t="s">
        <v>378</v>
      </c>
      <c r="B29" s="113"/>
      <c r="C29" s="245"/>
      <c r="D29" s="246">
        <v>19102</v>
      </c>
      <c r="E29" s="247"/>
      <c r="F29" s="258" t="s">
        <v>378</v>
      </c>
      <c r="G29" s="113"/>
      <c r="H29" s="245">
        <v>19102</v>
      </c>
      <c r="I29" s="246"/>
      <c r="J29" s="113"/>
      <c r="K29" s="113"/>
      <c r="L29" s="113"/>
    </row>
    <row r="30" spans="1:12" x14ac:dyDescent="0.25">
      <c r="A30" s="258"/>
      <c r="B30" s="245"/>
      <c r="C30" s="245"/>
      <c r="D30" s="246"/>
      <c r="E30" s="247"/>
      <c r="F30" s="258"/>
      <c r="G30" s="245"/>
      <c r="H30" s="245"/>
      <c r="I30" s="246"/>
      <c r="J30" s="113"/>
      <c r="K30" s="113"/>
      <c r="L30" s="113"/>
    </row>
    <row r="31" spans="1:12" x14ac:dyDescent="0.25">
      <c r="A31" s="258"/>
      <c r="B31" s="248"/>
      <c r="C31" s="248"/>
      <c r="D31" s="249"/>
      <c r="E31" s="247"/>
      <c r="F31" s="258"/>
      <c r="G31" s="248"/>
      <c r="H31" s="249"/>
      <c r="I31" s="239"/>
      <c r="J31" s="113"/>
      <c r="K31" s="113"/>
      <c r="L31" s="113"/>
    </row>
    <row r="32" spans="1:12" x14ac:dyDescent="0.25">
      <c r="A32" s="250" t="s">
        <v>3</v>
      </c>
      <c r="B32" s="269">
        <f>B21+B23+B22+B24-D25</f>
        <v>79616</v>
      </c>
      <c r="C32" s="269"/>
      <c r="D32" s="270">
        <f>SUM(D27:D31)</f>
        <v>74704</v>
      </c>
      <c r="E32" s="270">
        <f>B32-D32</f>
        <v>4912</v>
      </c>
      <c r="F32" s="250" t="s">
        <v>3</v>
      </c>
      <c r="G32" s="269">
        <f>G21+G23+G24-H25</f>
        <v>79516</v>
      </c>
      <c r="H32" s="270">
        <f>SUM(H27:H31)</f>
        <v>74704</v>
      </c>
      <c r="I32" s="270">
        <f>G32-H32</f>
        <v>4812</v>
      </c>
      <c r="J32" s="113"/>
      <c r="K32" s="113"/>
      <c r="L32" s="113"/>
    </row>
    <row r="33" spans="1:12" x14ac:dyDescent="0.25">
      <c r="A33" s="189"/>
      <c r="B33" s="266"/>
      <c r="C33" s="266"/>
      <c r="D33" s="266"/>
      <c r="E33" s="189"/>
      <c r="F33" s="190"/>
      <c r="G33" s="266"/>
      <c r="H33" s="266"/>
      <c r="I33" s="156"/>
      <c r="J33" s="113"/>
      <c r="K33" s="113"/>
      <c r="L33" s="113"/>
    </row>
    <row r="34" spans="1:12" x14ac:dyDescent="0.25">
      <c r="A34" s="156"/>
      <c r="B34" s="189"/>
      <c r="C34" s="189"/>
      <c r="D34" s="200"/>
      <c r="E34" s="266"/>
      <c r="F34" s="189"/>
      <c r="G34" s="190"/>
      <c r="H34" s="266"/>
      <c r="I34" s="266"/>
      <c r="J34" s="156"/>
      <c r="K34" s="113"/>
      <c r="L34" s="113"/>
    </row>
    <row r="35" spans="1:12" x14ac:dyDescent="0.25">
      <c r="A35" s="156"/>
      <c r="B35" s="267" t="s">
        <v>339</v>
      </c>
      <c r="C35" s="267"/>
      <c r="D35" s="264"/>
      <c r="E35" s="156" t="s">
        <v>341</v>
      </c>
      <c r="F35" s="156"/>
      <c r="G35" s="267"/>
      <c r="H35" s="267" t="s">
        <v>273</v>
      </c>
      <c r="I35" s="156"/>
      <c r="J35" s="156"/>
      <c r="K35" s="113"/>
      <c r="L35" s="113"/>
    </row>
    <row r="36" spans="1:12" x14ac:dyDescent="0.25">
      <c r="A36" s="156"/>
      <c r="B36" s="156"/>
      <c r="C36" s="156"/>
      <c r="D36" s="156"/>
      <c r="E36" s="156"/>
      <c r="F36" s="156"/>
      <c r="G36" s="156"/>
      <c r="H36" s="113"/>
      <c r="I36" s="156"/>
      <c r="J36" s="156"/>
      <c r="K36" s="113"/>
      <c r="L36" s="113"/>
    </row>
    <row r="37" spans="1:12" x14ac:dyDescent="0.25">
      <c r="A37" s="156"/>
      <c r="B37" s="156" t="s">
        <v>351</v>
      </c>
      <c r="C37" s="156"/>
      <c r="D37" s="156"/>
      <c r="E37" s="156" t="s">
        <v>342</v>
      </c>
      <c r="F37" s="156"/>
      <c r="G37" s="156"/>
      <c r="H37" s="156" t="s">
        <v>343</v>
      </c>
      <c r="I37" s="156"/>
      <c r="J37" s="156"/>
      <c r="K37" s="113"/>
      <c r="L37" s="113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K36" sqref="K36"/>
    </sheetView>
  </sheetViews>
  <sheetFormatPr defaultRowHeight="15" x14ac:dyDescent="0.25"/>
  <cols>
    <col min="8" max="8" width="12.28515625" customWidth="1"/>
  </cols>
  <sheetData>
    <row r="1" spans="1:12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</row>
    <row r="3" spans="1:12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</row>
    <row r="4" spans="1:12" ht="15.75" x14ac:dyDescent="0.25">
      <c r="A4" s="156"/>
      <c r="B4" s="156"/>
      <c r="C4" s="156"/>
      <c r="D4" s="19" t="s">
        <v>379</v>
      </c>
      <c r="E4" s="19"/>
      <c r="F4" s="19"/>
      <c r="G4" s="19"/>
      <c r="H4" s="156"/>
      <c r="I4" s="156"/>
      <c r="J4" s="156"/>
      <c r="K4" s="113"/>
      <c r="L4" s="113"/>
    </row>
    <row r="5" spans="1:12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</row>
    <row r="6" spans="1:12" x14ac:dyDescent="0.25">
      <c r="A6" s="178">
        <v>1</v>
      </c>
      <c r="B6" s="215" t="s">
        <v>333</v>
      </c>
      <c r="C6" s="215"/>
      <c r="D6" s="216">
        <f>'JANUARY 20'!H6:H15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1000</v>
      </c>
      <c r="J6" s="156"/>
      <c r="K6" s="113"/>
      <c r="L6" s="113"/>
    </row>
    <row r="7" spans="1:12" x14ac:dyDescent="0.25">
      <c r="A7" s="178">
        <v>2</v>
      </c>
      <c r="B7" s="215" t="s">
        <v>288</v>
      </c>
      <c r="C7" s="215"/>
      <c r="D7" s="216">
        <f>'JANUARY 20'!H7:H16</f>
        <v>0</v>
      </c>
      <c r="E7" s="217">
        <v>7000</v>
      </c>
      <c r="F7" s="217">
        <f t="shared" si="0"/>
        <v>7000</v>
      </c>
      <c r="G7" s="217">
        <v>7000</v>
      </c>
      <c r="H7" s="218">
        <f t="shared" ref="H7:H15" si="1">F7-G7</f>
        <v>0</v>
      </c>
      <c r="I7" s="239">
        <v>900</v>
      </c>
      <c r="J7" s="156"/>
      <c r="K7" s="113"/>
      <c r="L7" s="113"/>
    </row>
    <row r="8" spans="1:12" x14ac:dyDescent="0.25">
      <c r="A8" s="178">
        <v>3</v>
      </c>
      <c r="B8" s="219" t="s">
        <v>289</v>
      </c>
      <c r="C8" s="219"/>
      <c r="D8" s="216">
        <f>'JANUARY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  <c r="L8" s="113"/>
    </row>
    <row r="9" spans="1:12" x14ac:dyDescent="0.25">
      <c r="A9" s="178">
        <v>4</v>
      </c>
      <c r="B9" s="275" t="s">
        <v>367</v>
      </c>
      <c r="C9" s="274"/>
      <c r="D9" s="216">
        <f>'JANUARY 20'!H9:H18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  <c r="L9" s="113"/>
    </row>
    <row r="10" spans="1:12" x14ac:dyDescent="0.25">
      <c r="A10" s="178">
        <v>5</v>
      </c>
      <c r="B10" s="219" t="s">
        <v>290</v>
      </c>
      <c r="C10" s="219"/>
      <c r="D10" s="216">
        <f>'JANUARY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</row>
    <row r="11" spans="1:12" x14ac:dyDescent="0.25">
      <c r="A11" s="178">
        <v>6</v>
      </c>
      <c r="B11" s="223" t="s">
        <v>292</v>
      </c>
      <c r="C11" s="223"/>
      <c r="D11" s="216">
        <f>'JANUARY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</row>
    <row r="12" spans="1:12" x14ac:dyDescent="0.25">
      <c r="A12" s="178">
        <v>7</v>
      </c>
      <c r="B12" s="274" t="s">
        <v>365</v>
      </c>
      <c r="C12" s="275"/>
      <c r="D12" s="216">
        <f>'JANUARY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</row>
    <row r="13" spans="1:12" x14ac:dyDescent="0.25">
      <c r="A13" s="178">
        <v>8</v>
      </c>
      <c r="B13" s="219" t="s">
        <v>131</v>
      </c>
      <c r="C13" s="219"/>
      <c r="D13" s="216">
        <f>'JANUARY 20'!H13:H22</f>
        <v>0</v>
      </c>
      <c r="E13" s="222">
        <v>10000</v>
      </c>
      <c r="F13" s="217">
        <f>D13+E13+C13</f>
        <v>10000</v>
      </c>
      <c r="G13" s="268">
        <v>10000</v>
      </c>
      <c r="H13" s="218">
        <f t="shared" si="1"/>
        <v>0</v>
      </c>
      <c r="I13" s="218">
        <v>900</v>
      </c>
      <c r="J13" s="156"/>
      <c r="K13" s="113"/>
      <c r="L13" s="113"/>
    </row>
    <row r="14" spans="1:12" x14ac:dyDescent="0.25">
      <c r="A14" s="178">
        <v>9</v>
      </c>
      <c r="B14" s="224" t="s">
        <v>240</v>
      </c>
      <c r="C14" s="224"/>
      <c r="D14" s="216">
        <f>'JANUARY 20'!H14:H23</f>
        <v>100</v>
      </c>
      <c r="E14" s="225">
        <v>7000</v>
      </c>
      <c r="F14" s="217">
        <f t="shared" si="0"/>
        <v>7100</v>
      </c>
      <c r="G14" s="272">
        <f>4400+1500+1200</f>
        <v>7100</v>
      </c>
      <c r="H14" s="218">
        <f>F14-G14</f>
        <v>0</v>
      </c>
      <c r="I14" s="237">
        <v>900</v>
      </c>
      <c r="J14" s="156"/>
      <c r="K14" s="113"/>
      <c r="L14" s="113"/>
    </row>
    <row r="15" spans="1:12" x14ac:dyDescent="0.25">
      <c r="A15" s="178">
        <v>10</v>
      </c>
      <c r="B15" s="219" t="s">
        <v>291</v>
      </c>
      <c r="C15" s="219"/>
      <c r="D15" s="216"/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  <c r="K15" s="113"/>
      <c r="L15" s="113"/>
    </row>
    <row r="16" spans="1:12" x14ac:dyDescent="0.25">
      <c r="A16" s="212"/>
      <c r="B16" s="228" t="s">
        <v>3</v>
      </c>
      <c r="C16" s="228">
        <f>SUM(C6:C15)</f>
        <v>0</v>
      </c>
      <c r="D16" s="216">
        <f>SUM(D6:D15)</f>
        <v>100</v>
      </c>
      <c r="E16" s="230">
        <f>SUM(E6:E15)</f>
        <v>77000</v>
      </c>
      <c r="F16" s="217">
        <f t="shared" si="0"/>
        <v>77100</v>
      </c>
      <c r="G16" s="273">
        <f>SUM(G6:G15)</f>
        <v>77100</v>
      </c>
      <c r="H16" s="218">
        <f>F16-G16</f>
        <v>0</v>
      </c>
      <c r="I16" s="246">
        <f>SUM(I6:I15)</f>
        <v>7300</v>
      </c>
      <c r="J16" s="211" t="s">
        <v>56</v>
      </c>
      <c r="K16" s="113"/>
      <c r="L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</row>
    <row r="21" spans="1:12" x14ac:dyDescent="0.25">
      <c r="A21" s="237" t="s">
        <v>380</v>
      </c>
      <c r="B21" s="238">
        <f>E16</f>
        <v>77000</v>
      </c>
      <c r="C21" s="238"/>
      <c r="D21" s="238"/>
      <c r="E21" s="237"/>
      <c r="F21" s="237" t="s">
        <v>380</v>
      </c>
      <c r="G21" s="238">
        <f>G16</f>
        <v>77100</v>
      </c>
      <c r="H21" s="237"/>
      <c r="I21" s="239"/>
      <c r="J21" s="113"/>
      <c r="K21" s="113"/>
      <c r="L21" s="113"/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  <c r="L22" s="113"/>
    </row>
    <row r="23" spans="1:12" x14ac:dyDescent="0.25">
      <c r="A23" s="237" t="s">
        <v>233</v>
      </c>
      <c r="B23" s="238">
        <f>'JANUARY 20'!E32</f>
        <v>4912</v>
      </c>
      <c r="C23" s="238"/>
      <c r="D23" s="238"/>
      <c r="E23" s="237"/>
      <c r="F23" s="237" t="s">
        <v>233</v>
      </c>
      <c r="G23" s="238">
        <f>'JANUARY 20'!I32</f>
        <v>4812</v>
      </c>
      <c r="H23" s="237"/>
      <c r="I23" s="239"/>
      <c r="J23" s="113"/>
      <c r="K23" s="113"/>
      <c r="L23" s="113"/>
    </row>
    <row r="24" spans="1:12" x14ac:dyDescent="0.25">
      <c r="A24" s="237" t="s">
        <v>329</v>
      </c>
      <c r="B24" s="238">
        <f>I16</f>
        <v>7300</v>
      </c>
      <c r="C24" s="238"/>
      <c r="D24" s="238"/>
      <c r="E24" s="237"/>
      <c r="F24" s="237" t="s">
        <v>329</v>
      </c>
      <c r="G24" s="238">
        <f>I16</f>
        <v>7300</v>
      </c>
      <c r="H24" s="237"/>
      <c r="I24" s="239"/>
      <c r="J24" s="113"/>
      <c r="K24" s="113"/>
      <c r="L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7700</v>
      </c>
      <c r="E25" s="237"/>
      <c r="F25" s="237" t="s">
        <v>248</v>
      </c>
      <c r="G25" s="241">
        <v>0.1</v>
      </c>
      <c r="H25" s="238">
        <f>B25*B21</f>
        <v>7700</v>
      </c>
      <c r="I25" s="239"/>
      <c r="J25" s="113"/>
      <c r="K25" s="113"/>
      <c r="L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</row>
    <row r="27" spans="1:12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  <c r="K27" s="113"/>
      <c r="L27" s="113"/>
    </row>
    <row r="28" spans="1:12" x14ac:dyDescent="0.25">
      <c r="A28" s="272" t="s">
        <v>236</v>
      </c>
      <c r="B28" s="113"/>
      <c r="C28" s="113"/>
      <c r="D28" s="237">
        <v>40000</v>
      </c>
      <c r="E28" s="237"/>
      <c r="F28" s="272" t="s">
        <v>236</v>
      </c>
      <c r="G28" s="113"/>
      <c r="H28" s="113">
        <v>40000</v>
      </c>
      <c r="I28" s="237"/>
      <c r="J28" s="113"/>
      <c r="K28" s="113"/>
      <c r="L28" s="113"/>
    </row>
    <row r="29" spans="1:12" x14ac:dyDescent="0.25">
      <c r="A29" s="258" t="s">
        <v>383</v>
      </c>
      <c r="B29" s="113"/>
      <c r="C29" s="245"/>
      <c r="D29" s="246">
        <v>30000</v>
      </c>
      <c r="E29" s="247"/>
      <c r="F29" s="258" t="s">
        <v>383</v>
      </c>
      <c r="G29" s="113"/>
      <c r="H29" s="245">
        <v>30000</v>
      </c>
      <c r="I29" s="246"/>
      <c r="J29" s="113"/>
      <c r="K29" s="113"/>
      <c r="L29" s="113"/>
    </row>
    <row r="30" spans="1:12" x14ac:dyDescent="0.25">
      <c r="A30" s="258" t="s">
        <v>385</v>
      </c>
      <c r="B30" s="245"/>
      <c r="C30" s="245"/>
      <c r="D30" s="246">
        <v>323</v>
      </c>
      <c r="E30" s="247"/>
      <c r="F30" s="258" t="s">
        <v>385</v>
      </c>
      <c r="G30" s="245"/>
      <c r="H30" s="245">
        <v>323</v>
      </c>
      <c r="I30" s="246"/>
      <c r="J30" s="113"/>
      <c r="K30" s="113"/>
      <c r="L30" s="113"/>
    </row>
    <row r="31" spans="1:12" x14ac:dyDescent="0.25">
      <c r="A31" s="258"/>
      <c r="B31" s="248"/>
      <c r="C31" s="248"/>
      <c r="D31" s="249"/>
      <c r="E31" s="247"/>
      <c r="F31" s="258"/>
      <c r="G31" s="248"/>
      <c r="H31" s="249"/>
      <c r="I31" s="239"/>
      <c r="J31" s="113"/>
      <c r="K31" s="113"/>
      <c r="L31" s="113"/>
    </row>
    <row r="32" spans="1:12" x14ac:dyDescent="0.25">
      <c r="A32" s="250" t="s">
        <v>3</v>
      </c>
      <c r="B32" s="269">
        <f>B21+B23+B22+B24-D25</f>
        <v>81512</v>
      </c>
      <c r="C32" s="269"/>
      <c r="D32" s="270">
        <f>SUM(D27:D31)</f>
        <v>70323</v>
      </c>
      <c r="E32" s="270">
        <f>B32-D32</f>
        <v>11189</v>
      </c>
      <c r="F32" s="250" t="s">
        <v>3</v>
      </c>
      <c r="G32" s="269">
        <f>G21+G23+G24-H25</f>
        <v>81512</v>
      </c>
      <c r="H32" s="270">
        <f>SUM(H27:H31)</f>
        <v>70323</v>
      </c>
      <c r="I32" s="270">
        <f>G32-H32</f>
        <v>11189</v>
      </c>
      <c r="J32" s="113"/>
      <c r="K32" s="113"/>
      <c r="L32" s="113"/>
    </row>
    <row r="33" spans="1:12" x14ac:dyDescent="0.25">
      <c r="A33" s="189"/>
      <c r="B33" s="266"/>
      <c r="C33" s="266"/>
      <c r="D33" s="266"/>
      <c r="E33" s="189"/>
      <c r="F33" s="190"/>
      <c r="G33" s="266"/>
      <c r="H33" s="266"/>
      <c r="I33" s="156"/>
      <c r="J33" s="113"/>
      <c r="K33" s="113"/>
      <c r="L33" s="113"/>
    </row>
    <row r="34" spans="1:12" x14ac:dyDescent="0.25">
      <c r="A34" s="156"/>
      <c r="B34" s="189"/>
      <c r="C34" s="189"/>
      <c r="D34" s="200"/>
      <c r="E34" s="266"/>
      <c r="F34" s="189"/>
      <c r="G34" s="190"/>
      <c r="H34" s="266"/>
      <c r="I34" s="266"/>
      <c r="J34" s="156"/>
      <c r="K34" s="113"/>
      <c r="L34" s="113"/>
    </row>
    <row r="35" spans="1:12" x14ac:dyDescent="0.25">
      <c r="A35" s="156"/>
      <c r="B35" s="267" t="s">
        <v>339</v>
      </c>
      <c r="C35" s="267"/>
      <c r="D35" s="264"/>
      <c r="E35" s="156" t="s">
        <v>341</v>
      </c>
      <c r="F35" s="156"/>
      <c r="G35" s="267"/>
      <c r="H35" s="267" t="s">
        <v>273</v>
      </c>
      <c r="I35" s="156"/>
      <c r="J35" s="156"/>
      <c r="K35" s="113"/>
      <c r="L35" s="113"/>
    </row>
    <row r="36" spans="1:12" x14ac:dyDescent="0.25">
      <c r="A36" s="156"/>
      <c r="B36" s="156"/>
      <c r="C36" s="156"/>
      <c r="D36" s="156"/>
      <c r="E36" s="156"/>
      <c r="F36" s="156"/>
      <c r="G36" s="156"/>
      <c r="H36" s="113"/>
      <c r="I36" s="156"/>
      <c r="J36" s="156"/>
      <c r="K36" s="113"/>
      <c r="L36" s="113"/>
    </row>
    <row r="37" spans="1:12" x14ac:dyDescent="0.25">
      <c r="A37" s="156"/>
      <c r="B37" s="156" t="s">
        <v>351</v>
      </c>
      <c r="C37" s="156"/>
      <c r="D37" s="156"/>
      <c r="E37" s="156" t="s">
        <v>342</v>
      </c>
      <c r="F37" s="156"/>
      <c r="G37" s="156"/>
      <c r="H37" s="156" t="s">
        <v>343</v>
      </c>
      <c r="I37" s="156"/>
      <c r="J37" s="156"/>
      <c r="K37" s="113"/>
      <c r="L37" s="113"/>
    </row>
    <row r="38" spans="1:12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K1" sqref="K1"/>
    </sheetView>
  </sheetViews>
  <sheetFormatPr defaultRowHeight="15" x14ac:dyDescent="0.25"/>
  <cols>
    <col min="7" max="7" width="9.42578125" bestFit="1" customWidth="1"/>
    <col min="8" max="8" width="10" bestFit="1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384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 t="s">
        <v>333</v>
      </c>
      <c r="C6" s="215"/>
      <c r="D6" s="216">
        <f>'FEBRUARY 20'!H6:H15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900</v>
      </c>
      <c r="J6" s="156"/>
    </row>
    <row r="7" spans="1:10" x14ac:dyDescent="0.25">
      <c r="A7" s="178">
        <v>2</v>
      </c>
      <c r="B7" s="215" t="s">
        <v>288</v>
      </c>
      <c r="C7" s="215"/>
      <c r="D7" s="216">
        <f>'FEBRUARY 20'!H7:H16</f>
        <v>0</v>
      </c>
      <c r="E7" s="217">
        <v>7000</v>
      </c>
      <c r="F7" s="217">
        <f t="shared" si="0"/>
        <v>7000</v>
      </c>
      <c r="G7" s="217">
        <v>7000</v>
      </c>
      <c r="H7" s="218">
        <f t="shared" ref="H7:H15" si="1">F7-G7</f>
        <v>0</v>
      </c>
      <c r="I7" s="239">
        <v>900</v>
      </c>
      <c r="J7" s="156"/>
    </row>
    <row r="8" spans="1:10" x14ac:dyDescent="0.25">
      <c r="A8" s="178">
        <v>3</v>
      </c>
      <c r="B8" s="219" t="s">
        <v>289</v>
      </c>
      <c r="C8" s="219"/>
      <c r="D8" s="216">
        <f>'FEBRUARY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</row>
    <row r="9" spans="1:10" x14ac:dyDescent="0.25">
      <c r="A9" s="178">
        <v>4</v>
      </c>
      <c r="B9" s="275" t="s">
        <v>367</v>
      </c>
      <c r="C9" s="274"/>
      <c r="D9" s="216">
        <f>'FEBRUARY 20'!H9:H18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</row>
    <row r="10" spans="1:10" x14ac:dyDescent="0.25">
      <c r="A10" s="178">
        <v>5</v>
      </c>
      <c r="B10" s="219" t="s">
        <v>290</v>
      </c>
      <c r="C10" s="219"/>
      <c r="D10" s="216">
        <f>'FEBRUARY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'FEBRUARY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 t="s">
        <v>386</v>
      </c>
      <c r="C12" s="275">
        <v>8000</v>
      </c>
      <c r="D12" s="216">
        <f>'FEBRUARY 20'!H12:H21</f>
        <v>0</v>
      </c>
      <c r="E12" s="222">
        <v>8000</v>
      </c>
      <c r="F12" s="217">
        <f t="shared" si="0"/>
        <v>16000</v>
      </c>
      <c r="G12" s="222">
        <v>16000</v>
      </c>
      <c r="H12" s="218">
        <f>F12-G12</f>
        <v>0</v>
      </c>
      <c r="I12" s="239"/>
      <c r="J12" s="156"/>
    </row>
    <row r="13" spans="1:10" x14ac:dyDescent="0.25">
      <c r="A13" s="178">
        <v>8</v>
      </c>
      <c r="B13" s="219" t="s">
        <v>131</v>
      </c>
      <c r="C13" s="219"/>
      <c r="D13" s="216">
        <f>'FEBRUARY 20'!H13:H22</f>
        <v>0</v>
      </c>
      <c r="E13" s="222">
        <v>10000</v>
      </c>
      <c r="F13" s="217">
        <f>D13+E13+C13</f>
        <v>10000</v>
      </c>
      <c r="G13" s="268">
        <v>10000</v>
      </c>
      <c r="H13" s="218">
        <f t="shared" si="1"/>
        <v>0</v>
      </c>
      <c r="I13" s="218">
        <v>900</v>
      </c>
      <c r="J13" s="156"/>
    </row>
    <row r="14" spans="1:10" x14ac:dyDescent="0.25">
      <c r="A14" s="178">
        <v>9</v>
      </c>
      <c r="B14" s="224" t="s">
        <v>240</v>
      </c>
      <c r="C14" s="224"/>
      <c r="D14" s="216">
        <f>'FEBRUARY 20'!H14:H23</f>
        <v>0</v>
      </c>
      <c r="E14" s="225">
        <v>7000</v>
      </c>
      <c r="F14" s="217">
        <f t="shared" si="0"/>
        <v>7000</v>
      </c>
      <c r="G14" s="272">
        <f>3000</f>
        <v>3000</v>
      </c>
      <c r="H14" s="218">
        <f>F14-G14</f>
        <v>4000</v>
      </c>
      <c r="I14" s="237"/>
      <c r="J14" s="156"/>
    </row>
    <row r="15" spans="1:10" x14ac:dyDescent="0.25">
      <c r="A15" s="178">
        <v>10</v>
      </c>
      <c r="B15" s="219" t="s">
        <v>291</v>
      </c>
      <c r="C15" s="219"/>
      <c r="D15" s="216">
        <f>'FEBRUARY 20'!H15:H24</f>
        <v>0</v>
      </c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</row>
    <row r="16" spans="1:10" x14ac:dyDescent="0.25">
      <c r="A16" s="212"/>
      <c r="B16" s="228" t="s">
        <v>3</v>
      </c>
      <c r="C16" s="228">
        <f>SUM(C6:C15)</f>
        <v>8000</v>
      </c>
      <c r="D16" s="216">
        <f>SUM(D6:D15)</f>
        <v>0</v>
      </c>
      <c r="E16" s="230">
        <f>SUM(E6:E15)</f>
        <v>85000</v>
      </c>
      <c r="F16" s="217">
        <f t="shared" si="0"/>
        <v>93000</v>
      </c>
      <c r="G16" s="273">
        <f>SUM(G6:G15)</f>
        <v>89000</v>
      </c>
      <c r="H16" s="218">
        <f>F16-G16</f>
        <v>4000</v>
      </c>
      <c r="I16" s="246">
        <f>SUM(I6:I15)</f>
        <v>6300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317</v>
      </c>
      <c r="B21" s="238">
        <f>E16</f>
        <v>85000</v>
      </c>
      <c r="C21" s="238"/>
      <c r="D21" s="238"/>
      <c r="E21" s="237"/>
      <c r="F21" s="237" t="s">
        <v>317</v>
      </c>
      <c r="G21" s="238">
        <f>G16</f>
        <v>89000</v>
      </c>
      <c r="H21" s="237"/>
      <c r="I21" s="239"/>
      <c r="J21" s="113"/>
    </row>
    <row r="22" spans="1:10" x14ac:dyDescent="0.25">
      <c r="A22" s="237" t="s">
        <v>123</v>
      </c>
      <c r="B22" s="238">
        <f>C16</f>
        <v>8000</v>
      </c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'FEBRUARY 20'!E32</f>
        <v>11189</v>
      </c>
      <c r="C23" s="238"/>
      <c r="D23" s="238"/>
      <c r="E23" s="237"/>
      <c r="F23" s="237" t="s">
        <v>233</v>
      </c>
      <c r="G23" s="238">
        <f>'FEBRUARY 20'!I32</f>
        <v>11189</v>
      </c>
      <c r="H23" s="237"/>
      <c r="I23" s="239"/>
      <c r="J23" s="113"/>
    </row>
    <row r="24" spans="1:10" x14ac:dyDescent="0.25">
      <c r="A24" s="237" t="s">
        <v>329</v>
      </c>
      <c r="B24" s="238">
        <f>I16</f>
        <v>6300</v>
      </c>
      <c r="C24" s="238"/>
      <c r="D24" s="238"/>
      <c r="E24" s="237"/>
      <c r="F24" s="237" t="s">
        <v>329</v>
      </c>
      <c r="G24" s="238">
        <f>I16</f>
        <v>6300</v>
      </c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8500</v>
      </c>
      <c r="E25" s="237"/>
      <c r="F25" s="237" t="s">
        <v>248</v>
      </c>
      <c r="G25" s="241">
        <v>0.1</v>
      </c>
      <c r="H25" s="238">
        <f>B25*B21</f>
        <v>8500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</row>
    <row r="28" spans="1:10" x14ac:dyDescent="0.25">
      <c r="A28" s="272" t="s">
        <v>236</v>
      </c>
      <c r="B28" s="113"/>
      <c r="C28" s="113"/>
      <c r="D28" s="237">
        <v>25000</v>
      </c>
      <c r="E28" s="237"/>
      <c r="F28" s="272" t="s">
        <v>236</v>
      </c>
      <c r="G28" s="113"/>
      <c r="H28" s="113">
        <v>25000</v>
      </c>
      <c r="I28" s="237"/>
      <c r="J28" s="113"/>
    </row>
    <row r="29" spans="1:10" x14ac:dyDescent="0.25">
      <c r="A29" s="258" t="s">
        <v>387</v>
      </c>
      <c r="B29" s="113"/>
      <c r="C29" s="245"/>
      <c r="D29" s="246">
        <v>30000</v>
      </c>
      <c r="E29" s="247"/>
      <c r="F29" s="258" t="s">
        <v>387</v>
      </c>
      <c r="G29" s="113"/>
      <c r="H29" s="245">
        <v>30000</v>
      </c>
      <c r="I29" s="246"/>
      <c r="J29" s="113"/>
    </row>
    <row r="30" spans="1:10" x14ac:dyDescent="0.25">
      <c r="A30" s="258" t="s">
        <v>388</v>
      </c>
      <c r="B30" s="245"/>
      <c r="C30" s="245"/>
      <c r="D30" s="246">
        <v>43000</v>
      </c>
      <c r="E30" s="247"/>
      <c r="F30" s="258" t="s">
        <v>388</v>
      </c>
      <c r="G30" s="245"/>
      <c r="H30" s="245">
        <v>43000</v>
      </c>
      <c r="I30" s="246"/>
      <c r="J30" s="113"/>
    </row>
    <row r="31" spans="1:10" s="113" customFormat="1" x14ac:dyDescent="0.25">
      <c r="A31" s="258" t="s">
        <v>389</v>
      </c>
      <c r="B31" s="245"/>
      <c r="C31" s="245"/>
      <c r="D31" s="246">
        <v>6070</v>
      </c>
      <c r="E31" s="247"/>
      <c r="F31" s="258" t="s">
        <v>389</v>
      </c>
      <c r="G31" s="245"/>
      <c r="H31" s="245">
        <v>6070</v>
      </c>
      <c r="I31" s="246"/>
    </row>
    <row r="32" spans="1:10" s="113" customFormat="1" x14ac:dyDescent="0.25">
      <c r="A32" s="258" t="s">
        <v>391</v>
      </c>
      <c r="B32" s="245"/>
      <c r="C32" s="245"/>
      <c r="D32" s="246">
        <v>3000</v>
      </c>
      <c r="E32" s="247"/>
      <c r="F32" s="258" t="s">
        <v>391</v>
      </c>
      <c r="G32" s="245"/>
      <c r="H32" s="245">
        <v>3000</v>
      </c>
      <c r="I32" s="246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101989</v>
      </c>
      <c r="C34" s="269"/>
      <c r="D34" s="270">
        <f>SUM(D27:D33)</f>
        <v>107070</v>
      </c>
      <c r="E34" s="270">
        <f>B34-D34</f>
        <v>-5081</v>
      </c>
      <c r="F34" s="250" t="s">
        <v>3</v>
      </c>
      <c r="G34" s="269">
        <f>G21+G23+G24-H25</f>
        <v>97989</v>
      </c>
      <c r="H34" s="270">
        <f>SUM(H27:H33)</f>
        <v>107070</v>
      </c>
      <c r="I34" s="270">
        <f>G34-H34</f>
        <v>-9081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34" sqref="J34"/>
    </sheetView>
  </sheetViews>
  <sheetFormatPr defaultRowHeight="15" x14ac:dyDescent="0.25"/>
  <cols>
    <col min="7" max="7" width="9.42578125" bestFit="1" customWidth="1"/>
    <col min="8" max="8" width="9.85546875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390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 t="s">
        <v>333</v>
      </c>
      <c r="C6" s="215"/>
      <c r="D6" s="216">
        <f>'MARCH 20'!H6:H15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900</v>
      </c>
      <c r="J6" s="156"/>
    </row>
    <row r="7" spans="1:10" x14ac:dyDescent="0.25">
      <c r="A7" s="178">
        <v>2</v>
      </c>
      <c r="B7" s="215" t="s">
        <v>288</v>
      </c>
      <c r="C7" s="215"/>
      <c r="D7" s="216">
        <f>'MARCH 20'!H7:H16</f>
        <v>0</v>
      </c>
      <c r="E7" s="217">
        <v>7000</v>
      </c>
      <c r="F7" s="217">
        <f t="shared" si="0"/>
        <v>7000</v>
      </c>
      <c r="G7" s="217">
        <v>5000</v>
      </c>
      <c r="H7" s="218">
        <f t="shared" ref="H7:H15" si="1">F7-G7</f>
        <v>2000</v>
      </c>
      <c r="I7" s="239"/>
      <c r="J7" s="156" t="s">
        <v>397</v>
      </c>
    </row>
    <row r="8" spans="1:10" x14ac:dyDescent="0.25">
      <c r="A8" s="178">
        <v>3</v>
      </c>
      <c r="B8" s="219" t="s">
        <v>289</v>
      </c>
      <c r="C8" s="219"/>
      <c r="D8" s="216">
        <f>'MARCH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</row>
    <row r="9" spans="1:10" x14ac:dyDescent="0.25">
      <c r="A9" s="178">
        <v>4</v>
      </c>
      <c r="B9" s="275" t="s">
        <v>365</v>
      </c>
      <c r="C9" s="274"/>
      <c r="D9" s="216">
        <f>'MARCH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</row>
    <row r="10" spans="1:10" x14ac:dyDescent="0.25">
      <c r="A10" s="178">
        <v>5</v>
      </c>
      <c r="B10" s="219" t="s">
        <v>290</v>
      </c>
      <c r="C10" s="219"/>
      <c r="D10" s="216">
        <f>'MARCH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'MARCH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 t="s">
        <v>386</v>
      </c>
      <c r="C12" s="275"/>
      <c r="D12" s="216">
        <f>'MARCH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0" x14ac:dyDescent="0.25">
      <c r="A13" s="178">
        <v>8</v>
      </c>
      <c r="B13" s="219" t="s">
        <v>131</v>
      </c>
      <c r="C13" s="219"/>
      <c r="D13" s="216">
        <f>'MARCH 20'!H13:H22</f>
        <v>0</v>
      </c>
      <c r="E13" s="222">
        <v>10000</v>
      </c>
      <c r="F13" s="217">
        <f>D13+E13+C13</f>
        <v>10000</v>
      </c>
      <c r="G13" s="268"/>
      <c r="H13" s="218">
        <f t="shared" si="1"/>
        <v>10000</v>
      </c>
      <c r="I13" s="218"/>
      <c r="J13" s="156" t="s">
        <v>395</v>
      </c>
    </row>
    <row r="14" spans="1:10" x14ac:dyDescent="0.25">
      <c r="A14" s="178">
        <v>9</v>
      </c>
      <c r="B14" s="224" t="s">
        <v>240</v>
      </c>
      <c r="C14" s="224"/>
      <c r="D14" s="216">
        <f>'MARCH 20'!H14:H23</f>
        <v>4000</v>
      </c>
      <c r="E14" s="225">
        <v>7000</v>
      </c>
      <c r="F14" s="217">
        <f t="shared" si="0"/>
        <v>11000</v>
      </c>
      <c r="G14" s="272">
        <v>5000</v>
      </c>
      <c r="H14" s="218">
        <f>F14-G14</f>
        <v>6000</v>
      </c>
      <c r="I14" s="237"/>
      <c r="J14" s="156" t="s">
        <v>396</v>
      </c>
    </row>
    <row r="15" spans="1:10" x14ac:dyDescent="0.25">
      <c r="A15" s="178">
        <v>10</v>
      </c>
      <c r="B15" s="219" t="s">
        <v>291</v>
      </c>
      <c r="C15" s="219"/>
      <c r="D15" s="216">
        <f>'MARCH 20'!H15:H24</f>
        <v>0</v>
      </c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</row>
    <row r="16" spans="1:10" x14ac:dyDescent="0.25">
      <c r="A16" s="212"/>
      <c r="B16" s="228" t="s">
        <v>3</v>
      </c>
      <c r="C16" s="228">
        <f>SUM(C6:C15)</f>
        <v>0</v>
      </c>
      <c r="D16" s="216">
        <f>SUM(D6:D15)</f>
        <v>4000</v>
      </c>
      <c r="E16" s="230">
        <f>SUM(E6:E15)</f>
        <v>69000</v>
      </c>
      <c r="F16" s="217">
        <f t="shared" si="0"/>
        <v>73000</v>
      </c>
      <c r="G16" s="273">
        <f>SUM(G6:G15)</f>
        <v>55000</v>
      </c>
      <c r="H16" s="218">
        <f>F16-G16</f>
        <v>18000</v>
      </c>
      <c r="I16" s="246">
        <f>SUM(I6:I15)</f>
        <v>3600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322</v>
      </c>
      <c r="B21" s="238">
        <f>E16</f>
        <v>69000</v>
      </c>
      <c r="C21" s="238"/>
      <c r="D21" s="238"/>
      <c r="E21" s="237"/>
      <c r="F21" s="237" t="s">
        <v>322</v>
      </c>
      <c r="G21" s="238">
        <f>G16</f>
        <v>55000</v>
      </c>
      <c r="H21" s="237"/>
      <c r="I21" s="239"/>
      <c r="J21" s="113"/>
    </row>
    <row r="22" spans="1:10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'MARCH 20'!E34</f>
        <v>-5081</v>
      </c>
      <c r="C23" s="238"/>
      <c r="D23" s="238"/>
      <c r="E23" s="237"/>
      <c r="F23" s="237" t="s">
        <v>233</v>
      </c>
      <c r="G23" s="238">
        <f>'MARCH 20'!I34</f>
        <v>-9081</v>
      </c>
      <c r="H23" s="237"/>
      <c r="I23" s="239"/>
      <c r="J23" s="113"/>
    </row>
    <row r="24" spans="1:10" x14ac:dyDescent="0.25">
      <c r="A24" s="237" t="s">
        <v>329</v>
      </c>
      <c r="B24" s="238">
        <f>I16</f>
        <v>3600</v>
      </c>
      <c r="C24" s="238"/>
      <c r="D24" s="238"/>
      <c r="E24" s="237"/>
      <c r="F24" s="237" t="s">
        <v>329</v>
      </c>
      <c r="G24" s="238">
        <f>I16</f>
        <v>3600</v>
      </c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6900</v>
      </c>
      <c r="E25" s="237"/>
      <c r="F25" s="237" t="s">
        <v>248</v>
      </c>
      <c r="G25" s="241">
        <v>0.1</v>
      </c>
      <c r="H25" s="238">
        <f>B25*B21</f>
        <v>6900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</row>
    <row r="28" spans="1:10" x14ac:dyDescent="0.25">
      <c r="A28" s="272" t="s">
        <v>392</v>
      </c>
      <c r="C28" s="113"/>
      <c r="D28" s="237">
        <v>30000</v>
      </c>
      <c r="E28" s="237"/>
      <c r="F28" s="272" t="s">
        <v>392</v>
      </c>
      <c r="G28" s="113"/>
      <c r="H28" s="113">
        <v>30000</v>
      </c>
      <c r="I28" s="237"/>
      <c r="J28" s="113"/>
    </row>
    <row r="29" spans="1:10" x14ac:dyDescent="0.25">
      <c r="A29" s="258" t="s">
        <v>394</v>
      </c>
      <c r="B29" s="272"/>
      <c r="C29" s="245"/>
      <c r="D29" s="246">
        <v>7077</v>
      </c>
      <c r="E29" s="247"/>
      <c r="F29" s="258" t="s">
        <v>394</v>
      </c>
      <c r="G29" s="272"/>
      <c r="H29" s="245">
        <v>7077</v>
      </c>
      <c r="I29" s="246"/>
      <c r="J29" s="113"/>
    </row>
    <row r="30" spans="1:10" x14ac:dyDescent="0.25">
      <c r="A30" s="258"/>
      <c r="B30" s="245"/>
      <c r="C30" s="245"/>
      <c r="D30" s="246"/>
      <c r="E30" s="247"/>
      <c r="F30" s="258"/>
      <c r="G30" s="245"/>
      <c r="H30" s="245"/>
      <c r="I30" s="246"/>
      <c r="J30" s="113"/>
    </row>
    <row r="31" spans="1:10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</row>
    <row r="32" spans="1:10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60619</v>
      </c>
      <c r="C34" s="269"/>
      <c r="D34" s="270">
        <f>SUM(D27:D33)</f>
        <v>37077</v>
      </c>
      <c r="E34" s="270">
        <f>B34-D34</f>
        <v>23542</v>
      </c>
      <c r="F34" s="250" t="s">
        <v>3</v>
      </c>
      <c r="G34" s="269">
        <f>G21+G23+G24-H25</f>
        <v>42619</v>
      </c>
      <c r="H34" s="270">
        <f>SUM(H27:H33)</f>
        <v>37077</v>
      </c>
      <c r="I34" s="270">
        <f>G34-H34</f>
        <v>5542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</sheetData>
  <pageMargins left="0.7" right="0.7" top="0.75" bottom="0.75" header="0.3" footer="0.3"/>
  <pageSetup orientation="portrait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H15" sqref="H15"/>
    </sheetView>
  </sheetViews>
  <sheetFormatPr defaultRowHeight="15" x14ac:dyDescent="0.25"/>
  <cols>
    <col min="1" max="1" width="15.28515625" customWidth="1"/>
    <col min="2" max="2" width="17.42578125" customWidth="1"/>
    <col min="7" max="7" width="8.140625" customWidth="1"/>
    <col min="8" max="8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393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/>
      <c r="E6" s="217"/>
      <c r="F6" s="217">
        <f t="shared" ref="F6:F16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288</v>
      </c>
      <c r="C7" s="215"/>
      <c r="D7" s="216">
        <f>'APRIL 20'!H7:H16</f>
        <v>2000</v>
      </c>
      <c r="E7" s="217"/>
      <c r="F7" s="217">
        <f t="shared" si="0"/>
        <v>2000</v>
      </c>
      <c r="G7" s="217"/>
      <c r="H7" s="218">
        <f t="shared" ref="H7:H13" si="1">F7-G7</f>
        <v>2000</v>
      </c>
      <c r="I7" s="239"/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'APRIL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4</v>
      </c>
      <c r="B9" s="275" t="s">
        <v>365</v>
      </c>
      <c r="C9" s="274"/>
      <c r="D9" s="216">
        <f>'APRIL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'APRIL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'APRIL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'APRIL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 t="s">
        <v>131</v>
      </c>
      <c r="C13" s="219"/>
      <c r="D13" s="216">
        <f>'APRIL 20'!H13:H22</f>
        <v>10000</v>
      </c>
      <c r="E13" s="222"/>
      <c r="F13" s="217">
        <f>D13+E13+C13</f>
        <v>10000</v>
      </c>
      <c r="G13" s="268">
        <v>10000</v>
      </c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24" t="s">
        <v>240</v>
      </c>
      <c r="C14" s="224"/>
      <c r="D14" s="216">
        <f>'APRIL 20'!H14:H23</f>
        <v>6000</v>
      </c>
      <c r="E14" s="225">
        <v>7000</v>
      </c>
      <c r="F14" s="217">
        <f t="shared" si="0"/>
        <v>13000</v>
      </c>
      <c r="G14" s="272">
        <v>3000</v>
      </c>
      <c r="H14" s="218">
        <f>F14-G14</f>
        <v>10000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'APRIL 20'!H15:H24</f>
        <v>0</v>
      </c>
      <c r="E15" s="227">
        <v>15000</v>
      </c>
      <c r="F15" s="217">
        <f t="shared" si="0"/>
        <v>15000</v>
      </c>
      <c r="G15" s="258">
        <v>10000</v>
      </c>
      <c r="H15" s="218"/>
      <c r="I15" s="246"/>
      <c r="J15" s="156"/>
      <c r="K15" s="113"/>
    </row>
    <row r="16" spans="1:11" x14ac:dyDescent="0.25">
      <c r="A16" s="212"/>
      <c r="B16" s="228" t="s">
        <v>3</v>
      </c>
      <c r="C16" s="228">
        <f>SUM(C6:C15)</f>
        <v>0</v>
      </c>
      <c r="D16" s="216">
        <f>SUM(D6:D15)</f>
        <v>18000</v>
      </c>
      <c r="E16" s="230">
        <f>SUM(E6:E15)</f>
        <v>44000</v>
      </c>
      <c r="F16" s="217">
        <f t="shared" si="0"/>
        <v>62000</v>
      </c>
      <c r="G16" s="273">
        <f>SUM(G6:G15)</f>
        <v>45000</v>
      </c>
      <c r="H16" s="218">
        <f>F16-G16</f>
        <v>17000</v>
      </c>
      <c r="I16" s="246">
        <f>SUM(I6:I15)</f>
        <v>2700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284</v>
      </c>
      <c r="B21" s="238">
        <f>E16</f>
        <v>44000</v>
      </c>
      <c r="C21" s="238"/>
      <c r="D21" s="238"/>
      <c r="E21" s="237"/>
      <c r="F21" s="237" t="s">
        <v>284</v>
      </c>
      <c r="G21" s="238">
        <f>G16</f>
        <v>45000</v>
      </c>
      <c r="H21" s="237"/>
      <c r="I21" s="239"/>
      <c r="J21" s="113"/>
      <c r="K21" s="113"/>
    </row>
    <row r="22" spans="1:11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'APRIL 20'!E34</f>
        <v>23542</v>
      </c>
      <c r="C23" s="238"/>
      <c r="D23" s="238"/>
      <c r="E23" s="237"/>
      <c r="F23" s="237" t="s">
        <v>233</v>
      </c>
      <c r="G23" s="238">
        <f>'APRIL 20'!I34</f>
        <v>5542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2700</v>
      </c>
      <c r="C24" s="238"/>
      <c r="D24" s="238"/>
      <c r="E24" s="237"/>
      <c r="F24" s="237" t="s">
        <v>329</v>
      </c>
      <c r="G24" s="238">
        <f>I16</f>
        <v>2700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4400</v>
      </c>
      <c r="E25" s="237"/>
      <c r="F25" s="237" t="s">
        <v>248</v>
      </c>
      <c r="G25" s="241">
        <v>0.1</v>
      </c>
      <c r="H25" s="238">
        <f>B25*B21</f>
        <v>4400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  <c r="K27" s="113"/>
    </row>
    <row r="28" spans="1:11" x14ac:dyDescent="0.25">
      <c r="A28" s="272" t="s">
        <v>398</v>
      </c>
      <c r="B28" s="113"/>
      <c r="C28" s="113"/>
      <c r="D28" s="237">
        <v>15097</v>
      </c>
      <c r="E28" s="237"/>
      <c r="F28" s="272" t="s">
        <v>398</v>
      </c>
      <c r="G28" s="113"/>
      <c r="H28" s="113">
        <v>15097</v>
      </c>
      <c r="I28" s="237"/>
      <c r="J28" s="113"/>
      <c r="K28" s="113"/>
    </row>
    <row r="29" spans="1:11" x14ac:dyDescent="0.25">
      <c r="A29" s="258" t="s">
        <v>399</v>
      </c>
      <c r="B29" s="272"/>
      <c r="C29" s="245"/>
      <c r="D29" s="246">
        <v>10000</v>
      </c>
      <c r="E29" s="247"/>
      <c r="F29" s="258" t="s">
        <v>399</v>
      </c>
      <c r="G29" s="272"/>
      <c r="H29" s="245">
        <v>10000</v>
      </c>
      <c r="I29" s="246"/>
      <c r="J29" s="113"/>
      <c r="K29" s="113"/>
    </row>
    <row r="30" spans="1:11" x14ac:dyDescent="0.25">
      <c r="A30" s="258" t="s">
        <v>400</v>
      </c>
      <c r="B30" s="245"/>
      <c r="C30" s="245"/>
      <c r="D30" s="246">
        <v>20102</v>
      </c>
      <c r="E30" s="247"/>
      <c r="F30" s="258" t="s">
        <v>400</v>
      </c>
      <c r="G30" s="245"/>
      <c r="H30" s="245">
        <v>20102</v>
      </c>
      <c r="I30" s="246"/>
      <c r="J30" s="113"/>
      <c r="K30" s="113"/>
    </row>
    <row r="31" spans="1:11" x14ac:dyDescent="0.25">
      <c r="A31" s="258" t="s">
        <v>401</v>
      </c>
      <c r="B31" s="245"/>
      <c r="C31" s="245"/>
      <c r="D31" s="246">
        <v>8000</v>
      </c>
      <c r="E31" s="247"/>
      <c r="F31" s="258" t="s">
        <v>401</v>
      </c>
      <c r="G31" s="245"/>
      <c r="H31" s="245">
        <v>8000</v>
      </c>
      <c r="I31" s="246"/>
      <c r="J31" s="113"/>
      <c r="K31" s="113"/>
    </row>
    <row r="32" spans="1:11" x14ac:dyDescent="0.25">
      <c r="A32" s="258" t="s">
        <v>402</v>
      </c>
      <c r="B32" s="245"/>
      <c r="C32" s="245"/>
      <c r="D32" s="246">
        <v>2000</v>
      </c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65842</v>
      </c>
      <c r="C34" s="269"/>
      <c r="D34" s="270">
        <f>SUM(D27:D33)</f>
        <v>55199</v>
      </c>
      <c r="E34" s="270">
        <f>B34-D34</f>
        <v>10643</v>
      </c>
      <c r="F34" s="250" t="s">
        <v>3</v>
      </c>
      <c r="G34" s="269">
        <f>G21+G23+G24-H25</f>
        <v>48842</v>
      </c>
      <c r="H34" s="270">
        <f>SUM(H27:H33)</f>
        <v>53199</v>
      </c>
      <c r="I34" s="270">
        <f>G34-H34</f>
        <v>-4357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H15" sqref="H15"/>
    </sheetView>
  </sheetViews>
  <sheetFormatPr defaultRowHeight="15" x14ac:dyDescent="0.25"/>
  <cols>
    <col min="1" max="1" width="5.42578125" customWidth="1"/>
    <col min="2" max="2" width="18.42578125" customWidth="1"/>
    <col min="8" max="8" width="12.42578125" customWidth="1"/>
    <col min="9" max="9" width="14.85546875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403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/>
      <c r="E6" s="217"/>
      <c r="F6" s="217">
        <f t="shared" ref="F6:F16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79</v>
      </c>
      <c r="C7" s="215"/>
      <c r="D7" s="216"/>
      <c r="E7" s="217"/>
      <c r="F7" s="217">
        <f t="shared" si="0"/>
        <v>0</v>
      </c>
      <c r="G7" s="217"/>
      <c r="H7" s="218">
        <f t="shared" ref="H7:H13" si="1">F7-G7</f>
        <v>0</v>
      </c>
      <c r="I7" s="239"/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'MAY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4</v>
      </c>
      <c r="B9" s="275" t="s">
        <v>365</v>
      </c>
      <c r="C9" s="274"/>
      <c r="D9" s="216">
        <f>'MAY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'MAY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'MAY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'MAY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'MAY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24" t="s">
        <v>240</v>
      </c>
      <c r="C14" s="224"/>
      <c r="D14" s="216">
        <f>'MAY 20'!H14:H23</f>
        <v>10000</v>
      </c>
      <c r="E14" s="225">
        <v>7000</v>
      </c>
      <c r="F14" s="217">
        <f t="shared" si="0"/>
        <v>17000</v>
      </c>
      <c r="G14" s="272"/>
      <c r="H14" s="218">
        <f>F14-G14</f>
        <v>17000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'MAY 20'!H15:H24</f>
        <v>0</v>
      </c>
      <c r="E15" s="227">
        <v>15000</v>
      </c>
      <c r="F15" s="217">
        <f t="shared" si="0"/>
        <v>15000</v>
      </c>
      <c r="G15" s="258">
        <f>10000</f>
        <v>10000</v>
      </c>
      <c r="H15" s="218"/>
      <c r="I15" s="246"/>
      <c r="J15" s="156"/>
      <c r="K15" s="113"/>
    </row>
    <row r="16" spans="1:11" x14ac:dyDescent="0.25">
      <c r="A16" s="212"/>
      <c r="B16" s="228" t="s">
        <v>3</v>
      </c>
      <c r="C16" s="228">
        <f>SUM(C6:C15)</f>
        <v>0</v>
      </c>
      <c r="D16" s="216">
        <f>SUM(D6:D15)</f>
        <v>10000</v>
      </c>
      <c r="E16" s="230">
        <f>SUM(E6:E15)</f>
        <v>44000</v>
      </c>
      <c r="F16" s="217">
        <f t="shared" si="0"/>
        <v>54000</v>
      </c>
      <c r="G16" s="273">
        <f>SUM(G6:G15)</f>
        <v>32000</v>
      </c>
      <c r="H16" s="218">
        <f>F16-G16</f>
        <v>22000</v>
      </c>
      <c r="I16" s="246">
        <f>SUM(I6:I15)</f>
        <v>2700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287</v>
      </c>
      <c r="B21" s="238">
        <f>E16</f>
        <v>44000</v>
      </c>
      <c r="C21" s="238"/>
      <c r="D21" s="238"/>
      <c r="E21" s="237"/>
      <c r="F21" s="237" t="s">
        <v>287</v>
      </c>
      <c r="G21" s="238">
        <f>G16</f>
        <v>32000</v>
      </c>
      <c r="H21" s="237"/>
      <c r="I21" s="239"/>
      <c r="J21" s="113"/>
      <c r="K21" s="113" t="s">
        <v>404</v>
      </c>
    </row>
    <row r="22" spans="1:11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'MAY 20'!E34</f>
        <v>10643</v>
      </c>
      <c r="C23" s="238"/>
      <c r="D23" s="238"/>
      <c r="E23" s="237"/>
      <c r="F23" s="237" t="s">
        <v>233</v>
      </c>
      <c r="G23" s="238">
        <f>'MAY 20'!I34</f>
        <v>-4357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2700</v>
      </c>
      <c r="C24" s="238"/>
      <c r="D24" s="238"/>
      <c r="E24" s="237"/>
      <c r="F24" s="237" t="s">
        <v>329</v>
      </c>
      <c r="G24" s="238">
        <f>I16</f>
        <v>2700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4400</v>
      </c>
      <c r="E25" s="237"/>
      <c r="F25" s="237" t="s">
        <v>248</v>
      </c>
      <c r="G25" s="241">
        <v>0.1</v>
      </c>
      <c r="H25" s="238">
        <f>B25*B21</f>
        <v>4400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 t="s">
        <v>405</v>
      </c>
      <c r="B27" s="268"/>
      <c r="C27" s="239"/>
      <c r="D27" s="218">
        <v>20000</v>
      </c>
      <c r="E27" s="239"/>
      <c r="F27" s="272" t="s">
        <v>405</v>
      </c>
      <c r="G27" s="268"/>
      <c r="H27" s="239">
        <v>20000</v>
      </c>
      <c r="I27" s="218"/>
      <c r="J27" s="113"/>
      <c r="K27" s="113"/>
    </row>
    <row r="28" spans="1:11" x14ac:dyDescent="0.25">
      <c r="A28" s="272" t="s">
        <v>407</v>
      </c>
      <c r="B28" s="113"/>
      <c r="C28" s="113"/>
      <c r="D28" s="237">
        <v>6077</v>
      </c>
      <c r="E28" s="237"/>
      <c r="F28" s="272" t="s">
        <v>407</v>
      </c>
      <c r="G28" s="113"/>
      <c r="H28" s="113">
        <v>6077</v>
      </c>
      <c r="I28" s="237"/>
      <c r="J28" s="113"/>
      <c r="K28" s="113"/>
    </row>
    <row r="29" spans="1:11" x14ac:dyDescent="0.25">
      <c r="A29" s="258"/>
      <c r="B29" s="272"/>
      <c r="C29" s="245"/>
      <c r="D29" s="246"/>
      <c r="E29" s="247"/>
      <c r="F29" s="258"/>
      <c r="G29" s="272"/>
      <c r="H29" s="245"/>
      <c r="I29" s="246"/>
      <c r="J29" s="113"/>
      <c r="K29" s="113"/>
    </row>
    <row r="30" spans="1:11" x14ac:dyDescent="0.25">
      <c r="A30" s="258"/>
      <c r="B30" s="245"/>
      <c r="C30" s="245"/>
      <c r="D30" s="246"/>
      <c r="E30" s="247"/>
      <c r="F30" s="258"/>
      <c r="G30" s="245"/>
      <c r="H30" s="245"/>
      <c r="I30" s="246"/>
      <c r="J30" s="113"/>
      <c r="K30" s="113"/>
    </row>
    <row r="31" spans="1:11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1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52943</v>
      </c>
      <c r="C34" s="269"/>
      <c r="D34" s="270">
        <f>SUM(D27:D33)</f>
        <v>26077</v>
      </c>
      <c r="E34" s="270">
        <f>B34-D34</f>
        <v>26866</v>
      </c>
      <c r="F34" s="250" t="s">
        <v>3</v>
      </c>
      <c r="G34" s="269">
        <f>G21+G23+G24-H25</f>
        <v>25943</v>
      </c>
      <c r="H34" s="270">
        <f>SUM(H27:H33)</f>
        <v>26077</v>
      </c>
      <c r="I34" s="270">
        <f>G34-H34</f>
        <v>-134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1" spans="1:11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23" sqref="L23"/>
    </sheetView>
  </sheetViews>
  <sheetFormatPr defaultRowHeight="15" x14ac:dyDescent="0.25"/>
  <cols>
    <col min="7" max="7" width="9.42578125" bestFit="1" customWidth="1"/>
    <col min="8" max="8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406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/>
      <c r="E6" s="217"/>
      <c r="F6" s="217">
        <f t="shared" ref="F6:F16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79</v>
      </c>
      <c r="C7" s="215"/>
      <c r="D7" s="216"/>
      <c r="E7" s="217"/>
      <c r="F7" s="217">
        <f t="shared" si="0"/>
        <v>0</v>
      </c>
      <c r="G7" s="217"/>
      <c r="H7" s="218">
        <f t="shared" ref="H7:H15" si="1">F7-G7</f>
        <v>0</v>
      </c>
      <c r="I7" s="239"/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'JUNE 20'!H8:H15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4</v>
      </c>
      <c r="B9" s="275" t="s">
        <v>409</v>
      </c>
      <c r="C9" s="274">
        <v>7000</v>
      </c>
      <c r="D9" s="216">
        <f>'JUNE 20'!H9:H16</f>
        <v>0</v>
      </c>
      <c r="E9" s="222">
        <v>7000</v>
      </c>
      <c r="F9" s="217">
        <f t="shared" si="0"/>
        <v>14000</v>
      </c>
      <c r="G9" s="222">
        <f>7000+2100</f>
        <v>9100</v>
      </c>
      <c r="H9" s="218"/>
      <c r="I9" s="239">
        <v>900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'JUNE 20'!H10:H17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'JUNE 20'!H11:H18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'JUNE 20'!H12:H19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'JUNE 20'!H13:H20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24" t="s">
        <v>240</v>
      </c>
      <c r="C14" s="224"/>
      <c r="D14" s="216">
        <f>'JUNE 20'!H14:H21</f>
        <v>17000</v>
      </c>
      <c r="E14" s="225"/>
      <c r="F14" s="217">
        <f t="shared" si="0"/>
        <v>17000</v>
      </c>
      <c r="G14" s="272"/>
      <c r="H14" s="218">
        <f>F14-G14</f>
        <v>17000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'JUNE 20'!H15:H22</f>
        <v>0</v>
      </c>
      <c r="E15" s="227">
        <v>10000</v>
      </c>
      <c r="F15" s="217">
        <f t="shared" si="0"/>
        <v>10000</v>
      </c>
      <c r="G15" s="258">
        <f>10000</f>
        <v>10000</v>
      </c>
      <c r="H15" s="218">
        <f t="shared" si="1"/>
        <v>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>SUM(C6:C15)</f>
        <v>7000</v>
      </c>
      <c r="D16" s="216">
        <f>SUM(D6:D15)</f>
        <v>17000</v>
      </c>
      <c r="E16" s="230">
        <f>SUM(E6:E15)</f>
        <v>39000</v>
      </c>
      <c r="F16" s="217">
        <f t="shared" si="0"/>
        <v>63000</v>
      </c>
      <c r="G16" s="273">
        <f>SUM(G6:G15)</f>
        <v>41100</v>
      </c>
      <c r="H16" s="218">
        <f>SUM(H10:H15)</f>
        <v>17000</v>
      </c>
      <c r="I16" s="246">
        <f>SUM(I6:I15)</f>
        <v>3600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276">
        <f>H16-H9</f>
        <v>17000</v>
      </c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293</v>
      </c>
      <c r="B21" s="238">
        <f>E16</f>
        <v>39000</v>
      </c>
      <c r="C21" s="238"/>
      <c r="D21" s="238"/>
      <c r="E21" s="237"/>
      <c r="F21" s="237" t="s">
        <v>293</v>
      </c>
      <c r="G21" s="238">
        <f>G16</f>
        <v>41100</v>
      </c>
      <c r="H21" s="237"/>
      <c r="I21" s="239"/>
      <c r="J21" s="113"/>
      <c r="K21" s="113" t="s">
        <v>404</v>
      </c>
    </row>
    <row r="22" spans="1:11" x14ac:dyDescent="0.25">
      <c r="A22" s="237" t="s">
        <v>123</v>
      </c>
      <c r="B22" s="238">
        <f>2100</f>
        <v>2100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/>
      <c r="C23" s="238"/>
      <c r="D23" s="238"/>
      <c r="E23" s="237"/>
      <c r="F23" s="237" t="s">
        <v>233</v>
      </c>
      <c r="G23" s="238">
        <f>'JUNE 20'!I34</f>
        <v>-134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3600</v>
      </c>
      <c r="C24" s="238"/>
      <c r="D24" s="238"/>
      <c r="E24" s="237"/>
      <c r="F24" s="237" t="s">
        <v>329</v>
      </c>
      <c r="G24" s="238">
        <f>I16</f>
        <v>3600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3900</v>
      </c>
      <c r="E25" s="237"/>
      <c r="F25" s="237" t="s">
        <v>248</v>
      </c>
      <c r="G25" s="241">
        <v>0.1</v>
      </c>
      <c r="H25" s="238">
        <f>B25*B21</f>
        <v>3900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  <c r="K27" s="113"/>
    </row>
    <row r="28" spans="1:11" x14ac:dyDescent="0.25">
      <c r="A28" s="272" t="s">
        <v>408</v>
      </c>
      <c r="B28" s="113"/>
      <c r="C28" s="113"/>
      <c r="D28" s="237">
        <f>3556</f>
        <v>3556</v>
      </c>
      <c r="E28" s="237"/>
      <c r="F28" s="272" t="s">
        <v>408</v>
      </c>
      <c r="G28" s="113"/>
      <c r="H28" s="113">
        <f>D28</f>
        <v>3556</v>
      </c>
      <c r="I28" s="237"/>
      <c r="J28" s="113"/>
      <c r="K28" s="113"/>
    </row>
    <row r="29" spans="1:11" x14ac:dyDescent="0.25">
      <c r="A29" s="258" t="s">
        <v>410</v>
      </c>
      <c r="B29" s="272"/>
      <c r="C29" s="245"/>
      <c r="D29" s="246">
        <v>36200</v>
      </c>
      <c r="E29" s="247"/>
      <c r="F29" s="258" t="s">
        <v>410</v>
      </c>
      <c r="G29" s="272"/>
      <c r="H29" s="245">
        <v>36200</v>
      </c>
      <c r="I29" s="246"/>
      <c r="J29" s="113"/>
      <c r="K29" s="113"/>
    </row>
    <row r="30" spans="1:11" x14ac:dyDescent="0.25">
      <c r="A30" s="258" t="s">
        <v>172</v>
      </c>
      <c r="B30" s="245"/>
      <c r="C30" s="245"/>
      <c r="D30" s="246">
        <v>2141</v>
      </c>
      <c r="E30" s="247"/>
      <c r="F30" s="258" t="s">
        <v>172</v>
      </c>
      <c r="G30" s="245"/>
      <c r="H30" s="245">
        <v>2141</v>
      </c>
      <c r="I30" s="246"/>
      <c r="J30" s="113"/>
      <c r="K30" s="113"/>
    </row>
    <row r="31" spans="1:11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1" x14ac:dyDescent="0.25">
      <c r="A32" s="258">
        <v>111</v>
      </c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40800</v>
      </c>
      <c r="C34" s="269"/>
      <c r="D34" s="270">
        <f>SUM(D27:D33)</f>
        <v>41897</v>
      </c>
      <c r="E34" s="270">
        <f>B34-D34</f>
        <v>-1097</v>
      </c>
      <c r="F34" s="250" t="s">
        <v>3</v>
      </c>
      <c r="G34" s="269">
        <f>G21+G23+G24-H25</f>
        <v>40666</v>
      </c>
      <c r="H34" s="270">
        <f>SUM(H27:H33)</f>
        <v>41897</v>
      </c>
      <c r="I34" s="270">
        <f>G34-H34</f>
        <v>-1231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1" spans="1:11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33" sqref="L33"/>
    </sheetView>
  </sheetViews>
  <sheetFormatPr defaultRowHeight="15" x14ac:dyDescent="0.25"/>
  <cols>
    <col min="1" max="1" width="10" customWidth="1"/>
    <col min="2" max="2" width="17.7109375" bestFit="1" customWidth="1"/>
    <col min="8" max="8" width="10.7109375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4" ht="15.75" x14ac:dyDescent="0.25">
      <c r="A4" s="156"/>
      <c r="B4" s="156"/>
      <c r="C4" s="156"/>
      <c r="D4" s="19" t="s">
        <v>412</v>
      </c>
      <c r="E4" s="19"/>
      <c r="F4" s="19"/>
      <c r="G4" s="19"/>
      <c r="H4" s="156"/>
      <c r="I4" s="156"/>
      <c r="J4" s="156"/>
      <c r="K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M5">
        <v>40480</v>
      </c>
      <c r="N5">
        <v>22885</v>
      </c>
    </row>
    <row r="6" spans="1:14" x14ac:dyDescent="0.25">
      <c r="A6" s="178">
        <v>1</v>
      </c>
      <c r="B6" s="215"/>
      <c r="C6" s="215"/>
      <c r="D6" s="216">
        <f>'JULY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  <c r="K6" s="113"/>
      <c r="M6">
        <v>116200</v>
      </c>
      <c r="N6">
        <v>7436</v>
      </c>
    </row>
    <row r="7" spans="1:14" x14ac:dyDescent="0.25">
      <c r="A7" s="178">
        <v>2</v>
      </c>
      <c r="B7" s="215" t="s">
        <v>413</v>
      </c>
      <c r="C7" s="215">
        <v>6000</v>
      </c>
      <c r="D7" s="216">
        <f>'JULY 20'!H7:H16</f>
        <v>0</v>
      </c>
      <c r="E7" s="217">
        <v>6000</v>
      </c>
      <c r="F7" s="217">
        <f t="shared" si="0"/>
        <v>12000</v>
      </c>
      <c r="G7" s="217">
        <f>6000+6000</f>
        <v>12000</v>
      </c>
      <c r="H7" s="218">
        <f t="shared" ref="H7:H15" si="1">F7-G7</f>
        <v>0</v>
      </c>
      <c r="I7" s="239"/>
      <c r="J7" s="156"/>
      <c r="K7" s="113"/>
      <c r="M7">
        <v>663</v>
      </c>
      <c r="N7">
        <v>17549</v>
      </c>
    </row>
    <row r="8" spans="1:14" x14ac:dyDescent="0.25">
      <c r="A8" s="178">
        <v>3</v>
      </c>
      <c r="B8" s="219" t="s">
        <v>289</v>
      </c>
      <c r="C8" s="219"/>
      <c r="D8" s="216">
        <f>'JULY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  <c r="M8">
        <v>4668</v>
      </c>
      <c r="N8">
        <f>SUM(N5:N7)</f>
        <v>47870</v>
      </c>
    </row>
    <row r="9" spans="1:14" x14ac:dyDescent="0.25">
      <c r="A9" s="178">
        <v>4</v>
      </c>
      <c r="B9" s="275" t="s">
        <v>365</v>
      </c>
      <c r="C9" s="274"/>
      <c r="D9" s="216"/>
      <c r="E9" s="222"/>
      <c r="F9" s="217">
        <f t="shared" si="0"/>
        <v>0</v>
      </c>
      <c r="G9" s="222"/>
      <c r="H9" s="218">
        <f t="shared" si="1"/>
        <v>0</v>
      </c>
      <c r="I9" s="239"/>
      <c r="J9" s="156"/>
      <c r="K9" s="113"/>
      <c r="M9">
        <v>18650</v>
      </c>
    </row>
    <row r="10" spans="1:14" x14ac:dyDescent="0.25">
      <c r="A10" s="178">
        <v>5</v>
      </c>
      <c r="B10" s="219" t="s">
        <v>290</v>
      </c>
      <c r="C10" s="219"/>
      <c r="D10" s="216">
        <f>'JULY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M10">
        <v>3496</v>
      </c>
    </row>
    <row r="11" spans="1:14" x14ac:dyDescent="0.25">
      <c r="A11" s="178">
        <v>6</v>
      </c>
      <c r="B11" s="223" t="s">
        <v>292</v>
      </c>
      <c r="C11" s="223"/>
      <c r="D11" s="216">
        <f>'JULY 20'!H11:H20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  <c r="M11">
        <v>5190</v>
      </c>
    </row>
    <row r="12" spans="1:14" x14ac:dyDescent="0.25">
      <c r="A12" s="178">
        <v>7</v>
      </c>
      <c r="B12" s="274"/>
      <c r="C12" s="275"/>
      <c r="D12" s="216">
        <f>'JULY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M12">
        <v>13800</v>
      </c>
    </row>
    <row r="13" spans="1:14" x14ac:dyDescent="0.25">
      <c r="A13" s="178">
        <v>8</v>
      </c>
      <c r="B13" s="219"/>
      <c r="C13" s="219"/>
      <c r="D13" s="216">
        <f>'JULY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  <c r="M13">
        <v>14363</v>
      </c>
    </row>
    <row r="14" spans="1:14" x14ac:dyDescent="0.25">
      <c r="A14" s="178">
        <v>9</v>
      </c>
      <c r="B14" s="224" t="s">
        <v>240</v>
      </c>
      <c r="C14" s="224"/>
      <c r="D14" s="216">
        <f>'JULY 20'!H14:H23</f>
        <v>17000</v>
      </c>
      <c r="E14" s="225"/>
      <c r="F14" s="217">
        <f>D14+E14+C14</f>
        <v>17000</v>
      </c>
      <c r="G14" s="272"/>
      <c r="H14" s="218">
        <f>F14-G14</f>
        <v>17000</v>
      </c>
      <c r="I14" s="237"/>
      <c r="J14" s="156"/>
      <c r="K14" s="113"/>
      <c r="M14">
        <v>9522</v>
      </c>
    </row>
    <row r="15" spans="1:14" x14ac:dyDescent="0.25">
      <c r="A15" s="178">
        <v>10</v>
      </c>
      <c r="B15" s="219" t="s">
        <v>291</v>
      </c>
      <c r="C15" s="219"/>
      <c r="D15" s="216">
        <f>'JULY 20'!H15:H24</f>
        <v>0</v>
      </c>
      <c r="E15" s="227">
        <v>10000</v>
      </c>
      <c r="F15" s="217">
        <f t="shared" si="0"/>
        <v>10000</v>
      </c>
      <c r="G15" s="258">
        <v>10000</v>
      </c>
      <c r="H15" s="218">
        <f t="shared" si="1"/>
        <v>0</v>
      </c>
      <c r="I15" s="246"/>
      <c r="J15" s="156"/>
      <c r="K15" s="113"/>
      <c r="M15">
        <v>1880</v>
      </c>
    </row>
    <row r="16" spans="1:14" x14ac:dyDescent="0.25">
      <c r="A16" s="212"/>
      <c r="B16" s="228" t="s">
        <v>3</v>
      </c>
      <c r="C16" s="228">
        <f t="shared" ref="C16:I16" si="2">SUM(C6:C15)</f>
        <v>6000</v>
      </c>
      <c r="D16" s="216">
        <f t="shared" si="2"/>
        <v>17000</v>
      </c>
      <c r="E16" s="230">
        <f t="shared" si="2"/>
        <v>38000</v>
      </c>
      <c r="F16" s="217">
        <f t="shared" si="2"/>
        <v>61000</v>
      </c>
      <c r="G16" s="273">
        <f t="shared" si="2"/>
        <v>44000</v>
      </c>
      <c r="H16" s="218">
        <f t="shared" si="2"/>
        <v>17000</v>
      </c>
      <c r="I16" s="246">
        <f t="shared" si="2"/>
        <v>2700</v>
      </c>
      <c r="J16" s="211" t="s">
        <v>56</v>
      </c>
      <c r="K16" s="113"/>
      <c r="M16">
        <v>7025</v>
      </c>
    </row>
    <row r="17" spans="1:13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M17">
        <v>2512</v>
      </c>
    </row>
    <row r="18" spans="1:13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M18">
        <f>SUM(M5:M17)</f>
        <v>238449</v>
      </c>
    </row>
    <row r="19" spans="1:13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M19">
        <v>28600</v>
      </c>
    </row>
    <row r="20" spans="1:13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M20">
        <f>M18+M19</f>
        <v>267049</v>
      </c>
    </row>
    <row r="21" spans="1:13" x14ac:dyDescent="0.25">
      <c r="A21" s="237" t="s">
        <v>411</v>
      </c>
      <c r="B21" s="238">
        <f>E16</f>
        <v>38000</v>
      </c>
      <c r="C21" s="238"/>
      <c r="D21" s="238"/>
      <c r="E21" s="237"/>
      <c r="F21" s="237" t="s">
        <v>411</v>
      </c>
      <c r="G21" s="238">
        <f>G16</f>
        <v>44000</v>
      </c>
      <c r="H21" s="237"/>
      <c r="I21" s="239"/>
      <c r="J21" s="113"/>
      <c r="K21" s="113" t="s">
        <v>404</v>
      </c>
    </row>
    <row r="22" spans="1:13" x14ac:dyDescent="0.25">
      <c r="A22" s="237" t="s">
        <v>123</v>
      </c>
      <c r="B22" s="238">
        <v>6000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3" x14ac:dyDescent="0.25">
      <c r="A23" s="237" t="s">
        <v>233</v>
      </c>
      <c r="B23" s="238">
        <f>'JULY 20'!E34</f>
        <v>-1097</v>
      </c>
      <c r="C23" s="238"/>
      <c r="D23" s="238"/>
      <c r="E23" s="237"/>
      <c r="F23" s="237" t="s">
        <v>233</v>
      </c>
      <c r="G23" s="238">
        <f>'JULY 20'!I34</f>
        <v>-1231</v>
      </c>
      <c r="H23" s="237"/>
      <c r="I23" s="239"/>
      <c r="J23" s="113"/>
      <c r="K23" s="113"/>
    </row>
    <row r="24" spans="1:13" x14ac:dyDescent="0.25">
      <c r="A24" s="237" t="s">
        <v>329</v>
      </c>
      <c r="B24" s="238">
        <f>I16</f>
        <v>2700</v>
      </c>
      <c r="C24" s="238"/>
      <c r="D24" s="238"/>
      <c r="E24" s="237"/>
      <c r="F24" s="237" t="s">
        <v>329</v>
      </c>
      <c r="G24" s="238">
        <f>I16</f>
        <v>2700</v>
      </c>
      <c r="H24" s="237"/>
      <c r="I24" s="239"/>
      <c r="J24" s="113"/>
      <c r="K24" s="113"/>
    </row>
    <row r="25" spans="1:13" x14ac:dyDescent="0.25">
      <c r="A25" s="237" t="s">
        <v>190</v>
      </c>
      <c r="B25" s="241">
        <v>0.1</v>
      </c>
      <c r="C25" s="241"/>
      <c r="D25" s="238">
        <f>B21*B25</f>
        <v>3800</v>
      </c>
      <c r="E25" s="237"/>
      <c r="F25" s="237" t="s">
        <v>248</v>
      </c>
      <c r="G25" s="241">
        <v>0.1</v>
      </c>
      <c r="H25" s="238">
        <f>B25*B21</f>
        <v>3800</v>
      </c>
      <c r="I25" s="239"/>
      <c r="J25" s="113"/>
      <c r="K25" s="113"/>
    </row>
    <row r="26" spans="1:13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3" x14ac:dyDescent="0.25">
      <c r="A27" s="272"/>
      <c r="B27" s="268" t="s">
        <v>374</v>
      </c>
      <c r="C27" s="277">
        <v>0.3</v>
      </c>
      <c r="D27" s="218">
        <f>C27*E7</f>
        <v>1800</v>
      </c>
      <c r="E27" s="239"/>
      <c r="F27" s="268" t="s">
        <v>374</v>
      </c>
      <c r="G27" s="277">
        <v>0.3</v>
      </c>
      <c r="H27" s="218">
        <f>G27*E7</f>
        <v>1800</v>
      </c>
      <c r="I27" s="218"/>
      <c r="J27" s="113"/>
      <c r="K27" s="113"/>
    </row>
    <row r="28" spans="1:13" x14ac:dyDescent="0.25">
      <c r="A28" s="272" t="s">
        <v>414</v>
      </c>
      <c r="B28" s="268" t="s">
        <v>416</v>
      </c>
      <c r="C28" s="239"/>
      <c r="D28" s="218">
        <v>1000</v>
      </c>
      <c r="E28" s="239"/>
      <c r="F28" s="268" t="s">
        <v>416</v>
      </c>
      <c r="G28" s="239"/>
      <c r="H28" s="239">
        <v>1000</v>
      </c>
      <c r="I28" s="237"/>
      <c r="J28" s="113"/>
      <c r="K28" s="113"/>
    </row>
    <row r="29" spans="1:13" x14ac:dyDescent="0.25">
      <c r="A29" s="258"/>
      <c r="B29" s="113" t="s">
        <v>415</v>
      </c>
      <c r="C29" s="113"/>
      <c r="D29" s="237">
        <v>10087</v>
      </c>
      <c r="E29" s="237"/>
      <c r="F29" s="272" t="s">
        <v>414</v>
      </c>
      <c r="G29" s="113"/>
      <c r="H29" s="113">
        <v>10087</v>
      </c>
      <c r="I29" s="246"/>
      <c r="J29" s="113"/>
      <c r="K29" s="113"/>
    </row>
    <row r="30" spans="1:13" x14ac:dyDescent="0.25">
      <c r="A30" s="258"/>
      <c r="B30" s="272" t="s">
        <v>417</v>
      </c>
      <c r="C30" s="245"/>
      <c r="D30" s="246">
        <v>5107</v>
      </c>
      <c r="E30" s="247"/>
      <c r="F30" s="272" t="s">
        <v>417</v>
      </c>
      <c r="G30" s="272"/>
      <c r="H30" s="245">
        <v>5107</v>
      </c>
      <c r="I30" s="246"/>
      <c r="J30" s="113"/>
      <c r="K30" s="113"/>
    </row>
    <row r="31" spans="1:13" x14ac:dyDescent="0.25">
      <c r="A31" s="258"/>
      <c r="B31" s="245" t="s">
        <v>418</v>
      </c>
      <c r="C31" s="245"/>
      <c r="D31" s="246">
        <v>16102</v>
      </c>
      <c r="E31" s="247"/>
      <c r="F31" s="245" t="s">
        <v>418</v>
      </c>
      <c r="G31" s="245"/>
      <c r="H31" s="246">
        <v>16102</v>
      </c>
      <c r="I31" s="246"/>
      <c r="J31" s="113"/>
      <c r="K31" s="113"/>
    </row>
    <row r="32" spans="1:13" x14ac:dyDescent="0.25">
      <c r="A32" s="258">
        <v>111</v>
      </c>
      <c r="B32" s="245" t="s">
        <v>420</v>
      </c>
      <c r="C32" s="245"/>
      <c r="D32" s="246">
        <v>5061</v>
      </c>
      <c r="E32" s="247"/>
      <c r="F32" s="245" t="s">
        <v>420</v>
      </c>
      <c r="G32" s="245"/>
      <c r="H32" s="246">
        <v>5061</v>
      </c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41803</v>
      </c>
      <c r="C34" s="269"/>
      <c r="D34" s="270">
        <f>SUM(D27:D33)</f>
        <v>39157</v>
      </c>
      <c r="E34" s="270">
        <f>B34-D34</f>
        <v>2646</v>
      </c>
      <c r="F34" s="250" t="s">
        <v>3</v>
      </c>
      <c r="G34" s="269">
        <f>G21+G23+G24-H25</f>
        <v>41669</v>
      </c>
      <c r="H34" s="270">
        <f>SUM(H27:H33)</f>
        <v>39157</v>
      </c>
      <c r="I34" s="270">
        <f>G34-H34</f>
        <v>2512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L18" sqref="L18"/>
    </sheetView>
  </sheetViews>
  <sheetFormatPr defaultRowHeight="15" x14ac:dyDescent="0.25"/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421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/>
      <c r="C6" s="215"/>
      <c r="D6" s="216">
        <f>'AUGUST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</row>
    <row r="7" spans="1:10" x14ac:dyDescent="0.25">
      <c r="A7" s="178">
        <v>2</v>
      </c>
      <c r="B7" s="215" t="s">
        <v>413</v>
      </c>
      <c r="C7" s="215"/>
      <c r="D7" s="216">
        <f>'AUGUST 20'!H7:H16</f>
        <v>0</v>
      </c>
      <c r="E7" s="217">
        <v>6000</v>
      </c>
      <c r="F7" s="217">
        <f t="shared" si="0"/>
        <v>6000</v>
      </c>
      <c r="G7" s="217">
        <v>6000</v>
      </c>
      <c r="H7" s="218">
        <f t="shared" ref="H7:H15" si="1">F7-G7</f>
        <v>0</v>
      </c>
      <c r="I7" s="239"/>
      <c r="J7" s="156"/>
    </row>
    <row r="8" spans="1:10" x14ac:dyDescent="0.25">
      <c r="A8" s="178">
        <v>3</v>
      </c>
      <c r="B8" s="219" t="s">
        <v>289</v>
      </c>
      <c r="C8" s="219"/>
      <c r="D8" s="216">
        <f>'AUGUST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800</v>
      </c>
      <c r="J8" s="156"/>
    </row>
    <row r="9" spans="1:10" x14ac:dyDescent="0.25">
      <c r="A9" s="178">
        <v>4</v>
      </c>
      <c r="B9" s="275" t="s">
        <v>365</v>
      </c>
      <c r="C9" s="274"/>
      <c r="D9" s="216">
        <f>'AUGUST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</row>
    <row r="10" spans="1:10" x14ac:dyDescent="0.25">
      <c r="A10" s="178">
        <v>5</v>
      </c>
      <c r="B10" s="219" t="s">
        <v>290</v>
      </c>
      <c r="C10" s="219"/>
      <c r="D10" s="216">
        <f>'AUGUST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'AUGUST 20'!H11:H20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/>
      <c r="C12" s="275"/>
      <c r="D12" s="216">
        <f>'AUGUST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0" x14ac:dyDescent="0.25">
      <c r="A13" s="178">
        <v>8</v>
      </c>
      <c r="B13" s="219"/>
      <c r="C13" s="219"/>
      <c r="D13" s="216">
        <f>'AUGUST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0" x14ac:dyDescent="0.25">
      <c r="A14" s="178">
        <v>9</v>
      </c>
      <c r="B14" s="224" t="s">
        <v>240</v>
      </c>
      <c r="C14" s="224"/>
      <c r="D14" s="216">
        <f>'AUGUST 20'!H14:H23</f>
        <v>17000</v>
      </c>
      <c r="E14" s="225"/>
      <c r="F14" s="217">
        <f>D14+E14+C14</f>
        <v>17000</v>
      </c>
      <c r="G14" s="272"/>
      <c r="H14" s="218">
        <f>F14-G14</f>
        <v>17000</v>
      </c>
      <c r="I14" s="237"/>
      <c r="J14" s="156"/>
    </row>
    <row r="15" spans="1:10" x14ac:dyDescent="0.25">
      <c r="A15" s="178">
        <v>10</v>
      </c>
      <c r="B15" s="219" t="s">
        <v>291</v>
      </c>
      <c r="C15" s="219"/>
      <c r="D15" s="216">
        <f>'AUGUST 20'!H15:H24</f>
        <v>0</v>
      </c>
      <c r="E15" s="227">
        <v>10000</v>
      </c>
      <c r="F15" s="217">
        <f t="shared" si="0"/>
        <v>10000</v>
      </c>
      <c r="G15" s="258">
        <f>10000</f>
        <v>10000</v>
      </c>
      <c r="H15" s="218">
        <f t="shared" si="1"/>
        <v>0</v>
      </c>
      <c r="I15" s="246"/>
      <c r="J15" s="156"/>
    </row>
    <row r="16" spans="1:10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17000</v>
      </c>
      <c r="E16" s="230">
        <f t="shared" si="2"/>
        <v>38000</v>
      </c>
      <c r="F16" s="217">
        <f t="shared" si="2"/>
        <v>55000</v>
      </c>
      <c r="G16" s="273">
        <f t="shared" si="2"/>
        <v>38000</v>
      </c>
      <c r="H16" s="218">
        <f t="shared" si="2"/>
        <v>17000</v>
      </c>
      <c r="I16" s="246">
        <f t="shared" si="2"/>
        <v>2600</v>
      </c>
      <c r="J16" s="211" t="s">
        <v>56</v>
      </c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2" x14ac:dyDescent="0.25">
      <c r="A21" s="237" t="s">
        <v>422</v>
      </c>
      <c r="B21" s="238">
        <f>E16</f>
        <v>38000</v>
      </c>
      <c r="C21" s="238"/>
      <c r="D21" s="238"/>
      <c r="E21" s="237"/>
      <c r="F21" s="237" t="s">
        <v>419</v>
      </c>
      <c r="G21" s="238">
        <f>G16</f>
        <v>38000</v>
      </c>
      <c r="H21" s="237"/>
      <c r="I21" s="239"/>
      <c r="J21" s="113"/>
      <c r="L21" s="271">
        <f>B21-D25</f>
        <v>34200</v>
      </c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2" x14ac:dyDescent="0.25">
      <c r="A23" s="237" t="s">
        <v>233</v>
      </c>
      <c r="B23" s="238">
        <f>G23</f>
        <v>2512</v>
      </c>
      <c r="C23" s="238"/>
      <c r="D23" s="238"/>
      <c r="E23" s="237"/>
      <c r="F23" s="237" t="s">
        <v>233</v>
      </c>
      <c r="G23" s="238">
        <f>'AUGUST 20'!I34</f>
        <v>2512</v>
      </c>
      <c r="H23" s="237"/>
      <c r="I23" s="239"/>
      <c r="J23" s="113"/>
    </row>
    <row r="24" spans="1:12" x14ac:dyDescent="0.25">
      <c r="A24" s="237" t="s">
        <v>329</v>
      </c>
      <c r="B24" s="238">
        <f>I16</f>
        <v>2600</v>
      </c>
      <c r="C24" s="238"/>
      <c r="D24" s="238"/>
      <c r="E24" s="237"/>
      <c r="F24" s="237" t="s">
        <v>329</v>
      </c>
      <c r="G24" s="238">
        <f>I16</f>
        <v>2600</v>
      </c>
      <c r="H24" s="237"/>
      <c r="I24" s="239"/>
      <c r="J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3800</v>
      </c>
      <c r="E25" s="237"/>
      <c r="F25" s="237" t="s">
        <v>248</v>
      </c>
      <c r="G25" s="241">
        <v>0.1</v>
      </c>
      <c r="H25" s="238">
        <f>B25*B21</f>
        <v>3800</v>
      </c>
      <c r="I25" s="239"/>
      <c r="J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2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2" x14ac:dyDescent="0.25">
      <c r="A28" s="272"/>
      <c r="B28" s="268"/>
      <c r="C28" s="239"/>
      <c r="D28" s="218"/>
      <c r="E28" s="239"/>
      <c r="F28" s="268"/>
      <c r="G28" s="239"/>
      <c r="H28" s="239"/>
      <c r="I28" s="237"/>
      <c r="J28" s="113"/>
    </row>
    <row r="29" spans="1:12" x14ac:dyDescent="0.25">
      <c r="A29" s="258" t="s">
        <v>423</v>
      </c>
      <c r="B29" s="113"/>
      <c r="C29" s="113"/>
      <c r="D29" s="237">
        <v>25000</v>
      </c>
      <c r="E29" s="237"/>
      <c r="F29" s="258" t="s">
        <v>423</v>
      </c>
      <c r="G29" s="113"/>
      <c r="H29" s="113">
        <v>25000</v>
      </c>
      <c r="I29" s="237"/>
      <c r="J29" s="113"/>
    </row>
    <row r="30" spans="1:12" x14ac:dyDescent="0.25">
      <c r="A30" s="258"/>
      <c r="B30" s="272"/>
      <c r="C30" s="245"/>
      <c r="D30" s="246"/>
      <c r="E30" s="247"/>
      <c r="F30" s="272"/>
      <c r="G30" s="272"/>
      <c r="H30" s="245"/>
      <c r="I30" s="246"/>
      <c r="J30" s="113"/>
    </row>
    <row r="31" spans="1:12" x14ac:dyDescent="0.25">
      <c r="A31" s="258"/>
      <c r="B31" s="245"/>
      <c r="C31" s="245"/>
      <c r="D31" s="246"/>
      <c r="E31" s="247"/>
      <c r="F31" s="245"/>
      <c r="G31" s="245"/>
      <c r="H31" s="246"/>
      <c r="I31" s="246"/>
      <c r="J31" s="113"/>
    </row>
    <row r="32" spans="1:12" x14ac:dyDescent="0.25">
      <c r="A32" s="258"/>
      <c r="B32" s="245"/>
      <c r="C32" s="245"/>
      <c r="D32" s="246"/>
      <c r="E32" s="247"/>
      <c r="F32" s="245"/>
      <c r="G32" s="245"/>
      <c r="H32" s="246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39312</v>
      </c>
      <c r="C34" s="269"/>
      <c r="D34" s="270">
        <f>SUM(D27:D33)</f>
        <v>25000</v>
      </c>
      <c r="E34" s="270">
        <f>B34-D34</f>
        <v>14312</v>
      </c>
      <c r="F34" s="250" t="s">
        <v>3</v>
      </c>
      <c r="G34" s="269">
        <f>G21+G23+G24-H25</f>
        <v>39312</v>
      </c>
      <c r="H34" s="270">
        <f>SUM(H27:H33)</f>
        <v>25000</v>
      </c>
      <c r="I34" s="270">
        <f>G34-H34</f>
        <v>14312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</row>
    <row r="42" spans="1:10" x14ac:dyDescent="0.25">
      <c r="A42" s="113"/>
      <c r="B42" s="113"/>
      <c r="C42" s="113"/>
      <c r="D42" s="113"/>
      <c r="E42" s="113"/>
      <c r="F42" s="113"/>
      <c r="G42" s="113"/>
      <c r="H42" s="113"/>
      <c r="I42" s="113"/>
      <c r="J42" s="113"/>
    </row>
    <row r="43" spans="1:10" x14ac:dyDescent="0.25">
      <c r="A43" s="113"/>
      <c r="B43" s="113"/>
      <c r="C43" s="113"/>
      <c r="D43" s="113"/>
      <c r="E43" s="113"/>
      <c r="F43" s="113"/>
      <c r="G43" s="113"/>
      <c r="H43" s="113"/>
      <c r="I43" s="113"/>
      <c r="J43" s="113"/>
    </row>
    <row r="44" spans="1:10" x14ac:dyDescent="0.25">
      <c r="A44" s="113"/>
      <c r="B44" s="113"/>
      <c r="C44" s="113"/>
      <c r="D44" s="113"/>
      <c r="E44" s="113"/>
      <c r="F44" s="113"/>
      <c r="G44" s="113"/>
      <c r="H44" s="113"/>
      <c r="I44" s="113"/>
      <c r="J44" s="113"/>
    </row>
    <row r="45" spans="1:10" x14ac:dyDescent="0.25">
      <c r="A45" s="113"/>
      <c r="B45" s="113"/>
      <c r="C45" s="113"/>
      <c r="D45" s="113"/>
      <c r="E45" s="113"/>
      <c r="F45" s="113"/>
      <c r="G45" s="113"/>
      <c r="H45" s="113"/>
      <c r="I45" s="113"/>
      <c r="J45" s="113"/>
    </row>
    <row r="46" spans="1:10" x14ac:dyDescent="0.25">
      <c r="A46" s="113"/>
      <c r="B46" s="113"/>
      <c r="C46" s="113"/>
      <c r="D46" s="113"/>
      <c r="E46" s="113"/>
      <c r="F46" s="113"/>
      <c r="G46" s="113"/>
      <c r="H46" s="113"/>
      <c r="I46" s="113"/>
      <c r="J46" s="113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L21" sqref="L21"/>
    </sheetView>
  </sheetViews>
  <sheetFormatPr defaultRowHeight="15" x14ac:dyDescent="0.25"/>
  <cols>
    <col min="1" max="1" width="7.5703125" customWidth="1"/>
    <col min="2" max="2" width="16.42578125" customWidth="1"/>
    <col min="4" max="4" width="7.7109375" customWidth="1"/>
    <col min="5" max="5" width="10.42578125" customWidth="1"/>
    <col min="7" max="7" width="9.7109375" customWidth="1"/>
    <col min="8" max="9" width="10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424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>
        <f>'SEPTEMBER 20'!H6:H16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413</v>
      </c>
      <c r="C7" s="215"/>
      <c r="D7" s="216">
        <f>'SEPTEMBER 20'!H7:H17</f>
        <v>0</v>
      </c>
      <c r="E7" s="217">
        <v>6000</v>
      </c>
      <c r="F7" s="217">
        <f t="shared" si="0"/>
        <v>6000</v>
      </c>
      <c r="G7" s="217">
        <v>6000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'SEPTEMBER 20'!H8:H18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K8" s="113"/>
    </row>
    <row r="9" spans="1:11" x14ac:dyDescent="0.25">
      <c r="A9" s="178">
        <v>4</v>
      </c>
      <c r="B9" s="275" t="s">
        <v>426</v>
      </c>
      <c r="C9" s="274">
        <v>8000</v>
      </c>
      <c r="D9" s="216">
        <f>'SEPTEMBER 20'!H9:H19</f>
        <v>0</v>
      </c>
      <c r="E9" s="222">
        <v>8000</v>
      </c>
      <c r="F9" s="217">
        <f t="shared" si="0"/>
        <v>16000</v>
      </c>
      <c r="G9" s="222">
        <v>16000</v>
      </c>
      <c r="H9" s="218">
        <f t="shared" si="1"/>
        <v>0</v>
      </c>
      <c r="I9" s="239">
        <v>900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'SEPTEMBER 20'!H10:H20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'SEPTEMBER 20'!H11:H21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'SEPTEMBER 20'!H12:H22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56"/>
    </row>
    <row r="13" spans="1:11" x14ac:dyDescent="0.25">
      <c r="A13" s="178">
        <v>8</v>
      </c>
      <c r="B13" s="219"/>
      <c r="C13" s="219"/>
      <c r="D13" s="216">
        <f>'SEPTEMBER 20'!H13:H23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 t="s">
        <v>240</v>
      </c>
      <c r="C14" s="278"/>
      <c r="D14" s="279">
        <f>'SEPTEMBER 20'!H14:H24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'SEPTEMBER 20'!H15:H25</f>
        <v>0</v>
      </c>
      <c r="E15" s="284">
        <v>10000</v>
      </c>
      <c r="F15" s="217">
        <f t="shared" si="0"/>
        <v>10000</v>
      </c>
      <c r="G15" s="258">
        <v>10000</v>
      </c>
      <c r="H15" s="218">
        <f>10000</f>
        <v>10000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8000</v>
      </c>
      <c r="D16" s="216">
        <f>'SEPTEMBER 20'!H16:H26</f>
        <v>17000</v>
      </c>
      <c r="E16" s="230">
        <f t="shared" si="2"/>
        <v>46000</v>
      </c>
      <c r="F16" s="217">
        <f t="shared" si="2"/>
        <v>71000</v>
      </c>
      <c r="G16" s="273">
        <f>SUM(G6:G15)</f>
        <v>54000</v>
      </c>
      <c r="H16" s="218">
        <f t="shared" si="2"/>
        <v>27000</v>
      </c>
      <c r="I16" s="246">
        <f t="shared" si="2"/>
        <v>4500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358</v>
      </c>
      <c r="B21" s="238">
        <f>E16</f>
        <v>46000</v>
      </c>
      <c r="C21" s="238"/>
      <c r="D21" s="238"/>
      <c r="E21" s="237"/>
      <c r="F21" s="237" t="s">
        <v>425</v>
      </c>
      <c r="G21" s="238">
        <f>G16</f>
        <v>54000</v>
      </c>
      <c r="H21" s="237"/>
      <c r="I21" s="239"/>
      <c r="J21" s="113"/>
      <c r="K21" s="113"/>
    </row>
    <row r="22" spans="1:11" x14ac:dyDescent="0.25">
      <c r="A22" s="237" t="s">
        <v>123</v>
      </c>
      <c r="B22" s="238">
        <f>C16</f>
        <v>8000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'SEPTEMBER 20'!E34</f>
        <v>14312</v>
      </c>
      <c r="C23" s="238"/>
      <c r="D23" s="238"/>
      <c r="E23" s="237"/>
      <c r="F23" s="237" t="s">
        <v>233</v>
      </c>
      <c r="G23" s="238">
        <f>'SEPTEMBER 20'!I34</f>
        <v>14312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4500</v>
      </c>
      <c r="C24" s="238"/>
      <c r="D24" s="238"/>
      <c r="E24" s="237"/>
      <c r="F24" s="237" t="s">
        <v>329</v>
      </c>
      <c r="G24" s="238">
        <f>I16</f>
        <v>4500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4600</v>
      </c>
      <c r="E25" s="237"/>
      <c r="F25" s="237" t="s">
        <v>248</v>
      </c>
      <c r="G25" s="241">
        <v>0.1</v>
      </c>
      <c r="H25" s="238">
        <f>B25*B21</f>
        <v>4600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 t="s">
        <v>374</v>
      </c>
      <c r="C27" s="277">
        <v>0.3</v>
      </c>
      <c r="D27" s="218">
        <f>C27*E9</f>
        <v>2400</v>
      </c>
      <c r="E27" s="239"/>
      <c r="F27" s="268" t="s">
        <v>374</v>
      </c>
      <c r="G27" s="277">
        <v>0.3</v>
      </c>
      <c r="H27" s="218">
        <f>G27*E10</f>
        <v>2400</v>
      </c>
      <c r="I27" s="218"/>
      <c r="J27" s="113"/>
      <c r="K27" s="113"/>
    </row>
    <row r="28" spans="1:11" x14ac:dyDescent="0.25">
      <c r="A28" s="272" t="s">
        <v>427</v>
      </c>
      <c r="B28" s="268"/>
      <c r="C28" s="239"/>
      <c r="D28" s="218">
        <v>5061</v>
      </c>
      <c r="E28" s="239"/>
      <c r="F28" s="272" t="s">
        <v>427</v>
      </c>
      <c r="G28" s="268"/>
      <c r="H28" s="239">
        <v>5061</v>
      </c>
      <c r="I28" s="218"/>
      <c r="J28" s="113"/>
      <c r="K28" s="113"/>
    </row>
    <row r="29" spans="1:11" x14ac:dyDescent="0.25">
      <c r="A29" s="258" t="s">
        <v>428</v>
      </c>
      <c r="B29" s="113"/>
      <c r="C29" s="113"/>
      <c r="D29" s="237">
        <v>5061</v>
      </c>
      <c r="E29" s="237"/>
      <c r="F29" s="258" t="s">
        <v>428</v>
      </c>
      <c r="G29" s="113"/>
      <c r="H29" s="113">
        <v>5061</v>
      </c>
      <c r="I29" s="237"/>
      <c r="J29" s="113"/>
      <c r="K29" s="113"/>
    </row>
    <row r="30" spans="1:11" x14ac:dyDescent="0.25">
      <c r="A30" s="258" t="s">
        <v>429</v>
      </c>
      <c r="B30" s="272"/>
      <c r="C30" s="245"/>
      <c r="D30" s="246">
        <v>20102</v>
      </c>
      <c r="E30" s="247"/>
      <c r="F30" s="258" t="s">
        <v>429</v>
      </c>
      <c r="G30" s="272"/>
      <c r="H30" s="245">
        <v>20102</v>
      </c>
      <c r="I30" s="246"/>
      <c r="J30" s="113"/>
      <c r="K30" s="113"/>
    </row>
    <row r="31" spans="1:11" x14ac:dyDescent="0.25">
      <c r="A31" s="258" t="s">
        <v>430</v>
      </c>
      <c r="B31" s="245"/>
      <c r="C31" s="245"/>
      <c r="D31" s="246">
        <v>33000</v>
      </c>
      <c r="E31" s="247"/>
      <c r="F31" s="258" t="s">
        <v>430</v>
      </c>
      <c r="G31" s="245"/>
      <c r="H31" s="245">
        <v>33000</v>
      </c>
      <c r="I31" s="246"/>
      <c r="J31" s="113"/>
      <c r="K31" s="113"/>
    </row>
    <row r="32" spans="1:11" x14ac:dyDescent="0.25">
      <c r="A32" s="258" t="s">
        <v>431</v>
      </c>
      <c r="B32" s="245"/>
      <c r="C32" s="245"/>
      <c r="D32" s="246">
        <v>20102</v>
      </c>
      <c r="E32" s="247"/>
      <c r="F32" s="258" t="s">
        <v>431</v>
      </c>
      <c r="G32" s="245"/>
      <c r="H32" s="245">
        <v>20102</v>
      </c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68212</v>
      </c>
      <c r="C34" s="269"/>
      <c r="D34" s="270">
        <f>SUM(D27:D33)</f>
        <v>85726</v>
      </c>
      <c r="E34" s="270">
        <f>B34-D34</f>
        <v>-17514</v>
      </c>
      <c r="F34" s="250" t="s">
        <v>3</v>
      </c>
      <c r="G34" s="269">
        <f>G21+G23+G24-H25</f>
        <v>68212</v>
      </c>
      <c r="H34" s="270">
        <f>SUM(H27:H33)</f>
        <v>85726</v>
      </c>
      <c r="I34" s="270">
        <f>G34-H34</f>
        <v>-17514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E32" sqref="E32"/>
    </sheetView>
  </sheetViews>
  <sheetFormatPr defaultRowHeight="15" x14ac:dyDescent="0.25"/>
  <cols>
    <col min="1" max="1" width="15.85546875" customWidth="1"/>
    <col min="2" max="2" width="4.140625" customWidth="1"/>
    <col min="3" max="3" width="8.28515625" customWidth="1"/>
    <col min="4" max="4" width="7.5703125" customWidth="1"/>
    <col min="6" max="6" width="7.5703125" customWidth="1"/>
    <col min="7" max="7" width="12.42578125" customWidth="1"/>
    <col min="8" max="8" width="11.85546875" customWidth="1"/>
    <col min="9" max="9" width="10.7109375" customWidth="1"/>
    <col min="10" max="10" width="6.7109375" customWidth="1"/>
    <col min="11" max="11" width="7.7109375" customWidth="1"/>
    <col min="13" max="13" width="10.140625" customWidth="1"/>
  </cols>
  <sheetData>
    <row r="1" spans="1:13" ht="23.2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s="74" customFormat="1" ht="15.75" customHeight="1" x14ac:dyDescent="0.25">
      <c r="C5" s="75" t="s">
        <v>50</v>
      </c>
      <c r="J5" s="95" t="s">
        <v>28</v>
      </c>
    </row>
    <row r="6" spans="1:13" ht="19.5" customHeight="1" x14ac:dyDescent="0.25">
      <c r="A6" s="74"/>
      <c r="B6" s="74"/>
      <c r="C6" s="74"/>
      <c r="D6" s="77"/>
      <c r="E6" s="77"/>
      <c r="F6" s="78" t="s">
        <v>92</v>
      </c>
      <c r="G6" s="77"/>
      <c r="H6" s="77"/>
      <c r="I6" s="77"/>
      <c r="J6" s="77"/>
      <c r="K6" s="77"/>
      <c r="L6" s="74"/>
      <c r="M6" s="74"/>
    </row>
    <row r="7" spans="1:13" ht="13.5" customHeigh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3.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6"/>
    </row>
    <row r="9" spans="1:13" ht="13.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3.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3.5" customHeight="1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3.5" customHeight="1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s="2" customFormat="1" ht="13.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>
        <v>9000</v>
      </c>
    </row>
    <row r="14" spans="1:13" ht="13.5" customHeight="1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ht="13.5" customHeight="1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3.5" customHeight="1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15000</v>
      </c>
      <c r="H16" s="58">
        <v>15000</v>
      </c>
      <c r="I16" s="58">
        <v>2000</v>
      </c>
      <c r="J16" s="58"/>
      <c r="K16" s="9"/>
      <c r="L16" s="9"/>
      <c r="M16" s="88">
        <f>SUM(H16-I16)</f>
        <v>13000</v>
      </c>
    </row>
    <row r="17" spans="1:13" ht="13.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3.5" customHeight="1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/>
      <c r="G18" s="58">
        <v>9000</v>
      </c>
      <c r="H18" s="58">
        <v>9000</v>
      </c>
      <c r="I18" s="58">
        <v>9000</v>
      </c>
      <c r="J18" s="58"/>
      <c r="K18" s="9"/>
      <c r="L18" s="9"/>
      <c r="M18" s="88"/>
    </row>
    <row r="19" spans="1:13" ht="13.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3.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9"/>
    </row>
    <row r="21" spans="1:13" ht="13.5" customHeight="1" x14ac:dyDescent="0.25">
      <c r="A21" s="43" t="s">
        <v>3</v>
      </c>
      <c r="B21" s="44"/>
      <c r="C21" s="44"/>
      <c r="D21" s="44"/>
      <c r="E21" s="44"/>
      <c r="F21" s="44"/>
      <c r="G21" s="61">
        <f>SUM(G8:G20)</f>
        <v>119000</v>
      </c>
      <c r="H21" s="61">
        <f>SUM(H8:H20)</f>
        <v>119000</v>
      </c>
      <c r="I21" s="61">
        <f>SUM(I8:I20)</f>
        <v>90000</v>
      </c>
      <c r="J21" s="61"/>
      <c r="K21" s="44"/>
      <c r="L21" s="44"/>
      <c r="M21" s="90">
        <f>SUM(M8:M20)</f>
        <v>29000</v>
      </c>
    </row>
    <row r="22" spans="1:13" x14ac:dyDescent="0.25">
      <c r="A22" s="2"/>
      <c r="B22" s="2"/>
      <c r="C22" s="2"/>
      <c r="D22" s="81"/>
      <c r="E22" s="82" t="s">
        <v>76</v>
      </c>
      <c r="F22" s="82"/>
      <c r="G22" s="83"/>
      <c r="H22" s="83"/>
      <c r="I22" s="83"/>
      <c r="J22" s="83"/>
      <c r="K22" s="83"/>
      <c r="L22" s="83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119000</v>
      </c>
      <c r="H23" s="66"/>
      <c r="I23" s="2"/>
      <c r="J23" s="2"/>
      <c r="K23" s="2"/>
      <c r="L23" s="2"/>
      <c r="M23" s="2"/>
    </row>
    <row r="24" spans="1:13" x14ac:dyDescent="0.25">
      <c r="A24" s="2"/>
      <c r="B24" s="3"/>
      <c r="C24" s="67"/>
      <c r="D24" s="3" t="s">
        <v>60</v>
      </c>
      <c r="E24" s="48"/>
      <c r="F24" s="2"/>
      <c r="G24" s="70">
        <f>SUM(G23-G26)</f>
        <v>110670</v>
      </c>
      <c r="H24" s="2"/>
      <c r="I24" s="66"/>
      <c r="J24" s="66"/>
      <c r="K24" s="66"/>
      <c r="L24" s="66"/>
      <c r="M24" s="66"/>
    </row>
    <row r="25" spans="1:13" x14ac:dyDescent="0.25">
      <c r="A25" s="2"/>
      <c r="B25" s="3"/>
      <c r="C25" s="67"/>
      <c r="D25" s="76" t="s">
        <v>73</v>
      </c>
      <c r="E25" s="48"/>
      <c r="F25" s="2"/>
      <c r="G25" s="70"/>
      <c r="H25" s="2"/>
      <c r="I25" s="66"/>
      <c r="J25" s="66"/>
      <c r="K25" s="66"/>
      <c r="L25" s="66"/>
      <c r="M25" s="66"/>
    </row>
    <row r="26" spans="1:13" x14ac:dyDescent="0.25">
      <c r="A26" s="2"/>
      <c r="B26" s="3"/>
      <c r="C26" s="67"/>
      <c r="D26" s="3" t="s">
        <v>52</v>
      </c>
      <c r="E26" s="50"/>
      <c r="F26" s="2"/>
      <c r="G26" s="69">
        <f>SUM(G23*7%)</f>
        <v>8330</v>
      </c>
      <c r="H26" s="2"/>
      <c r="I26" s="2"/>
      <c r="J26" s="2"/>
      <c r="K26" s="2"/>
      <c r="L26" s="2"/>
      <c r="M26" s="2"/>
    </row>
    <row r="27" spans="1:13" x14ac:dyDescent="0.25">
      <c r="A27" s="2"/>
      <c r="B27" s="3"/>
      <c r="C27" s="67"/>
      <c r="D27" s="3" t="s">
        <v>75</v>
      </c>
      <c r="E27" s="50"/>
      <c r="F27" s="2"/>
      <c r="G27" s="69">
        <v>500</v>
      </c>
      <c r="H27" s="2"/>
      <c r="I27" s="2"/>
      <c r="J27" s="2"/>
      <c r="K27" s="2"/>
      <c r="L27" s="2"/>
      <c r="M27" s="2"/>
    </row>
    <row r="28" spans="1:13" x14ac:dyDescent="0.25">
      <c r="A28" s="2"/>
      <c r="B28" s="3"/>
      <c r="C28" s="3"/>
      <c r="D28" s="68" t="s">
        <v>64</v>
      </c>
      <c r="E28" s="47"/>
      <c r="F28" s="2"/>
      <c r="G28" s="71">
        <v>40000</v>
      </c>
      <c r="H28" s="2"/>
      <c r="I28" s="2" t="s">
        <v>56</v>
      </c>
      <c r="J28" s="2" t="s">
        <v>56</v>
      </c>
      <c r="K28" s="2" t="s">
        <v>56</v>
      </c>
      <c r="L28" s="2" t="s">
        <v>56</v>
      </c>
      <c r="M28" s="2" t="s">
        <v>56</v>
      </c>
    </row>
    <row r="29" spans="1:13" x14ac:dyDescent="0.25">
      <c r="A29" s="2"/>
      <c r="B29" s="3"/>
      <c r="C29" s="3"/>
      <c r="D29" s="68" t="s">
        <v>94</v>
      </c>
      <c r="E29" s="47"/>
      <c r="F29" s="2"/>
      <c r="G29" s="71">
        <v>1000</v>
      </c>
      <c r="H29" s="2"/>
      <c r="I29" s="66"/>
      <c r="J29" s="66"/>
      <c r="K29" s="66"/>
      <c r="L29" s="66"/>
      <c r="M29" s="66"/>
    </row>
    <row r="30" spans="1:13" x14ac:dyDescent="0.25">
      <c r="A30" s="93"/>
      <c r="B30" s="93"/>
      <c r="C30" s="93"/>
      <c r="D30" s="93" t="s">
        <v>3</v>
      </c>
      <c r="E30" s="93"/>
      <c r="F30" s="93"/>
      <c r="G30" s="94">
        <f>SUM(G26:G29)</f>
        <v>49830</v>
      </c>
      <c r="H30" s="93"/>
      <c r="I30" s="93"/>
      <c r="J30" s="93"/>
      <c r="K30" s="93"/>
      <c r="L30" s="93"/>
      <c r="M30" s="93"/>
    </row>
    <row r="31" spans="1:13" ht="18" x14ac:dyDescent="0.4">
      <c r="A31" s="2"/>
      <c r="B31" s="3"/>
      <c r="C31" s="3"/>
      <c r="D31" s="68" t="s">
        <v>61</v>
      </c>
      <c r="E31" s="2"/>
      <c r="F31" s="2"/>
      <c r="G31" s="96">
        <f>SUM(G23-G30)</f>
        <v>69170</v>
      </c>
      <c r="H31" s="2"/>
      <c r="I31" s="2"/>
      <c r="J31" s="2"/>
      <c r="K31" s="2"/>
      <c r="L31" s="2"/>
      <c r="M31" s="2"/>
    </row>
    <row r="32" spans="1:13" x14ac:dyDescent="0.25">
      <c r="A32" s="52"/>
      <c r="B32" s="53" t="s">
        <v>41</v>
      </c>
      <c r="C32" s="2"/>
      <c r="D32" s="2"/>
      <c r="E32" s="2"/>
      <c r="F32" s="52" t="s">
        <v>42</v>
      </c>
      <c r="G32" s="52"/>
      <c r="H32" s="52"/>
      <c r="I32" s="52" t="s">
        <v>43</v>
      </c>
      <c r="J32" s="5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9" spans="1:13" ht="42" customHeight="1" x14ac:dyDescent="0.25"/>
  </sheetData>
  <pageMargins left="0.7" right="0.7" top="0.75" bottom="0.75" header="0.3" footer="0.3"/>
  <pageSetup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>
      <selection activeCell="A30" sqref="A30"/>
    </sheetView>
  </sheetViews>
  <sheetFormatPr defaultRowHeight="15" x14ac:dyDescent="0.25"/>
  <cols>
    <col min="7" max="7" width="9.42578125" bestFit="1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432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/>
      <c r="C6" s="215"/>
      <c r="D6" s="216">
        <f>'OCTOBER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</row>
    <row r="7" spans="1:10" x14ac:dyDescent="0.25">
      <c r="A7" s="178">
        <v>2</v>
      </c>
      <c r="B7" s="215" t="s">
        <v>413</v>
      </c>
      <c r="C7" s="215"/>
      <c r="D7" s="216">
        <f>'OCTOBER 20'!H7:H16</f>
        <v>0</v>
      </c>
      <c r="E7" s="217">
        <v>6000</v>
      </c>
      <c r="F7" s="217">
        <f t="shared" si="0"/>
        <v>6000</v>
      </c>
      <c r="G7" s="217">
        <v>6000</v>
      </c>
      <c r="H7" s="218">
        <f t="shared" ref="H7:H13" si="1">F7-G7</f>
        <v>0</v>
      </c>
      <c r="I7" s="239"/>
      <c r="J7" s="156"/>
    </row>
    <row r="8" spans="1:10" x14ac:dyDescent="0.25">
      <c r="A8" s="178">
        <v>3</v>
      </c>
      <c r="B8" s="219" t="s">
        <v>289</v>
      </c>
      <c r="C8" s="219"/>
      <c r="D8" s="216">
        <f>'OCTOBER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</row>
    <row r="9" spans="1:10" x14ac:dyDescent="0.25">
      <c r="A9" s="178">
        <v>4</v>
      </c>
      <c r="B9" s="275" t="s">
        <v>426</v>
      </c>
      <c r="C9" s="274"/>
      <c r="D9" s="216">
        <f>'OCTOBER 20'!H9:H18</f>
        <v>0</v>
      </c>
      <c r="E9" s="222">
        <v>8000</v>
      </c>
      <c r="F9" s="217">
        <f t="shared" si="0"/>
        <v>8000</v>
      </c>
      <c r="G9" s="222">
        <f>8000</f>
        <v>8000</v>
      </c>
      <c r="H9" s="218">
        <f>F9-G9</f>
        <v>0</v>
      </c>
      <c r="I9" s="239">
        <v>900</v>
      </c>
      <c r="J9" s="156"/>
    </row>
    <row r="10" spans="1:10" x14ac:dyDescent="0.25">
      <c r="A10" s="178">
        <v>5</v>
      </c>
      <c r="B10" s="219" t="s">
        <v>290</v>
      </c>
      <c r="C10" s="219"/>
      <c r="D10" s="216">
        <f>'OCTOBER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'OCTOBER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/>
      <c r="C12" s="275"/>
      <c r="D12" s="216">
        <f>'OCTOBER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0" x14ac:dyDescent="0.25">
      <c r="A13" s="178">
        <v>8</v>
      </c>
      <c r="B13" s="219"/>
      <c r="C13" s="219"/>
      <c r="D13" s="216">
        <f>'OCTOBER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0" x14ac:dyDescent="0.25">
      <c r="A14" s="178">
        <v>9</v>
      </c>
      <c r="B14" s="278" t="s">
        <v>240</v>
      </c>
      <c r="C14" s="278"/>
      <c r="D14" s="216">
        <f>'OCTOBER 20'!H14:H23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</row>
    <row r="15" spans="1:10" x14ac:dyDescent="0.25">
      <c r="A15" s="178">
        <v>10</v>
      </c>
      <c r="B15" s="219" t="s">
        <v>434</v>
      </c>
      <c r="C15" s="219"/>
      <c r="D15" s="216">
        <f>'OCTOBER 20'!H15:H24</f>
        <v>10000</v>
      </c>
      <c r="E15" s="284">
        <v>10000</v>
      </c>
      <c r="F15" s="217">
        <f t="shared" si="0"/>
        <v>20000</v>
      </c>
      <c r="G15" s="258">
        <f>10000</f>
        <v>10000</v>
      </c>
      <c r="H15" s="218">
        <f>10000</f>
        <v>10000</v>
      </c>
      <c r="I15" s="246"/>
      <c r="J15" s="156"/>
    </row>
    <row r="16" spans="1:10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27000</v>
      </c>
      <c r="E16" s="230">
        <f t="shared" si="2"/>
        <v>46000</v>
      </c>
      <c r="F16" s="217">
        <f t="shared" si="2"/>
        <v>73000</v>
      </c>
      <c r="G16" s="273">
        <f>SUM(G6:G15)</f>
        <v>46000</v>
      </c>
      <c r="H16" s="218">
        <f t="shared" si="2"/>
        <v>27000</v>
      </c>
      <c r="I16" s="246">
        <f t="shared" si="2"/>
        <v>3600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366</v>
      </c>
      <c r="B21" s="238">
        <f>E16</f>
        <v>46000</v>
      </c>
      <c r="C21" s="238"/>
      <c r="D21" s="238"/>
      <c r="E21" s="237"/>
      <c r="F21" s="237" t="s">
        <v>366</v>
      </c>
      <c r="G21" s="238">
        <f>G16</f>
        <v>46000</v>
      </c>
      <c r="H21" s="237"/>
      <c r="I21" s="239"/>
      <c r="J21" s="113"/>
    </row>
    <row r="22" spans="1:10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'OCTOBER 20'!E34</f>
        <v>-17514</v>
      </c>
      <c r="C23" s="238"/>
      <c r="D23" s="238"/>
      <c r="E23" s="237"/>
      <c r="F23" s="237" t="s">
        <v>233</v>
      </c>
      <c r="G23" s="238">
        <f>'OCTOBER 20'!I34</f>
        <v>-17514</v>
      </c>
      <c r="H23" s="237"/>
      <c r="I23" s="239"/>
      <c r="J23" s="113"/>
    </row>
    <row r="24" spans="1:10" x14ac:dyDescent="0.25">
      <c r="A24" s="237" t="s">
        <v>329</v>
      </c>
      <c r="B24" s="238">
        <f>I16</f>
        <v>3600</v>
      </c>
      <c r="C24" s="238"/>
      <c r="D24" s="238"/>
      <c r="E24" s="237"/>
      <c r="F24" s="237" t="s">
        <v>329</v>
      </c>
      <c r="G24" s="238">
        <f>I16</f>
        <v>3600</v>
      </c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4600</v>
      </c>
      <c r="E25" s="237"/>
      <c r="F25" s="237" t="s">
        <v>248</v>
      </c>
      <c r="G25" s="241">
        <v>0.1</v>
      </c>
      <c r="H25" s="238">
        <f>B25*B21</f>
        <v>4600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0" x14ac:dyDescent="0.25">
      <c r="A28" s="272" t="s">
        <v>368</v>
      </c>
      <c r="B28" s="268"/>
      <c r="C28" s="239"/>
      <c r="D28" s="218">
        <v>20102</v>
      </c>
      <c r="E28" s="239"/>
      <c r="F28" s="272" t="s">
        <v>368</v>
      </c>
      <c r="G28" s="268"/>
      <c r="H28" s="239">
        <v>20102</v>
      </c>
      <c r="I28" s="218"/>
      <c r="J28" s="113"/>
    </row>
    <row r="29" spans="1:10" x14ac:dyDescent="0.25">
      <c r="A29" s="258" t="s">
        <v>433</v>
      </c>
      <c r="B29" s="113"/>
      <c r="C29" s="113"/>
      <c r="D29" s="237">
        <v>15000</v>
      </c>
      <c r="E29" s="237"/>
      <c r="F29" s="258" t="s">
        <v>433</v>
      </c>
      <c r="G29" s="113"/>
      <c r="H29" s="113">
        <v>15000</v>
      </c>
      <c r="I29" s="237"/>
      <c r="J29" s="113"/>
    </row>
    <row r="30" spans="1:10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</row>
    <row r="31" spans="1:10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</row>
    <row r="32" spans="1:10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27486</v>
      </c>
      <c r="C34" s="269"/>
      <c r="D34" s="270">
        <f>SUM(D27:D33)</f>
        <v>35102</v>
      </c>
      <c r="E34" s="270">
        <f>B34-D34</f>
        <v>-7616</v>
      </c>
      <c r="F34" s="250" t="s">
        <v>3</v>
      </c>
      <c r="G34" s="269">
        <f>G21+G23+G24-H25</f>
        <v>27486</v>
      </c>
      <c r="H34" s="270">
        <f>SUM(H27:H33)</f>
        <v>35102</v>
      </c>
      <c r="I34" s="270">
        <f>G34-H34</f>
        <v>-7616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4" workbookViewId="0">
      <selection activeCell="I11" sqref="I11"/>
    </sheetView>
  </sheetViews>
  <sheetFormatPr defaultRowHeight="15" x14ac:dyDescent="0.25"/>
  <cols>
    <col min="1" max="1" width="10.42578125" customWidth="1"/>
    <col min="7" max="7" width="9.42578125" bestFit="1" customWidth="1"/>
    <col min="8" max="8" width="10" bestFit="1" customWidth="1"/>
  </cols>
  <sheetData>
    <row r="1" spans="1:12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</row>
    <row r="3" spans="1:12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</row>
    <row r="4" spans="1:12" ht="15.75" x14ac:dyDescent="0.25">
      <c r="A4" s="156"/>
      <c r="B4" s="156"/>
      <c r="C4" s="156"/>
      <c r="D4" s="19" t="s">
        <v>435</v>
      </c>
      <c r="E4" s="19"/>
      <c r="F4" s="19"/>
      <c r="G4" s="19"/>
      <c r="H4" s="156"/>
      <c r="I4" s="156"/>
      <c r="J4" s="156"/>
      <c r="K4" s="113"/>
      <c r="L4" s="113"/>
    </row>
    <row r="5" spans="1:12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</row>
    <row r="6" spans="1:12" x14ac:dyDescent="0.25">
      <c r="A6" s="178">
        <v>1</v>
      </c>
      <c r="B6" s="215" t="s">
        <v>439</v>
      </c>
      <c r="C6" s="215"/>
      <c r="D6" s="216">
        <f>'OCTOBER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  <c r="K6" s="113"/>
      <c r="L6" s="113"/>
    </row>
    <row r="7" spans="1:12" x14ac:dyDescent="0.25">
      <c r="A7" s="178">
        <v>2</v>
      </c>
      <c r="B7" s="215" t="s">
        <v>413</v>
      </c>
      <c r="C7" s="215"/>
      <c r="D7" s="216">
        <f>'OCTOBER 20'!H7:H16</f>
        <v>0</v>
      </c>
      <c r="E7" s="217">
        <v>6000</v>
      </c>
      <c r="F7" s="217">
        <f t="shared" si="0"/>
        <v>6000</v>
      </c>
      <c r="G7" s="217"/>
      <c r="H7" s="218">
        <f t="shared" ref="H7:H13" si="1">F7-G7</f>
        <v>6000</v>
      </c>
      <c r="I7" s="239"/>
      <c r="J7" s="156"/>
      <c r="K7" s="113"/>
      <c r="L7" s="113"/>
    </row>
    <row r="8" spans="1:12" x14ac:dyDescent="0.25">
      <c r="A8" s="178">
        <v>3</v>
      </c>
      <c r="B8" s="219" t="s">
        <v>289</v>
      </c>
      <c r="C8" s="219"/>
      <c r="D8" s="216">
        <f>'OCTOBER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  <c r="K8" s="113"/>
      <c r="L8" s="113"/>
    </row>
    <row r="9" spans="1:12" x14ac:dyDescent="0.25">
      <c r="A9" s="178">
        <v>4</v>
      </c>
      <c r="B9" s="275" t="s">
        <v>426</v>
      </c>
      <c r="C9" s="274"/>
      <c r="D9" s="216">
        <f>'OCTOBER 20'!H9:H18</f>
        <v>0</v>
      </c>
      <c r="E9" s="222">
        <v>8000</v>
      </c>
      <c r="F9" s="217">
        <f t="shared" si="0"/>
        <v>8000</v>
      </c>
      <c r="G9" s="222">
        <v>8000</v>
      </c>
      <c r="H9" s="218">
        <f>F9-G9</f>
        <v>0</v>
      </c>
      <c r="I9" s="239">
        <v>900</v>
      </c>
      <c r="J9" s="156"/>
      <c r="K9" s="113"/>
      <c r="L9" s="113"/>
    </row>
    <row r="10" spans="1:12" x14ac:dyDescent="0.25">
      <c r="A10" s="178">
        <v>5</v>
      </c>
      <c r="B10" s="219" t="s">
        <v>290</v>
      </c>
      <c r="C10" s="219"/>
      <c r="D10" s="216">
        <f>'OCTOBER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</row>
    <row r="11" spans="1:12" x14ac:dyDescent="0.25">
      <c r="A11" s="178">
        <v>6</v>
      </c>
      <c r="B11" s="223" t="s">
        <v>292</v>
      </c>
      <c r="C11" s="223"/>
      <c r="D11" s="216">
        <f>'OCTOBER 20'!H11:H20</f>
        <v>0</v>
      </c>
      <c r="E11" s="222">
        <v>8000</v>
      </c>
      <c r="F11" s="217">
        <f t="shared" si="0"/>
        <v>8000</v>
      </c>
      <c r="G11" s="222">
        <v>8000</v>
      </c>
      <c r="H11" s="218"/>
      <c r="I11" s="239">
        <v>900</v>
      </c>
      <c r="J11" s="156"/>
      <c r="K11" s="113"/>
      <c r="L11" s="113"/>
    </row>
    <row r="12" spans="1:12" x14ac:dyDescent="0.25">
      <c r="A12" s="178">
        <v>7</v>
      </c>
      <c r="B12" s="274"/>
      <c r="C12" s="275"/>
      <c r="D12" s="216">
        <f>'OCTOBER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</row>
    <row r="13" spans="1:12" x14ac:dyDescent="0.25">
      <c r="A13" s="178">
        <v>8</v>
      </c>
      <c r="B13" s="219"/>
      <c r="C13" s="219"/>
      <c r="D13" s="216">
        <f>'OCTOBER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  <c r="L13" s="113"/>
    </row>
    <row r="14" spans="1:12" x14ac:dyDescent="0.25">
      <c r="A14" s="178">
        <v>9</v>
      </c>
      <c r="B14" s="278" t="s">
        <v>240</v>
      </c>
      <c r="C14" s="278"/>
      <c r="D14" s="216">
        <f>'OCTOBER 20'!H14:H23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K14" s="113"/>
      <c r="L14" s="113"/>
    </row>
    <row r="15" spans="1:12" x14ac:dyDescent="0.25">
      <c r="A15" s="178">
        <v>10</v>
      </c>
      <c r="B15" s="219" t="s">
        <v>434</v>
      </c>
      <c r="C15" s="219"/>
      <c r="D15" s="216">
        <f>'OCTOBER 20'!H15:H24</f>
        <v>10000</v>
      </c>
      <c r="E15" s="284">
        <v>10000</v>
      </c>
      <c r="F15" s="217">
        <f t="shared" si="0"/>
        <v>20000</v>
      </c>
      <c r="G15" s="258">
        <f>10000</f>
        <v>10000</v>
      </c>
      <c r="H15" s="218">
        <f>10000</f>
        <v>10000</v>
      </c>
      <c r="I15" s="246"/>
      <c r="J15" s="156"/>
      <c r="K15" s="113"/>
      <c r="L15" s="113"/>
    </row>
    <row r="16" spans="1:12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27000</v>
      </c>
      <c r="E16" s="230">
        <f t="shared" si="2"/>
        <v>46000</v>
      </c>
      <c r="F16" s="217">
        <f t="shared" si="2"/>
        <v>73000</v>
      </c>
      <c r="G16" s="273">
        <f>SUM(G6:G15)</f>
        <v>40000</v>
      </c>
      <c r="H16" s="218">
        <f t="shared" si="2"/>
        <v>33000</v>
      </c>
      <c r="I16" s="246">
        <f t="shared" si="2"/>
        <v>3600</v>
      </c>
      <c r="J16" s="211" t="s">
        <v>56</v>
      </c>
      <c r="K16" s="113"/>
      <c r="L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</row>
    <row r="21" spans="1:12" x14ac:dyDescent="0.25">
      <c r="A21" s="237" t="s">
        <v>373</v>
      </c>
      <c r="B21" s="238">
        <f>E16</f>
        <v>46000</v>
      </c>
      <c r="C21" s="238"/>
      <c r="D21" s="238"/>
      <c r="E21" s="237"/>
      <c r="F21" s="237" t="s">
        <v>373</v>
      </c>
      <c r="G21" s="238">
        <f>G16</f>
        <v>40000</v>
      </c>
      <c r="H21" s="237"/>
      <c r="I21" s="239"/>
      <c r="J21" s="113"/>
      <c r="K21" s="113"/>
      <c r="L21" s="113"/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  <c r="L22" s="113"/>
    </row>
    <row r="23" spans="1:12" x14ac:dyDescent="0.25">
      <c r="A23" s="237" t="s">
        <v>233</v>
      </c>
      <c r="B23" s="238">
        <f>'NOVEMBER 20'!E34</f>
        <v>-7616</v>
      </c>
      <c r="C23" s="238"/>
      <c r="D23" s="238"/>
      <c r="E23" s="237"/>
      <c r="F23" s="237" t="s">
        <v>233</v>
      </c>
      <c r="G23" s="238">
        <f>'NOVEMBER 20'!I34</f>
        <v>-7616</v>
      </c>
      <c r="H23" s="237"/>
      <c r="I23" s="239"/>
      <c r="J23" s="113"/>
      <c r="K23" s="113"/>
      <c r="L23" s="113"/>
    </row>
    <row r="24" spans="1:12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4600</v>
      </c>
      <c r="E25" s="237"/>
      <c r="F25" s="237" t="s">
        <v>248</v>
      </c>
      <c r="G25" s="241">
        <v>0.1</v>
      </c>
      <c r="H25" s="238">
        <f>B25*B21</f>
        <v>4600</v>
      </c>
      <c r="I25" s="239"/>
      <c r="J25" s="113"/>
      <c r="K25" s="113"/>
      <c r="L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</row>
    <row r="27" spans="1:12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</row>
    <row r="28" spans="1:12" x14ac:dyDescent="0.25">
      <c r="A28" s="272"/>
      <c r="B28" s="268"/>
      <c r="C28" s="239"/>
      <c r="D28" s="218"/>
      <c r="E28" s="239"/>
      <c r="F28" s="272"/>
      <c r="G28" s="268"/>
      <c r="H28" s="239"/>
      <c r="I28" s="218"/>
      <c r="J28" s="113"/>
      <c r="K28" s="113"/>
      <c r="L28" s="113"/>
    </row>
    <row r="29" spans="1:12" x14ac:dyDescent="0.25">
      <c r="A29" s="258" t="s">
        <v>436</v>
      </c>
      <c r="B29" s="113"/>
      <c r="C29" s="113"/>
      <c r="D29" s="237">
        <v>3056</v>
      </c>
      <c r="E29" s="237"/>
      <c r="F29" s="258" t="s">
        <v>436</v>
      </c>
      <c r="G29" s="113"/>
      <c r="H29" s="113">
        <v>3056</v>
      </c>
      <c r="I29" s="237"/>
      <c r="J29" s="113"/>
      <c r="K29" s="113"/>
      <c r="L29" s="113"/>
    </row>
    <row r="30" spans="1:12" x14ac:dyDescent="0.25">
      <c r="A30" s="258" t="s">
        <v>437</v>
      </c>
      <c r="B30" s="272"/>
      <c r="C30" s="245"/>
      <c r="D30" s="246">
        <v>20102</v>
      </c>
      <c r="E30" s="247"/>
      <c r="F30" s="258" t="s">
        <v>437</v>
      </c>
      <c r="G30" s="272"/>
      <c r="H30" s="245">
        <v>20102</v>
      </c>
      <c r="I30" s="246"/>
      <c r="J30" s="113"/>
      <c r="K30" s="113"/>
      <c r="L30" s="113"/>
    </row>
    <row r="31" spans="1:12" x14ac:dyDescent="0.25">
      <c r="A31" s="258" t="s">
        <v>438</v>
      </c>
      <c r="B31" s="245"/>
      <c r="C31" s="245"/>
      <c r="D31" s="246">
        <v>11617</v>
      </c>
      <c r="E31" s="247"/>
      <c r="F31" s="258" t="s">
        <v>438</v>
      </c>
      <c r="G31" s="245"/>
      <c r="H31" s="245">
        <v>11617</v>
      </c>
      <c r="I31" s="246"/>
      <c r="J31" s="113"/>
      <c r="K31" s="113"/>
      <c r="L31" s="113"/>
    </row>
    <row r="32" spans="1:12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</row>
    <row r="33" spans="1:12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  <c r="L33" s="113"/>
    </row>
    <row r="34" spans="1:12" x14ac:dyDescent="0.25">
      <c r="A34" s="250" t="s">
        <v>3</v>
      </c>
      <c r="B34" s="269">
        <f>B21+B23+B22+B24-D25</f>
        <v>33784</v>
      </c>
      <c r="C34" s="269"/>
      <c r="D34" s="270">
        <f>SUM(D27:D33)</f>
        <v>34775</v>
      </c>
      <c r="E34" s="270">
        <f>B34-D34</f>
        <v>-991</v>
      </c>
      <c r="F34" s="250" t="s">
        <v>3</v>
      </c>
      <c r="G34" s="269">
        <f>G21+G23+G24-H25</f>
        <v>27784</v>
      </c>
      <c r="H34" s="270">
        <f>SUM(H27:H33)</f>
        <v>34775</v>
      </c>
      <c r="I34" s="270">
        <f>G34-H34</f>
        <v>-6991</v>
      </c>
      <c r="J34" s="113"/>
      <c r="K34" s="113"/>
      <c r="L34" s="113"/>
    </row>
    <row r="35" spans="1:12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</row>
    <row r="36" spans="1:12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</row>
    <row r="37" spans="1:12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</row>
    <row r="38" spans="1:12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  <c r="L38" s="113"/>
    </row>
    <row r="39" spans="1:12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  <c r="L39" s="113"/>
    </row>
    <row r="40" spans="1:12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</row>
    <row r="41" spans="1:12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</row>
    <row r="42" spans="1:12" x14ac:dyDescent="0.25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4" workbookViewId="0">
      <selection activeCell="I15" sqref="I15"/>
    </sheetView>
  </sheetViews>
  <sheetFormatPr defaultRowHeight="15" x14ac:dyDescent="0.25"/>
  <cols>
    <col min="1" max="1" width="9" customWidth="1"/>
    <col min="2" max="2" width="20.28515625" customWidth="1"/>
    <col min="8" max="8" width="10" bestFit="1" customWidth="1"/>
  </cols>
  <sheetData>
    <row r="1" spans="1:15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5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5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5" ht="15.75" x14ac:dyDescent="0.25">
      <c r="A4" s="156"/>
      <c r="B4" s="156"/>
      <c r="C4" s="156"/>
      <c r="D4" s="19" t="s">
        <v>445</v>
      </c>
      <c r="E4" s="19"/>
      <c r="F4" s="19"/>
      <c r="G4" s="19"/>
      <c r="H4" s="156"/>
      <c r="I4" s="156"/>
      <c r="J4" s="156"/>
    </row>
    <row r="5" spans="1:15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5" x14ac:dyDescent="0.25">
      <c r="A6" s="178">
        <v>1</v>
      </c>
      <c r="B6" s="215" t="s">
        <v>439</v>
      </c>
      <c r="C6" s="215"/>
      <c r="D6" s="216">
        <f>'DECEMBER 20'!H6:H15</f>
        <v>0</v>
      </c>
      <c r="E6" s="217">
        <v>40000</v>
      </c>
      <c r="F6" s="217">
        <f t="shared" ref="F6:F15" si="0">D6+E6+C6</f>
        <v>40000</v>
      </c>
      <c r="G6" s="217">
        <v>40000</v>
      </c>
      <c r="H6" s="218">
        <f>F6-G6</f>
        <v>0</v>
      </c>
      <c r="I6" s="239"/>
      <c r="J6" s="156" t="s">
        <v>308</v>
      </c>
    </row>
    <row r="7" spans="1:15" x14ac:dyDescent="0.25">
      <c r="A7" s="178">
        <v>2</v>
      </c>
      <c r="B7" s="215" t="s">
        <v>413</v>
      </c>
      <c r="C7" s="215"/>
      <c r="D7" s="216">
        <f>'DECEMBER 20'!H7:H16</f>
        <v>6000</v>
      </c>
      <c r="E7" s="217">
        <v>6000</v>
      </c>
      <c r="F7" s="217">
        <f t="shared" si="0"/>
        <v>12000</v>
      </c>
      <c r="G7" s="217"/>
      <c r="H7" s="218">
        <f t="shared" ref="H7:H13" si="1">F7-G7</f>
        <v>12000</v>
      </c>
      <c r="I7" s="239"/>
      <c r="J7" s="156" t="s">
        <v>443</v>
      </c>
    </row>
    <row r="8" spans="1:15" x14ac:dyDescent="0.25">
      <c r="A8" s="178">
        <v>3</v>
      </c>
      <c r="B8" s="219" t="s">
        <v>289</v>
      </c>
      <c r="C8" s="219"/>
      <c r="D8" s="216">
        <f>'DECEMBER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</row>
    <row r="9" spans="1:15" x14ac:dyDescent="0.25">
      <c r="A9" s="178">
        <v>4</v>
      </c>
      <c r="B9" s="275" t="s">
        <v>426</v>
      </c>
      <c r="C9" s="274"/>
      <c r="D9" s="216">
        <f>'DECEMBER 20'!H9:H18</f>
        <v>0</v>
      </c>
      <c r="E9" s="222">
        <v>8000</v>
      </c>
      <c r="F9" s="217">
        <f t="shared" si="0"/>
        <v>8000</v>
      </c>
      <c r="G9" s="222">
        <v>8000</v>
      </c>
      <c r="H9" s="218">
        <f>F9-G9</f>
        <v>0</v>
      </c>
      <c r="I9" s="239">
        <v>900</v>
      </c>
      <c r="J9" s="156"/>
    </row>
    <row r="10" spans="1:15" x14ac:dyDescent="0.25">
      <c r="A10" s="178">
        <v>5</v>
      </c>
      <c r="B10" s="219" t="s">
        <v>290</v>
      </c>
      <c r="C10" s="219"/>
      <c r="D10" s="216">
        <f>'DECEMBER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5" x14ac:dyDescent="0.25">
      <c r="A11" s="178">
        <v>6</v>
      </c>
      <c r="B11" s="223" t="s">
        <v>292</v>
      </c>
      <c r="C11" s="223"/>
      <c r="D11" s="216">
        <f>'DECEMBER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5" x14ac:dyDescent="0.25">
      <c r="A12" s="178">
        <v>7</v>
      </c>
      <c r="B12" s="274"/>
      <c r="C12" s="275"/>
      <c r="D12" s="216">
        <f>'DECEMBER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5" x14ac:dyDescent="0.25">
      <c r="A13" s="178">
        <v>8</v>
      </c>
      <c r="B13" s="219"/>
      <c r="C13" s="219"/>
      <c r="D13" s="216">
        <f>'DECEMBER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5" x14ac:dyDescent="0.25">
      <c r="A14" s="178">
        <v>9</v>
      </c>
      <c r="B14" s="278" t="s">
        <v>240</v>
      </c>
      <c r="C14" s="278"/>
      <c r="D14" s="216">
        <f>'DECEMBER 20'!H14:H23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O14" t="s">
        <v>441</v>
      </c>
    </row>
    <row r="15" spans="1:15" x14ac:dyDescent="0.25">
      <c r="A15" s="178">
        <v>10</v>
      </c>
      <c r="B15" s="219" t="s">
        <v>434</v>
      </c>
      <c r="C15" s="219"/>
      <c r="D15" s="216">
        <f>'DECEMBER 20'!H15:H24</f>
        <v>10000</v>
      </c>
      <c r="E15" s="284">
        <v>10000</v>
      </c>
      <c r="F15" s="217">
        <f t="shared" si="0"/>
        <v>20000</v>
      </c>
      <c r="G15" s="258">
        <f>10000</f>
        <v>10000</v>
      </c>
      <c r="H15" s="218">
        <f>10000</f>
        <v>10000</v>
      </c>
      <c r="I15" s="246"/>
      <c r="J15" s="156"/>
    </row>
    <row r="16" spans="1:15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33000</v>
      </c>
      <c r="E16" s="230">
        <f t="shared" si="2"/>
        <v>86000</v>
      </c>
      <c r="F16" s="217">
        <f t="shared" si="2"/>
        <v>119000</v>
      </c>
      <c r="G16" s="273">
        <f>SUM(G6:G15)</f>
        <v>80000</v>
      </c>
      <c r="H16" s="218">
        <f>SUM(H6:H15)</f>
        <v>39000</v>
      </c>
      <c r="I16" s="246">
        <f t="shared" si="2"/>
        <v>3600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375</v>
      </c>
      <c r="B21" s="238">
        <f>E16</f>
        <v>86000</v>
      </c>
      <c r="C21" s="238"/>
      <c r="D21" s="238"/>
      <c r="E21" s="237"/>
      <c r="F21" s="237" t="s">
        <v>375</v>
      </c>
      <c r="G21" s="238">
        <f>G16</f>
        <v>80000</v>
      </c>
      <c r="H21" s="237"/>
      <c r="I21" s="239"/>
      <c r="J21" s="113"/>
    </row>
    <row r="22" spans="1:10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'DECEMBER 20'!E34</f>
        <v>-991</v>
      </c>
      <c r="C23" s="238"/>
      <c r="D23" s="238"/>
      <c r="E23" s="237"/>
      <c r="F23" s="237" t="s">
        <v>233</v>
      </c>
      <c r="G23" s="238">
        <f>'DECEMBER 20'!I34</f>
        <v>-6991</v>
      </c>
      <c r="H23" s="237"/>
      <c r="I23" s="239"/>
      <c r="J23" s="113"/>
    </row>
    <row r="24" spans="1:10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8600</v>
      </c>
      <c r="E25" s="237"/>
      <c r="F25" s="237" t="s">
        <v>248</v>
      </c>
      <c r="G25" s="241">
        <v>0.1</v>
      </c>
      <c r="H25" s="238">
        <f>B25*B21</f>
        <v>8600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0" x14ac:dyDescent="0.25">
      <c r="A28" s="285">
        <v>44201</v>
      </c>
      <c r="B28" s="268"/>
      <c r="C28" s="239"/>
      <c r="D28" s="218">
        <v>50105</v>
      </c>
      <c r="E28" s="239"/>
      <c r="F28" s="285">
        <v>44201</v>
      </c>
      <c r="G28" s="268"/>
      <c r="H28" s="239">
        <v>50105</v>
      </c>
      <c r="I28" s="218"/>
      <c r="J28" s="113"/>
    </row>
    <row r="29" spans="1:10" x14ac:dyDescent="0.25">
      <c r="A29" s="258" t="s">
        <v>440</v>
      </c>
      <c r="B29" s="113"/>
      <c r="C29" s="113"/>
      <c r="D29" s="237">
        <v>20102</v>
      </c>
      <c r="E29" s="237"/>
      <c r="F29" s="258" t="s">
        <v>440</v>
      </c>
      <c r="G29" s="113"/>
      <c r="H29" s="113">
        <v>20102</v>
      </c>
      <c r="I29" s="237"/>
      <c r="J29" s="113"/>
    </row>
    <row r="30" spans="1:10" x14ac:dyDescent="0.25">
      <c r="A30" s="258" t="s">
        <v>442</v>
      </c>
      <c r="B30" s="272"/>
      <c r="C30" s="245"/>
      <c r="D30" s="246">
        <v>40000</v>
      </c>
      <c r="E30" s="247"/>
      <c r="F30" s="258" t="s">
        <v>442</v>
      </c>
      <c r="G30" s="272"/>
      <c r="H30" s="245">
        <v>40000</v>
      </c>
      <c r="I30" s="246"/>
      <c r="J30" s="113"/>
    </row>
    <row r="31" spans="1:10" x14ac:dyDescent="0.25">
      <c r="A31" s="258" t="s">
        <v>444</v>
      </c>
      <c r="B31" s="245"/>
      <c r="C31" s="245"/>
      <c r="D31" s="246">
        <v>12000</v>
      </c>
      <c r="E31" s="247"/>
      <c r="F31" s="258"/>
      <c r="G31" s="245"/>
      <c r="H31" s="245"/>
      <c r="I31" s="246"/>
      <c r="J31" s="113"/>
    </row>
    <row r="32" spans="1:10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76409</v>
      </c>
      <c r="C34" s="269"/>
      <c r="D34" s="270">
        <f>SUM(D27:D33)</f>
        <v>122207</v>
      </c>
      <c r="E34" s="270">
        <f>B34-D34</f>
        <v>-45798</v>
      </c>
      <c r="F34" s="250" t="s">
        <v>3</v>
      </c>
      <c r="G34" s="269">
        <f>G21+G23+G24-H25</f>
        <v>64409</v>
      </c>
      <c r="H34" s="270">
        <f>SUM(H27:H33)</f>
        <v>110207</v>
      </c>
      <c r="I34" s="270">
        <f>G34-H34</f>
        <v>-45798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K2" sqref="K2"/>
    </sheetView>
  </sheetViews>
  <sheetFormatPr defaultRowHeight="15" x14ac:dyDescent="0.25"/>
  <cols>
    <col min="1" max="1" width="8.140625" customWidth="1"/>
    <col min="2" max="2" width="22.28515625" customWidth="1"/>
    <col min="6" max="6" width="13" customWidth="1"/>
    <col min="8" max="8" width="10" bestFit="1" customWidth="1"/>
  </cols>
  <sheetData>
    <row r="1" spans="1:13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>
        <f>5*900</f>
        <v>4500</v>
      </c>
      <c r="L1" s="113"/>
      <c r="M1" s="113"/>
    </row>
    <row r="2" spans="1:13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  <c r="M2" s="113"/>
    </row>
    <row r="3" spans="1:13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  <c r="M3" s="113"/>
    </row>
    <row r="4" spans="1:13" ht="15.75" x14ac:dyDescent="0.25">
      <c r="A4" s="156"/>
      <c r="B4" s="156"/>
      <c r="C4" s="156"/>
      <c r="D4" s="19" t="s">
        <v>446</v>
      </c>
      <c r="E4" s="19"/>
      <c r="F4" s="19"/>
      <c r="G4" s="19"/>
      <c r="H4" s="156"/>
      <c r="I4" s="156"/>
      <c r="J4" s="156"/>
      <c r="K4" s="113"/>
      <c r="L4" s="113"/>
      <c r="M4" s="113"/>
    </row>
    <row r="5" spans="1:13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</row>
    <row r="6" spans="1:13" x14ac:dyDescent="0.25">
      <c r="A6" s="178">
        <v>1</v>
      </c>
      <c r="B6" s="215" t="s">
        <v>439</v>
      </c>
      <c r="C6" s="215"/>
      <c r="D6" s="216">
        <f>'JANUARY 21'!H6:H15</f>
        <v>0</v>
      </c>
      <c r="E6" s="217">
        <v>40000</v>
      </c>
      <c r="F6" s="217">
        <f t="shared" ref="F6:F15" si="0">D6+E6+C6</f>
        <v>40000</v>
      </c>
      <c r="G6" s="217">
        <f>40000</f>
        <v>40000</v>
      </c>
      <c r="H6" s="218">
        <f>F6-G6</f>
        <v>0</v>
      </c>
      <c r="I6" s="239"/>
      <c r="J6" s="156"/>
      <c r="K6" s="113"/>
      <c r="L6" s="113"/>
      <c r="M6" s="113"/>
    </row>
    <row r="7" spans="1:13" x14ac:dyDescent="0.25">
      <c r="A7" s="178">
        <v>2</v>
      </c>
      <c r="B7" s="215" t="s">
        <v>448</v>
      </c>
      <c r="C7" s="215">
        <v>9000</v>
      </c>
      <c r="D7" s="216"/>
      <c r="E7" s="217">
        <v>9000</v>
      </c>
      <c r="F7" s="217">
        <f t="shared" si="0"/>
        <v>18000</v>
      </c>
      <c r="G7" s="217">
        <v>18000</v>
      </c>
      <c r="H7" s="218">
        <f t="shared" ref="H7:H13" si="1">F7-G7</f>
        <v>0</v>
      </c>
      <c r="I7" s="239"/>
      <c r="J7" s="156"/>
      <c r="K7" s="113"/>
      <c r="L7" s="113"/>
      <c r="M7" s="113"/>
    </row>
    <row r="8" spans="1:13" x14ac:dyDescent="0.25">
      <c r="A8" s="178">
        <v>3</v>
      </c>
      <c r="B8" s="219" t="s">
        <v>289</v>
      </c>
      <c r="C8" s="219"/>
      <c r="D8" s="216">
        <f>'JANUARY 21'!H8:H17</f>
        <v>0</v>
      </c>
      <c r="E8" s="222">
        <v>6000</v>
      </c>
      <c r="F8" s="217">
        <f t="shared" si="0"/>
        <v>6000</v>
      </c>
      <c r="G8" s="222">
        <f>6000</f>
        <v>6000</v>
      </c>
      <c r="H8" s="218">
        <f t="shared" si="1"/>
        <v>0</v>
      </c>
      <c r="I8" s="239">
        <v>900</v>
      </c>
      <c r="J8" s="113"/>
      <c r="K8" s="113"/>
      <c r="L8" s="113"/>
      <c r="M8" s="113"/>
    </row>
    <row r="9" spans="1:13" x14ac:dyDescent="0.25">
      <c r="A9" s="178">
        <v>4</v>
      </c>
      <c r="B9" s="275" t="s">
        <v>426</v>
      </c>
      <c r="C9" s="274"/>
      <c r="D9" s="216">
        <f>'JANUARY 21'!H9:H18</f>
        <v>0</v>
      </c>
      <c r="E9" s="222">
        <v>8000</v>
      </c>
      <c r="F9" s="217">
        <f t="shared" si="0"/>
        <v>8000</v>
      </c>
      <c r="G9" s="222">
        <f>8000</f>
        <v>8000</v>
      </c>
      <c r="H9" s="218">
        <f>F9-G9</f>
        <v>0</v>
      </c>
      <c r="I9" s="239">
        <v>900</v>
      </c>
      <c r="J9" s="156"/>
      <c r="K9" s="113"/>
      <c r="L9" s="113"/>
      <c r="M9" s="113"/>
    </row>
    <row r="10" spans="1:13" x14ac:dyDescent="0.25">
      <c r="A10" s="178">
        <v>5</v>
      </c>
      <c r="B10" s="219" t="s">
        <v>290</v>
      </c>
      <c r="C10" s="219"/>
      <c r="D10" s="216">
        <f>'JANUARY 21'!H10:H19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  <c r="M10" s="113"/>
    </row>
    <row r="11" spans="1:13" x14ac:dyDescent="0.25">
      <c r="A11" s="178">
        <v>6</v>
      </c>
      <c r="B11" s="223" t="s">
        <v>292</v>
      </c>
      <c r="C11" s="223"/>
      <c r="D11" s="216">
        <f>'JANUARY 21'!H11:H20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</row>
    <row r="12" spans="1:13" x14ac:dyDescent="0.25">
      <c r="A12" s="178">
        <v>7</v>
      </c>
      <c r="B12" s="274"/>
      <c r="C12" s="275"/>
      <c r="D12" s="216">
        <f>'JANUARY 21'!H12:H21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  <c r="M12" s="113"/>
    </row>
    <row r="13" spans="1:13" x14ac:dyDescent="0.25">
      <c r="A13" s="178">
        <v>8</v>
      </c>
      <c r="B13" s="219"/>
      <c r="C13" s="219"/>
      <c r="D13" s="216">
        <f>'JANUARY 21'!H13:H22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  <c r="L13" s="113"/>
      <c r="M13" s="113"/>
    </row>
    <row r="14" spans="1:13" x14ac:dyDescent="0.25">
      <c r="A14" s="178">
        <v>9</v>
      </c>
      <c r="B14" s="278" t="s">
        <v>240</v>
      </c>
      <c r="C14" s="278"/>
      <c r="D14" s="216">
        <f>'JANUARY 21'!H14:H23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K14" s="113"/>
      <c r="L14" s="113"/>
      <c r="M14" s="113"/>
    </row>
    <row r="15" spans="1:13" x14ac:dyDescent="0.25">
      <c r="A15" s="178">
        <v>10</v>
      </c>
      <c r="B15" s="219" t="s">
        <v>434</v>
      </c>
      <c r="C15" s="219"/>
      <c r="D15" s="216">
        <f>'JANUARY 21'!H15:H24</f>
        <v>10000</v>
      </c>
      <c r="E15" s="284">
        <v>10000</v>
      </c>
      <c r="F15" s="217">
        <f t="shared" si="0"/>
        <v>20000</v>
      </c>
      <c r="G15" s="258">
        <v>10000</v>
      </c>
      <c r="H15" s="218">
        <f>10000</f>
        <v>10000</v>
      </c>
      <c r="I15" s="246"/>
      <c r="J15" s="156"/>
      <c r="K15" s="113"/>
      <c r="L15" s="113"/>
      <c r="M15" s="113"/>
    </row>
    <row r="16" spans="1:13" x14ac:dyDescent="0.25">
      <c r="A16" s="212"/>
      <c r="B16" s="228" t="s">
        <v>3</v>
      </c>
      <c r="C16" s="228">
        <f t="shared" ref="C16:I16" si="2">SUM(C6:C15)</f>
        <v>9000</v>
      </c>
      <c r="D16" s="216">
        <f>SUM(D6:D15)</f>
        <v>27000</v>
      </c>
      <c r="E16" s="230">
        <f t="shared" si="2"/>
        <v>89000</v>
      </c>
      <c r="F16" s="217">
        <f t="shared" si="2"/>
        <v>125000</v>
      </c>
      <c r="G16" s="273">
        <f>SUM(G6:G15)</f>
        <v>98000</v>
      </c>
      <c r="H16" s="218">
        <f>SUM(H6:H15)</f>
        <v>27000</v>
      </c>
      <c r="I16" s="246">
        <f t="shared" si="2"/>
        <v>3600</v>
      </c>
      <c r="J16" s="211" t="s">
        <v>56</v>
      </c>
      <c r="K16" s="113"/>
      <c r="L16" s="113"/>
      <c r="M16" s="113"/>
    </row>
    <row r="17" spans="1:13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</row>
    <row r="18" spans="1:13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</row>
    <row r="19" spans="1:13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</row>
    <row r="20" spans="1:13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  <c r="M20" s="113"/>
    </row>
    <row r="21" spans="1:13" x14ac:dyDescent="0.25">
      <c r="A21" s="237" t="s">
        <v>380</v>
      </c>
      <c r="B21" s="238">
        <f>E16</f>
        <v>89000</v>
      </c>
      <c r="C21" s="238"/>
      <c r="D21" s="238"/>
      <c r="E21" s="237"/>
      <c r="F21" s="237" t="s">
        <v>380</v>
      </c>
      <c r="G21" s="238">
        <f>G16</f>
        <v>98000</v>
      </c>
      <c r="H21" s="237"/>
      <c r="I21" s="239"/>
      <c r="J21" s="113"/>
      <c r="K21" s="113"/>
      <c r="L21" s="113"/>
      <c r="M21" s="113"/>
    </row>
    <row r="22" spans="1:13" x14ac:dyDescent="0.25">
      <c r="A22" s="237" t="s">
        <v>123</v>
      </c>
      <c r="B22" s="238">
        <f>C16</f>
        <v>9000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</row>
    <row r="23" spans="1:13" x14ac:dyDescent="0.25">
      <c r="A23" s="237" t="s">
        <v>233</v>
      </c>
      <c r="B23" s="238">
        <f>'JANUARY 21'!E34</f>
        <v>-45798</v>
      </c>
      <c r="C23" s="238"/>
      <c r="D23" s="238"/>
      <c r="E23" s="237"/>
      <c r="F23" s="237" t="s">
        <v>233</v>
      </c>
      <c r="G23" s="238">
        <f>'JANUARY 21'!I34</f>
        <v>-45798</v>
      </c>
      <c r="H23" s="237"/>
      <c r="I23" s="239"/>
      <c r="J23" s="113"/>
      <c r="K23" s="113"/>
      <c r="L23" s="113"/>
      <c r="M23" s="113"/>
    </row>
    <row r="24" spans="1:13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</row>
    <row r="25" spans="1:13" x14ac:dyDescent="0.25">
      <c r="A25" s="237" t="s">
        <v>190</v>
      </c>
      <c r="B25" s="241">
        <v>0.1</v>
      </c>
      <c r="C25" s="241"/>
      <c r="D25" s="238">
        <f>B21*B25</f>
        <v>8900</v>
      </c>
      <c r="E25" s="237"/>
      <c r="F25" s="237" t="s">
        <v>248</v>
      </c>
      <c r="G25" s="241">
        <v>0.1</v>
      </c>
      <c r="H25" s="238">
        <f>B25*B21</f>
        <v>8900</v>
      </c>
      <c r="I25" s="239"/>
      <c r="J25" s="113"/>
      <c r="K25" s="113"/>
      <c r="L25" s="113"/>
      <c r="M25" s="113"/>
    </row>
    <row r="26" spans="1:13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  <c r="M26" s="113"/>
    </row>
    <row r="27" spans="1:13" x14ac:dyDescent="0.25">
      <c r="A27" s="272"/>
      <c r="B27" s="268" t="s">
        <v>374</v>
      </c>
      <c r="C27" s="277">
        <v>0.3</v>
      </c>
      <c r="D27" s="218">
        <f>C27*C7</f>
        <v>2700</v>
      </c>
      <c r="E27" s="239"/>
      <c r="F27" s="268" t="s">
        <v>374</v>
      </c>
      <c r="G27" s="277">
        <v>0.3</v>
      </c>
      <c r="H27" s="218">
        <f>G27*C7</f>
        <v>2700</v>
      </c>
      <c r="I27" s="218"/>
      <c r="J27" s="113"/>
      <c r="K27" s="113"/>
      <c r="L27" s="113"/>
      <c r="M27" s="113"/>
    </row>
    <row r="28" spans="1:13" x14ac:dyDescent="0.25">
      <c r="A28" s="285" t="s">
        <v>447</v>
      </c>
      <c r="B28" s="268"/>
      <c r="C28" s="239"/>
      <c r="D28" s="218">
        <v>10087</v>
      </c>
      <c r="E28" s="239"/>
      <c r="F28" s="285" t="s">
        <v>447</v>
      </c>
      <c r="G28" s="268"/>
      <c r="H28" s="239">
        <v>10087</v>
      </c>
      <c r="I28" s="218"/>
      <c r="J28" s="113"/>
      <c r="K28" s="113"/>
      <c r="L28" s="113"/>
      <c r="M28" s="113"/>
    </row>
    <row r="29" spans="1:13" x14ac:dyDescent="0.25">
      <c r="A29" s="258" t="s">
        <v>449</v>
      </c>
      <c r="B29" s="113"/>
      <c r="C29" s="113"/>
      <c r="D29" s="237">
        <v>20102</v>
      </c>
      <c r="E29" s="237"/>
      <c r="F29" s="258" t="s">
        <v>449</v>
      </c>
      <c r="G29" s="113"/>
      <c r="H29" s="113">
        <v>20102</v>
      </c>
      <c r="I29" s="237"/>
      <c r="J29" s="113"/>
      <c r="K29" s="113"/>
      <c r="L29" s="113"/>
      <c r="M29" s="113"/>
    </row>
    <row r="30" spans="1:13" x14ac:dyDescent="0.25">
      <c r="A30" s="258" t="s">
        <v>450</v>
      </c>
      <c r="B30" s="272"/>
      <c r="C30" s="245"/>
      <c r="D30" s="246">
        <v>21105</v>
      </c>
      <c r="E30" s="247"/>
      <c r="F30" s="258" t="s">
        <v>450</v>
      </c>
      <c r="G30" s="272"/>
      <c r="H30" s="245">
        <v>21105</v>
      </c>
      <c r="I30" s="246"/>
      <c r="J30" s="113"/>
      <c r="K30" s="113"/>
      <c r="L30" s="113"/>
      <c r="M30" s="113"/>
    </row>
    <row r="31" spans="1:13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  <c r="L31" s="113"/>
      <c r="M31" s="113"/>
    </row>
    <row r="32" spans="1:13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  <c r="M32" s="113"/>
    </row>
    <row r="33" spans="1:13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  <c r="L33" s="113"/>
      <c r="M33" s="113"/>
    </row>
    <row r="34" spans="1:13" x14ac:dyDescent="0.25">
      <c r="A34" s="250" t="s">
        <v>3</v>
      </c>
      <c r="B34" s="269">
        <f>B21+B23+B22+B24-D25</f>
        <v>43302</v>
      </c>
      <c r="C34" s="269"/>
      <c r="D34" s="270">
        <f>SUM(D27:D33)</f>
        <v>53994</v>
      </c>
      <c r="E34" s="270">
        <f>B34-D34</f>
        <v>-10692</v>
      </c>
      <c r="F34" s="250" t="s">
        <v>3</v>
      </c>
      <c r="G34" s="269">
        <f>G21+G23+G24-H25</f>
        <v>43302</v>
      </c>
      <c r="H34" s="270">
        <f>SUM(H27:H33)</f>
        <v>53994</v>
      </c>
      <c r="I34" s="270">
        <f>G34-H34</f>
        <v>-10692</v>
      </c>
      <c r="J34" s="113"/>
      <c r="K34" s="113"/>
      <c r="L34" s="113"/>
      <c r="M34" s="113"/>
    </row>
    <row r="35" spans="1:13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  <c r="M35" s="113"/>
    </row>
    <row r="36" spans="1:13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  <c r="M36" s="113"/>
    </row>
    <row r="37" spans="1:13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  <c r="M37" s="113"/>
    </row>
    <row r="38" spans="1:13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  <c r="L38" s="113"/>
      <c r="M38" s="113"/>
    </row>
    <row r="39" spans="1:13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  <c r="L39" s="113"/>
      <c r="M39" s="113"/>
    </row>
    <row r="40" spans="1:13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L24" sqref="L24"/>
    </sheetView>
  </sheetViews>
  <sheetFormatPr defaultRowHeight="15" x14ac:dyDescent="0.25"/>
  <cols>
    <col min="2" max="2" width="14.42578125" customWidth="1"/>
    <col min="3" max="3" width="14.85546875" customWidth="1"/>
    <col min="8" max="8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451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 t="s">
        <v>439</v>
      </c>
      <c r="C6" s="215"/>
      <c r="D6" s="216">
        <f>'FEBRUARY 21'!H6:H15</f>
        <v>0</v>
      </c>
      <c r="E6" s="217">
        <v>40000</v>
      </c>
      <c r="F6" s="217">
        <f t="shared" ref="F6:F15" si="0">D6+E6+C6</f>
        <v>40000</v>
      </c>
      <c r="G6" s="217">
        <v>40000</v>
      </c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448</v>
      </c>
      <c r="C7" s="215"/>
      <c r="D7" s="216">
        <f>'FEBRUARY 21'!H7:H16</f>
        <v>0</v>
      </c>
      <c r="E7" s="217">
        <v>9000</v>
      </c>
      <c r="F7" s="217">
        <f t="shared" si="0"/>
        <v>9000</v>
      </c>
      <c r="G7" s="217">
        <v>9000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'FEBRUARY 21'!H8:H17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  <c r="K8" s="113"/>
    </row>
    <row r="9" spans="1:11" x14ac:dyDescent="0.25">
      <c r="A9" s="178">
        <v>4</v>
      </c>
      <c r="B9" s="275" t="s">
        <v>426</v>
      </c>
      <c r="C9" s="274"/>
      <c r="D9" s="216">
        <f>'FEBRUARY 21'!H9:H18</f>
        <v>0</v>
      </c>
      <c r="E9" s="222">
        <v>8000</v>
      </c>
      <c r="F9" s="217">
        <f t="shared" si="0"/>
        <v>8000</v>
      </c>
      <c r="G9" s="222">
        <v>8000</v>
      </c>
      <c r="H9" s="218">
        <f>F9-G9</f>
        <v>0</v>
      </c>
      <c r="I9" s="239">
        <v>900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'FEBRUARY 21'!H10:H19</f>
        <v>0</v>
      </c>
      <c r="E10" s="222">
        <v>8000</v>
      </c>
      <c r="F10" s="217">
        <f t="shared" si="0"/>
        <v>8000</v>
      </c>
      <c r="G10" s="222">
        <f>8000</f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'FEBRUARY 21'!H11:H20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'FEBRUARY 21'!H12:H21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'FEBRUARY 21'!H13:H22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/>
      <c r="C14" s="278"/>
      <c r="D14" s="216"/>
      <c r="E14" s="280"/>
      <c r="F14" s="281">
        <f>D14+E14+C14</f>
        <v>0</v>
      </c>
      <c r="G14" s="282"/>
      <c r="H14" s="283">
        <f>F14-G14</f>
        <v>0</v>
      </c>
      <c r="I14" s="237"/>
      <c r="J14" s="156"/>
      <c r="K14" s="113"/>
    </row>
    <row r="15" spans="1:11" x14ac:dyDescent="0.25">
      <c r="A15" s="178">
        <v>10</v>
      </c>
      <c r="B15" s="219" t="s">
        <v>434</v>
      </c>
      <c r="C15" s="219"/>
      <c r="D15" s="216"/>
      <c r="E15" s="284">
        <v>10000</v>
      </c>
      <c r="F15" s="217">
        <f t="shared" si="0"/>
        <v>10000</v>
      </c>
      <c r="G15" s="258">
        <v>10000</v>
      </c>
      <c r="H15" s="283">
        <f>F15-G15</f>
        <v>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89000</v>
      </c>
      <c r="F16" s="217">
        <f t="shared" si="2"/>
        <v>89000</v>
      </c>
      <c r="G16" s="273">
        <f>SUM(G6:G15)</f>
        <v>89000</v>
      </c>
      <c r="H16" s="218">
        <f>SUM(H6:H15)</f>
        <v>0</v>
      </c>
      <c r="I16" s="246">
        <f t="shared" si="2"/>
        <v>4500</v>
      </c>
      <c r="J16" s="211" t="s">
        <v>56</v>
      </c>
      <c r="K16" s="113"/>
    </row>
    <row r="17" spans="1:17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7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7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7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7" x14ac:dyDescent="0.25">
      <c r="A21" s="237" t="s">
        <v>317</v>
      </c>
      <c r="B21" s="238">
        <f>E16</f>
        <v>89000</v>
      </c>
      <c r="C21" s="238"/>
      <c r="D21" s="238"/>
      <c r="E21" s="237"/>
      <c r="F21" s="237" t="s">
        <v>317</v>
      </c>
      <c r="G21" s="238">
        <f>G16</f>
        <v>89000</v>
      </c>
      <c r="H21" s="237"/>
      <c r="I21" s="239"/>
      <c r="J21" s="113"/>
      <c r="K21" s="113"/>
    </row>
    <row r="22" spans="1:17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7" x14ac:dyDescent="0.25">
      <c r="A23" s="237" t="s">
        <v>233</v>
      </c>
      <c r="B23" s="238">
        <f>'FEBRUARY 21'!E34</f>
        <v>-10692</v>
      </c>
      <c r="C23" s="238"/>
      <c r="D23" s="238"/>
      <c r="E23" s="237"/>
      <c r="F23" s="237" t="s">
        <v>233</v>
      </c>
      <c r="G23" s="238">
        <f>'FEBRUARY 21'!I34</f>
        <v>-10692</v>
      </c>
      <c r="H23" s="237"/>
      <c r="I23" s="239"/>
      <c r="J23" s="113"/>
      <c r="K23" s="113"/>
      <c r="Q23" s="248"/>
    </row>
    <row r="24" spans="1:17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</row>
    <row r="25" spans="1:17" x14ac:dyDescent="0.25">
      <c r="A25" s="237" t="s">
        <v>190</v>
      </c>
      <c r="B25" s="241">
        <v>0.1</v>
      </c>
      <c r="C25" s="241"/>
      <c r="D25" s="238">
        <f>B21*B25</f>
        <v>8900</v>
      </c>
      <c r="E25" s="237"/>
      <c r="F25" s="237" t="s">
        <v>248</v>
      </c>
      <c r="G25" s="241">
        <v>0.1</v>
      </c>
      <c r="H25" s="238">
        <f>B25*B21</f>
        <v>8900</v>
      </c>
      <c r="I25" s="239"/>
      <c r="J25" s="113"/>
      <c r="K25" s="113"/>
    </row>
    <row r="26" spans="1:17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7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</row>
    <row r="28" spans="1:17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</row>
    <row r="29" spans="1:17" x14ac:dyDescent="0.25">
      <c r="A29" s="258" t="s">
        <v>452</v>
      </c>
      <c r="B29" s="113"/>
      <c r="C29" s="113"/>
      <c r="D29" s="237">
        <v>20102</v>
      </c>
      <c r="E29" s="237"/>
      <c r="F29" s="258" t="s">
        <v>452</v>
      </c>
      <c r="G29" s="113"/>
      <c r="H29" s="113">
        <v>20102</v>
      </c>
      <c r="I29" s="237"/>
      <c r="J29" s="113"/>
      <c r="K29" s="113"/>
    </row>
    <row r="30" spans="1:17" x14ac:dyDescent="0.25">
      <c r="A30" s="258" t="s">
        <v>453</v>
      </c>
      <c r="B30" s="272"/>
      <c r="C30" s="245"/>
      <c r="D30" s="246">
        <v>5105</v>
      </c>
      <c r="E30" s="247"/>
      <c r="F30" s="258" t="s">
        <v>453</v>
      </c>
      <c r="G30" s="272"/>
      <c r="H30" s="245">
        <v>5105</v>
      </c>
      <c r="I30" s="246"/>
      <c r="J30" s="113"/>
      <c r="K30" s="113"/>
    </row>
    <row r="31" spans="1:17" x14ac:dyDescent="0.25">
      <c r="A31" s="258" t="s">
        <v>388</v>
      </c>
      <c r="B31" s="245"/>
      <c r="C31" s="245"/>
      <c r="D31" s="246">
        <v>10087</v>
      </c>
      <c r="E31" s="247"/>
      <c r="F31" s="258" t="s">
        <v>388</v>
      </c>
      <c r="G31" s="245"/>
      <c r="H31" s="245">
        <v>10087</v>
      </c>
      <c r="I31" s="246"/>
      <c r="J31" s="113"/>
      <c r="K31" s="113"/>
    </row>
    <row r="32" spans="1:17" x14ac:dyDescent="0.25">
      <c r="A32" s="258" t="s">
        <v>388</v>
      </c>
      <c r="B32" s="245"/>
      <c r="C32" s="245"/>
      <c r="D32" s="246">
        <v>30105</v>
      </c>
      <c r="E32" s="247"/>
      <c r="F32" s="258" t="s">
        <v>388</v>
      </c>
      <c r="G32" s="245"/>
      <c r="H32" s="245">
        <v>30105</v>
      </c>
      <c r="I32" s="246"/>
      <c r="J32" s="113"/>
      <c r="K32" s="113"/>
    </row>
    <row r="33" spans="1:11" x14ac:dyDescent="0.25">
      <c r="A33" s="258" t="s">
        <v>454</v>
      </c>
      <c r="B33" s="248"/>
      <c r="C33" s="248"/>
      <c r="D33" s="249">
        <v>4055</v>
      </c>
      <c r="E33" s="247"/>
      <c r="F33" s="258" t="s">
        <v>454</v>
      </c>
      <c r="G33" s="248"/>
      <c r="H33" s="286">
        <v>4055</v>
      </c>
      <c r="I33" s="249"/>
      <c r="J33" s="113"/>
      <c r="K33" s="113"/>
    </row>
    <row r="34" spans="1:11" x14ac:dyDescent="0.25">
      <c r="A34" s="250" t="s">
        <v>3</v>
      </c>
      <c r="B34" s="269">
        <f>B21+B23+B22+B24-D25</f>
        <v>69408</v>
      </c>
      <c r="C34" s="269"/>
      <c r="D34" s="270">
        <f>SUM(D27:D33)</f>
        <v>69454</v>
      </c>
      <c r="E34" s="270">
        <f>B34-D34</f>
        <v>-46</v>
      </c>
      <c r="F34" s="250" t="s">
        <v>3</v>
      </c>
      <c r="G34" s="269">
        <f>G21+G23+G24-H25</f>
        <v>69408</v>
      </c>
      <c r="H34" s="270">
        <f>SUM(H27:H33)</f>
        <v>69454</v>
      </c>
      <c r="I34" s="270">
        <f>G34-H34</f>
        <v>-46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I15" sqref="I15"/>
    </sheetView>
  </sheetViews>
  <sheetFormatPr defaultRowHeight="15" x14ac:dyDescent="0.25"/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455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 t="s">
        <v>439</v>
      </c>
      <c r="C6" s="215"/>
      <c r="D6" s="216">
        <f>'MARCH 21'!H6:H16</f>
        <v>0</v>
      </c>
      <c r="E6" s="217">
        <v>40000</v>
      </c>
      <c r="F6" s="217">
        <f t="shared" ref="F6:F15" si="0">D6+E6+C6</f>
        <v>40000</v>
      </c>
      <c r="G6" s="217">
        <v>40000</v>
      </c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448</v>
      </c>
      <c r="C7" s="215"/>
      <c r="D7" s="216">
        <f>'MARCH 21'!H7:H17</f>
        <v>0</v>
      </c>
      <c r="E7" s="217">
        <v>9000</v>
      </c>
      <c r="F7" s="217">
        <f t="shared" si="0"/>
        <v>9000</v>
      </c>
      <c r="G7" s="217">
        <v>9000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'MARCH 21'!H8:H18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  <c r="K8" s="113"/>
    </row>
    <row r="9" spans="1:11" x14ac:dyDescent="0.25">
      <c r="A9" s="178">
        <v>4</v>
      </c>
      <c r="B9" s="275" t="s">
        <v>426</v>
      </c>
      <c r="C9" s="274">
        <v>36000</v>
      </c>
      <c r="D9" s="216">
        <f>'MARCH 21'!H9:H19</f>
        <v>0</v>
      </c>
      <c r="E9" s="222">
        <v>18000</v>
      </c>
      <c r="F9" s="217">
        <f t="shared" si="0"/>
        <v>54000</v>
      </c>
      <c r="G9" s="222">
        <v>54000</v>
      </c>
      <c r="H9" s="218">
        <f>F9-G9</f>
        <v>0</v>
      </c>
      <c r="I9" s="239"/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'MARCH 21'!H10:H20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'MARCH 21'!H11:H21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'MARCH 21'!H12:H22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'MARCH 21'!H13:H23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/>
      <c r="C14" s="278"/>
      <c r="D14" s="216">
        <f>'MARCH 21'!H14:H24</f>
        <v>0</v>
      </c>
      <c r="E14" s="280"/>
      <c r="F14" s="281">
        <f>D14+E14+C14</f>
        <v>0</v>
      </c>
      <c r="G14" s="282"/>
      <c r="H14" s="283">
        <f>F14-G14</f>
        <v>0</v>
      </c>
      <c r="I14" s="237"/>
      <c r="J14" s="156"/>
      <c r="K14" s="113"/>
    </row>
    <row r="15" spans="1:11" x14ac:dyDescent="0.25">
      <c r="A15" s="178">
        <v>10</v>
      </c>
      <c r="B15" s="219" t="s">
        <v>434</v>
      </c>
      <c r="C15" s="219"/>
      <c r="D15" s="216">
        <f>'MARCH 21'!H15:H25</f>
        <v>0</v>
      </c>
      <c r="E15" s="284">
        <v>10000</v>
      </c>
      <c r="F15" s="217">
        <f t="shared" si="0"/>
        <v>10000</v>
      </c>
      <c r="G15" s="258"/>
      <c r="H15" s="283">
        <f>F15-G15</f>
        <v>10000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36000</v>
      </c>
      <c r="D16" s="216">
        <f>SUM(D6:D15)</f>
        <v>0</v>
      </c>
      <c r="E16" s="230">
        <f t="shared" si="2"/>
        <v>99000</v>
      </c>
      <c r="F16" s="217">
        <f t="shared" si="2"/>
        <v>135000</v>
      </c>
      <c r="G16" s="273">
        <f>SUM(G6:G15)</f>
        <v>125000</v>
      </c>
      <c r="H16" s="218">
        <f>SUM(H6:H15)</f>
        <v>10000</v>
      </c>
      <c r="I16" s="246">
        <f t="shared" si="2"/>
        <v>3600</v>
      </c>
      <c r="J16" s="211" t="s">
        <v>56</v>
      </c>
      <c r="K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2" x14ac:dyDescent="0.25">
      <c r="A21" s="237" t="s">
        <v>322</v>
      </c>
      <c r="B21" s="238">
        <f>E16</f>
        <v>99000</v>
      </c>
      <c r="C21" s="238"/>
      <c r="D21" s="238"/>
      <c r="E21" s="237"/>
      <c r="F21" s="237" t="s">
        <v>322</v>
      </c>
      <c r="G21" s="238">
        <f>G16</f>
        <v>125000</v>
      </c>
      <c r="H21" s="237"/>
      <c r="I21" s="239"/>
      <c r="J21" s="113"/>
      <c r="K21" s="113"/>
    </row>
    <row r="22" spans="1:12" x14ac:dyDescent="0.25">
      <c r="A22" s="237" t="s">
        <v>123</v>
      </c>
      <c r="B22" s="238">
        <v>36000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2" x14ac:dyDescent="0.25">
      <c r="A23" s="237" t="s">
        <v>233</v>
      </c>
      <c r="B23" s="238">
        <f>'MARCH 21'!E34</f>
        <v>-46</v>
      </c>
      <c r="C23" s="238"/>
      <c r="D23" s="238"/>
      <c r="E23" s="237"/>
      <c r="F23" s="237" t="s">
        <v>233</v>
      </c>
      <c r="G23" s="238">
        <f>'MARCH 21'!I34</f>
        <v>-46</v>
      </c>
      <c r="H23" s="237"/>
      <c r="I23" s="239"/>
      <c r="J23" s="113"/>
      <c r="K23" s="113"/>
    </row>
    <row r="24" spans="1:12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>
        <f>6*900</f>
        <v>5400</v>
      </c>
    </row>
    <row r="25" spans="1:12" x14ac:dyDescent="0.25">
      <c r="A25" s="237" t="s">
        <v>190</v>
      </c>
      <c r="B25" s="241">
        <v>0.1</v>
      </c>
      <c r="C25" s="241"/>
      <c r="D25" s="238">
        <f>B21*B25</f>
        <v>9900</v>
      </c>
      <c r="E25" s="237"/>
      <c r="F25" s="237" t="s">
        <v>248</v>
      </c>
      <c r="G25" s="241">
        <v>0.1</v>
      </c>
      <c r="H25" s="238">
        <f>B25*B21</f>
        <v>9900</v>
      </c>
      <c r="I25" s="239"/>
      <c r="J25" s="113"/>
      <c r="K25" s="113"/>
      <c r="L25">
        <f>L24*4</f>
        <v>21600</v>
      </c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>
        <f>5*900</f>
        <v>4500</v>
      </c>
    </row>
    <row r="27" spans="1:12" x14ac:dyDescent="0.25">
      <c r="A27" s="272"/>
      <c r="B27" s="268" t="s">
        <v>374</v>
      </c>
      <c r="C27" s="277">
        <v>0.3</v>
      </c>
      <c r="D27" s="218">
        <f>C27*E9</f>
        <v>5400</v>
      </c>
      <c r="E27" s="239"/>
      <c r="F27" s="268" t="s">
        <v>374</v>
      </c>
      <c r="G27" s="277">
        <v>0.3</v>
      </c>
      <c r="H27" s="218">
        <f>G27*E9</f>
        <v>5400</v>
      </c>
      <c r="I27" s="218"/>
      <c r="J27" s="113"/>
      <c r="K27" s="113"/>
      <c r="L27">
        <f>L25+L26</f>
        <v>26100</v>
      </c>
    </row>
    <row r="28" spans="1:12" x14ac:dyDescent="0.25">
      <c r="A28" s="285" t="s">
        <v>456</v>
      </c>
      <c r="B28" s="268"/>
      <c r="C28" s="239"/>
      <c r="D28" s="218">
        <v>150105</v>
      </c>
      <c r="E28" s="239"/>
      <c r="F28" s="285" t="s">
        <v>456</v>
      </c>
      <c r="G28" s="268"/>
      <c r="H28" s="239">
        <v>150105</v>
      </c>
      <c r="I28" s="218"/>
      <c r="J28" s="113"/>
      <c r="K28" s="113"/>
    </row>
    <row r="29" spans="1:12" x14ac:dyDescent="0.25">
      <c r="A29" s="258"/>
      <c r="B29" s="113"/>
      <c r="C29" s="113"/>
      <c r="D29" s="237"/>
      <c r="E29" s="237"/>
      <c r="F29" s="258"/>
      <c r="G29" s="113"/>
      <c r="H29" s="113"/>
      <c r="I29" s="237"/>
      <c r="J29" s="113"/>
      <c r="K29" s="113"/>
    </row>
    <row r="30" spans="1:12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  <c r="K30" s="113"/>
    </row>
    <row r="31" spans="1:12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2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</row>
    <row r="34" spans="1:11" x14ac:dyDescent="0.25">
      <c r="A34" s="250" t="s">
        <v>3</v>
      </c>
      <c r="B34" s="269">
        <f>B21+B23+B22+B24-D25</f>
        <v>125054</v>
      </c>
      <c r="C34" s="269"/>
      <c r="D34" s="270">
        <f>SUM(D27:D33)</f>
        <v>155505</v>
      </c>
      <c r="E34" s="270">
        <f>B34-D34</f>
        <v>-30451</v>
      </c>
      <c r="F34" s="250" t="s">
        <v>3</v>
      </c>
      <c r="G34" s="269">
        <f>G21+G23+G24-H25</f>
        <v>115054</v>
      </c>
      <c r="H34" s="270">
        <f>SUM(H27:H33)</f>
        <v>155505</v>
      </c>
      <c r="I34" s="270">
        <f>G34-H34</f>
        <v>-40451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I12" sqref="I12"/>
    </sheetView>
  </sheetViews>
  <sheetFormatPr defaultRowHeight="15" x14ac:dyDescent="0.25"/>
  <cols>
    <col min="2" max="2" width="18.42578125" customWidth="1"/>
    <col min="7" max="7" width="9.42578125" bestFit="1" customWidth="1"/>
    <col min="8" max="8" width="10" bestFit="1" customWidth="1"/>
    <col min="10" max="10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457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 t="s">
        <v>439</v>
      </c>
      <c r="C6" s="215"/>
      <c r="D6" s="216">
        <f>'APRIL 21'!H6:H15</f>
        <v>0</v>
      </c>
      <c r="E6" s="217">
        <v>40000</v>
      </c>
      <c r="F6" s="217">
        <f t="shared" ref="F6:F15" si="0">D6+E6+C6</f>
        <v>40000</v>
      </c>
      <c r="G6" s="217">
        <f>40000</f>
        <v>40000</v>
      </c>
      <c r="H6" s="218">
        <f>F6-G6</f>
        <v>0</v>
      </c>
      <c r="I6" s="239"/>
      <c r="J6" s="156">
        <v>720342872</v>
      </c>
      <c r="K6" s="113"/>
    </row>
    <row r="7" spans="1:11" x14ac:dyDescent="0.25">
      <c r="A7" s="178">
        <v>2</v>
      </c>
      <c r="B7" s="215" t="s">
        <v>448</v>
      </c>
      <c r="C7" s="215"/>
      <c r="D7" s="216">
        <f>'APRIL 21'!H7:H16</f>
        <v>0</v>
      </c>
      <c r="E7" s="217">
        <v>9000</v>
      </c>
      <c r="F7" s="217">
        <f t="shared" si="0"/>
        <v>9000</v>
      </c>
      <c r="G7" s="217">
        <v>9000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'APRIL 21'!H8:H17</f>
        <v>0</v>
      </c>
      <c r="E8" s="222">
        <v>6000</v>
      </c>
      <c r="F8" s="217">
        <f t="shared" si="0"/>
        <v>6000</v>
      </c>
      <c r="G8" s="222">
        <f>6000</f>
        <v>6000</v>
      </c>
      <c r="H8" s="218">
        <f t="shared" si="1"/>
        <v>0</v>
      </c>
      <c r="I8" s="239">
        <v>900</v>
      </c>
      <c r="J8" s="113"/>
      <c r="K8" s="113"/>
    </row>
    <row r="9" spans="1:11" x14ac:dyDescent="0.25">
      <c r="A9" s="178">
        <v>4</v>
      </c>
      <c r="B9" s="275" t="s">
        <v>426</v>
      </c>
      <c r="C9" s="274"/>
      <c r="D9" s="216">
        <f>'APRIL 21'!H9:H18</f>
        <v>0</v>
      </c>
      <c r="E9" s="222">
        <v>18000</v>
      </c>
      <c r="F9" s="217">
        <f t="shared" si="0"/>
        <v>18000</v>
      </c>
      <c r="G9" s="222">
        <v>18000</v>
      </c>
      <c r="H9" s="218">
        <f>F9-G9</f>
        <v>0</v>
      </c>
      <c r="I9" s="239">
        <v>1800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'APRIL 21'!H10:H19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'APRIL 21'!H11:H20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 t="s">
        <v>460</v>
      </c>
      <c r="C12" s="275">
        <v>9000</v>
      </c>
      <c r="D12" s="216">
        <f>'APRIL 21'!H12:H21</f>
        <v>0</v>
      </c>
      <c r="E12" s="222">
        <v>3900</v>
      </c>
      <c r="F12" s="217">
        <f t="shared" si="0"/>
        <v>12900</v>
      </c>
      <c r="G12" s="222">
        <v>12900</v>
      </c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'APRIL 21'!H13:H22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/>
      <c r="C14" s="278"/>
      <c r="D14" s="216">
        <f>'APRIL 21'!H14:H23</f>
        <v>0</v>
      </c>
      <c r="E14" s="280"/>
      <c r="F14" s="281">
        <f>D14+E14+C14</f>
        <v>0</v>
      </c>
      <c r="G14" s="282"/>
      <c r="H14" s="283">
        <f>F14-G14</f>
        <v>0</v>
      </c>
      <c r="I14" s="237"/>
      <c r="J14" s="156"/>
      <c r="K14" s="113"/>
    </row>
    <row r="15" spans="1:11" x14ac:dyDescent="0.25">
      <c r="A15" s="178">
        <v>10</v>
      </c>
      <c r="B15" s="219" t="s">
        <v>434</v>
      </c>
      <c r="C15" s="219"/>
      <c r="D15" s="216">
        <f>'APRIL 21'!H15:H24</f>
        <v>10000</v>
      </c>
      <c r="E15" s="284">
        <v>10000</v>
      </c>
      <c r="F15" s="217">
        <f t="shared" si="0"/>
        <v>20000</v>
      </c>
      <c r="G15" s="258">
        <f>14000+6000</f>
        <v>20000</v>
      </c>
      <c r="H15" s="283">
        <f>F15-G15</f>
        <v>0</v>
      </c>
      <c r="I15" s="246">
        <f>1000+3500</f>
        <v>4500</v>
      </c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9000</v>
      </c>
      <c r="D16" s="216">
        <f>SUM(D6:D15)</f>
        <v>10000</v>
      </c>
      <c r="E16" s="230">
        <f t="shared" si="2"/>
        <v>102900</v>
      </c>
      <c r="F16" s="217">
        <f t="shared" si="2"/>
        <v>121900</v>
      </c>
      <c r="G16" s="273">
        <f>SUM(G6:G15)</f>
        <v>121900</v>
      </c>
      <c r="H16" s="218">
        <f>SUM(H6:H15)</f>
        <v>0</v>
      </c>
      <c r="I16" s="246">
        <f t="shared" si="2"/>
        <v>9900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464</v>
      </c>
      <c r="K20" s="113"/>
    </row>
    <row r="21" spans="1:11" x14ac:dyDescent="0.25">
      <c r="A21" s="237" t="s">
        <v>284</v>
      </c>
      <c r="B21" s="238">
        <f>E16</f>
        <v>102900</v>
      </c>
      <c r="C21" s="238"/>
      <c r="D21" s="238"/>
      <c r="E21" s="237"/>
      <c r="F21" s="237" t="s">
        <v>284</v>
      </c>
      <c r="G21" s="238">
        <f>G16</f>
        <v>121900</v>
      </c>
      <c r="H21" s="237"/>
      <c r="I21" s="239"/>
      <c r="J21" s="113"/>
      <c r="K21" s="113"/>
    </row>
    <row r="22" spans="1:11" x14ac:dyDescent="0.25">
      <c r="A22" s="237" t="s">
        <v>123</v>
      </c>
      <c r="B22" s="238">
        <f>C16</f>
        <v>9000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'APRIL 21'!E34</f>
        <v>-30451</v>
      </c>
      <c r="C23" s="238"/>
      <c r="D23" s="238"/>
      <c r="E23" s="237"/>
      <c r="F23" s="237" t="s">
        <v>233</v>
      </c>
      <c r="G23" s="238">
        <f>'APRIL 21'!I34</f>
        <v>-40451</v>
      </c>
      <c r="H23" s="237"/>
      <c r="I23" s="239"/>
      <c r="J23" s="113"/>
      <c r="K23" s="113"/>
    </row>
    <row r="24" spans="1:11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10290</v>
      </c>
      <c r="E25" s="237"/>
      <c r="F25" s="237" t="s">
        <v>248</v>
      </c>
      <c r="G25" s="241">
        <v>0.1</v>
      </c>
      <c r="H25" s="238">
        <f>B25*B21</f>
        <v>10290</v>
      </c>
      <c r="I25" s="239"/>
      <c r="J25" s="113"/>
      <c r="K25" s="113">
        <f>9900+3600+4500+3600+3600</f>
        <v>25200</v>
      </c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 t="s">
        <v>374</v>
      </c>
      <c r="C27" s="277">
        <v>0.3</v>
      </c>
      <c r="D27" s="218">
        <f>C27*C12</f>
        <v>2700</v>
      </c>
      <c r="E27" s="239"/>
      <c r="F27" s="268" t="s">
        <v>374</v>
      </c>
      <c r="G27" s="277">
        <v>0.3</v>
      </c>
      <c r="H27" s="218">
        <f>G27*C12</f>
        <v>2700</v>
      </c>
      <c r="I27" s="218"/>
      <c r="J27" s="113"/>
      <c r="K27" s="113"/>
    </row>
    <row r="28" spans="1:11" x14ac:dyDescent="0.25">
      <c r="A28" s="285" t="s">
        <v>458</v>
      </c>
      <c r="B28" s="268"/>
      <c r="C28" s="239"/>
      <c r="D28" s="218">
        <v>50105</v>
      </c>
      <c r="E28" s="239"/>
      <c r="F28" s="285" t="s">
        <v>458</v>
      </c>
      <c r="G28" s="268"/>
      <c r="H28" s="239">
        <v>50105</v>
      </c>
      <c r="I28" s="218"/>
      <c r="J28" s="113"/>
      <c r="K28" s="113"/>
    </row>
    <row r="29" spans="1:11" x14ac:dyDescent="0.25">
      <c r="A29" s="258" t="s">
        <v>458</v>
      </c>
      <c r="B29" s="113"/>
      <c r="C29" s="113"/>
      <c r="D29" s="237">
        <v>8487</v>
      </c>
      <c r="E29" s="237"/>
      <c r="F29" s="258" t="s">
        <v>458</v>
      </c>
      <c r="G29" s="113"/>
      <c r="H29" s="113">
        <v>8487</v>
      </c>
      <c r="I29" s="237"/>
      <c r="J29" s="113"/>
      <c r="K29" s="113"/>
    </row>
    <row r="30" spans="1:11" x14ac:dyDescent="0.25">
      <c r="A30" s="258" t="s">
        <v>459</v>
      </c>
      <c r="B30" s="272"/>
      <c r="C30" s="245"/>
      <c r="D30" s="246">
        <v>10087</v>
      </c>
      <c r="E30" s="247"/>
      <c r="F30" s="258" t="s">
        <v>459</v>
      </c>
      <c r="G30" s="272"/>
      <c r="H30" s="245">
        <v>10087</v>
      </c>
      <c r="I30" s="246"/>
      <c r="J30" s="113"/>
      <c r="K30" s="113"/>
    </row>
    <row r="31" spans="1:11" x14ac:dyDescent="0.25">
      <c r="A31" s="258" t="s">
        <v>461</v>
      </c>
      <c r="B31" s="245"/>
      <c r="C31" s="245"/>
      <c r="D31" s="246">
        <v>10087</v>
      </c>
      <c r="E31" s="247"/>
      <c r="F31" s="258" t="s">
        <v>461</v>
      </c>
      <c r="G31" s="245"/>
      <c r="H31" s="245">
        <v>10087</v>
      </c>
      <c r="I31" s="246"/>
      <c r="J31" s="113"/>
      <c r="K31" s="113"/>
    </row>
    <row r="32" spans="1:11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7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>
        <f>900*6</f>
        <v>5400</v>
      </c>
      <c r="Q33">
        <f>4000/500</f>
        <v>8</v>
      </c>
    </row>
    <row r="34" spans="1:17" x14ac:dyDescent="0.25">
      <c r="A34" s="250" t="s">
        <v>3</v>
      </c>
      <c r="B34" s="269">
        <f>B21+B23+B22+B24-D25</f>
        <v>71159</v>
      </c>
      <c r="C34" s="269"/>
      <c r="D34" s="270">
        <f>SUM(D27:D33)</f>
        <v>81466</v>
      </c>
      <c r="E34" s="270">
        <f>B34-D34</f>
        <v>-10307</v>
      </c>
      <c r="F34" s="250" t="s">
        <v>3</v>
      </c>
      <c r="G34" s="269">
        <f>G21+G23+G24-H25</f>
        <v>71159</v>
      </c>
      <c r="H34" s="270">
        <f>SUM(H27:H33)</f>
        <v>81466</v>
      </c>
      <c r="I34" s="270">
        <f>G34-H34</f>
        <v>-10307</v>
      </c>
      <c r="J34" s="113"/>
      <c r="K34" s="113"/>
      <c r="L34">
        <f>L33*4</f>
        <v>21600</v>
      </c>
    </row>
    <row r="35" spans="1:17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>
        <f>900*5</f>
        <v>4500</v>
      </c>
      <c r="M35">
        <f>L34+L35</f>
        <v>26100</v>
      </c>
    </row>
    <row r="36" spans="1:17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7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7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7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7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7" spans="1:17" x14ac:dyDescent="0.25">
      <c r="L47" s="271">
        <f>'JANUARY 21'!I16+'FEBRUARY 21'!I16+'MARCH 21'!I16+'APRIL 21'!I16+'MAY 21'!I16</f>
        <v>25200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I15" sqref="I15"/>
    </sheetView>
  </sheetViews>
  <sheetFormatPr defaultRowHeight="15" x14ac:dyDescent="0.25"/>
  <cols>
    <col min="7" max="7" width="9.42578125" bestFit="1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462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 t="s">
        <v>439</v>
      </c>
      <c r="C6" s="215"/>
      <c r="D6" s="216">
        <f>'MAY 21'!H6:H16</f>
        <v>0</v>
      </c>
      <c r="E6" s="217">
        <v>40000</v>
      </c>
      <c r="F6" s="217">
        <f t="shared" ref="F6:F15" si="0">D6+E6+C6</f>
        <v>40000</v>
      </c>
      <c r="G6" s="217">
        <f>40000</f>
        <v>40000</v>
      </c>
      <c r="H6" s="218">
        <f>F6-G6</f>
        <v>0</v>
      </c>
      <c r="I6" s="239"/>
      <c r="J6" s="156"/>
    </row>
    <row r="7" spans="1:10" x14ac:dyDescent="0.25">
      <c r="A7" s="178">
        <v>2</v>
      </c>
      <c r="B7" s="215" t="s">
        <v>448</v>
      </c>
      <c r="C7" s="215"/>
      <c r="D7" s="216">
        <f>'MAY 21'!H7:H17</f>
        <v>0</v>
      </c>
      <c r="E7" s="217">
        <v>9000</v>
      </c>
      <c r="F7" s="217">
        <f t="shared" si="0"/>
        <v>9000</v>
      </c>
      <c r="G7" s="217">
        <f>9000</f>
        <v>9000</v>
      </c>
      <c r="H7" s="218">
        <f t="shared" ref="H7:H13" si="1">F7-G7</f>
        <v>0</v>
      </c>
      <c r="I7" s="239">
        <v>900</v>
      </c>
      <c r="J7" s="156"/>
    </row>
    <row r="8" spans="1:10" x14ac:dyDescent="0.25">
      <c r="A8" s="178">
        <v>3</v>
      </c>
      <c r="B8" s="219" t="s">
        <v>289</v>
      </c>
      <c r="C8" s="219"/>
      <c r="D8" s="216">
        <f>'MAY 21'!H8:H18</f>
        <v>0</v>
      </c>
      <c r="E8" s="222">
        <v>6000</v>
      </c>
      <c r="F8" s="217">
        <f t="shared" si="0"/>
        <v>6000</v>
      </c>
      <c r="G8" s="222">
        <f>6000</f>
        <v>6000</v>
      </c>
      <c r="H8" s="218">
        <f t="shared" si="1"/>
        <v>0</v>
      </c>
      <c r="I8" s="239">
        <v>900</v>
      </c>
      <c r="J8" s="113"/>
    </row>
    <row r="9" spans="1:10" x14ac:dyDescent="0.25">
      <c r="A9" s="178">
        <v>4</v>
      </c>
      <c r="B9" s="275" t="s">
        <v>426</v>
      </c>
      <c r="C9" s="274"/>
      <c r="D9" s="216">
        <f>'MAY 21'!H9:H19</f>
        <v>0</v>
      </c>
      <c r="E9" s="222">
        <v>18000</v>
      </c>
      <c r="F9" s="217">
        <f t="shared" si="0"/>
        <v>18000</v>
      </c>
      <c r="G9" s="222">
        <f>18000</f>
        <v>18000</v>
      </c>
      <c r="H9" s="218">
        <f>F9-G9</f>
        <v>0</v>
      </c>
      <c r="I9" s="239">
        <v>900</v>
      </c>
      <c r="J9" s="156"/>
    </row>
    <row r="10" spans="1:10" x14ac:dyDescent="0.25">
      <c r="A10" s="178">
        <v>5</v>
      </c>
      <c r="B10" s="219" t="s">
        <v>290</v>
      </c>
      <c r="C10" s="219"/>
      <c r="D10" s="216">
        <f>'MAY 21'!H10:H20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'MAY 21'!H11:H21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 t="s">
        <v>460</v>
      </c>
      <c r="C12" s="275"/>
      <c r="D12" s="216">
        <f>'MAY 21'!H12:H22</f>
        <v>0</v>
      </c>
      <c r="E12" s="222">
        <v>8100</v>
      </c>
      <c r="F12" s="217">
        <f t="shared" si="0"/>
        <v>8100</v>
      </c>
      <c r="G12" s="222">
        <v>8100</v>
      </c>
      <c r="H12" s="218">
        <f>F12-G12</f>
        <v>0</v>
      </c>
      <c r="I12" s="239">
        <v>900</v>
      </c>
      <c r="J12" s="156"/>
    </row>
    <row r="13" spans="1:10" x14ac:dyDescent="0.25">
      <c r="A13" s="178">
        <v>8</v>
      </c>
      <c r="B13" s="219"/>
      <c r="C13" s="219"/>
      <c r="D13" s="216">
        <f>'MAY 21'!H13:H23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0" x14ac:dyDescent="0.25">
      <c r="A14" s="178">
        <v>9</v>
      </c>
      <c r="B14" s="278"/>
      <c r="C14" s="278"/>
      <c r="D14" s="216">
        <f>'MAY 21'!H14:H24</f>
        <v>0</v>
      </c>
      <c r="E14" s="280"/>
      <c r="F14" s="281">
        <f>D14+E14+C14</f>
        <v>0</v>
      </c>
      <c r="G14" s="282"/>
      <c r="H14" s="283">
        <f>F14-G14</f>
        <v>0</v>
      </c>
      <c r="I14" s="237"/>
      <c r="J14" s="156"/>
    </row>
    <row r="15" spans="1:10" x14ac:dyDescent="0.25">
      <c r="A15" s="178">
        <v>10</v>
      </c>
      <c r="B15" s="219" t="s">
        <v>434</v>
      </c>
      <c r="C15" s="219"/>
      <c r="D15" s="216">
        <f>'MAY 21'!H15:H25</f>
        <v>0</v>
      </c>
      <c r="E15" s="284">
        <v>10000</v>
      </c>
      <c r="F15" s="217">
        <f t="shared" si="0"/>
        <v>10000</v>
      </c>
      <c r="G15" s="258">
        <v>10000</v>
      </c>
      <c r="H15" s="283">
        <f>F15-G15</f>
        <v>0</v>
      </c>
      <c r="I15" s="246">
        <v>900</v>
      </c>
      <c r="J15" s="156"/>
    </row>
    <row r="16" spans="1:10" x14ac:dyDescent="0.25">
      <c r="A16" s="212"/>
      <c r="B16" s="228" t="s">
        <v>3</v>
      </c>
      <c r="C16" s="228">
        <f t="shared" ref="C16:I16" si="2">SUM(C6:C15)</f>
        <v>0</v>
      </c>
      <c r="D16" s="216">
        <f>'MAY 21'!H16:H26</f>
        <v>0</v>
      </c>
      <c r="E16" s="230">
        <f t="shared" si="2"/>
        <v>107100</v>
      </c>
      <c r="F16" s="217">
        <f t="shared" si="2"/>
        <v>107100</v>
      </c>
      <c r="G16" s="273">
        <f>SUM(G6:G15)</f>
        <v>107100</v>
      </c>
      <c r="H16" s="218">
        <f>SUM(H6:H15)</f>
        <v>0</v>
      </c>
      <c r="I16" s="246">
        <f t="shared" si="2"/>
        <v>6300</v>
      </c>
      <c r="J16" s="211" t="s">
        <v>56</v>
      </c>
    </row>
    <row r="17" spans="1:14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4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4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4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465</v>
      </c>
      <c r="K20" s="113"/>
      <c r="L20" s="113"/>
      <c r="M20" s="113"/>
      <c r="N20" s="113"/>
    </row>
    <row r="21" spans="1:14" x14ac:dyDescent="0.25">
      <c r="A21" s="237" t="s">
        <v>287</v>
      </c>
      <c r="B21" s="238">
        <f>E16</f>
        <v>107100</v>
      </c>
      <c r="C21" s="238"/>
      <c r="D21" s="238"/>
      <c r="E21" s="237"/>
      <c r="F21" s="237" t="s">
        <v>287</v>
      </c>
      <c r="G21" s="238">
        <f>G16</f>
        <v>107100</v>
      </c>
      <c r="H21" s="237"/>
      <c r="I21" s="239"/>
      <c r="J21" s="113"/>
    </row>
    <row r="22" spans="1:14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</row>
    <row r="23" spans="1:14" x14ac:dyDescent="0.25">
      <c r="A23" s="237" t="s">
        <v>233</v>
      </c>
      <c r="B23" s="238">
        <f>'MAY 21'!E34</f>
        <v>-10307</v>
      </c>
      <c r="C23" s="238"/>
      <c r="D23" s="238"/>
      <c r="E23" s="237"/>
      <c r="F23" s="237" t="s">
        <v>233</v>
      </c>
      <c r="G23" s="238">
        <f>'MAY 21'!I34</f>
        <v>-10307</v>
      </c>
      <c r="H23" s="237"/>
      <c r="I23" s="239"/>
      <c r="J23" s="113"/>
    </row>
    <row r="24" spans="1:14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>
        <f>25200</f>
        <v>25200</v>
      </c>
    </row>
    <row r="25" spans="1:14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>
        <f>I16</f>
        <v>6300</v>
      </c>
    </row>
    <row r="26" spans="1:14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>
        <f>K24+K25</f>
        <v>31500</v>
      </c>
    </row>
    <row r="27" spans="1:14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4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</row>
    <row r="29" spans="1:14" x14ac:dyDescent="0.25">
      <c r="A29" s="258" t="s">
        <v>463</v>
      </c>
      <c r="B29" s="113"/>
      <c r="C29" s="113"/>
      <c r="D29" s="237">
        <v>100105</v>
      </c>
      <c r="E29" s="237"/>
      <c r="F29" s="258" t="s">
        <v>463</v>
      </c>
      <c r="G29" s="113"/>
      <c r="H29" s="113">
        <v>100105</v>
      </c>
      <c r="I29" s="237"/>
      <c r="J29" s="113"/>
    </row>
    <row r="30" spans="1:14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</row>
    <row r="31" spans="1:14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</row>
    <row r="32" spans="1:14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</row>
    <row r="34" spans="1:10" x14ac:dyDescent="0.25">
      <c r="A34" s="250" t="s">
        <v>3</v>
      </c>
      <c r="B34" s="269">
        <f>B21+B23+B22+B24-D25</f>
        <v>86083</v>
      </c>
      <c r="C34" s="269"/>
      <c r="D34" s="270">
        <f>SUM(D27:D33)</f>
        <v>100105</v>
      </c>
      <c r="E34" s="270">
        <f>B34-D34</f>
        <v>-14022</v>
      </c>
      <c r="F34" s="250" t="s">
        <v>3</v>
      </c>
      <c r="G34" s="269">
        <f>G21+G23+G24-H25</f>
        <v>86083</v>
      </c>
      <c r="H34" s="270">
        <f>SUM(H27:H33)</f>
        <v>100105</v>
      </c>
      <c r="I34" s="270">
        <f>G34-H34</f>
        <v>-14022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selection activeCell="I12" sqref="I12"/>
    </sheetView>
  </sheetViews>
  <sheetFormatPr defaultRowHeight="15" x14ac:dyDescent="0.25"/>
  <cols>
    <col min="2" max="2" width="22.140625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  <c r="M2" s="11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  <c r="M3" s="113"/>
      <c r="N3" s="113"/>
    </row>
    <row r="4" spans="1:14" ht="15.75" x14ac:dyDescent="0.25">
      <c r="A4" s="156"/>
      <c r="B4" s="156"/>
      <c r="C4" s="156"/>
      <c r="D4" s="19" t="s">
        <v>466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15" t="s">
        <v>426</v>
      </c>
      <c r="C6" s="215"/>
      <c r="D6" s="216">
        <f>'JUNE 21'!H6:H16</f>
        <v>0</v>
      </c>
      <c r="E6" s="217">
        <v>18000</v>
      </c>
      <c r="F6" s="217">
        <f t="shared" ref="F6:F15" si="0">D6+E6+C6</f>
        <v>18000</v>
      </c>
      <c r="G6" s="217">
        <f>18000</f>
        <v>18000</v>
      </c>
      <c r="H6" s="218">
        <f t="shared" ref="H6:H15" si="1">F6-G6</f>
        <v>0</v>
      </c>
      <c r="I6" s="239">
        <v>900</v>
      </c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'JUNE 21'!H7:H17</f>
        <v>0</v>
      </c>
      <c r="E7" s="217">
        <v>8000</v>
      </c>
      <c r="F7" s="217">
        <f t="shared" si="0"/>
        <v>8000</v>
      </c>
      <c r="G7" s="217">
        <f>8000</f>
        <v>8000</v>
      </c>
      <c r="H7" s="218">
        <f t="shared" si="1"/>
        <v>0</v>
      </c>
      <c r="I7" s="239">
        <v>900</v>
      </c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'JUNE 21'!H8:H18</f>
        <v>0</v>
      </c>
      <c r="E8" s="222">
        <v>8100</v>
      </c>
      <c r="F8" s="217">
        <f t="shared" si="0"/>
        <v>8100</v>
      </c>
      <c r="G8" s="222">
        <v>8100</v>
      </c>
      <c r="H8" s="218">
        <f t="shared" si="1"/>
        <v>0</v>
      </c>
      <c r="I8" s="239">
        <v>900</v>
      </c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'JUNE 21'!H9:H19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'JUNE 21'!H10:H20</f>
        <v>0</v>
      </c>
      <c r="E10" s="222">
        <v>9000</v>
      </c>
      <c r="F10" s="217">
        <f t="shared" si="0"/>
        <v>9000</v>
      </c>
      <c r="G10" s="222">
        <f>9000</f>
        <v>9000</v>
      </c>
      <c r="H10" s="218">
        <f t="shared" si="1"/>
        <v>0</v>
      </c>
      <c r="I10" s="239">
        <v>900</v>
      </c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'JUNE 21'!H11:H21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'JUNE 21'!H12:H22</f>
        <v>0</v>
      </c>
      <c r="E12" s="222">
        <v>10000</v>
      </c>
      <c r="F12" s="217">
        <f t="shared" si="0"/>
        <v>10000</v>
      </c>
      <c r="G12" s="222">
        <v>10000</v>
      </c>
      <c r="H12" s="218">
        <f t="shared" si="1"/>
        <v>0</v>
      </c>
      <c r="I12" s="239">
        <v>900</v>
      </c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'JUNE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'JUNE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15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'JUNE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107100</v>
      </c>
      <c r="F16" s="217">
        <f t="shared" si="2"/>
        <v>107100</v>
      </c>
      <c r="G16" s="273">
        <f>SUM(G6:G15)</f>
        <v>107100</v>
      </c>
      <c r="H16" s="218">
        <f>SUM(H6:H15)</f>
        <v>0</v>
      </c>
      <c r="I16" s="246">
        <f t="shared" si="2"/>
        <v>6300</v>
      </c>
      <c r="J16" s="211" t="s">
        <v>56</v>
      </c>
      <c r="K16" s="113"/>
      <c r="L16" s="113"/>
      <c r="M16" s="113"/>
      <c r="N16" s="113"/>
    </row>
    <row r="17" spans="1:17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7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7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7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472</v>
      </c>
      <c r="K20" s="113"/>
      <c r="L20" s="113"/>
      <c r="M20" s="113"/>
      <c r="N20" s="113"/>
    </row>
    <row r="21" spans="1:17" x14ac:dyDescent="0.25">
      <c r="A21" s="237" t="s">
        <v>293</v>
      </c>
      <c r="B21" s="238">
        <f>E16</f>
        <v>107100</v>
      </c>
      <c r="C21" s="238"/>
      <c r="D21" s="238"/>
      <c r="E21" s="237"/>
      <c r="F21" s="237" t="s">
        <v>293</v>
      </c>
      <c r="G21" s="238">
        <f>G16</f>
        <v>107100</v>
      </c>
      <c r="H21" s="237"/>
      <c r="I21" s="239"/>
      <c r="J21" s="113"/>
      <c r="K21" s="113"/>
      <c r="L21" s="113"/>
      <c r="M21" s="113"/>
      <c r="N21" s="113"/>
    </row>
    <row r="22" spans="1:17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7" x14ac:dyDescent="0.25">
      <c r="A23" s="237" t="s">
        <v>233</v>
      </c>
      <c r="B23" s="238">
        <f>'JUNE 21'!E34</f>
        <v>-14022</v>
      </c>
      <c r="C23" s="238"/>
      <c r="D23" s="238"/>
      <c r="E23" s="237"/>
      <c r="F23" s="237" t="s">
        <v>233</v>
      </c>
      <c r="G23" s="238">
        <f>'JUNE 21'!I34</f>
        <v>-14022</v>
      </c>
      <c r="H23" s="237"/>
      <c r="I23" s="239"/>
      <c r="J23" s="113"/>
      <c r="K23" s="113">
        <f>31500</f>
        <v>31500</v>
      </c>
      <c r="L23" s="113"/>
      <c r="M23" s="113"/>
      <c r="N23" s="113"/>
    </row>
    <row r="24" spans="1:17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>
        <v>6300</v>
      </c>
      <c r="L24" s="113"/>
      <c r="M24" s="113"/>
      <c r="N24" s="113"/>
    </row>
    <row r="25" spans="1:17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>
        <f>K23+K24</f>
        <v>37800</v>
      </c>
      <c r="L25" s="113"/>
      <c r="M25" s="113"/>
      <c r="N25" s="113"/>
    </row>
    <row r="26" spans="1:17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 t="s">
        <v>259</v>
      </c>
      <c r="K26" s="271">
        <v>3600</v>
      </c>
      <c r="L26" s="113"/>
      <c r="M26" s="113"/>
      <c r="N26" s="113"/>
    </row>
    <row r="27" spans="1:17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271">
        <f>K25+K26</f>
        <v>41400</v>
      </c>
      <c r="L27" s="113"/>
      <c r="M27" s="113"/>
      <c r="N27" s="113"/>
    </row>
    <row r="28" spans="1:17" x14ac:dyDescent="0.25">
      <c r="A28" s="285" t="s">
        <v>469</v>
      </c>
      <c r="B28" s="268"/>
      <c r="C28" s="239"/>
      <c r="D28" s="218">
        <v>80105</v>
      </c>
      <c r="E28" s="239"/>
      <c r="F28" s="285" t="s">
        <v>469</v>
      </c>
      <c r="G28" s="268"/>
      <c r="H28" s="239">
        <v>80105</v>
      </c>
      <c r="I28" s="218"/>
      <c r="J28" s="113" t="s">
        <v>267</v>
      </c>
      <c r="K28" s="113">
        <v>6300</v>
      </c>
      <c r="L28" s="113"/>
      <c r="M28" s="113"/>
      <c r="N28" s="113"/>
    </row>
    <row r="29" spans="1:17" x14ac:dyDescent="0.25">
      <c r="A29" s="258" t="s">
        <v>470</v>
      </c>
      <c r="B29" s="113"/>
      <c r="C29" s="113"/>
      <c r="D29" s="237">
        <v>2232</v>
      </c>
      <c r="E29" s="237"/>
      <c r="F29" s="258" t="s">
        <v>470</v>
      </c>
      <c r="G29" s="113"/>
      <c r="H29" s="113">
        <v>2232</v>
      </c>
      <c r="I29" s="237"/>
      <c r="J29" s="113"/>
      <c r="K29" s="271">
        <f>K27+K28</f>
        <v>47700</v>
      </c>
      <c r="L29" s="113"/>
      <c r="M29" s="113"/>
      <c r="N29" s="113"/>
    </row>
    <row r="30" spans="1:17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  <c r="K30" s="113"/>
      <c r="L30" s="113"/>
      <c r="M30" s="113"/>
      <c r="N30" s="113"/>
    </row>
    <row r="31" spans="1:17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  <c r="L31" s="113"/>
      <c r="M31" s="113"/>
      <c r="N31" s="113"/>
    </row>
    <row r="32" spans="1:17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  <c r="M32" s="113"/>
      <c r="N32" s="113"/>
      <c r="Q32" s="268"/>
    </row>
    <row r="33" spans="1:14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82368</v>
      </c>
      <c r="C34" s="269"/>
      <c r="D34" s="270">
        <f>SUM(D27:D33)</f>
        <v>82337</v>
      </c>
      <c r="E34" s="270">
        <f>B34-D34</f>
        <v>31</v>
      </c>
      <c r="F34" s="250" t="s">
        <v>3</v>
      </c>
      <c r="G34" s="269">
        <f>G21+G23+G24-H25</f>
        <v>82368</v>
      </c>
      <c r="H34" s="270">
        <f>SUM(H27:H33)</f>
        <v>82337</v>
      </c>
      <c r="I34" s="270">
        <f>G34-H34</f>
        <v>31</v>
      </c>
      <c r="J34" s="113"/>
      <c r="K34" s="113"/>
      <c r="L34" s="113"/>
      <c r="M34" s="113"/>
      <c r="N34" s="113"/>
    </row>
    <row r="35" spans="1:14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  <c r="M35" s="113"/>
      <c r="N35" s="113"/>
    </row>
    <row r="36" spans="1:14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  <c r="M36" s="113"/>
      <c r="N36" s="113"/>
    </row>
    <row r="37" spans="1:14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  <c r="M37" s="113"/>
      <c r="N37" s="113"/>
    </row>
    <row r="38" spans="1:14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  <c r="K38" s="113"/>
      <c r="L38" s="113"/>
      <c r="M38" s="113"/>
      <c r="N38" s="113"/>
    </row>
    <row r="39" spans="1:14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</row>
    <row r="41" spans="1:14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</row>
    <row r="42" spans="1:14" x14ac:dyDescent="0.25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</row>
    <row r="43" spans="1:14" x14ac:dyDescent="0.25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</row>
    <row r="44" spans="1:14" x14ac:dyDescent="0.25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</row>
    <row r="45" spans="1:14" x14ac:dyDescent="0.2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</row>
    <row r="46" spans="1:14" x14ac:dyDescent="0.25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</row>
    <row r="47" spans="1:14" x14ac:dyDescent="0.25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</row>
    <row r="48" spans="1:14" x14ac:dyDescent="0.25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25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</row>
    <row r="50" spans="1:14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</row>
    <row r="51" spans="1:14" x14ac:dyDescent="0.25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</row>
    <row r="52" spans="1:14" x14ac:dyDescent="0.25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</row>
    <row r="53" spans="1:14" x14ac:dyDescent="0.25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</row>
    <row r="54" spans="1:14" x14ac:dyDescent="0.25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</row>
    <row r="55" spans="1:14" x14ac:dyDescent="0.25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</row>
    <row r="56" spans="1:14" x14ac:dyDescent="0.25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</row>
    <row r="57" spans="1:14" x14ac:dyDescent="0.25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25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</row>
    <row r="59" spans="1:14" x14ac:dyDescent="0.25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</row>
    <row r="60" spans="1:14" x14ac:dyDescent="0.25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N21" sqref="N21"/>
    </sheetView>
  </sheetViews>
  <sheetFormatPr defaultRowHeight="15" x14ac:dyDescent="0.25"/>
  <cols>
    <col min="2" max="2" width="23" bestFit="1" customWidth="1"/>
    <col min="3" max="3" width="11.42578125" customWidth="1"/>
    <col min="8" max="8" width="10" bestFit="1" customWidth="1"/>
    <col min="16" max="16" width="9" customWidth="1"/>
  </cols>
  <sheetData>
    <row r="1" spans="1:13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3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</row>
    <row r="3" spans="1:13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</row>
    <row r="4" spans="1:13" ht="15.75" x14ac:dyDescent="0.25">
      <c r="A4" s="156"/>
      <c r="B4" s="156"/>
      <c r="C4" s="156"/>
      <c r="D4" s="19" t="s">
        <v>471</v>
      </c>
      <c r="E4" s="19"/>
      <c r="F4" s="19"/>
      <c r="G4" s="19"/>
      <c r="H4" s="156"/>
      <c r="I4" s="156"/>
      <c r="J4" s="156"/>
      <c r="K4" s="113"/>
    </row>
    <row r="5" spans="1:13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3" x14ac:dyDescent="0.25">
      <c r="A6" s="178">
        <v>1</v>
      </c>
      <c r="B6" s="215" t="s">
        <v>426</v>
      </c>
      <c r="C6" s="215"/>
      <c r="D6" s="216">
        <f>'JUNE 21'!H6:H16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  <c r="K6" s="113"/>
    </row>
    <row r="7" spans="1:13" x14ac:dyDescent="0.25">
      <c r="A7" s="178">
        <v>2</v>
      </c>
      <c r="B7" s="215" t="s">
        <v>290</v>
      </c>
      <c r="C7" s="215"/>
      <c r="D7" s="216">
        <f>'JUNE 21'!H7:H17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  <c r="K7" s="113"/>
    </row>
    <row r="8" spans="1:13" x14ac:dyDescent="0.25">
      <c r="A8" s="178">
        <v>3</v>
      </c>
      <c r="B8" s="219" t="s">
        <v>460</v>
      </c>
      <c r="C8" s="219"/>
      <c r="D8" s="216">
        <f>'JUNE 21'!H8:H18</f>
        <v>0</v>
      </c>
      <c r="E8" s="222">
        <v>8100</v>
      </c>
      <c r="F8" s="217">
        <f t="shared" si="0"/>
        <v>8100</v>
      </c>
      <c r="G8" s="222"/>
      <c r="H8" s="218">
        <f t="shared" si="1"/>
        <v>8100</v>
      </c>
      <c r="I8" s="239">
        <v>900</v>
      </c>
      <c r="J8" s="113"/>
      <c r="K8" s="113"/>
    </row>
    <row r="9" spans="1:13" x14ac:dyDescent="0.25">
      <c r="A9" s="178">
        <v>4</v>
      </c>
      <c r="B9" s="275" t="s">
        <v>467</v>
      </c>
      <c r="C9" s="274"/>
      <c r="D9" s="216">
        <f>'JUNE 21'!H9:H19</f>
        <v>0</v>
      </c>
      <c r="E9" s="222">
        <v>6000</v>
      </c>
      <c r="F9" s="217">
        <f t="shared" si="0"/>
        <v>6000</v>
      </c>
      <c r="G9" s="222">
        <f>6000</f>
        <v>6000</v>
      </c>
      <c r="H9" s="218">
        <f t="shared" si="1"/>
        <v>0</v>
      </c>
      <c r="I9" s="239">
        <v>900</v>
      </c>
      <c r="J9" s="156"/>
      <c r="K9" s="113"/>
    </row>
    <row r="10" spans="1:13" x14ac:dyDescent="0.25">
      <c r="A10" s="178">
        <v>5</v>
      </c>
      <c r="B10" s="219" t="s">
        <v>468</v>
      </c>
      <c r="C10" s="219"/>
      <c r="D10" s="216">
        <f>'JUNE 21'!H10:H20</f>
        <v>0</v>
      </c>
      <c r="E10" s="222">
        <v>9000</v>
      </c>
      <c r="F10" s="217">
        <f t="shared" si="0"/>
        <v>9000</v>
      </c>
      <c r="G10" s="222">
        <f>9000</f>
        <v>9000</v>
      </c>
      <c r="H10" s="218">
        <f t="shared" si="1"/>
        <v>0</v>
      </c>
      <c r="I10" s="239">
        <v>900</v>
      </c>
      <c r="J10" s="156"/>
      <c r="K10" s="113"/>
    </row>
    <row r="11" spans="1:13" x14ac:dyDescent="0.25">
      <c r="A11" s="178">
        <v>6</v>
      </c>
      <c r="B11" s="223" t="s">
        <v>292</v>
      </c>
      <c r="C11" s="223"/>
      <c r="D11" s="216">
        <f>'JUNE 21'!H11:H21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</row>
    <row r="12" spans="1:13" x14ac:dyDescent="0.25">
      <c r="A12" s="178">
        <v>7</v>
      </c>
      <c r="B12" s="275" t="s">
        <v>434</v>
      </c>
      <c r="C12" s="275"/>
      <c r="D12" s="216">
        <f>'JUNE 21'!H12:H22</f>
        <v>0</v>
      </c>
      <c r="E12" s="222">
        <v>10000</v>
      </c>
      <c r="F12" s="217">
        <f t="shared" si="0"/>
        <v>10000</v>
      </c>
      <c r="G12" s="222">
        <f>10000</f>
        <v>10000</v>
      </c>
      <c r="H12" s="218">
        <f t="shared" si="1"/>
        <v>0</v>
      </c>
      <c r="I12" s="239">
        <v>1600</v>
      </c>
      <c r="J12" s="156"/>
      <c r="K12" s="113"/>
    </row>
    <row r="13" spans="1:13" x14ac:dyDescent="0.25">
      <c r="A13" s="178">
        <v>8</v>
      </c>
      <c r="B13" s="219" t="s">
        <v>439</v>
      </c>
      <c r="C13" s="219"/>
      <c r="D13" s="216">
        <f>'JUNE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</row>
    <row r="14" spans="1:13" x14ac:dyDescent="0.25">
      <c r="A14" s="178"/>
      <c r="B14" s="278"/>
      <c r="C14" s="278"/>
      <c r="D14" s="216">
        <f>'JUNE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</row>
    <row r="15" spans="1:13" x14ac:dyDescent="0.25">
      <c r="A15" s="178"/>
      <c r="B15" s="219"/>
      <c r="C15" s="219"/>
      <c r="D15" s="216">
        <f>'JUNE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</row>
    <row r="16" spans="1:13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107100</v>
      </c>
      <c r="F16" s="217">
        <f t="shared" si="2"/>
        <v>107100</v>
      </c>
      <c r="G16" s="273">
        <f>SUM(G6:G15)</f>
        <v>99000</v>
      </c>
      <c r="H16" s="218">
        <f>SUM(H6:H15)</f>
        <v>8100</v>
      </c>
      <c r="I16" s="246">
        <f t="shared" si="2"/>
        <v>7000</v>
      </c>
      <c r="J16" s="211" t="s">
        <v>56</v>
      </c>
      <c r="K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</row>
    <row r="21" spans="1:12" x14ac:dyDescent="0.25">
      <c r="A21" s="237" t="s">
        <v>411</v>
      </c>
      <c r="B21" s="238">
        <f>E16</f>
        <v>107100</v>
      </c>
      <c r="C21" s="238"/>
      <c r="D21" s="238"/>
      <c r="E21" s="237"/>
      <c r="F21" s="237" t="s">
        <v>411</v>
      </c>
      <c r="G21" s="238">
        <f>G16</f>
        <v>99000</v>
      </c>
      <c r="H21" s="237"/>
      <c r="I21" s="239"/>
      <c r="J21" s="153" t="s">
        <v>477</v>
      </c>
      <c r="K21" s="153"/>
      <c r="L21" s="153">
        <v>47700</v>
      </c>
    </row>
    <row r="22" spans="1:12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2" x14ac:dyDescent="0.25">
      <c r="A23" s="237" t="s">
        <v>233</v>
      </c>
      <c r="B23" s="238">
        <f>'JULY 21'!E34</f>
        <v>31</v>
      </c>
      <c r="C23" s="238"/>
      <c r="D23" s="238"/>
      <c r="E23" s="237"/>
      <c r="F23" s="237" t="s">
        <v>233</v>
      </c>
      <c r="G23" s="238">
        <f>'JULY 21'!I34</f>
        <v>31</v>
      </c>
      <c r="H23" s="237"/>
      <c r="I23" s="239"/>
      <c r="J23" s="113"/>
      <c r="K23" s="113"/>
    </row>
    <row r="24" spans="1:12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</row>
    <row r="27" spans="1:12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</row>
    <row r="28" spans="1:12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</row>
    <row r="29" spans="1:12" x14ac:dyDescent="0.25">
      <c r="A29" s="258" t="s">
        <v>417</v>
      </c>
      <c r="B29" s="113"/>
      <c r="C29" s="113"/>
      <c r="D29" s="237">
        <v>100105</v>
      </c>
      <c r="E29" s="237"/>
      <c r="F29" s="258" t="s">
        <v>417</v>
      </c>
      <c r="G29" s="113"/>
      <c r="H29" s="113">
        <v>100105</v>
      </c>
      <c r="I29" s="237"/>
      <c r="J29" s="113"/>
      <c r="K29" s="113"/>
    </row>
    <row r="30" spans="1:12" x14ac:dyDescent="0.25">
      <c r="A30" s="258" t="s">
        <v>474</v>
      </c>
      <c r="B30" s="272"/>
      <c r="C30" s="245"/>
      <c r="D30" s="246">
        <v>20000</v>
      </c>
      <c r="E30" s="247"/>
      <c r="F30" s="258" t="s">
        <v>474</v>
      </c>
      <c r="G30" s="272"/>
      <c r="H30" s="245">
        <v>20000</v>
      </c>
      <c r="I30" s="246"/>
      <c r="J30" s="113"/>
      <c r="K30" s="113"/>
    </row>
    <row r="31" spans="1:12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2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</row>
    <row r="34" spans="1:11" x14ac:dyDescent="0.25">
      <c r="A34" s="250" t="s">
        <v>3</v>
      </c>
      <c r="B34" s="269">
        <f>B21+B23+B22+B24-D25</f>
        <v>96421</v>
      </c>
      <c r="C34" s="269"/>
      <c r="D34" s="270">
        <f>SUM(D27:D33)</f>
        <v>120105</v>
      </c>
      <c r="E34" s="270">
        <f>B34-D34</f>
        <v>-23684</v>
      </c>
      <c r="F34" s="250" t="s">
        <v>3</v>
      </c>
      <c r="G34" s="269">
        <f>G21+G23+G24-H25</f>
        <v>88321</v>
      </c>
      <c r="H34" s="270">
        <f>SUM(H27:H33)</f>
        <v>120105</v>
      </c>
      <c r="I34" s="270">
        <f>G34-H34</f>
        <v>-31784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  <c r="K38" s="1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JUNE</vt:lpstr>
      <vt:lpstr>JULY</vt:lpstr>
      <vt:lpstr>AUGUST</vt:lpstr>
      <vt:lpstr>SEPTEMBER</vt:lpstr>
      <vt:lpstr>OCTOBER</vt:lpstr>
      <vt:lpstr>NOVEMBER</vt:lpstr>
      <vt:lpstr>DECEMBER</vt:lpstr>
      <vt:lpstr>JAN-14</vt:lpstr>
      <vt:lpstr>FEBRUARY</vt:lpstr>
      <vt:lpstr>MARCH</vt:lpstr>
      <vt:lpstr>APRIL14</vt:lpstr>
      <vt:lpstr>may14</vt:lpstr>
      <vt:lpstr>JUNE14</vt:lpstr>
      <vt:lpstr>JULY14</vt:lpstr>
      <vt:lpstr>AUGUST14</vt:lpstr>
      <vt:lpstr>SEP 14</vt:lpstr>
      <vt:lpstr>OCT 14</vt:lpstr>
      <vt:lpstr>NOV14</vt:lpstr>
      <vt:lpstr>DEC14</vt:lpstr>
      <vt:lpstr>JAN</vt:lpstr>
      <vt:lpstr>FEB</vt:lpstr>
      <vt:lpstr>MARCH 22015</vt:lpstr>
      <vt:lpstr>APRIL 2015</vt:lpstr>
      <vt:lpstr>MAY 2015</vt:lpstr>
      <vt:lpstr>JUNE 2015</vt:lpstr>
      <vt:lpstr>JULY 2015</vt:lpstr>
      <vt:lpstr>AUGUST2015</vt:lpstr>
      <vt:lpstr>SEPTEMBER 2015</vt:lpstr>
      <vt:lpstr>OCT 2015</vt:lpstr>
      <vt:lpstr>NOV</vt:lpstr>
      <vt:lpstr>DEC 2015</vt:lpstr>
      <vt:lpstr>Sheet1</vt:lpstr>
      <vt:lpstr>feb 2016</vt:lpstr>
      <vt:lpstr>March  2016</vt:lpstr>
      <vt:lpstr>Sheet2</vt:lpstr>
      <vt:lpstr>MAY</vt:lpstr>
      <vt:lpstr>Sheet3</vt:lpstr>
      <vt:lpstr>JULY 2016</vt:lpstr>
      <vt:lpstr>AUGUST 2016</vt:lpstr>
      <vt:lpstr>SEPT</vt:lpstr>
      <vt:lpstr>Sheet4</vt:lpstr>
      <vt:lpstr>Sheet5</vt:lpstr>
      <vt:lpstr>Sheet6</vt:lpstr>
      <vt:lpstr>Sheet7</vt:lpstr>
      <vt:lpstr>Sheet8</vt:lpstr>
      <vt:lpstr>march 2017</vt:lpstr>
      <vt:lpstr>APRIL 2017</vt:lpstr>
      <vt:lpstr>MAY 2017</vt:lpstr>
      <vt:lpstr>JUNE 2017</vt:lpstr>
      <vt:lpstr>JULY 2017</vt:lpstr>
      <vt:lpstr>AUGUST  2017</vt:lpstr>
      <vt:lpstr>SEPTEMBER2011</vt:lpstr>
      <vt:lpstr>OCTOMBER2017</vt:lpstr>
      <vt:lpstr>NOV 2017</vt:lpstr>
      <vt:lpstr>DEC</vt:lpstr>
      <vt:lpstr>JAN </vt:lpstr>
      <vt:lpstr>FEB18</vt:lpstr>
      <vt:lpstr>MAR 18</vt:lpstr>
      <vt:lpstr>APRIL</vt:lpstr>
      <vt:lpstr>MAY 18</vt:lpstr>
      <vt:lpstr>JUNE </vt:lpstr>
      <vt:lpstr>JULY7</vt:lpstr>
      <vt:lpstr>AUG</vt:lpstr>
      <vt:lpstr>SEP</vt:lpstr>
      <vt:lpstr>OCTOBER </vt:lpstr>
      <vt:lpstr>NOVEMBER </vt:lpstr>
      <vt:lpstr>DECEM</vt:lpstr>
      <vt:lpstr>JANUARY</vt:lpstr>
      <vt:lpstr>FEB </vt:lpstr>
      <vt:lpstr>MARCH </vt:lpstr>
      <vt:lpstr>APRIL </vt:lpstr>
      <vt:lpstr>MAY </vt:lpstr>
      <vt:lpstr>JUNEE </vt:lpstr>
      <vt:lpstr>JULY  </vt:lpstr>
      <vt:lpstr>AUGUST19</vt:lpstr>
      <vt:lpstr>SEPTEMBER 19</vt:lpstr>
      <vt:lpstr>OCTOBER19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mukiri</dc:creator>
  <cp:lastModifiedBy>ASSETFLOW PC3</cp:lastModifiedBy>
  <cp:lastPrinted>2020-10-10T10:37:30Z</cp:lastPrinted>
  <dcterms:created xsi:type="dcterms:W3CDTF">2013-06-10T16:25:01Z</dcterms:created>
  <dcterms:modified xsi:type="dcterms:W3CDTF">2021-12-08T10:03:48Z</dcterms:modified>
</cp:coreProperties>
</file>