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50" windowWidth="14805" windowHeight="7965" firstSheet="47" activeTab="51"/>
  </bookViews>
  <sheets>
    <sheet name="SEPTEMBER" sheetId="3" r:id="rId1"/>
    <sheet name="OCTOMBER" sheetId="2" r:id="rId2"/>
    <sheet name="NOVEMBER" sheetId="1" r:id="rId3"/>
    <sheet name="DEC" sheetId="4" r:id="rId4"/>
    <sheet name="JAN" sheetId="5" r:id="rId5"/>
    <sheet name="FEB 18" sheetId="6" r:id="rId6"/>
    <sheet name="MARCH 18" sheetId="7" r:id="rId7"/>
    <sheet name="APRIL" sheetId="8" r:id="rId8"/>
    <sheet name="MAY" sheetId="9" r:id="rId9"/>
    <sheet name="JUNE18" sheetId="10" r:id="rId10"/>
    <sheet name="JULY" sheetId="11" r:id="rId11"/>
    <sheet name="AUG" sheetId="12" r:id="rId12"/>
    <sheet name="SEP" sheetId="13" r:id="rId13"/>
    <sheet name="OCT" sheetId="14" r:id="rId14"/>
    <sheet name="NOVEMBER " sheetId="15" r:id="rId15"/>
    <sheet name="DECE" sheetId="16" r:id="rId16"/>
    <sheet name="JANUARY " sheetId="17" r:id="rId17"/>
    <sheet name="FEBRUARY" sheetId="18" r:id="rId18"/>
    <sheet name="MARCH " sheetId="19" r:id="rId19"/>
    <sheet name="APRIL " sheetId="20" r:id="rId20"/>
    <sheet name="MAY " sheetId="21" r:id="rId21"/>
    <sheet name="JUNE " sheetId="22" r:id="rId22"/>
    <sheet name="JULY  " sheetId="23" r:id="rId23"/>
    <sheet name="AUGUST 19" sheetId="24" r:id="rId24"/>
    <sheet name="SEPTEMBER 19" sheetId="25" r:id="rId25"/>
    <sheet name="OCTOBER19" sheetId="26" r:id="rId26"/>
    <sheet name="NOVEMBER19" sheetId="27" r:id="rId27"/>
    <sheet name="DECEMBER 19" sheetId="28" r:id="rId28"/>
    <sheet name="JANUARY 20" sheetId="29" r:id="rId29"/>
    <sheet name="FEBRUARY 20" sheetId="30" r:id="rId30"/>
    <sheet name="MARCH 20" sheetId="31" r:id="rId31"/>
    <sheet name="APRIL 20" sheetId="32" r:id="rId32"/>
    <sheet name="MAY 20" sheetId="33" r:id="rId33"/>
    <sheet name="JUNE 20" sheetId="34" r:id="rId34"/>
    <sheet name="JULY 20" sheetId="35" r:id="rId35"/>
    <sheet name="AUGUST 20" sheetId="36" r:id="rId36"/>
    <sheet name="SEPTEMBER 20" sheetId="37" r:id="rId37"/>
    <sheet name="OCTOBER 20" sheetId="38" r:id="rId38"/>
    <sheet name="NOVEMBER20" sheetId="39" r:id="rId39"/>
    <sheet name="DECEMBER 20" sheetId="40" r:id="rId40"/>
    <sheet name="JANUARY 21" sheetId="41" r:id="rId41"/>
    <sheet name="FEBRUARY21" sheetId="42" r:id="rId42"/>
    <sheet name="MARCH 21" sheetId="43" r:id="rId43"/>
    <sheet name="APRIL21" sheetId="44" r:id="rId44"/>
    <sheet name="MAY 21" sheetId="45" r:id="rId45"/>
    <sheet name="JUNE 21" sheetId="46" r:id="rId46"/>
    <sheet name="JULY 21" sheetId="47" r:id="rId47"/>
    <sheet name="AUGUST 21" sheetId="48" r:id="rId48"/>
    <sheet name="SEPT 21" sheetId="49" r:id="rId49"/>
    <sheet name="OCT 21" sheetId="50" r:id="rId50"/>
    <sheet name="NOVEMBER 21" sheetId="51" r:id="rId51"/>
    <sheet name="DECEMBER 21" sheetId="52" r:id="rId52"/>
  </sheets>
  <calcPr calcId="162913"/>
</workbook>
</file>

<file path=xl/calcChain.xml><?xml version="1.0" encoding="utf-8"?>
<calcChain xmlns="http://schemas.openxmlformats.org/spreadsheetml/2006/main">
  <c r="H33" i="52" l="1"/>
  <c r="D33" i="52"/>
  <c r="F19" i="48" l="1"/>
  <c r="F19" i="51" l="1"/>
  <c r="F13" i="51" l="1"/>
  <c r="F6" i="51" l="1"/>
  <c r="F46" i="52" l="1"/>
  <c r="H42" i="52"/>
  <c r="D42" i="52"/>
  <c r="D23" i="52"/>
  <c r="F22" i="52"/>
  <c r="G27" i="52" s="1"/>
  <c r="C22" i="52"/>
  <c r="C27" i="52" s="1"/>
  <c r="L29" i="52" s="1"/>
  <c r="D30" i="52" l="1"/>
  <c r="L30" i="52" s="1"/>
  <c r="L31" i="52" s="1"/>
  <c r="H30" i="52"/>
  <c r="K44" i="50"/>
  <c r="C22" i="51"/>
  <c r="F46" i="51" l="1"/>
  <c r="H42" i="51"/>
  <c r="D42" i="51"/>
  <c r="D23" i="51"/>
  <c r="C27" i="51"/>
  <c r="L26" i="51" s="1"/>
  <c r="F22" i="51"/>
  <c r="G27" i="51" s="1"/>
  <c r="D30" i="51" l="1"/>
  <c r="L27" i="51" s="1"/>
  <c r="L28" i="51" s="1"/>
  <c r="L30" i="51" s="1"/>
  <c r="L32" i="51" s="1"/>
  <c r="L34" i="51" s="1"/>
  <c r="H30" i="51"/>
  <c r="F19" i="50"/>
  <c r="F13" i="50" l="1"/>
  <c r="L37" i="50" l="1"/>
  <c r="D23" i="50" l="1"/>
  <c r="F46" i="50"/>
  <c r="H42" i="50"/>
  <c r="D42" i="50"/>
  <c r="C22" i="50"/>
  <c r="C27" i="50" s="1"/>
  <c r="F22" i="50"/>
  <c r="G27" i="50" s="1"/>
  <c r="D30" i="50" l="1"/>
  <c r="L35" i="50" s="1"/>
  <c r="L36" i="50" s="1"/>
  <c r="L38" i="50" s="1"/>
  <c r="H30" i="50"/>
  <c r="F13" i="49"/>
  <c r="F6" i="49"/>
  <c r="F8" i="49" l="1"/>
  <c r="F9" i="49" l="1"/>
  <c r="F17" i="49" l="1"/>
  <c r="F16" i="49" l="1"/>
  <c r="F21" i="49" l="1"/>
  <c r="F12" i="49" l="1"/>
  <c r="F7" i="49" l="1"/>
  <c r="F5" i="49" l="1"/>
  <c r="O24" i="49" l="1"/>
  <c r="F46" i="49" l="1"/>
  <c r="D23" i="49"/>
  <c r="C22" i="49"/>
  <c r="C27" i="49" s="1"/>
  <c r="F22" i="49"/>
  <c r="G27" i="49" s="1"/>
  <c r="D42" i="49" l="1"/>
  <c r="H42" i="49"/>
  <c r="D30" i="49"/>
  <c r="H30" i="49"/>
  <c r="F13" i="48"/>
  <c r="F20" i="48" l="1"/>
  <c r="K36" i="48"/>
  <c r="F12" i="48" l="1"/>
  <c r="F17" i="48" l="1"/>
  <c r="M36" i="48" l="1"/>
  <c r="F16" i="48"/>
  <c r="F10" i="48" l="1"/>
  <c r="F11" i="47" l="1"/>
  <c r="F46" i="48" l="1"/>
  <c r="D23" i="48"/>
  <c r="C22" i="48"/>
  <c r="C27" i="48" s="1"/>
  <c r="M33" i="48" s="1"/>
  <c r="F22" i="48"/>
  <c r="G27" i="48" l="1"/>
  <c r="D30" i="48"/>
  <c r="M34" i="48" s="1"/>
  <c r="M35" i="48" s="1"/>
  <c r="H30" i="48"/>
  <c r="F6" i="47"/>
  <c r="F14" i="47" l="1"/>
  <c r="F15" i="47" l="1"/>
  <c r="F12" i="47" l="1"/>
  <c r="F13" i="47" l="1"/>
  <c r="F8" i="47" l="1"/>
  <c r="F21" i="47" l="1"/>
  <c r="F5" i="47" l="1"/>
  <c r="F12" i="46" l="1"/>
  <c r="F46" i="47" l="1"/>
  <c r="H42" i="47"/>
  <c r="D42" i="47"/>
  <c r="D23" i="47"/>
  <c r="F22" i="47"/>
  <c r="G27" i="47" s="1"/>
  <c r="C22" i="47"/>
  <c r="C27" i="47" s="1"/>
  <c r="H30" i="47" l="1"/>
  <c r="D30" i="47"/>
  <c r="F13" i="46" l="1"/>
  <c r="H41" i="37" l="1"/>
  <c r="L37" i="40"/>
  <c r="C22" i="40"/>
  <c r="H42" i="40"/>
  <c r="F15" i="40"/>
  <c r="F12" i="37"/>
  <c r="F15" i="37"/>
  <c r="F13" i="45"/>
  <c r="F8" i="46" l="1"/>
  <c r="H37" i="32" l="1"/>
  <c r="D37" i="32"/>
  <c r="F19" i="45" l="1"/>
  <c r="F12" i="45"/>
  <c r="F12" i="44"/>
  <c r="F19" i="46"/>
  <c r="F16" i="46"/>
  <c r="L28" i="44" l="1"/>
  <c r="F6" i="44"/>
  <c r="F21" i="46" l="1"/>
  <c r="F5" i="46" l="1"/>
  <c r="F8" i="45" l="1"/>
  <c r="F16" i="45"/>
  <c r="F46" i="46" l="1"/>
  <c r="H42" i="46"/>
  <c r="D42" i="46"/>
  <c r="D23" i="46"/>
  <c r="C22" i="46"/>
  <c r="C27" i="46" s="1"/>
  <c r="F22" i="46"/>
  <c r="G27" i="46" s="1"/>
  <c r="D30" i="46" l="1"/>
  <c r="H30" i="46"/>
  <c r="F21" i="45" l="1"/>
  <c r="F20" i="44" l="1"/>
  <c r="F8" i="44"/>
  <c r="F16" i="44" l="1"/>
  <c r="F11" i="44"/>
  <c r="F9" i="44"/>
  <c r="F46" i="45" l="1"/>
  <c r="H42" i="45"/>
  <c r="D42" i="45"/>
  <c r="D23" i="45"/>
  <c r="F22" i="45"/>
  <c r="G27" i="45" s="1"/>
  <c r="C22" i="45"/>
  <c r="C27" i="45" s="1"/>
  <c r="H30" i="45" s="1"/>
  <c r="D30" i="45" l="1"/>
  <c r="F15" i="44"/>
  <c r="F14" i="44"/>
  <c r="F13" i="44"/>
  <c r="F21" i="44" l="1"/>
  <c r="F20" i="43" l="1"/>
  <c r="F16" i="43" l="1"/>
  <c r="F13" i="43" l="1"/>
  <c r="H42" i="44"/>
  <c r="D23" i="44"/>
  <c r="C22" i="44"/>
  <c r="C27" i="44" s="1"/>
  <c r="D30" i="44" s="1"/>
  <c r="F22" i="44"/>
  <c r="G27" i="44" s="1"/>
  <c r="D42" i="44" l="1"/>
  <c r="H30" i="44"/>
  <c r="D36" i="43"/>
  <c r="H36" i="43" s="1"/>
  <c r="F6" i="43"/>
  <c r="F17" i="43" l="1"/>
  <c r="F16" i="42"/>
  <c r="F12" i="43"/>
  <c r="F11" i="43"/>
  <c r="F21" i="43" l="1"/>
  <c r="F18" i="43" l="1"/>
  <c r="L35" i="43" l="1"/>
  <c r="L32" i="43"/>
  <c r="L34" i="43" s="1"/>
  <c r="F9" i="42"/>
  <c r="D37" i="42"/>
  <c r="H37" i="42" s="1"/>
  <c r="F18" i="42"/>
  <c r="F8" i="42"/>
  <c r="H40" i="42"/>
  <c r="D40" i="42"/>
  <c r="F17" i="42"/>
  <c r="D39" i="42"/>
  <c r="H39" i="42" s="1"/>
  <c r="D38" i="42"/>
  <c r="H38" i="42" s="1"/>
  <c r="D33" i="42"/>
  <c r="L36" i="43" l="1"/>
  <c r="L38" i="43" s="1"/>
  <c r="F46" i="43"/>
  <c r="D23" i="43"/>
  <c r="F22" i="43"/>
  <c r="G27" i="43" s="1"/>
  <c r="C22" i="43"/>
  <c r="C27" i="43" s="1"/>
  <c r="F46" i="44" l="1"/>
  <c r="H30" i="43"/>
  <c r="D30" i="43"/>
  <c r="F14" i="42" l="1"/>
  <c r="F20" i="42"/>
  <c r="F12" i="42" l="1"/>
  <c r="F13" i="42" l="1"/>
  <c r="F5" i="42" l="1"/>
  <c r="F21" i="42" l="1"/>
  <c r="H33" i="42" l="1"/>
  <c r="F6" i="41" l="1"/>
  <c r="F9" i="41" l="1"/>
  <c r="F17" i="41" l="1"/>
  <c r="F46" i="42" l="1"/>
  <c r="D42" i="42"/>
  <c r="D23" i="42"/>
  <c r="F22" i="42"/>
  <c r="G27" i="42" s="1"/>
  <c r="C22" i="42"/>
  <c r="C27" i="42" s="1"/>
  <c r="H42" i="42" l="1"/>
  <c r="H30" i="42"/>
  <c r="D30" i="42"/>
  <c r="F16" i="41" l="1"/>
  <c r="H42" i="41" l="1"/>
  <c r="F11" i="41" l="1"/>
  <c r="F20" i="41" l="1"/>
  <c r="F13" i="41" l="1"/>
  <c r="F21" i="41" l="1"/>
  <c r="F5" i="41" l="1"/>
  <c r="C22" i="41" l="1"/>
  <c r="C27" i="41" s="1"/>
  <c r="F9" i="40"/>
  <c r="F16" i="40"/>
  <c r="K29" i="39" l="1"/>
  <c r="K28" i="39"/>
  <c r="K31" i="39" l="1"/>
  <c r="K32" i="39" s="1"/>
  <c r="F46" i="41"/>
  <c r="D42" i="41"/>
  <c r="D23" i="41"/>
  <c r="F22" i="41"/>
  <c r="G27" i="41" s="1"/>
  <c r="F8" i="40" l="1"/>
  <c r="F6" i="40"/>
  <c r="F8" i="38" l="1"/>
  <c r="I8" i="38" l="1"/>
  <c r="F21" i="38" l="1"/>
  <c r="P30" i="40" l="1"/>
  <c r="F13" i="40" l="1"/>
  <c r="F18" i="40" l="1"/>
  <c r="F10" i="40" l="1"/>
  <c r="F17" i="40" l="1"/>
  <c r="F12" i="38" l="1"/>
  <c r="K36" i="39"/>
  <c r="F12" i="40"/>
  <c r="F22" i="40" s="1"/>
  <c r="D30" i="41" l="1"/>
  <c r="H30" i="41"/>
  <c r="F14" i="37"/>
  <c r="F14" i="36"/>
  <c r="F16" i="39"/>
  <c r="F8" i="39" l="1"/>
  <c r="F46" i="40" l="1"/>
  <c r="D42" i="40"/>
  <c r="D23" i="40"/>
  <c r="G27" i="40"/>
  <c r="C27" i="40"/>
  <c r="H30" i="40" l="1"/>
  <c r="D30" i="40"/>
  <c r="F15" i="38"/>
  <c r="F13" i="39" l="1"/>
  <c r="F6" i="39"/>
  <c r="F19" i="38" l="1"/>
  <c r="F22" i="39" l="1"/>
  <c r="G27" i="39" s="1"/>
  <c r="C22" i="39"/>
  <c r="H38" i="38" l="1"/>
  <c r="D38" i="38"/>
  <c r="F17" i="38" l="1"/>
  <c r="H37" i="38"/>
  <c r="H42" i="38" s="1"/>
  <c r="D37" i="38"/>
  <c r="F46" i="38" s="1"/>
  <c r="F11" i="38"/>
  <c r="F16" i="38"/>
  <c r="D9" i="39" l="1"/>
  <c r="E9" i="39" s="1"/>
  <c r="G9" i="39" s="1"/>
  <c r="D21" i="39"/>
  <c r="E21" i="39" s="1"/>
  <c r="G21" i="39" s="1"/>
  <c r="F46" i="39"/>
  <c r="H42" i="39"/>
  <c r="D42" i="39"/>
  <c r="D23" i="39"/>
  <c r="C27" i="39"/>
  <c r="D21" i="40" l="1"/>
  <c r="E21" i="40" s="1"/>
  <c r="D9" i="40"/>
  <c r="E9" i="40" s="1"/>
  <c r="G9" i="40" s="1"/>
  <c r="D9" i="41" s="1"/>
  <c r="E9" i="41" s="1"/>
  <c r="G9" i="41" s="1"/>
  <c r="D9" i="42" s="1"/>
  <c r="E9" i="42" s="1"/>
  <c r="G9" i="42" s="1"/>
  <c r="D9" i="43" s="1"/>
  <c r="E9" i="43" s="1"/>
  <c r="H30" i="39"/>
  <c r="D30" i="39"/>
  <c r="G21" i="40" l="1"/>
  <c r="P27" i="40"/>
  <c r="G9" i="43"/>
  <c r="D9" i="44" s="1"/>
  <c r="E9" i="44" s="1"/>
  <c r="G9" i="44" s="1"/>
  <c r="D9" i="45" s="1"/>
  <c r="E9" i="45" s="1"/>
  <c r="G9" i="45" s="1"/>
  <c r="D9" i="46" s="1"/>
  <c r="E9" i="46" s="1"/>
  <c r="G9" i="46" s="1"/>
  <c r="K34" i="37"/>
  <c r="I12" i="37"/>
  <c r="D21" i="41" l="1"/>
  <c r="E21" i="41" s="1"/>
  <c r="G21" i="41" s="1"/>
  <c r="D21" i="42" s="1"/>
  <c r="E21" i="42" s="1"/>
  <c r="G21" i="42" s="1"/>
  <c r="D21" i="43" s="1"/>
  <c r="E21" i="43" s="1"/>
  <c r="G21" i="43" s="1"/>
  <c r="D21" i="44" s="1"/>
  <c r="E21" i="44" s="1"/>
  <c r="G21" i="44" s="1"/>
  <c r="D21" i="45" s="1"/>
  <c r="E21" i="45" s="1"/>
  <c r="G21" i="45" s="1"/>
  <c r="D21" i="46" s="1"/>
  <c r="E21" i="46" s="1"/>
  <c r="G21" i="46" s="1"/>
  <c r="D21" i="47" s="1"/>
  <c r="E21" i="47" s="1"/>
  <c r="G21" i="47" s="1"/>
  <c r="D21" i="48" s="1"/>
  <c r="E21" i="48" s="1"/>
  <c r="G21" i="48" s="1"/>
  <c r="D21" i="49" s="1"/>
  <c r="E21" i="49" s="1"/>
  <c r="G21" i="49" s="1"/>
  <c r="D21" i="50" s="1"/>
  <c r="E21" i="50" s="1"/>
  <c r="G21" i="50" s="1"/>
  <c r="D21" i="51" s="1"/>
  <c r="E21" i="51" s="1"/>
  <c r="G21" i="51" s="1"/>
  <c r="D21" i="52" s="1"/>
  <c r="E21" i="52" s="1"/>
  <c r="G21" i="52" s="1"/>
  <c r="D9" i="47"/>
  <c r="E9" i="47" s="1"/>
  <c r="G9" i="47" s="1"/>
  <c r="D9" i="48" s="1"/>
  <c r="D41" i="37"/>
  <c r="K38" i="37" s="1"/>
  <c r="F13" i="37"/>
  <c r="E9" i="48" l="1"/>
  <c r="F13" i="38"/>
  <c r="G9" i="48" l="1"/>
  <c r="D9" i="49" s="1"/>
  <c r="E9" i="49" s="1"/>
  <c r="G9" i="49" s="1"/>
  <c r="D9" i="50" s="1"/>
  <c r="E9" i="50" s="1"/>
  <c r="G9" i="50" s="1"/>
  <c r="D9" i="51" s="1"/>
  <c r="E9" i="51" s="1"/>
  <c r="G9" i="51" s="1"/>
  <c r="D9" i="52" s="1"/>
  <c r="E9" i="52" s="1"/>
  <c r="G9" i="52" s="1"/>
  <c r="F10" i="38"/>
  <c r="M37" i="37" l="1"/>
  <c r="M38" i="37" s="1"/>
  <c r="F16" i="37"/>
  <c r="F11" i="37"/>
  <c r="F17" i="37" l="1"/>
  <c r="D21" i="38" l="1"/>
  <c r="E21" i="38" s="1"/>
  <c r="D23" i="38"/>
  <c r="C22" i="38"/>
  <c r="C27" i="38" s="1"/>
  <c r="F22" i="38"/>
  <c r="G27" i="38" s="1"/>
  <c r="H30" i="38" l="1"/>
  <c r="D30" i="38"/>
  <c r="D42" i="38"/>
  <c r="F8" i="37" l="1"/>
  <c r="F5" i="37" l="1"/>
  <c r="F21" i="37" l="1"/>
  <c r="H42" i="37" l="1"/>
  <c r="C22" i="37"/>
  <c r="C27" i="37" s="1"/>
  <c r="F22" i="37"/>
  <c r="G27" i="37" s="1"/>
  <c r="D30" i="37" l="1"/>
  <c r="H30" i="37"/>
  <c r="F11" i="36"/>
  <c r="F16" i="36" l="1"/>
  <c r="F18" i="36" l="1"/>
  <c r="F12" i="35" l="1"/>
  <c r="H39" i="35"/>
  <c r="D39" i="35"/>
  <c r="F14" i="35"/>
  <c r="H41" i="35"/>
  <c r="D41" i="35"/>
  <c r="F8" i="36" l="1"/>
  <c r="H36" i="36" l="1"/>
  <c r="D36" i="36"/>
  <c r="F21" i="36" l="1"/>
  <c r="D34" i="36" l="1"/>
  <c r="F17" i="36" l="1"/>
  <c r="D42" i="36" l="1"/>
  <c r="C22" i="36"/>
  <c r="F22" i="36"/>
  <c r="G27" i="36" s="1"/>
  <c r="C27" i="36" l="1"/>
  <c r="D30" i="36" s="1"/>
  <c r="H30" i="36"/>
  <c r="F8" i="32"/>
  <c r="H42" i="36" l="1"/>
  <c r="C12" i="35"/>
  <c r="F16" i="35"/>
  <c r="D37" i="35"/>
  <c r="H37" i="35" s="1"/>
  <c r="F8" i="34" l="1"/>
  <c r="D36" i="35"/>
  <c r="H36" i="35" s="1"/>
  <c r="D35" i="35"/>
  <c r="H35" i="35" s="1"/>
  <c r="D34" i="35"/>
  <c r="H34" i="35" s="1"/>
  <c r="D33" i="35"/>
  <c r="H33" i="35" s="1"/>
  <c r="K31" i="34"/>
  <c r="L32" i="34" s="1"/>
  <c r="D39" i="32"/>
  <c r="F14" i="34"/>
  <c r="K38" i="35" l="1"/>
  <c r="F9" i="35"/>
  <c r="F13" i="34" l="1"/>
  <c r="F16" i="34"/>
  <c r="F11" i="34"/>
  <c r="F12" i="34" l="1"/>
  <c r="H42" i="33" l="1"/>
  <c r="D42" i="33"/>
  <c r="F46" i="35" l="1"/>
  <c r="D42" i="35"/>
  <c r="F22" i="35"/>
  <c r="G27" i="35" s="1"/>
  <c r="C22" i="35"/>
  <c r="C27" i="35" s="1"/>
  <c r="H30" i="35" s="1"/>
  <c r="D30" i="35" l="1"/>
  <c r="D42" i="34" l="1"/>
  <c r="D38" i="33" l="1"/>
  <c r="D37" i="33"/>
  <c r="D39" i="33" l="1"/>
  <c r="F8" i="33"/>
  <c r="H40" i="33" l="1"/>
  <c r="D40" i="33"/>
  <c r="I46" i="33" s="1"/>
  <c r="F46" i="34" l="1"/>
  <c r="C22" i="34"/>
  <c r="C27" i="34" s="1"/>
  <c r="F22" i="34"/>
  <c r="G27" i="34" s="1"/>
  <c r="F47" i="33"/>
  <c r="D30" i="34" l="1"/>
  <c r="H30" i="34"/>
  <c r="H43" i="32"/>
  <c r="H39" i="33"/>
  <c r="H38" i="33"/>
  <c r="H37" i="33"/>
  <c r="K11" i="33"/>
  <c r="H39" i="32"/>
  <c r="F7" i="32"/>
  <c r="F16" i="32" l="1"/>
  <c r="H43" i="33" l="1"/>
  <c r="D43" i="33"/>
  <c r="F22" i="33"/>
  <c r="G27" i="33" s="1"/>
  <c r="C22" i="33"/>
  <c r="C27" i="33" s="1"/>
  <c r="H30" i="33" s="1"/>
  <c r="D30" i="33" l="1"/>
  <c r="F22" i="32"/>
  <c r="G27" i="32" s="1"/>
  <c r="D38" i="31" l="1"/>
  <c r="F15" i="31"/>
  <c r="H33" i="32" l="1"/>
  <c r="D33" i="32"/>
  <c r="K28" i="32" s="1"/>
  <c r="F20" i="31" l="1"/>
  <c r="F7" i="31" l="1"/>
  <c r="C22" i="32" l="1"/>
  <c r="C27" i="32" s="1"/>
  <c r="H30" i="32" s="1"/>
  <c r="H35" i="31"/>
  <c r="K25" i="32" l="1"/>
  <c r="D30" i="32"/>
  <c r="H38" i="31"/>
  <c r="F22" i="31"/>
  <c r="G27" i="31" s="1"/>
  <c r="C22" i="31"/>
  <c r="C27" i="31" s="1"/>
  <c r="M29" i="32" l="1"/>
  <c r="K26" i="32"/>
  <c r="K30" i="32" s="1"/>
  <c r="K32" i="32" s="1"/>
  <c r="K34" i="32" s="1"/>
  <c r="D30" i="31"/>
  <c r="H30" i="31" s="1"/>
  <c r="D34" i="30"/>
  <c r="M30" i="32" l="1"/>
  <c r="D36" i="29"/>
  <c r="M31" i="32" l="1"/>
  <c r="M32" i="32" s="1"/>
  <c r="M33" i="32" s="1"/>
  <c r="N31" i="32"/>
  <c r="N32" i="32" s="1"/>
  <c r="H36" i="29"/>
  <c r="F18" i="29"/>
  <c r="F9" i="23" l="1"/>
  <c r="F8" i="24"/>
  <c r="F8" i="23"/>
  <c r="H22" i="29" l="1"/>
  <c r="H37" i="30" l="1"/>
  <c r="D37" i="30"/>
  <c r="F22" i="30"/>
  <c r="G27" i="30" s="1"/>
  <c r="C22" i="30"/>
  <c r="C27" i="30" s="1"/>
  <c r="D30" i="30" l="1"/>
  <c r="H30" i="30" s="1"/>
  <c r="D37" i="29"/>
  <c r="C22" i="29"/>
  <c r="H35" i="28" l="1"/>
  <c r="D35" i="28"/>
  <c r="F22" i="29"/>
  <c r="G27" i="29" s="1"/>
  <c r="C27" i="29"/>
  <c r="D30" i="29" l="1"/>
  <c r="H30" i="29" s="1"/>
  <c r="J18" i="27" l="1"/>
  <c r="L40" i="27" l="1"/>
  <c r="K38" i="27" l="1"/>
  <c r="K36" i="27"/>
  <c r="L33" i="27"/>
  <c r="M34" i="27" s="1"/>
  <c r="M35" i="27" s="1"/>
  <c r="K34" i="27"/>
  <c r="H33" i="27" l="1"/>
  <c r="D33" i="27"/>
  <c r="H37" i="28" l="1"/>
  <c r="D37" i="28"/>
  <c r="F22" i="28"/>
  <c r="G27" i="28" s="1"/>
  <c r="C22" i="28"/>
  <c r="C27" i="28" s="1"/>
  <c r="D30" i="28" l="1"/>
  <c r="H30" i="28" s="1"/>
  <c r="F21" i="24" l="1"/>
  <c r="F14" i="26"/>
  <c r="F15" i="25"/>
  <c r="F15" i="23"/>
  <c r="F15" i="26" l="1"/>
  <c r="H34" i="26" l="1"/>
  <c r="H33" i="26" l="1"/>
  <c r="D33" i="26"/>
  <c r="H37" i="27"/>
  <c r="D37" i="27"/>
  <c r="F22" i="27"/>
  <c r="G27" i="27" s="1"/>
  <c r="C22" i="27"/>
  <c r="C27" i="27" s="1"/>
  <c r="D30" i="27" l="1"/>
  <c r="H30" i="27" s="1"/>
  <c r="F14" i="25"/>
  <c r="F22" i="26" l="1"/>
  <c r="G27" i="26" s="1"/>
  <c r="C22" i="26"/>
  <c r="C27" i="26" s="1"/>
  <c r="D30" i="26" l="1"/>
  <c r="H30" i="26" s="1"/>
  <c r="D38" i="26" l="1"/>
  <c r="H38" i="26"/>
  <c r="F22" i="25" l="1"/>
  <c r="G27" i="25" s="1"/>
  <c r="C22" i="25"/>
  <c r="C27" i="25" s="1"/>
  <c r="D30" i="25" l="1"/>
  <c r="D35" i="24"/>
  <c r="H35" i="24" s="1"/>
  <c r="H30" i="25" l="1"/>
  <c r="C22" i="24"/>
  <c r="C27" i="24" s="1"/>
  <c r="D30" i="24" l="1"/>
  <c r="D37" i="24" l="1"/>
  <c r="H37" i="24" l="1"/>
  <c r="F22" i="24"/>
  <c r="G27" i="24" s="1"/>
  <c r="H30" i="24" l="1"/>
  <c r="H36" i="23"/>
  <c r="D36" i="23"/>
  <c r="F22" i="23"/>
  <c r="G27" i="23" s="1"/>
  <c r="D22" i="23"/>
  <c r="C22" i="23"/>
  <c r="C27" i="23" s="1"/>
  <c r="E21" i="23"/>
  <c r="G21" i="23" s="1"/>
  <c r="D21" i="24" s="1"/>
  <c r="E21" i="24" s="1"/>
  <c r="G21" i="24" s="1"/>
  <c r="D21" i="25" s="1"/>
  <c r="E21" i="25" s="1"/>
  <c r="G21" i="25" s="1"/>
  <c r="D21" i="26" s="1"/>
  <c r="E21" i="26" s="1"/>
  <c r="G21" i="26" s="1"/>
  <c r="D21" i="27" s="1"/>
  <c r="E21" i="27" s="1"/>
  <c r="G21" i="27" s="1"/>
  <c r="D21" i="28" s="1"/>
  <c r="E21" i="28" s="1"/>
  <c r="G21" i="28" s="1"/>
  <c r="D21" i="29" s="1"/>
  <c r="E21" i="29" s="1"/>
  <c r="G21" i="29" s="1"/>
  <c r="D21" i="30" s="1"/>
  <c r="E21" i="30" s="1"/>
  <c r="G21" i="30" s="1"/>
  <c r="D21" i="31" s="1"/>
  <c r="E21" i="31" s="1"/>
  <c r="G21" i="31" s="1"/>
  <c r="D21" i="32" s="1"/>
  <c r="E21" i="32" s="1"/>
  <c r="G21" i="32" s="1"/>
  <c r="D21" i="33" s="1"/>
  <c r="E21" i="33" s="1"/>
  <c r="G21" i="33" s="1"/>
  <c r="D21" i="34" s="1"/>
  <c r="E21" i="34" s="1"/>
  <c r="G21" i="34" s="1"/>
  <c r="D21" i="35" s="1"/>
  <c r="E21" i="35" s="1"/>
  <c r="G21" i="35" s="1"/>
  <c r="D21" i="36" s="1"/>
  <c r="E21" i="36" s="1"/>
  <c r="G21" i="36" s="1"/>
  <c r="D21" i="37" s="1"/>
  <c r="E21" i="37" s="1"/>
  <c r="E20" i="23"/>
  <c r="G20" i="23" s="1"/>
  <c r="D20" i="24" s="1"/>
  <c r="E20" i="24" s="1"/>
  <c r="G20" i="24" s="1"/>
  <c r="D20" i="25" s="1"/>
  <c r="E20" i="25" s="1"/>
  <c r="G20" i="25" s="1"/>
  <c r="D20" i="26" s="1"/>
  <c r="E20" i="26" s="1"/>
  <c r="G20" i="26" s="1"/>
  <c r="D20" i="27" s="1"/>
  <c r="E20" i="27" s="1"/>
  <c r="G20" i="27" s="1"/>
  <c r="D20" i="28" s="1"/>
  <c r="E20" i="28" s="1"/>
  <c r="G20" i="28" s="1"/>
  <c r="D20" i="29" s="1"/>
  <c r="E20" i="29" s="1"/>
  <c r="G20" i="29" s="1"/>
  <c r="D20" i="30" s="1"/>
  <c r="E20" i="30" s="1"/>
  <c r="G20" i="30" s="1"/>
  <c r="D20" i="31" s="1"/>
  <c r="E20" i="31" s="1"/>
  <c r="G20" i="31" s="1"/>
  <c r="D20" i="32" s="1"/>
  <c r="E20" i="32" s="1"/>
  <c r="G20" i="32" s="1"/>
  <c r="D20" i="33" s="1"/>
  <c r="E20" i="33" s="1"/>
  <c r="G20" i="33" s="1"/>
  <c r="D20" i="34" s="1"/>
  <c r="E20" i="34" s="1"/>
  <c r="G20" i="34" s="1"/>
  <c r="D20" i="35" s="1"/>
  <c r="E20" i="35" s="1"/>
  <c r="G20" i="35" s="1"/>
  <c r="D20" i="36" s="1"/>
  <c r="E20" i="36" s="1"/>
  <c r="G20" i="36" s="1"/>
  <c r="D20" i="37" s="1"/>
  <c r="E20" i="37" s="1"/>
  <c r="G20" i="37" s="1"/>
  <c r="D20" i="38" s="1"/>
  <c r="E20" i="38" s="1"/>
  <c r="G20" i="38" s="1"/>
  <c r="D20" i="39" s="1"/>
  <c r="E20" i="39" s="1"/>
  <c r="G20" i="39" s="1"/>
  <c r="E19" i="23"/>
  <c r="G19" i="23" s="1"/>
  <c r="D19" i="24" s="1"/>
  <c r="E19" i="24" s="1"/>
  <c r="G19" i="24" s="1"/>
  <c r="D19" i="25" s="1"/>
  <c r="E19" i="25" s="1"/>
  <c r="G19" i="25" s="1"/>
  <c r="D19" i="26" s="1"/>
  <c r="E19" i="26" s="1"/>
  <c r="G19" i="26" s="1"/>
  <c r="D19" i="27" s="1"/>
  <c r="E19" i="27" s="1"/>
  <c r="G19" i="27" s="1"/>
  <c r="D19" i="28" s="1"/>
  <c r="E19" i="28" s="1"/>
  <c r="G19" i="28" s="1"/>
  <c r="D19" i="29" s="1"/>
  <c r="E19" i="29" s="1"/>
  <c r="G19" i="29" s="1"/>
  <c r="D19" i="30" s="1"/>
  <c r="E19" i="30" s="1"/>
  <c r="G19" i="30" s="1"/>
  <c r="D19" i="31" s="1"/>
  <c r="E19" i="31" s="1"/>
  <c r="E18" i="23"/>
  <c r="G18" i="23" s="1"/>
  <c r="D18" i="24" s="1"/>
  <c r="E18" i="24" s="1"/>
  <c r="G18" i="24" s="1"/>
  <c r="D18" i="25" s="1"/>
  <c r="E18" i="25" s="1"/>
  <c r="G18" i="25" s="1"/>
  <c r="D18" i="26" s="1"/>
  <c r="E18" i="26" s="1"/>
  <c r="G18" i="26" s="1"/>
  <c r="D18" i="27" s="1"/>
  <c r="E18" i="27" s="1"/>
  <c r="G18" i="27" s="1"/>
  <c r="D18" i="28" s="1"/>
  <c r="E18" i="28" s="1"/>
  <c r="G18" i="28" s="1"/>
  <c r="D18" i="29" s="1"/>
  <c r="E18" i="29" s="1"/>
  <c r="G18" i="29" s="1"/>
  <c r="D18" i="30" s="1"/>
  <c r="E18" i="30" s="1"/>
  <c r="G18" i="30" s="1"/>
  <c r="D18" i="31" s="1"/>
  <c r="E18" i="31" s="1"/>
  <c r="G18" i="31" s="1"/>
  <c r="D18" i="32" s="1"/>
  <c r="E18" i="32" s="1"/>
  <c r="G18" i="32" s="1"/>
  <c r="D18" i="33" s="1"/>
  <c r="E18" i="33" s="1"/>
  <c r="G18" i="33" s="1"/>
  <c r="D18" i="34" s="1"/>
  <c r="E18" i="34" s="1"/>
  <c r="G18" i="34" s="1"/>
  <c r="D18" i="35" s="1"/>
  <c r="E18" i="35" s="1"/>
  <c r="G18" i="35" s="1"/>
  <c r="D18" i="36" s="1"/>
  <c r="E18" i="36" s="1"/>
  <c r="G18" i="36" s="1"/>
  <c r="E17" i="23"/>
  <c r="G17" i="23" s="1"/>
  <c r="D17" i="24" s="1"/>
  <c r="E17" i="24" s="1"/>
  <c r="G17" i="24" s="1"/>
  <c r="D17" i="25" s="1"/>
  <c r="E17" i="25" s="1"/>
  <c r="G17" i="25" s="1"/>
  <c r="D17" i="26" s="1"/>
  <c r="E17" i="26" s="1"/>
  <c r="G17" i="26" s="1"/>
  <c r="D17" i="27" s="1"/>
  <c r="E17" i="27" s="1"/>
  <c r="G17" i="27" s="1"/>
  <c r="D17" i="28" s="1"/>
  <c r="E17" i="28" s="1"/>
  <c r="G17" i="28" s="1"/>
  <c r="D17" i="29" s="1"/>
  <c r="E17" i="29" s="1"/>
  <c r="G17" i="29" s="1"/>
  <c r="D17" i="30" s="1"/>
  <c r="E17" i="30" s="1"/>
  <c r="G17" i="30" s="1"/>
  <c r="D17" i="31" s="1"/>
  <c r="E17" i="31" s="1"/>
  <c r="G17" i="31" s="1"/>
  <c r="D17" i="32" s="1"/>
  <c r="E17" i="32" s="1"/>
  <c r="G17" i="32" s="1"/>
  <c r="D17" i="33" s="1"/>
  <c r="E17" i="33" s="1"/>
  <c r="G17" i="33" s="1"/>
  <c r="D17" i="34" s="1"/>
  <c r="E17" i="34" s="1"/>
  <c r="G17" i="34" s="1"/>
  <c r="D17" i="35" s="1"/>
  <c r="E17" i="35" s="1"/>
  <c r="G17" i="35" s="1"/>
  <c r="D17" i="36" s="1"/>
  <c r="E17" i="36" s="1"/>
  <c r="G17" i="36" s="1"/>
  <c r="D17" i="37" s="1"/>
  <c r="E17" i="37" s="1"/>
  <c r="G17" i="37" s="1"/>
  <c r="D17" i="38" s="1"/>
  <c r="E17" i="38" s="1"/>
  <c r="G17" i="38" s="1"/>
  <c r="D17" i="39" s="1"/>
  <c r="E17" i="39" s="1"/>
  <c r="G17" i="39" s="1"/>
  <c r="E16" i="23"/>
  <c r="G16" i="23" s="1"/>
  <c r="D16" i="24" s="1"/>
  <c r="E16" i="24" s="1"/>
  <c r="G16" i="24" s="1"/>
  <c r="D16" i="25" s="1"/>
  <c r="E16" i="25" s="1"/>
  <c r="G16" i="25" s="1"/>
  <c r="D16" i="26" s="1"/>
  <c r="E16" i="26" s="1"/>
  <c r="G16" i="26" s="1"/>
  <c r="D16" i="27" s="1"/>
  <c r="E16" i="27" s="1"/>
  <c r="G16" i="27" s="1"/>
  <c r="D16" i="28" s="1"/>
  <c r="E16" i="28" s="1"/>
  <c r="G16" i="28" s="1"/>
  <c r="D16" i="29" s="1"/>
  <c r="E16" i="29" s="1"/>
  <c r="G16" i="29" s="1"/>
  <c r="D16" i="30" s="1"/>
  <c r="E16" i="30" s="1"/>
  <c r="G16" i="30" s="1"/>
  <c r="D16" i="31" s="1"/>
  <c r="E16" i="31" s="1"/>
  <c r="G16" i="31" s="1"/>
  <c r="D16" i="32" s="1"/>
  <c r="E16" i="32" s="1"/>
  <c r="G16" i="32" s="1"/>
  <c r="D16" i="33" s="1"/>
  <c r="E16" i="33" s="1"/>
  <c r="G16" i="33" s="1"/>
  <c r="D16" i="34" s="1"/>
  <c r="E16" i="34" s="1"/>
  <c r="G16" i="34" s="1"/>
  <c r="D16" i="35" s="1"/>
  <c r="E16" i="35" s="1"/>
  <c r="G16" i="35" s="1"/>
  <c r="D16" i="36" s="1"/>
  <c r="E16" i="36" s="1"/>
  <c r="G16" i="36" s="1"/>
  <c r="D16" i="37" s="1"/>
  <c r="E16" i="37" s="1"/>
  <c r="G16" i="37" s="1"/>
  <c r="D16" i="38" s="1"/>
  <c r="E16" i="38" s="1"/>
  <c r="G16" i="38" s="1"/>
  <c r="D16" i="39" s="1"/>
  <c r="E16" i="39" s="1"/>
  <c r="G16" i="39" s="1"/>
  <c r="E15" i="23"/>
  <c r="G15" i="23" s="1"/>
  <c r="D15" i="24" s="1"/>
  <c r="E15" i="24" s="1"/>
  <c r="G15" i="24" s="1"/>
  <c r="D15" i="25" s="1"/>
  <c r="E15" i="25" s="1"/>
  <c r="G15" i="25" s="1"/>
  <c r="D15" i="26" s="1"/>
  <c r="E15" i="26" s="1"/>
  <c r="G15" i="26" s="1"/>
  <c r="D15" i="27" s="1"/>
  <c r="E15" i="27" s="1"/>
  <c r="G15" i="27" s="1"/>
  <c r="D15" i="28" s="1"/>
  <c r="E15" i="28" s="1"/>
  <c r="G15" i="28" s="1"/>
  <c r="D15" i="29" s="1"/>
  <c r="E15" i="29" s="1"/>
  <c r="G15" i="29" s="1"/>
  <c r="D15" i="30" s="1"/>
  <c r="E15" i="30" s="1"/>
  <c r="G15" i="30" s="1"/>
  <c r="D15" i="31" s="1"/>
  <c r="E15" i="31" s="1"/>
  <c r="G15" i="31" s="1"/>
  <c r="D15" i="32" s="1"/>
  <c r="E15" i="32" s="1"/>
  <c r="D38" i="32" s="1"/>
  <c r="H38" i="32" s="1"/>
  <c r="E14" i="23"/>
  <c r="G14" i="23" s="1"/>
  <c r="D14" i="24" s="1"/>
  <c r="E14" i="24" s="1"/>
  <c r="G14" i="24" s="1"/>
  <c r="D14" i="25" s="1"/>
  <c r="E14" i="25" s="1"/>
  <c r="G14" i="25" s="1"/>
  <c r="D14" i="26" s="1"/>
  <c r="E14" i="26" s="1"/>
  <c r="G14" i="26" s="1"/>
  <c r="D14" i="27" s="1"/>
  <c r="E14" i="27" s="1"/>
  <c r="G14" i="27" s="1"/>
  <c r="D14" i="28" s="1"/>
  <c r="E14" i="28" s="1"/>
  <c r="G14" i="28" s="1"/>
  <c r="D14" i="29" s="1"/>
  <c r="E14" i="29" s="1"/>
  <c r="G14" i="29" s="1"/>
  <c r="D14" i="30" s="1"/>
  <c r="E14" i="30" s="1"/>
  <c r="G14" i="30" s="1"/>
  <c r="D14" i="31" s="1"/>
  <c r="E14" i="31" s="1"/>
  <c r="G14" i="31" s="1"/>
  <c r="D14" i="32" s="1"/>
  <c r="E13" i="23"/>
  <c r="G13" i="23" s="1"/>
  <c r="D13" i="24" s="1"/>
  <c r="E13" i="24" s="1"/>
  <c r="G13" i="24" s="1"/>
  <c r="D13" i="25" s="1"/>
  <c r="E13" i="25" s="1"/>
  <c r="G13" i="25" s="1"/>
  <c r="D13" i="26" s="1"/>
  <c r="E13" i="26" s="1"/>
  <c r="G13" i="26" s="1"/>
  <c r="D13" i="27" s="1"/>
  <c r="E13" i="27" s="1"/>
  <c r="G13" i="27" s="1"/>
  <c r="D13" i="28" s="1"/>
  <c r="E13" i="28" s="1"/>
  <c r="G13" i="28" s="1"/>
  <c r="D13" i="29" s="1"/>
  <c r="E13" i="29" s="1"/>
  <c r="G13" i="29" s="1"/>
  <c r="D13" i="30" s="1"/>
  <c r="E13" i="30" s="1"/>
  <c r="G13" i="30" s="1"/>
  <c r="D13" i="31" s="1"/>
  <c r="E13" i="31" s="1"/>
  <c r="G13" i="31" s="1"/>
  <c r="D13" i="32" s="1"/>
  <c r="E13" i="32" s="1"/>
  <c r="G13" i="32" s="1"/>
  <c r="D13" i="33" s="1"/>
  <c r="E13" i="33" s="1"/>
  <c r="G13" i="33" s="1"/>
  <c r="D13" i="34" s="1"/>
  <c r="E13" i="34" s="1"/>
  <c r="G13" i="34" s="1"/>
  <c r="D13" i="35" s="1"/>
  <c r="E13" i="35" s="1"/>
  <c r="G13" i="35" s="1"/>
  <c r="D13" i="36" s="1"/>
  <c r="E13" i="36" s="1"/>
  <c r="G13" i="36" s="1"/>
  <c r="D13" i="37" s="1"/>
  <c r="E13" i="37" s="1"/>
  <c r="G13" i="37" s="1"/>
  <c r="D13" i="38" s="1"/>
  <c r="E13" i="38" s="1"/>
  <c r="G13" i="38" s="1"/>
  <c r="D13" i="39" s="1"/>
  <c r="E13" i="39" s="1"/>
  <c r="G13" i="39" s="1"/>
  <c r="E12" i="23"/>
  <c r="G12" i="23" s="1"/>
  <c r="D12" i="24" s="1"/>
  <c r="E12" i="24" s="1"/>
  <c r="G12" i="24" s="1"/>
  <c r="D12" i="25" s="1"/>
  <c r="E12" i="25" s="1"/>
  <c r="G12" i="25" s="1"/>
  <c r="D12" i="26" s="1"/>
  <c r="E12" i="26" s="1"/>
  <c r="G12" i="26" s="1"/>
  <c r="D12" i="27" s="1"/>
  <c r="E12" i="27" s="1"/>
  <c r="G12" i="27" s="1"/>
  <c r="D12" i="28" s="1"/>
  <c r="E12" i="28" s="1"/>
  <c r="G12" i="28" s="1"/>
  <c r="D12" i="29" s="1"/>
  <c r="E12" i="29" s="1"/>
  <c r="G12" i="29" s="1"/>
  <c r="D12" i="30" s="1"/>
  <c r="E12" i="30" s="1"/>
  <c r="G12" i="30" s="1"/>
  <c r="D12" i="31" s="1"/>
  <c r="E12" i="31" s="1"/>
  <c r="G12" i="31" s="1"/>
  <c r="D12" i="32" s="1"/>
  <c r="E12" i="32" s="1"/>
  <c r="G12" i="32" s="1"/>
  <c r="D12" i="33" s="1"/>
  <c r="E12" i="33" s="1"/>
  <c r="G12" i="33" s="1"/>
  <c r="D12" i="34" s="1"/>
  <c r="E12" i="34" s="1"/>
  <c r="G12" i="34" s="1"/>
  <c r="D12" i="35" s="1"/>
  <c r="E12" i="35" s="1"/>
  <c r="G12" i="35" s="1"/>
  <c r="D12" i="36" s="1"/>
  <c r="E12" i="36" s="1"/>
  <c r="G12" i="36" s="1"/>
  <c r="D12" i="37" s="1"/>
  <c r="E12" i="37" s="1"/>
  <c r="G12" i="37" s="1"/>
  <c r="D12" i="38" s="1"/>
  <c r="E12" i="38" s="1"/>
  <c r="G12" i="38" s="1"/>
  <c r="D12" i="39" s="1"/>
  <c r="E12" i="39" s="1"/>
  <c r="G12" i="39" s="1"/>
  <c r="E11" i="23"/>
  <c r="G11" i="23" s="1"/>
  <c r="D11" i="24" s="1"/>
  <c r="E11" i="24" s="1"/>
  <c r="G11" i="24" s="1"/>
  <c r="D11" i="25" s="1"/>
  <c r="E11" i="25" s="1"/>
  <c r="G11" i="25" s="1"/>
  <c r="D11" i="26" s="1"/>
  <c r="E11" i="26" s="1"/>
  <c r="G11" i="26" s="1"/>
  <c r="D11" i="27" s="1"/>
  <c r="E11" i="27" s="1"/>
  <c r="G11" i="27" s="1"/>
  <c r="D11" i="28" s="1"/>
  <c r="E11" i="28" s="1"/>
  <c r="G11" i="28" s="1"/>
  <c r="D11" i="29" s="1"/>
  <c r="E11" i="29" s="1"/>
  <c r="G11" i="29" s="1"/>
  <c r="D11" i="30" s="1"/>
  <c r="E11" i="30" s="1"/>
  <c r="G11" i="30" s="1"/>
  <c r="D11" i="31" s="1"/>
  <c r="E11" i="31" s="1"/>
  <c r="G11" i="31" s="1"/>
  <c r="D11" i="32" s="1"/>
  <c r="E11" i="32" s="1"/>
  <c r="G11" i="32" s="1"/>
  <c r="D11" i="33" s="1"/>
  <c r="E11" i="33" s="1"/>
  <c r="G11" i="33" s="1"/>
  <c r="D11" i="34" s="1"/>
  <c r="E11" i="34" s="1"/>
  <c r="G11" i="34" s="1"/>
  <c r="D11" i="35" s="1"/>
  <c r="E11" i="35" s="1"/>
  <c r="G11" i="35" s="1"/>
  <c r="D11" i="36" s="1"/>
  <c r="E11" i="36" s="1"/>
  <c r="G11" i="36" s="1"/>
  <c r="D11" i="37" s="1"/>
  <c r="E11" i="37" s="1"/>
  <c r="G11" i="37" s="1"/>
  <c r="D11" i="38" s="1"/>
  <c r="E11" i="38" s="1"/>
  <c r="G11" i="38" s="1"/>
  <c r="D11" i="39" s="1"/>
  <c r="E11" i="39" s="1"/>
  <c r="G11" i="39" s="1"/>
  <c r="E10" i="23"/>
  <c r="G10" i="23" s="1"/>
  <c r="D10" i="24" s="1"/>
  <c r="E10" i="24" s="1"/>
  <c r="G10" i="24" s="1"/>
  <c r="D10" i="25" s="1"/>
  <c r="E10" i="25" s="1"/>
  <c r="G10" i="25" s="1"/>
  <c r="D10" i="26" s="1"/>
  <c r="E10" i="26" s="1"/>
  <c r="G10" i="26" s="1"/>
  <c r="D10" i="27" s="1"/>
  <c r="E10" i="27" s="1"/>
  <c r="G10" i="27" s="1"/>
  <c r="D10" i="28" s="1"/>
  <c r="E10" i="28" s="1"/>
  <c r="G10" i="28" s="1"/>
  <c r="D10" i="29" s="1"/>
  <c r="E10" i="29" s="1"/>
  <c r="G10" i="29" s="1"/>
  <c r="D10" i="30" s="1"/>
  <c r="E10" i="30" s="1"/>
  <c r="G10" i="30" s="1"/>
  <c r="D10" i="31" s="1"/>
  <c r="E10" i="31" s="1"/>
  <c r="G10" i="31" s="1"/>
  <c r="D10" i="32" s="1"/>
  <c r="E10" i="32" s="1"/>
  <c r="G10" i="32" s="1"/>
  <c r="D10" i="33" s="1"/>
  <c r="E10" i="33" s="1"/>
  <c r="G10" i="33" s="1"/>
  <c r="D10" i="34" s="1"/>
  <c r="E10" i="34" s="1"/>
  <c r="G10" i="34" s="1"/>
  <c r="D10" i="35" s="1"/>
  <c r="E10" i="35" s="1"/>
  <c r="G10" i="35" s="1"/>
  <c r="D10" i="36" s="1"/>
  <c r="E10" i="36" s="1"/>
  <c r="G10" i="36" s="1"/>
  <c r="D10" i="37" s="1"/>
  <c r="E10" i="37" s="1"/>
  <c r="G10" i="37" s="1"/>
  <c r="D10" i="38" s="1"/>
  <c r="E10" i="38" s="1"/>
  <c r="G10" i="38" s="1"/>
  <c r="D10" i="39" s="1"/>
  <c r="E10" i="39" s="1"/>
  <c r="G10" i="39" s="1"/>
  <c r="E9" i="23"/>
  <c r="G9" i="23" s="1"/>
  <c r="D9" i="24" s="1"/>
  <c r="E8" i="23"/>
  <c r="G8" i="23" s="1"/>
  <c r="D8" i="24" s="1"/>
  <c r="E8" i="24" s="1"/>
  <c r="G8" i="24" s="1"/>
  <c r="D8" i="25" s="1"/>
  <c r="E8" i="25" s="1"/>
  <c r="G8" i="25" s="1"/>
  <c r="E7" i="23"/>
  <c r="G7" i="23" s="1"/>
  <c r="D7" i="24" s="1"/>
  <c r="E7" i="24" s="1"/>
  <c r="G7" i="24" s="1"/>
  <c r="D7" i="25" s="1"/>
  <c r="E7" i="25" s="1"/>
  <c r="G7" i="25" s="1"/>
  <c r="D7" i="26" s="1"/>
  <c r="E7" i="26" s="1"/>
  <c r="G7" i="26" s="1"/>
  <c r="D7" i="27" s="1"/>
  <c r="E7" i="27" s="1"/>
  <c r="G7" i="27" s="1"/>
  <c r="E7" i="28" s="1"/>
  <c r="G7" i="28" s="1"/>
  <c r="D7" i="29" s="1"/>
  <c r="E7" i="29" s="1"/>
  <c r="G7" i="29" s="1"/>
  <c r="D7" i="30" s="1"/>
  <c r="E7" i="30" s="1"/>
  <c r="G7" i="30" s="1"/>
  <c r="D7" i="31" s="1"/>
  <c r="E7" i="31" s="1"/>
  <c r="G7" i="31" s="1"/>
  <c r="D7" i="32" s="1"/>
  <c r="E7" i="32" s="1"/>
  <c r="G7" i="32" s="1"/>
  <c r="D7" i="33" s="1"/>
  <c r="E7" i="33" s="1"/>
  <c r="G7" i="33" s="1"/>
  <c r="D7" i="34" s="1"/>
  <c r="E7" i="34" s="1"/>
  <c r="G7" i="34" s="1"/>
  <c r="D7" i="35" s="1"/>
  <c r="E7" i="35" s="1"/>
  <c r="G7" i="35" s="1"/>
  <c r="D7" i="36" s="1"/>
  <c r="E7" i="36" s="1"/>
  <c r="G7" i="36" s="1"/>
  <c r="D7" i="37" s="1"/>
  <c r="E7" i="37" s="1"/>
  <c r="G7" i="37" s="1"/>
  <c r="D7" i="38" s="1"/>
  <c r="E7" i="38" s="1"/>
  <c r="G7" i="38" s="1"/>
  <c r="D7" i="39" s="1"/>
  <c r="E7" i="39" s="1"/>
  <c r="G7" i="39" s="1"/>
  <c r="E6" i="23"/>
  <c r="G6" i="23" s="1"/>
  <c r="D6" i="24" s="1"/>
  <c r="E6" i="24" s="1"/>
  <c r="G6" i="24" s="1"/>
  <c r="D6" i="25" s="1"/>
  <c r="E6" i="25" s="1"/>
  <c r="G6" i="25" s="1"/>
  <c r="D6" i="26" s="1"/>
  <c r="E6" i="26" s="1"/>
  <c r="G6" i="26" s="1"/>
  <c r="D6" i="27" s="1"/>
  <c r="E6" i="27" s="1"/>
  <c r="G6" i="27" s="1"/>
  <c r="D6" i="28" s="1"/>
  <c r="E6" i="28" s="1"/>
  <c r="G6" i="28" s="1"/>
  <c r="D6" i="29" s="1"/>
  <c r="E6" i="29" s="1"/>
  <c r="G6" i="29" s="1"/>
  <c r="D6" i="30" s="1"/>
  <c r="E6" i="30" s="1"/>
  <c r="G6" i="30" s="1"/>
  <c r="D6" i="31" s="1"/>
  <c r="E6" i="31" s="1"/>
  <c r="G6" i="31" s="1"/>
  <c r="D6" i="32" s="1"/>
  <c r="E6" i="32" s="1"/>
  <c r="G6" i="32" s="1"/>
  <c r="D6" i="33" s="1"/>
  <c r="E6" i="33" s="1"/>
  <c r="G6" i="33" s="1"/>
  <c r="D6" i="34" s="1"/>
  <c r="E6" i="34" s="1"/>
  <c r="G6" i="34" s="1"/>
  <c r="D6" i="35" s="1"/>
  <c r="E6" i="35" s="1"/>
  <c r="G6" i="35" s="1"/>
  <c r="D6" i="36" s="1"/>
  <c r="E6" i="36" s="1"/>
  <c r="G6" i="36" s="1"/>
  <c r="D6" i="37" s="1"/>
  <c r="E6" i="37" s="1"/>
  <c r="G6" i="37" s="1"/>
  <c r="D6" i="38" s="1"/>
  <c r="E6" i="38" s="1"/>
  <c r="G6" i="38" s="1"/>
  <c r="D6" i="39" s="1"/>
  <c r="E6" i="39" s="1"/>
  <c r="G6" i="39" s="1"/>
  <c r="E5" i="23"/>
  <c r="G5" i="23" s="1"/>
  <c r="D5" i="24" s="1"/>
  <c r="E5" i="24" s="1"/>
  <c r="G5" i="24" s="1"/>
  <c r="D6" i="40" l="1"/>
  <c r="E6" i="40" s="1"/>
  <c r="G6" i="40" s="1"/>
  <c r="D6" i="41" s="1"/>
  <c r="E6" i="41" s="1"/>
  <c r="G6" i="41" s="1"/>
  <c r="D6" i="42" s="1"/>
  <c r="E6" i="42" s="1"/>
  <c r="G6" i="42" s="1"/>
  <c r="D6" i="43" s="1"/>
  <c r="E6" i="43" s="1"/>
  <c r="G6" i="43" s="1"/>
  <c r="D6" i="44" s="1"/>
  <c r="E6" i="44" s="1"/>
  <c r="G6" i="44" s="1"/>
  <c r="D6" i="45" s="1"/>
  <c r="E6" i="45" s="1"/>
  <c r="G6" i="45" s="1"/>
  <c r="D6" i="46" s="1"/>
  <c r="E6" i="46" s="1"/>
  <c r="G6" i="46" s="1"/>
  <c r="D6" i="47" s="1"/>
  <c r="E6" i="47" s="1"/>
  <c r="G6" i="47" s="1"/>
  <c r="D6" i="48" s="1"/>
  <c r="E6" i="48" s="1"/>
  <c r="G6" i="48" s="1"/>
  <c r="D6" i="49" s="1"/>
  <c r="E6" i="49" s="1"/>
  <c r="G6" i="49" s="1"/>
  <c r="D6" i="50" s="1"/>
  <c r="E6" i="50" s="1"/>
  <c r="G6" i="50" s="1"/>
  <c r="D6" i="51" s="1"/>
  <c r="E6" i="51" s="1"/>
  <c r="G6" i="51" s="1"/>
  <c r="D6" i="52" s="1"/>
  <c r="E6" i="52" s="1"/>
  <c r="D10" i="40"/>
  <c r="E10" i="40" s="1"/>
  <c r="G10" i="40" s="1"/>
  <c r="D10" i="41" s="1"/>
  <c r="E10" i="41" s="1"/>
  <c r="G10" i="41" s="1"/>
  <c r="D10" i="42" s="1"/>
  <c r="E10" i="42" s="1"/>
  <c r="G10" i="42" s="1"/>
  <c r="D10" i="43" s="1"/>
  <c r="E10" i="43" s="1"/>
  <c r="G10" i="43" s="1"/>
  <c r="D10" i="44" s="1"/>
  <c r="E10" i="44" s="1"/>
  <c r="G10" i="44" s="1"/>
  <c r="D10" i="45" s="1"/>
  <c r="E10" i="45" s="1"/>
  <c r="G10" i="45" s="1"/>
  <c r="D10" i="46" s="1"/>
  <c r="E10" i="46" s="1"/>
  <c r="G10" i="46" s="1"/>
  <c r="D10" i="47" s="1"/>
  <c r="E10" i="47" s="1"/>
  <c r="G10" i="47" s="1"/>
  <c r="D10" i="48" s="1"/>
  <c r="E10" i="48" s="1"/>
  <c r="G10" i="48" s="1"/>
  <c r="D10" i="49" s="1"/>
  <c r="E10" i="49" s="1"/>
  <c r="G10" i="49" s="1"/>
  <c r="D10" i="50" s="1"/>
  <c r="E10" i="50" s="1"/>
  <c r="G10" i="50" s="1"/>
  <c r="E10" i="51" s="1"/>
  <c r="G10" i="51" s="1"/>
  <c r="D10" i="52" s="1"/>
  <c r="E10" i="52" s="1"/>
  <c r="G10" i="52" s="1"/>
  <c r="D12" i="40"/>
  <c r="E12" i="40" s="1"/>
  <c r="G12" i="40" s="1"/>
  <c r="D12" i="41" s="1"/>
  <c r="E12" i="41" s="1"/>
  <c r="G12" i="41" s="1"/>
  <c r="D12" i="42" s="1"/>
  <c r="E12" i="42" s="1"/>
  <c r="G12" i="42" s="1"/>
  <c r="D12" i="43" s="1"/>
  <c r="E12" i="43" s="1"/>
  <c r="G12" i="43" s="1"/>
  <c r="D12" i="44" s="1"/>
  <c r="E12" i="44" s="1"/>
  <c r="G12" i="44" s="1"/>
  <c r="D12" i="45" s="1"/>
  <c r="E12" i="45" s="1"/>
  <c r="G12" i="45" s="1"/>
  <c r="D16" i="40"/>
  <c r="E16" i="40" s="1"/>
  <c r="G16" i="40" s="1"/>
  <c r="D16" i="41" s="1"/>
  <c r="E16" i="41" s="1"/>
  <c r="G16" i="41" s="1"/>
  <c r="D16" i="42" s="1"/>
  <c r="E16" i="42" s="1"/>
  <c r="G16" i="42" s="1"/>
  <c r="D16" i="43" s="1"/>
  <c r="E16" i="43" s="1"/>
  <c r="G16" i="43" s="1"/>
  <c r="D16" i="44" s="1"/>
  <c r="E16" i="44" s="1"/>
  <c r="G16" i="44" s="1"/>
  <c r="D16" i="45" s="1"/>
  <c r="E16" i="45" s="1"/>
  <c r="G16" i="45" s="1"/>
  <c r="D16" i="46" s="1"/>
  <c r="E16" i="46" s="1"/>
  <c r="G16" i="46" s="1"/>
  <c r="D16" i="47" s="1"/>
  <c r="E16" i="47" s="1"/>
  <c r="G16" i="47" s="1"/>
  <c r="D16" i="48" s="1"/>
  <c r="D20" i="40"/>
  <c r="E20" i="40" s="1"/>
  <c r="G20" i="40" s="1"/>
  <c r="D20" i="41" s="1"/>
  <c r="E20" i="41" s="1"/>
  <c r="G20" i="41" s="1"/>
  <c r="D20" i="42" s="1"/>
  <c r="E20" i="42" s="1"/>
  <c r="G20" i="42" s="1"/>
  <c r="D20" i="43" s="1"/>
  <c r="E20" i="43" s="1"/>
  <c r="G20" i="43" s="1"/>
  <c r="D20" i="44" s="1"/>
  <c r="E20" i="44" s="1"/>
  <c r="G20" i="44" s="1"/>
  <c r="D20" i="45" s="1"/>
  <c r="E20" i="45" s="1"/>
  <c r="G20" i="45" s="1"/>
  <c r="D20" i="46" s="1"/>
  <c r="E20" i="46" s="1"/>
  <c r="G20" i="46" s="1"/>
  <c r="D20" i="47" s="1"/>
  <c r="E20" i="47" s="1"/>
  <c r="G20" i="47" s="1"/>
  <c r="D20" i="48" s="1"/>
  <c r="E20" i="48" s="1"/>
  <c r="G20" i="48" s="1"/>
  <c r="D20" i="49" s="1"/>
  <c r="E20" i="49" s="1"/>
  <c r="G20" i="49" s="1"/>
  <c r="D20" i="50" s="1"/>
  <c r="E20" i="50" s="1"/>
  <c r="D7" i="40"/>
  <c r="E7" i="40" s="1"/>
  <c r="G7" i="40" s="1"/>
  <c r="D7" i="41" s="1"/>
  <c r="E7" i="41" s="1"/>
  <c r="G7" i="41" s="1"/>
  <c r="D7" i="42" s="1"/>
  <c r="E7" i="42" s="1"/>
  <c r="G7" i="42" s="1"/>
  <c r="D7" i="43" s="1"/>
  <c r="E7" i="43" s="1"/>
  <c r="G7" i="43" s="1"/>
  <c r="D7" i="44" s="1"/>
  <c r="E7" i="44" s="1"/>
  <c r="G7" i="44" s="1"/>
  <c r="D7" i="45" s="1"/>
  <c r="E7" i="45" s="1"/>
  <c r="G7" i="45" s="1"/>
  <c r="D7" i="46" s="1"/>
  <c r="E7" i="46" s="1"/>
  <c r="G7" i="46" s="1"/>
  <c r="D7" i="47" s="1"/>
  <c r="E7" i="47" s="1"/>
  <c r="D11" i="40"/>
  <c r="E11" i="40" s="1"/>
  <c r="G11" i="40" s="1"/>
  <c r="D11" i="41" s="1"/>
  <c r="E11" i="41" s="1"/>
  <c r="G11" i="41" s="1"/>
  <c r="D11" i="42" s="1"/>
  <c r="E11" i="42" s="1"/>
  <c r="G11" i="42" s="1"/>
  <c r="D11" i="43" s="1"/>
  <c r="E11" i="43" s="1"/>
  <c r="G11" i="43" s="1"/>
  <c r="D11" i="44" s="1"/>
  <c r="E11" i="44" s="1"/>
  <c r="G11" i="44" s="1"/>
  <c r="D11" i="45" s="1"/>
  <c r="E11" i="45" s="1"/>
  <c r="G11" i="45" s="1"/>
  <c r="D11" i="46" s="1"/>
  <c r="E11" i="46" s="1"/>
  <c r="G11" i="46" s="1"/>
  <c r="D11" i="47" s="1"/>
  <c r="E11" i="47" s="1"/>
  <c r="G11" i="47" s="1"/>
  <c r="D11" i="48" s="1"/>
  <c r="E11" i="48" s="1"/>
  <c r="G11" i="48" s="1"/>
  <c r="D11" i="49" s="1"/>
  <c r="E11" i="49" s="1"/>
  <c r="G11" i="49" s="1"/>
  <c r="D11" i="50" s="1"/>
  <c r="E11" i="50" s="1"/>
  <c r="G11" i="50" s="1"/>
  <c r="D11" i="51" s="1"/>
  <c r="E11" i="51" s="1"/>
  <c r="G11" i="51" s="1"/>
  <c r="D11" i="52" s="1"/>
  <c r="E11" i="52" s="1"/>
  <c r="G11" i="52" s="1"/>
  <c r="D13" i="40"/>
  <c r="E13" i="40" s="1"/>
  <c r="G13" i="40" s="1"/>
  <c r="D13" i="41" s="1"/>
  <c r="E13" i="41" s="1"/>
  <c r="G13" i="41" s="1"/>
  <c r="D13" i="42" s="1"/>
  <c r="E13" i="42" s="1"/>
  <c r="G13" i="42" s="1"/>
  <c r="D13" i="43" s="1"/>
  <c r="E13" i="43" s="1"/>
  <c r="G13" i="43" s="1"/>
  <c r="D13" i="44" s="1"/>
  <c r="E13" i="44" s="1"/>
  <c r="G13" i="44" s="1"/>
  <c r="D13" i="45" s="1"/>
  <c r="E13" i="45" s="1"/>
  <c r="G13" i="45" s="1"/>
  <c r="D13" i="46" s="1"/>
  <c r="E13" i="46" s="1"/>
  <c r="G13" i="46" s="1"/>
  <c r="D13" i="47" s="1"/>
  <c r="E13" i="47" s="1"/>
  <c r="G13" i="47" s="1"/>
  <c r="D13" i="48" s="1"/>
  <c r="E13" i="48" s="1"/>
  <c r="G13" i="48" s="1"/>
  <c r="D13" i="49" s="1"/>
  <c r="E13" i="49" s="1"/>
  <c r="G13" i="49" s="1"/>
  <c r="D13" i="50" s="1"/>
  <c r="E13" i="50" s="1"/>
  <c r="G13" i="50" s="1"/>
  <c r="D13" i="51" s="1"/>
  <c r="E13" i="51" s="1"/>
  <c r="G13" i="51" s="1"/>
  <c r="D13" i="52" s="1"/>
  <c r="E13" i="52" s="1"/>
  <c r="G13" i="52" s="1"/>
  <c r="D17" i="40"/>
  <c r="E17" i="40" s="1"/>
  <c r="G17" i="40" s="1"/>
  <c r="D17" i="41" s="1"/>
  <c r="E17" i="41" s="1"/>
  <c r="G17" i="41" s="1"/>
  <c r="D17" i="42" s="1"/>
  <c r="E17" i="42" s="1"/>
  <c r="G17" i="42" s="1"/>
  <c r="D17" i="43" s="1"/>
  <c r="E17" i="43" s="1"/>
  <c r="G17" i="43" s="1"/>
  <c r="D17" i="44" s="1"/>
  <c r="E17" i="44" s="1"/>
  <c r="G17" i="44" s="1"/>
  <c r="D17" i="45" s="1"/>
  <c r="E17" i="45" s="1"/>
  <c r="G17" i="45" s="1"/>
  <c r="D17" i="46" s="1"/>
  <c r="E17" i="46" s="1"/>
  <c r="G17" i="46" s="1"/>
  <c r="D17" i="47" s="1"/>
  <c r="E17" i="47" s="1"/>
  <c r="G17" i="47" s="1"/>
  <c r="D17" i="48" s="1"/>
  <c r="E17" i="48" s="1"/>
  <c r="G17" i="48" s="1"/>
  <c r="D17" i="49" s="1"/>
  <c r="E17" i="49" s="1"/>
  <c r="G17" i="49" s="1"/>
  <c r="D17" i="50" s="1"/>
  <c r="E17" i="50" s="1"/>
  <c r="G17" i="50" s="1"/>
  <c r="D17" i="51" s="1"/>
  <c r="E17" i="51" s="1"/>
  <c r="G17" i="51" s="1"/>
  <c r="D17" i="52" s="1"/>
  <c r="E17" i="52" s="1"/>
  <c r="G17" i="52" s="1"/>
  <c r="D18" i="37"/>
  <c r="E18" i="37" s="1"/>
  <c r="G18" i="37" s="1"/>
  <c r="D35" i="25"/>
  <c r="D37" i="25" s="1"/>
  <c r="G15" i="32"/>
  <c r="D15" i="33" s="1"/>
  <c r="E15" i="33" s="1"/>
  <c r="G15" i="33" s="1"/>
  <c r="D15" i="34" s="1"/>
  <c r="E15" i="34" s="1"/>
  <c r="H40" i="32"/>
  <c r="D40" i="32"/>
  <c r="E14" i="32"/>
  <c r="G19" i="31"/>
  <c r="D22" i="24"/>
  <c r="E9" i="24"/>
  <c r="H35" i="25"/>
  <c r="H37" i="25" s="1"/>
  <c r="D5" i="25"/>
  <c r="E5" i="25" s="1"/>
  <c r="D8" i="26"/>
  <c r="E8" i="26" s="1"/>
  <c r="G22" i="23"/>
  <c r="D29" i="23"/>
  <c r="H29" i="23" s="1"/>
  <c r="E22" i="23"/>
  <c r="G6" i="52" l="1"/>
  <c r="G20" i="50"/>
  <c r="D20" i="51" s="1"/>
  <c r="E20" i="51" s="1"/>
  <c r="G20" i="51" s="1"/>
  <c r="D20" i="52" s="1"/>
  <c r="E20" i="52" s="1"/>
  <c r="G20" i="52" s="1"/>
  <c r="D33" i="48"/>
  <c r="E16" i="48"/>
  <c r="G16" i="48" s="1"/>
  <c r="D16" i="49" s="1"/>
  <c r="E16" i="49" s="1"/>
  <c r="G16" i="49" s="1"/>
  <c r="D16" i="50" s="1"/>
  <c r="E16" i="50" s="1"/>
  <c r="G16" i="50" s="1"/>
  <c r="D16" i="51" s="1"/>
  <c r="E16" i="51" s="1"/>
  <c r="D12" i="46"/>
  <c r="E12" i="46" s="1"/>
  <c r="G12" i="46" s="1"/>
  <c r="D12" i="47" s="1"/>
  <c r="E12" i="47" s="1"/>
  <c r="G12" i="47" s="1"/>
  <c r="D12" i="48" s="1"/>
  <c r="E12" i="48" s="1"/>
  <c r="G12" i="48" s="1"/>
  <c r="D12" i="49" s="1"/>
  <c r="E12" i="49" s="1"/>
  <c r="G12" i="49" s="1"/>
  <c r="D12" i="50" s="1"/>
  <c r="E12" i="50" s="1"/>
  <c r="G12" i="50" s="1"/>
  <c r="D12" i="51" s="1"/>
  <c r="E12" i="51" s="1"/>
  <c r="G12" i="51" s="1"/>
  <c r="D12" i="52" s="1"/>
  <c r="E12" i="52" s="1"/>
  <c r="G12" i="52" s="1"/>
  <c r="G7" i="47"/>
  <c r="D7" i="48" s="1"/>
  <c r="D19" i="32"/>
  <c r="E19" i="32" s="1"/>
  <c r="G19" i="32" s="1"/>
  <c r="D19" i="33" s="1"/>
  <c r="E19" i="33" s="1"/>
  <c r="G19" i="33" s="1"/>
  <c r="D19" i="34" s="1"/>
  <c r="E19" i="34" s="1"/>
  <c r="G19" i="34" s="1"/>
  <c r="D19" i="35" s="1"/>
  <c r="E19" i="35" s="1"/>
  <c r="G19" i="35" s="1"/>
  <c r="D19" i="36" s="1"/>
  <c r="E19" i="36" s="1"/>
  <c r="G19" i="36" s="1"/>
  <c r="D19" i="37" s="1"/>
  <c r="E19" i="37" s="1"/>
  <c r="G19" i="37" s="1"/>
  <c r="D19" i="38" s="1"/>
  <c r="E19" i="38" s="1"/>
  <c r="G19" i="38" s="1"/>
  <c r="D19" i="39" s="1"/>
  <c r="E19" i="39" s="1"/>
  <c r="G19" i="39" s="1"/>
  <c r="G15" i="34"/>
  <c r="D15" i="35" s="1"/>
  <c r="H37" i="34"/>
  <c r="H42" i="34" s="1"/>
  <c r="D18" i="38"/>
  <c r="E18" i="38" s="1"/>
  <c r="G18" i="38" s="1"/>
  <c r="E15" i="35"/>
  <c r="G15" i="35" s="1"/>
  <c r="G14" i="32"/>
  <c r="G9" i="24"/>
  <c r="E22" i="24"/>
  <c r="G5" i="25"/>
  <c r="G8" i="26"/>
  <c r="D36" i="22"/>
  <c r="G16" i="51" l="1"/>
  <c r="D16" i="52" s="1"/>
  <c r="E16" i="52" s="1"/>
  <c r="G16" i="52" s="1"/>
  <c r="M37" i="48"/>
  <c r="M38" i="48" s="1"/>
  <c r="H33" i="48"/>
  <c r="H42" i="48" s="1"/>
  <c r="D42" i="48"/>
  <c r="D19" i="40"/>
  <c r="E19" i="40" s="1"/>
  <c r="E7" i="48"/>
  <c r="D19" i="41"/>
  <c r="E19" i="41" s="1"/>
  <c r="G19" i="41" s="1"/>
  <c r="D19" i="42" s="1"/>
  <c r="E19" i="42" s="1"/>
  <c r="G19" i="42" s="1"/>
  <c r="D19" i="43" s="1"/>
  <c r="E19" i="43" s="1"/>
  <c r="H42" i="35"/>
  <c r="D15" i="36"/>
  <c r="E15" i="36" s="1"/>
  <c r="G15" i="36" s="1"/>
  <c r="D18" i="39"/>
  <c r="E18" i="39" s="1"/>
  <c r="G18" i="39" s="1"/>
  <c r="D18" i="40" s="1"/>
  <c r="D14" i="33"/>
  <c r="D9" i="25"/>
  <c r="E9" i="25" s="1"/>
  <c r="G22" i="24"/>
  <c r="D5" i="26"/>
  <c r="E5" i="26" s="1"/>
  <c r="D8" i="27"/>
  <c r="D38" i="21"/>
  <c r="H38" i="21"/>
  <c r="G7" i="48" l="1"/>
  <c r="D7" i="49" s="1"/>
  <c r="E7" i="49" s="1"/>
  <c r="G7" i="49" s="1"/>
  <c r="D7" i="50" s="1"/>
  <c r="E7" i="50" s="1"/>
  <c r="G7" i="50" s="1"/>
  <c r="D7" i="51" s="1"/>
  <c r="E7" i="51" s="1"/>
  <c r="G7" i="51" s="1"/>
  <c r="D7" i="52" s="1"/>
  <c r="E7" i="52" s="1"/>
  <c r="G7" i="52" s="1"/>
  <c r="G19" i="43"/>
  <c r="D15" i="37"/>
  <c r="E15" i="37" s="1"/>
  <c r="G15" i="37" s="1"/>
  <c r="E18" i="40"/>
  <c r="G18" i="40" s="1"/>
  <c r="E14" i="33"/>
  <c r="D22" i="25"/>
  <c r="G9" i="25"/>
  <c r="E22" i="25"/>
  <c r="G5" i="26"/>
  <c r="E8" i="27"/>
  <c r="E10" i="22"/>
  <c r="H36" i="22"/>
  <c r="F22" i="22"/>
  <c r="G27" i="22" s="1"/>
  <c r="D22" i="22"/>
  <c r="C22" i="22"/>
  <c r="C27" i="22" s="1"/>
  <c r="E21" i="22"/>
  <c r="G21" i="22" s="1"/>
  <c r="E20" i="22"/>
  <c r="G20" i="22" s="1"/>
  <c r="E19" i="22"/>
  <c r="G19" i="22" s="1"/>
  <c r="E18" i="22"/>
  <c r="G18" i="22" s="1"/>
  <c r="E17" i="22"/>
  <c r="G17" i="22" s="1"/>
  <c r="E16" i="22"/>
  <c r="G16" i="22" s="1"/>
  <c r="E15" i="22"/>
  <c r="G15" i="22" s="1"/>
  <c r="E14" i="22"/>
  <c r="G14" i="22" s="1"/>
  <c r="E13" i="22"/>
  <c r="G13" i="22" s="1"/>
  <c r="E12" i="22"/>
  <c r="G12" i="22" s="1"/>
  <c r="E11" i="22"/>
  <c r="G11" i="22" s="1"/>
  <c r="G10" i="22"/>
  <c r="E9" i="22"/>
  <c r="G9" i="22" s="1"/>
  <c r="E8" i="22"/>
  <c r="G8" i="22" s="1"/>
  <c r="E7" i="22"/>
  <c r="G7" i="22" s="1"/>
  <c r="E6" i="22"/>
  <c r="G6" i="22" s="1"/>
  <c r="E5" i="22"/>
  <c r="G5" i="22" s="1"/>
  <c r="D18" i="41" l="1"/>
  <c r="E18" i="41" s="1"/>
  <c r="G18" i="41" s="1"/>
  <c r="D18" i="42" s="1"/>
  <c r="E18" i="42" s="1"/>
  <c r="G18" i="42" s="1"/>
  <c r="D18" i="43" s="1"/>
  <c r="E18" i="43" s="1"/>
  <c r="G18" i="43" s="1"/>
  <c r="D18" i="44" s="1"/>
  <c r="E18" i="44" s="1"/>
  <c r="G18" i="44" s="1"/>
  <c r="D19" i="44"/>
  <c r="D15" i="38"/>
  <c r="G14" i="33"/>
  <c r="D9" i="26"/>
  <c r="E9" i="26" s="1"/>
  <c r="G22" i="25"/>
  <c r="D5" i="27"/>
  <c r="G8" i="27"/>
  <c r="D8" i="28" s="1"/>
  <c r="G22" i="22"/>
  <c r="K27" i="22" s="1"/>
  <c r="E22" i="22"/>
  <c r="D29" i="22"/>
  <c r="H29" i="22" s="1"/>
  <c r="C22" i="21"/>
  <c r="D18" i="45" l="1"/>
  <c r="E18" i="45" s="1"/>
  <c r="G18" i="45" s="1"/>
  <c r="E19" i="44"/>
  <c r="E15" i="38"/>
  <c r="G15" i="38" s="1"/>
  <c r="K17" i="38"/>
  <c r="D14" i="34"/>
  <c r="D22" i="26"/>
  <c r="G9" i="26"/>
  <c r="E22" i="26"/>
  <c r="E5" i="27"/>
  <c r="F22" i="21"/>
  <c r="G27" i="21" s="1"/>
  <c r="D22" i="21"/>
  <c r="C27" i="21"/>
  <c r="E21" i="21"/>
  <c r="G21" i="21" s="1"/>
  <c r="E20" i="21"/>
  <c r="G20" i="21" s="1"/>
  <c r="E19" i="21"/>
  <c r="G19" i="21" s="1"/>
  <c r="E18" i="21"/>
  <c r="G18" i="21" s="1"/>
  <c r="E17" i="21"/>
  <c r="G17" i="21" s="1"/>
  <c r="E16" i="21"/>
  <c r="G16" i="21" s="1"/>
  <c r="E15" i="21"/>
  <c r="G15" i="21" s="1"/>
  <c r="E14" i="21"/>
  <c r="G14" i="21" s="1"/>
  <c r="E13" i="21"/>
  <c r="G13" i="21" s="1"/>
  <c r="E12" i="21"/>
  <c r="G12" i="21" s="1"/>
  <c r="E11" i="21"/>
  <c r="G11" i="21" s="1"/>
  <c r="E10" i="21"/>
  <c r="G10" i="21" s="1"/>
  <c r="E9" i="21"/>
  <c r="G9" i="21" s="1"/>
  <c r="E8" i="21"/>
  <c r="G8" i="21" s="1"/>
  <c r="E7" i="21"/>
  <c r="G7" i="21" s="1"/>
  <c r="E6" i="21"/>
  <c r="G6" i="21" s="1"/>
  <c r="E5" i="21"/>
  <c r="D18" i="46" l="1"/>
  <c r="E18" i="46" s="1"/>
  <c r="G18" i="46" s="1"/>
  <c r="G19" i="44"/>
  <c r="D15" i="39"/>
  <c r="E15" i="39" s="1"/>
  <c r="G15" i="39" s="1"/>
  <c r="D15" i="40" s="1"/>
  <c r="E14" i="34"/>
  <c r="D9" i="27"/>
  <c r="G22" i="26"/>
  <c r="G5" i="27"/>
  <c r="E8" i="28"/>
  <c r="E22" i="21"/>
  <c r="D29" i="21"/>
  <c r="H29" i="21" s="1"/>
  <c r="G5" i="21"/>
  <c r="G22" i="21" s="1"/>
  <c r="H36" i="20"/>
  <c r="D36" i="20"/>
  <c r="C22" i="20"/>
  <c r="D22" i="20"/>
  <c r="D18" i="47" l="1"/>
  <c r="D19" i="45"/>
  <c r="E15" i="40"/>
  <c r="G15" i="40" s="1"/>
  <c r="G14" i="34"/>
  <c r="E9" i="27"/>
  <c r="D22" i="27"/>
  <c r="D5" i="28"/>
  <c r="G8" i="28"/>
  <c r="D8" i="29" s="1"/>
  <c r="E8" i="29" s="1"/>
  <c r="G8" i="29" s="1"/>
  <c r="D8" i="30" s="1"/>
  <c r="E8" i="30" s="1"/>
  <c r="G8" i="30" s="1"/>
  <c r="D8" i="31" s="1"/>
  <c r="E8" i="31" s="1"/>
  <c r="G8" i="31" s="1"/>
  <c r="D8" i="32" s="1"/>
  <c r="E8" i="32" s="1"/>
  <c r="G8" i="32" s="1"/>
  <c r="D8" i="33" s="1"/>
  <c r="E8" i="33" s="1"/>
  <c r="G8" i="33" s="1"/>
  <c r="D8" i="34" s="1"/>
  <c r="E8" i="34" s="1"/>
  <c r="G8" i="34" s="1"/>
  <c r="D8" i="35" s="1"/>
  <c r="E8" i="35" s="1"/>
  <c r="G8" i="35" s="1"/>
  <c r="D8" i="36" s="1"/>
  <c r="E8" i="36" s="1"/>
  <c r="G8" i="36" s="1"/>
  <c r="D8" i="37" s="1"/>
  <c r="E8" i="37" s="1"/>
  <c r="G8" i="37" s="1"/>
  <c r="D8" i="38" s="1"/>
  <c r="E8" i="38" s="1"/>
  <c r="G8" i="38" s="1"/>
  <c r="D8" i="39" s="1"/>
  <c r="E8" i="39" s="1"/>
  <c r="G8" i="39" s="1"/>
  <c r="C27" i="20"/>
  <c r="F22" i="20"/>
  <c r="G27" i="20" s="1"/>
  <c r="E21" i="20"/>
  <c r="G21" i="20" s="1"/>
  <c r="E20" i="20"/>
  <c r="G20" i="20" s="1"/>
  <c r="E19" i="20"/>
  <c r="G19" i="20" s="1"/>
  <c r="E18" i="20"/>
  <c r="G18" i="20" s="1"/>
  <c r="E17" i="20"/>
  <c r="G17" i="20" s="1"/>
  <c r="E16" i="20"/>
  <c r="G16" i="20" s="1"/>
  <c r="E15" i="20"/>
  <c r="G15" i="20" s="1"/>
  <c r="E14" i="20"/>
  <c r="G14" i="20" s="1"/>
  <c r="E13" i="20"/>
  <c r="G13" i="20" s="1"/>
  <c r="E12" i="20"/>
  <c r="G12" i="20" s="1"/>
  <c r="E11" i="20"/>
  <c r="G11" i="20" s="1"/>
  <c r="E10" i="20"/>
  <c r="G10" i="20" s="1"/>
  <c r="E9" i="20"/>
  <c r="E8" i="20"/>
  <c r="G8" i="20" s="1"/>
  <c r="E7" i="20"/>
  <c r="G7" i="20" s="1"/>
  <c r="E6" i="20"/>
  <c r="G6" i="20" s="1"/>
  <c r="E5" i="20"/>
  <c r="G5" i="20" s="1"/>
  <c r="D8" i="40" l="1"/>
  <c r="E8" i="40" s="1"/>
  <c r="G8" i="40" s="1"/>
  <c r="D8" i="41" s="1"/>
  <c r="E8" i="41" s="1"/>
  <c r="G8" i="41" s="1"/>
  <c r="D8" i="42" s="1"/>
  <c r="E8" i="42" s="1"/>
  <c r="G8" i="42" s="1"/>
  <c r="D8" i="43" s="1"/>
  <c r="E8" i="43" s="1"/>
  <c r="E18" i="47"/>
  <c r="D15" i="41"/>
  <c r="E15" i="41" s="1"/>
  <c r="G15" i="41" s="1"/>
  <c r="D15" i="42" s="1"/>
  <c r="E15" i="42" s="1"/>
  <c r="G15" i="42" s="1"/>
  <c r="D15" i="43" s="1"/>
  <c r="E15" i="43" s="1"/>
  <c r="G15" i="43" s="1"/>
  <c r="E19" i="45"/>
  <c r="D14" i="35"/>
  <c r="G9" i="27"/>
  <c r="E22" i="27"/>
  <c r="E5" i="28"/>
  <c r="E22" i="20"/>
  <c r="G9" i="20"/>
  <c r="G22" i="20" s="1"/>
  <c r="D29" i="20"/>
  <c r="H29" i="20" s="1"/>
  <c r="D36" i="19"/>
  <c r="H36" i="19"/>
  <c r="G8" i="43" l="1"/>
  <c r="D8" i="44" s="1"/>
  <c r="E8" i="44" s="1"/>
  <c r="G8" i="44" s="1"/>
  <c r="D8" i="45" s="1"/>
  <c r="E8" i="45" s="1"/>
  <c r="G8" i="45" s="1"/>
  <c r="D8" i="46" s="1"/>
  <c r="E8" i="46" s="1"/>
  <c r="G8" i="46" s="1"/>
  <c r="D8" i="47" s="1"/>
  <c r="E8" i="47" s="1"/>
  <c r="G8" i="47" s="1"/>
  <c r="D8" i="48" s="1"/>
  <c r="E8" i="48" s="1"/>
  <c r="G8" i="48" s="1"/>
  <c r="D8" i="49" s="1"/>
  <c r="E8" i="49" s="1"/>
  <c r="G8" i="49" s="1"/>
  <c r="D8" i="50" s="1"/>
  <c r="E8" i="50" s="1"/>
  <c r="G8" i="50" s="1"/>
  <c r="D8" i="51" s="1"/>
  <c r="E8" i="51" s="1"/>
  <c r="G8" i="51" s="1"/>
  <c r="D8" i="52" s="1"/>
  <c r="E8" i="52" s="1"/>
  <c r="G8" i="52" s="1"/>
  <c r="D35" i="43"/>
  <c r="L44" i="43" s="1"/>
  <c r="G18" i="47"/>
  <c r="D18" i="48" s="1"/>
  <c r="E18" i="48" s="1"/>
  <c r="G18" i="48" s="1"/>
  <c r="D18" i="49" s="1"/>
  <c r="E18" i="49" s="1"/>
  <c r="G18" i="49" s="1"/>
  <c r="D18" i="50" s="1"/>
  <c r="E18" i="50" s="1"/>
  <c r="G18" i="50" s="1"/>
  <c r="D18" i="51" s="1"/>
  <c r="E18" i="51" s="1"/>
  <c r="G18" i="51" s="1"/>
  <c r="D18" i="52" s="1"/>
  <c r="E18" i="52" s="1"/>
  <c r="G18" i="52" s="1"/>
  <c r="D15" i="44"/>
  <c r="E15" i="44" s="1"/>
  <c r="G15" i="44" s="1"/>
  <c r="H35" i="43"/>
  <c r="H42" i="43" s="1"/>
  <c r="G19" i="45"/>
  <c r="E14" i="35"/>
  <c r="G14" i="35" s="1"/>
  <c r="D14" i="36" s="1"/>
  <c r="E14" i="36" s="1"/>
  <c r="G14" i="36" s="1"/>
  <c r="D9" i="28"/>
  <c r="G22" i="27"/>
  <c r="G5" i="28"/>
  <c r="F22" i="19"/>
  <c r="G27" i="19" s="1"/>
  <c r="D22" i="19"/>
  <c r="C22" i="19"/>
  <c r="C27" i="19" s="1"/>
  <c r="E21" i="19"/>
  <c r="G21" i="19" s="1"/>
  <c r="E20" i="19"/>
  <c r="G20" i="19" s="1"/>
  <c r="E19" i="19"/>
  <c r="G19" i="19" s="1"/>
  <c r="E18" i="19"/>
  <c r="G18" i="19" s="1"/>
  <c r="E17" i="19"/>
  <c r="G17" i="19" s="1"/>
  <c r="E16" i="19"/>
  <c r="G16" i="19" s="1"/>
  <c r="E15" i="19"/>
  <c r="G15" i="19" s="1"/>
  <c r="E14" i="19"/>
  <c r="G14" i="19" s="1"/>
  <c r="E13" i="19"/>
  <c r="G13" i="19" s="1"/>
  <c r="E12" i="19"/>
  <c r="G12" i="19" s="1"/>
  <c r="E11" i="19"/>
  <c r="G11" i="19" s="1"/>
  <c r="E10" i="19"/>
  <c r="G10" i="19" s="1"/>
  <c r="E9" i="19"/>
  <c r="G9" i="19" s="1"/>
  <c r="E8" i="19"/>
  <c r="G8" i="19" s="1"/>
  <c r="E7" i="19"/>
  <c r="G7" i="19" s="1"/>
  <c r="E6" i="19"/>
  <c r="G6" i="19" s="1"/>
  <c r="E5" i="19"/>
  <c r="D42" i="43" l="1"/>
  <c r="D15" i="45"/>
  <c r="E15" i="45" s="1"/>
  <c r="G15" i="45" s="1"/>
  <c r="D19" i="46"/>
  <c r="D14" i="37"/>
  <c r="E14" i="37" s="1"/>
  <c r="G14" i="37" s="1"/>
  <c r="G24" i="36"/>
  <c r="E22" i="19"/>
  <c r="E9" i="28"/>
  <c r="D22" i="28"/>
  <c r="D5" i="29"/>
  <c r="D29" i="19"/>
  <c r="H29" i="19" s="1"/>
  <c r="G5" i="19"/>
  <c r="G22" i="19" s="1"/>
  <c r="C22" i="18"/>
  <c r="D15" i="46" l="1"/>
  <c r="E15" i="46" s="1"/>
  <c r="G15" i="46" s="1"/>
  <c r="D15" i="47" s="1"/>
  <c r="E15" i="47" s="1"/>
  <c r="G15" i="47" s="1"/>
  <c r="D15" i="48" s="1"/>
  <c r="E15" i="48" s="1"/>
  <c r="G15" i="48" s="1"/>
  <c r="D15" i="49" s="1"/>
  <c r="E15" i="49" s="1"/>
  <c r="G15" i="49" s="1"/>
  <c r="D15" i="50" s="1"/>
  <c r="E15" i="50" s="1"/>
  <c r="G15" i="50" s="1"/>
  <c r="D15" i="51" s="1"/>
  <c r="E15" i="51" s="1"/>
  <c r="G15" i="51" s="1"/>
  <c r="D15" i="52" s="1"/>
  <c r="E15" i="52" s="1"/>
  <c r="G15" i="52" s="1"/>
  <c r="E19" i="46"/>
  <c r="G19" i="46" s="1"/>
  <c r="D14" i="38"/>
  <c r="E14" i="38" s="1"/>
  <c r="G14" i="38" s="1"/>
  <c r="G24" i="38" s="1"/>
  <c r="G9" i="28"/>
  <c r="E22" i="28"/>
  <c r="E5" i="29"/>
  <c r="E5" i="18"/>
  <c r="G5" i="18" s="1"/>
  <c r="D19" i="47" l="1"/>
  <c r="E19" i="47" s="1"/>
  <c r="G19" i="47" s="1"/>
  <c r="J26" i="46"/>
  <c r="D14" i="39"/>
  <c r="E14" i="39" s="1"/>
  <c r="G14" i="39" s="1"/>
  <c r="D9" i="29"/>
  <c r="G22" i="28"/>
  <c r="G5" i="29"/>
  <c r="D19" i="48" l="1"/>
  <c r="E19" i="48" s="1"/>
  <c r="G19" i="48" s="1"/>
  <c r="D19" i="49" s="1"/>
  <c r="E19" i="49" s="1"/>
  <c r="G19" i="49" s="1"/>
  <c r="D19" i="50" s="1"/>
  <c r="E19" i="50" s="1"/>
  <c r="G19" i="50" s="1"/>
  <c r="D19" i="51" s="1"/>
  <c r="E19" i="51" s="1"/>
  <c r="G19" i="51" s="1"/>
  <c r="D19" i="52" s="1"/>
  <c r="E19" i="52" s="1"/>
  <c r="G19" i="52" s="1"/>
  <c r="J26" i="47"/>
  <c r="E14" i="40"/>
  <c r="G14" i="40" s="1"/>
  <c r="G24" i="40" s="1"/>
  <c r="G24" i="39"/>
  <c r="E9" i="29"/>
  <c r="D22" i="29"/>
  <c r="H37" i="29"/>
  <c r="D5" i="30"/>
  <c r="D36" i="18"/>
  <c r="C27" i="18"/>
  <c r="D29" i="18" s="1"/>
  <c r="H36" i="18"/>
  <c r="F22" i="18"/>
  <c r="G27" i="18" s="1"/>
  <c r="D22" i="18"/>
  <c r="E21" i="18"/>
  <c r="G21" i="18" s="1"/>
  <c r="E20" i="18"/>
  <c r="G20" i="18" s="1"/>
  <c r="E19" i="18"/>
  <c r="G19" i="18" s="1"/>
  <c r="E18" i="18"/>
  <c r="G18" i="18" s="1"/>
  <c r="E17" i="18"/>
  <c r="G17" i="18" s="1"/>
  <c r="E16" i="18"/>
  <c r="G16" i="18" s="1"/>
  <c r="E15" i="18"/>
  <c r="G15" i="18" s="1"/>
  <c r="E14" i="18"/>
  <c r="G14" i="18" s="1"/>
  <c r="E13" i="18"/>
  <c r="G13" i="18" s="1"/>
  <c r="E12" i="18"/>
  <c r="G12" i="18" s="1"/>
  <c r="E11" i="18"/>
  <c r="G11" i="18" s="1"/>
  <c r="E10" i="18"/>
  <c r="G10" i="18" s="1"/>
  <c r="E9" i="18"/>
  <c r="G9" i="18" s="1"/>
  <c r="E8" i="18"/>
  <c r="G8" i="18" s="1"/>
  <c r="E7" i="18"/>
  <c r="G7" i="18" s="1"/>
  <c r="E6" i="18"/>
  <c r="G6" i="18" s="1"/>
  <c r="D14" i="41" l="1"/>
  <c r="E14" i="41" s="1"/>
  <c r="G14" i="41" s="1"/>
  <c r="D14" i="42" s="1"/>
  <c r="E14" i="42" s="1"/>
  <c r="G14" i="42" s="1"/>
  <c r="G9" i="29"/>
  <c r="E22" i="29"/>
  <c r="E5" i="30"/>
  <c r="E22" i="18"/>
  <c r="H29" i="18"/>
  <c r="G22" i="18"/>
  <c r="H36" i="17"/>
  <c r="D36" i="17"/>
  <c r="D14" i="43" l="1"/>
  <c r="E14" i="43" s="1"/>
  <c r="G14" i="43" s="1"/>
  <c r="G24" i="42"/>
  <c r="D9" i="30"/>
  <c r="G22" i="29"/>
  <c r="G5" i="30"/>
  <c r="D5" i="31" s="1"/>
  <c r="C22" i="17"/>
  <c r="F22" i="17"/>
  <c r="D22" i="17"/>
  <c r="D14" i="44" l="1"/>
  <c r="E14" i="44" s="1"/>
  <c r="G14" i="44" s="1"/>
  <c r="G24" i="43"/>
  <c r="E5" i="31"/>
  <c r="E9" i="30"/>
  <c r="D22" i="30"/>
  <c r="H37" i="16"/>
  <c r="D37" i="16"/>
  <c r="D14" i="45" l="1"/>
  <c r="E14" i="45" s="1"/>
  <c r="G14" i="45" s="1"/>
  <c r="G24" i="44"/>
  <c r="G5" i="31"/>
  <c r="G9" i="30"/>
  <c r="E22" i="30"/>
  <c r="G27" i="17"/>
  <c r="C27" i="17"/>
  <c r="E21" i="17"/>
  <c r="G21" i="17" s="1"/>
  <c r="E20" i="17"/>
  <c r="G20" i="17" s="1"/>
  <c r="E19" i="17"/>
  <c r="G19" i="17" s="1"/>
  <c r="E18" i="17"/>
  <c r="G18" i="17" s="1"/>
  <c r="E17" i="17"/>
  <c r="G17" i="17" s="1"/>
  <c r="E16" i="17"/>
  <c r="G16" i="17" s="1"/>
  <c r="E15" i="17"/>
  <c r="G15" i="17" s="1"/>
  <c r="E14" i="17"/>
  <c r="G14" i="17" s="1"/>
  <c r="E13" i="17"/>
  <c r="G13" i="17" s="1"/>
  <c r="E12" i="17"/>
  <c r="G12" i="17" s="1"/>
  <c r="E11" i="17"/>
  <c r="G11" i="17" s="1"/>
  <c r="E10" i="17"/>
  <c r="G10" i="17" s="1"/>
  <c r="E9" i="17"/>
  <c r="E8" i="17"/>
  <c r="G8" i="17" s="1"/>
  <c r="E7" i="17"/>
  <c r="G7" i="17" s="1"/>
  <c r="E6" i="17"/>
  <c r="G6" i="17" s="1"/>
  <c r="E5" i="17"/>
  <c r="D14" i="46" l="1"/>
  <c r="E14" i="46" s="1"/>
  <c r="G14" i="46" s="1"/>
  <c r="D14" i="47" s="1"/>
  <c r="G24" i="45"/>
  <c r="G22" i="30"/>
  <c r="D9" i="31"/>
  <c r="D5" i="32"/>
  <c r="G9" i="17"/>
  <c r="E22" i="17"/>
  <c r="D29" i="17"/>
  <c r="G5" i="17"/>
  <c r="C22" i="15"/>
  <c r="D35" i="15"/>
  <c r="D37" i="15" s="1"/>
  <c r="E6" i="15"/>
  <c r="E5" i="15"/>
  <c r="E12" i="15"/>
  <c r="G12" i="15" s="1"/>
  <c r="G22" i="17" l="1"/>
  <c r="H35" i="15"/>
  <c r="H37" i="15" s="1"/>
  <c r="E14" i="47"/>
  <c r="E9" i="31"/>
  <c r="D22" i="31"/>
  <c r="E5" i="32"/>
  <c r="H29" i="17"/>
  <c r="E12" i="16"/>
  <c r="G12" i="16" s="1"/>
  <c r="E6" i="16"/>
  <c r="E5" i="16"/>
  <c r="G14" i="47" l="1"/>
  <c r="G5" i="32"/>
  <c r="G9" i="31"/>
  <c r="E22" i="31"/>
  <c r="F22" i="16"/>
  <c r="G27" i="16" s="1"/>
  <c r="D22" i="16"/>
  <c r="C22" i="16"/>
  <c r="C27" i="16" s="1"/>
  <c r="E21" i="16"/>
  <c r="G21" i="16" s="1"/>
  <c r="E20" i="16"/>
  <c r="G20" i="16" s="1"/>
  <c r="E19" i="16"/>
  <c r="G19" i="16" s="1"/>
  <c r="E18" i="16"/>
  <c r="G18" i="16" s="1"/>
  <c r="E17" i="16"/>
  <c r="G17" i="16" s="1"/>
  <c r="E16" i="16"/>
  <c r="G16" i="16" s="1"/>
  <c r="E15" i="16"/>
  <c r="G15" i="16" s="1"/>
  <c r="E14" i="16"/>
  <c r="G14" i="16" s="1"/>
  <c r="E13" i="16"/>
  <c r="G13" i="16" s="1"/>
  <c r="E11" i="16"/>
  <c r="G11" i="16" s="1"/>
  <c r="E10" i="16"/>
  <c r="G10" i="16" s="1"/>
  <c r="E9" i="16"/>
  <c r="G9" i="16" s="1"/>
  <c r="E8" i="16"/>
  <c r="G8" i="16" s="1"/>
  <c r="E7" i="16"/>
  <c r="G7" i="16" s="1"/>
  <c r="G6" i="16"/>
  <c r="G5" i="16"/>
  <c r="D14" i="48" l="1"/>
  <c r="D9" i="32"/>
  <c r="G22" i="31"/>
  <c r="D5" i="33"/>
  <c r="G22" i="16"/>
  <c r="D29" i="16"/>
  <c r="E22" i="16"/>
  <c r="E14" i="48" l="1"/>
  <c r="E5" i="33"/>
  <c r="E9" i="32"/>
  <c r="D22" i="32"/>
  <c r="H29" i="16"/>
  <c r="F22" i="15"/>
  <c r="G27" i="15" s="1"/>
  <c r="D22" i="15"/>
  <c r="C27" i="15"/>
  <c r="E21" i="15"/>
  <c r="G21" i="15" s="1"/>
  <c r="E20" i="15"/>
  <c r="G20" i="15" s="1"/>
  <c r="E19" i="15"/>
  <c r="G19" i="15" s="1"/>
  <c r="E18" i="15"/>
  <c r="G18" i="15" s="1"/>
  <c r="E17" i="15"/>
  <c r="G17" i="15" s="1"/>
  <c r="E16" i="15"/>
  <c r="G16" i="15" s="1"/>
  <c r="E15" i="15"/>
  <c r="G15" i="15" s="1"/>
  <c r="E14" i="15"/>
  <c r="G14" i="15" s="1"/>
  <c r="E13" i="15"/>
  <c r="G13" i="15" s="1"/>
  <c r="E11" i="15"/>
  <c r="G11" i="15" s="1"/>
  <c r="E10" i="15"/>
  <c r="G10" i="15" s="1"/>
  <c r="E9" i="15"/>
  <c r="G9" i="15" s="1"/>
  <c r="E8" i="15"/>
  <c r="G8" i="15" s="1"/>
  <c r="E7" i="15"/>
  <c r="G7" i="15" s="1"/>
  <c r="G6" i="15"/>
  <c r="G5" i="15"/>
  <c r="G14" i="48" l="1"/>
  <c r="G9" i="32"/>
  <c r="E22" i="32"/>
  <c r="G5" i="33"/>
  <c r="E22" i="15"/>
  <c r="G22" i="15"/>
  <c r="D29" i="15"/>
  <c r="F22" i="14"/>
  <c r="D22" i="14"/>
  <c r="C22" i="14"/>
  <c r="D14" i="49" l="1"/>
  <c r="E14" i="49" s="1"/>
  <c r="G14" i="49" s="1"/>
  <c r="D14" i="50" s="1"/>
  <c r="E14" i="50" s="1"/>
  <c r="G14" i="50" s="1"/>
  <c r="D14" i="51" s="1"/>
  <c r="E14" i="51" s="1"/>
  <c r="G14" i="51" s="1"/>
  <c r="D14" i="52" s="1"/>
  <c r="E14" i="52" s="1"/>
  <c r="G14" i="52" s="1"/>
  <c r="D5" i="34"/>
  <c r="D9" i="33"/>
  <c r="G22" i="32"/>
  <c r="H29" i="15"/>
  <c r="E9" i="33" l="1"/>
  <c r="D22" i="33"/>
  <c r="E5" i="34"/>
  <c r="G5" i="34" l="1"/>
  <c r="G9" i="33"/>
  <c r="E22" i="33"/>
  <c r="G27" i="14"/>
  <c r="C27" i="14"/>
  <c r="E21" i="14"/>
  <c r="G21" i="14" s="1"/>
  <c r="E20" i="14"/>
  <c r="G20" i="14" s="1"/>
  <c r="E19" i="14"/>
  <c r="G19" i="14" s="1"/>
  <c r="E18" i="14"/>
  <c r="G18" i="14" s="1"/>
  <c r="E17" i="14"/>
  <c r="G17" i="14" s="1"/>
  <c r="E16" i="14"/>
  <c r="G16" i="14" s="1"/>
  <c r="E15" i="14"/>
  <c r="G15" i="14" s="1"/>
  <c r="E14" i="14"/>
  <c r="G14" i="14" s="1"/>
  <c r="E13" i="14"/>
  <c r="G13" i="14" s="1"/>
  <c r="E12" i="14"/>
  <c r="G12" i="14" s="1"/>
  <c r="E11" i="14"/>
  <c r="G11" i="14" s="1"/>
  <c r="E10" i="14"/>
  <c r="G10" i="14" s="1"/>
  <c r="E9" i="14"/>
  <c r="E8" i="14"/>
  <c r="G8" i="14" s="1"/>
  <c r="E7" i="14"/>
  <c r="G7" i="14" s="1"/>
  <c r="E6" i="14"/>
  <c r="G6" i="14" s="1"/>
  <c r="E5" i="14"/>
  <c r="G5" i="14" s="1"/>
  <c r="D9" i="34" l="1"/>
  <c r="G22" i="33"/>
  <c r="D5" i="35"/>
  <c r="G9" i="14"/>
  <c r="G22" i="14" s="1"/>
  <c r="E22" i="14"/>
  <c r="D29" i="14"/>
  <c r="D37" i="14" s="1"/>
  <c r="C22" i="13"/>
  <c r="C27" i="13" s="1"/>
  <c r="E5" i="35" l="1"/>
  <c r="E9" i="34"/>
  <c r="D22" i="34"/>
  <c r="H29" i="14"/>
  <c r="H37" i="14" s="1"/>
  <c r="D35" i="12"/>
  <c r="G9" i="34" l="1"/>
  <c r="E22" i="34"/>
  <c r="G5" i="35"/>
  <c r="F22" i="13"/>
  <c r="G27" i="13" s="1"/>
  <c r="D22" i="13"/>
  <c r="E21" i="13"/>
  <c r="G21" i="13" s="1"/>
  <c r="E20" i="13"/>
  <c r="G20" i="13" s="1"/>
  <c r="E19" i="13"/>
  <c r="G19" i="13" s="1"/>
  <c r="E18" i="13"/>
  <c r="G18" i="13" s="1"/>
  <c r="E17" i="13"/>
  <c r="G17" i="13" s="1"/>
  <c r="E16" i="13"/>
  <c r="G16" i="13" s="1"/>
  <c r="E15" i="13"/>
  <c r="G15" i="13" s="1"/>
  <c r="E14" i="13"/>
  <c r="G14" i="13" s="1"/>
  <c r="E13" i="13"/>
  <c r="G13" i="13" s="1"/>
  <c r="E12" i="13"/>
  <c r="G12" i="13" s="1"/>
  <c r="E11" i="13"/>
  <c r="G11" i="13" s="1"/>
  <c r="E10" i="13"/>
  <c r="G10" i="13" s="1"/>
  <c r="E9" i="13"/>
  <c r="G9" i="13" s="1"/>
  <c r="E8" i="13"/>
  <c r="G8" i="13" s="1"/>
  <c r="E7" i="13"/>
  <c r="G7" i="13" s="1"/>
  <c r="E6" i="13"/>
  <c r="G6" i="13" s="1"/>
  <c r="E5" i="13"/>
  <c r="D5" i="36" l="1"/>
  <c r="D9" i="35"/>
  <c r="G22" i="34"/>
  <c r="E22" i="13"/>
  <c r="D29" i="13"/>
  <c r="D37" i="13" s="1"/>
  <c r="G5" i="13"/>
  <c r="G22" i="13" s="1"/>
  <c r="E9" i="35" l="1"/>
  <c r="D22" i="35"/>
  <c r="E5" i="36"/>
  <c r="H29" i="13"/>
  <c r="H37" i="13" s="1"/>
  <c r="G5" i="36" l="1"/>
  <c r="G9" i="35"/>
  <c r="E22" i="35"/>
  <c r="E5" i="12"/>
  <c r="G5" i="12" s="1"/>
  <c r="D9" i="36" l="1"/>
  <c r="G22" i="35"/>
  <c r="D5" i="37"/>
  <c r="E9" i="12"/>
  <c r="G9" i="12" s="1"/>
  <c r="E7" i="12"/>
  <c r="G7" i="12" s="1"/>
  <c r="E8" i="12"/>
  <c r="G8" i="12" s="1"/>
  <c r="E10" i="12"/>
  <c r="G10" i="12" s="1"/>
  <c r="E6" i="12"/>
  <c r="G6" i="12" s="1"/>
  <c r="L31" i="11"/>
  <c r="D32" i="11"/>
  <c r="C22" i="12"/>
  <c r="E5" i="37" l="1"/>
  <c r="E9" i="36"/>
  <c r="D22" i="36"/>
  <c r="F22" i="12"/>
  <c r="G27" i="12" s="1"/>
  <c r="D22" i="12"/>
  <c r="C27" i="12"/>
  <c r="E21" i="12"/>
  <c r="G21" i="12" s="1"/>
  <c r="E20" i="12"/>
  <c r="G20" i="12" s="1"/>
  <c r="E19" i="12"/>
  <c r="G19" i="12" s="1"/>
  <c r="E18" i="12"/>
  <c r="G18" i="12" s="1"/>
  <c r="E17" i="12"/>
  <c r="G17" i="12" s="1"/>
  <c r="E16" i="12"/>
  <c r="G16" i="12" s="1"/>
  <c r="E15" i="12"/>
  <c r="G15" i="12" s="1"/>
  <c r="E14" i="12"/>
  <c r="G14" i="12" s="1"/>
  <c r="E13" i="12"/>
  <c r="G13" i="12" s="1"/>
  <c r="E12" i="12"/>
  <c r="G12" i="12" s="1"/>
  <c r="E11" i="12"/>
  <c r="G11" i="12" s="1"/>
  <c r="G22" i="12" l="1"/>
  <c r="G5" i="37"/>
  <c r="G9" i="36"/>
  <c r="E22" i="36"/>
  <c r="D29" i="12"/>
  <c r="D37" i="12" s="1"/>
  <c r="E22" i="12"/>
  <c r="D5" i="38" l="1"/>
  <c r="E5" i="38" s="1"/>
  <c r="D9" i="37"/>
  <c r="G22" i="36"/>
  <c r="H29" i="12"/>
  <c r="H37" i="12" s="1"/>
  <c r="D34" i="8"/>
  <c r="H34" i="8" s="1"/>
  <c r="G5" i="38" l="1"/>
  <c r="E22" i="38"/>
  <c r="E9" i="37"/>
  <c r="D38" i="37" s="1"/>
  <c r="D22" i="37"/>
  <c r="E6" i="11"/>
  <c r="G6" i="11" s="1"/>
  <c r="E5" i="11"/>
  <c r="H32" i="11"/>
  <c r="K43" i="37" l="1"/>
  <c r="D42" i="37"/>
  <c r="F46" i="37"/>
  <c r="G9" i="37"/>
  <c r="G22" i="37" s="1"/>
  <c r="E22" i="37"/>
  <c r="D5" i="39"/>
  <c r="E5" i="39" s="1"/>
  <c r="G22" i="38"/>
  <c r="F22" i="11"/>
  <c r="G27" i="11" s="1"/>
  <c r="D22" i="11"/>
  <c r="C22" i="11"/>
  <c r="C27" i="11" s="1"/>
  <c r="E21" i="11"/>
  <c r="G21" i="11" s="1"/>
  <c r="E20" i="11"/>
  <c r="G20" i="11" s="1"/>
  <c r="E19" i="11"/>
  <c r="G19" i="11" s="1"/>
  <c r="E18" i="11"/>
  <c r="G18" i="11" s="1"/>
  <c r="E17" i="11"/>
  <c r="G17" i="11" s="1"/>
  <c r="E16" i="11"/>
  <c r="G16" i="11" s="1"/>
  <c r="E15" i="11"/>
  <c r="G15" i="11" s="1"/>
  <c r="E14" i="11"/>
  <c r="G14" i="11" s="1"/>
  <c r="E13" i="11"/>
  <c r="G13" i="11" s="1"/>
  <c r="E12" i="11"/>
  <c r="G12" i="11" s="1"/>
  <c r="E11" i="11"/>
  <c r="G11" i="11" s="1"/>
  <c r="E9" i="11"/>
  <c r="G9" i="11" s="1"/>
  <c r="E8" i="11"/>
  <c r="G8" i="11" s="1"/>
  <c r="E7" i="11"/>
  <c r="G7" i="11" s="1"/>
  <c r="G5" i="11"/>
  <c r="D22" i="38" l="1"/>
  <c r="G24" i="37"/>
  <c r="D22" i="39"/>
  <c r="G23" i="38"/>
  <c r="G22" i="11"/>
  <c r="G5" i="39"/>
  <c r="D5" i="40" s="1"/>
  <c r="D22" i="40" s="1"/>
  <c r="E22" i="39"/>
  <c r="D29" i="11"/>
  <c r="E22" i="11"/>
  <c r="C22" i="9"/>
  <c r="D36" i="6"/>
  <c r="D35" i="5"/>
  <c r="D35" i="4"/>
  <c r="C22" i="10"/>
  <c r="C27" i="10" s="1"/>
  <c r="E5" i="40" l="1"/>
  <c r="G22" i="39"/>
  <c r="D37" i="11"/>
  <c r="H29" i="11"/>
  <c r="H37" i="11" s="1"/>
  <c r="D29" i="10"/>
  <c r="D37" i="10" s="1"/>
  <c r="F22" i="10"/>
  <c r="G27" i="10" s="1"/>
  <c r="D22" i="10"/>
  <c r="E21" i="10"/>
  <c r="G21" i="10" s="1"/>
  <c r="E20" i="10"/>
  <c r="G20" i="10" s="1"/>
  <c r="E19" i="10"/>
  <c r="G19" i="10" s="1"/>
  <c r="E18" i="10"/>
  <c r="G18" i="10" s="1"/>
  <c r="E17" i="10"/>
  <c r="G17" i="10" s="1"/>
  <c r="E16" i="10"/>
  <c r="G16" i="10" s="1"/>
  <c r="E15" i="10"/>
  <c r="G15" i="10" s="1"/>
  <c r="E14" i="10"/>
  <c r="G14" i="10" s="1"/>
  <c r="E13" i="10"/>
  <c r="G13" i="10" s="1"/>
  <c r="E12" i="10"/>
  <c r="G12" i="10" s="1"/>
  <c r="E11" i="10"/>
  <c r="G11" i="10" s="1"/>
  <c r="E10" i="10"/>
  <c r="G10" i="10" s="1"/>
  <c r="E9" i="10"/>
  <c r="G9" i="10" s="1"/>
  <c r="E8" i="10"/>
  <c r="G8" i="10" s="1"/>
  <c r="E7" i="10"/>
  <c r="G7" i="10" s="1"/>
  <c r="E5" i="10"/>
  <c r="G5" i="10" s="1"/>
  <c r="G22" i="10" l="1"/>
  <c r="G5" i="40"/>
  <c r="G22" i="40" s="1"/>
  <c r="E22" i="40"/>
  <c r="E22" i="10"/>
  <c r="D5" i="41" l="1"/>
  <c r="H29" i="10"/>
  <c r="H37" i="10" s="1"/>
  <c r="E5" i="41" l="1"/>
  <c r="D22" i="41"/>
  <c r="F22" i="9"/>
  <c r="G27" i="9" s="1"/>
  <c r="D22" i="9"/>
  <c r="C27" i="9"/>
  <c r="E21" i="9"/>
  <c r="G21" i="9" s="1"/>
  <c r="E20" i="9"/>
  <c r="G20" i="9" s="1"/>
  <c r="E19" i="9"/>
  <c r="G19" i="9" s="1"/>
  <c r="E18" i="9"/>
  <c r="G18" i="9" s="1"/>
  <c r="E17" i="9"/>
  <c r="G17" i="9" s="1"/>
  <c r="E16" i="9"/>
  <c r="G16" i="9" s="1"/>
  <c r="E15" i="9"/>
  <c r="G15" i="9" s="1"/>
  <c r="E14" i="9"/>
  <c r="G14" i="9" s="1"/>
  <c r="E13" i="9"/>
  <c r="G13" i="9" s="1"/>
  <c r="E12" i="9"/>
  <c r="G12" i="9" s="1"/>
  <c r="E11" i="9"/>
  <c r="G11" i="9" s="1"/>
  <c r="E10" i="9"/>
  <c r="G10" i="9" s="1"/>
  <c r="E9" i="9"/>
  <c r="G9" i="9" s="1"/>
  <c r="E8" i="9"/>
  <c r="G8" i="9" s="1"/>
  <c r="E7" i="9"/>
  <c r="G7" i="9" s="1"/>
  <c r="E5" i="9"/>
  <c r="G5" i="9" s="1"/>
  <c r="E22" i="41" l="1"/>
  <c r="G5" i="41"/>
  <c r="G22" i="9"/>
  <c r="D29" i="9"/>
  <c r="D37" i="9" s="1"/>
  <c r="E22" i="9"/>
  <c r="G22" i="41" l="1"/>
  <c r="D22" i="42" s="1"/>
  <c r="D5" i="42"/>
  <c r="E5" i="42" s="1"/>
  <c r="H29" i="9"/>
  <c r="H37" i="9" s="1"/>
  <c r="G5" i="42" l="1"/>
  <c r="E22" i="42"/>
  <c r="F22" i="8"/>
  <c r="G27" i="8" s="1"/>
  <c r="D22" i="8"/>
  <c r="C22" i="8"/>
  <c r="C27" i="8" s="1"/>
  <c r="C30" i="8" s="1"/>
  <c r="C37" i="8" s="1"/>
  <c r="E21" i="8"/>
  <c r="G21" i="8" s="1"/>
  <c r="E20" i="8"/>
  <c r="G20" i="8" s="1"/>
  <c r="E19" i="8"/>
  <c r="G19" i="8" s="1"/>
  <c r="E18" i="8"/>
  <c r="G18" i="8" s="1"/>
  <c r="E17" i="8"/>
  <c r="G17" i="8" s="1"/>
  <c r="E16" i="8"/>
  <c r="G16" i="8" s="1"/>
  <c r="E15" i="8"/>
  <c r="G15" i="8" s="1"/>
  <c r="E14" i="8"/>
  <c r="G14" i="8" s="1"/>
  <c r="E13" i="8"/>
  <c r="G13" i="8" s="1"/>
  <c r="E12" i="8"/>
  <c r="G12" i="8" s="1"/>
  <c r="E11" i="8"/>
  <c r="G11" i="8" s="1"/>
  <c r="E10" i="8"/>
  <c r="G10" i="8" s="1"/>
  <c r="E9" i="8"/>
  <c r="G9" i="8" s="1"/>
  <c r="E8" i="8"/>
  <c r="G8" i="8" s="1"/>
  <c r="E7" i="8"/>
  <c r="G7" i="8" s="1"/>
  <c r="E6" i="8"/>
  <c r="G6" i="8" s="1"/>
  <c r="E5" i="8"/>
  <c r="G5" i="8" s="1"/>
  <c r="D5" i="43" l="1"/>
  <c r="G22" i="42"/>
  <c r="G22" i="8"/>
  <c r="E27" i="8"/>
  <c r="D29" i="8"/>
  <c r="E22" i="8"/>
  <c r="E5" i="43" l="1"/>
  <c r="D22" i="43"/>
  <c r="D37" i="8"/>
  <c r="E37" i="8" s="1"/>
  <c r="C28" i="9" s="1"/>
  <c r="H29" i="8"/>
  <c r="H37" i="8" s="1"/>
  <c r="F22" i="7"/>
  <c r="F22" i="6"/>
  <c r="G5" i="43" l="1"/>
  <c r="E22" i="43"/>
  <c r="C30" i="9"/>
  <c r="C37" i="9" s="1"/>
  <c r="E37" i="9" s="1"/>
  <c r="C28" i="10" s="1"/>
  <c r="E27" i="9"/>
  <c r="G27" i="7"/>
  <c r="D22" i="7"/>
  <c r="C22" i="7"/>
  <c r="C27" i="7" s="1"/>
  <c r="E21" i="7"/>
  <c r="G21" i="7" s="1"/>
  <c r="E20" i="7"/>
  <c r="G20" i="7" s="1"/>
  <c r="E19" i="7"/>
  <c r="G19" i="7" s="1"/>
  <c r="E18" i="7"/>
  <c r="G18" i="7" s="1"/>
  <c r="E17" i="7"/>
  <c r="G17" i="7" s="1"/>
  <c r="E16" i="7"/>
  <c r="G16" i="7" s="1"/>
  <c r="E15" i="7"/>
  <c r="G15" i="7" s="1"/>
  <c r="E14" i="7"/>
  <c r="G14" i="7" s="1"/>
  <c r="E13" i="7"/>
  <c r="G13" i="7" s="1"/>
  <c r="E12" i="7"/>
  <c r="G12" i="7" s="1"/>
  <c r="E11" i="7"/>
  <c r="G11" i="7" s="1"/>
  <c r="E10" i="7"/>
  <c r="G10" i="7" s="1"/>
  <c r="E9" i="7"/>
  <c r="G9" i="7" s="1"/>
  <c r="E8" i="7"/>
  <c r="G8" i="7" s="1"/>
  <c r="E7" i="7"/>
  <c r="G7" i="7" s="1"/>
  <c r="E6" i="7"/>
  <c r="G6" i="7" s="1"/>
  <c r="E5" i="7"/>
  <c r="G5" i="7" s="1"/>
  <c r="D5" i="44" l="1"/>
  <c r="G22" i="43"/>
  <c r="G22" i="7"/>
  <c r="N15" i="7"/>
  <c r="N16" i="7" s="1"/>
  <c r="C30" i="10"/>
  <c r="C37" i="10" s="1"/>
  <c r="E37" i="10" s="1"/>
  <c r="C28" i="11" s="1"/>
  <c r="E27" i="10"/>
  <c r="D29" i="7"/>
  <c r="E22" i="7"/>
  <c r="E5" i="44" l="1"/>
  <c r="D22" i="44"/>
  <c r="E27" i="11"/>
  <c r="C30" i="11"/>
  <c r="C37" i="11" s="1"/>
  <c r="E37" i="11" s="1"/>
  <c r="D37" i="7"/>
  <c r="H29" i="7"/>
  <c r="H37" i="7" s="1"/>
  <c r="F27" i="6"/>
  <c r="F30" i="6" s="1"/>
  <c r="F36" i="6" s="1"/>
  <c r="G5" i="44" l="1"/>
  <c r="E22" i="44"/>
  <c r="C28" i="12"/>
  <c r="M27" i="11"/>
  <c r="D22" i="6"/>
  <c r="D5" i="45" l="1"/>
  <c r="G22" i="44"/>
  <c r="E27" i="12"/>
  <c r="C30" i="12"/>
  <c r="C37" i="12" s="1"/>
  <c r="E37" i="12" s="1"/>
  <c r="C28" i="13" s="1"/>
  <c r="C22" i="6"/>
  <c r="C27" i="6" s="1"/>
  <c r="E21" i="6"/>
  <c r="G21" i="6" s="1"/>
  <c r="E20" i="6"/>
  <c r="G20" i="6" s="1"/>
  <c r="E19" i="6"/>
  <c r="G19" i="6" s="1"/>
  <c r="E18" i="6"/>
  <c r="G18" i="6" s="1"/>
  <c r="E17" i="6"/>
  <c r="G17" i="6" s="1"/>
  <c r="E16" i="6"/>
  <c r="G16" i="6" s="1"/>
  <c r="E15" i="6"/>
  <c r="G15" i="6" s="1"/>
  <c r="E14" i="6"/>
  <c r="G14" i="6" s="1"/>
  <c r="E13" i="6"/>
  <c r="G13" i="6" s="1"/>
  <c r="E12" i="6"/>
  <c r="G12" i="6" s="1"/>
  <c r="E11" i="6"/>
  <c r="G11" i="6" s="1"/>
  <c r="E10" i="6"/>
  <c r="G10" i="6" s="1"/>
  <c r="E9" i="6"/>
  <c r="G9" i="6" s="1"/>
  <c r="E8" i="6"/>
  <c r="G8" i="6" s="1"/>
  <c r="E7" i="6"/>
  <c r="G7" i="6" s="1"/>
  <c r="E6" i="6"/>
  <c r="G6" i="6" s="1"/>
  <c r="E5" i="6"/>
  <c r="E5" i="45" l="1"/>
  <c r="D22" i="45"/>
  <c r="C30" i="13"/>
  <c r="C37" i="13" s="1"/>
  <c r="E37" i="13" s="1"/>
  <c r="C28" i="14" s="1"/>
  <c r="E27" i="13"/>
  <c r="G22" i="6"/>
  <c r="D29" i="6"/>
  <c r="C30" i="6" s="1"/>
  <c r="E22" i="6"/>
  <c r="G29" i="6"/>
  <c r="G36" i="6" s="1"/>
  <c r="F22" i="5"/>
  <c r="F27" i="5" s="1"/>
  <c r="G29" i="5" s="1"/>
  <c r="D22" i="5"/>
  <c r="C22" i="5"/>
  <c r="C27" i="5" s="1"/>
  <c r="E21" i="5"/>
  <c r="G21" i="5" s="1"/>
  <c r="E20" i="5"/>
  <c r="G20" i="5" s="1"/>
  <c r="E19" i="5"/>
  <c r="G19" i="5" s="1"/>
  <c r="E18" i="5"/>
  <c r="G18" i="5" s="1"/>
  <c r="E17" i="5"/>
  <c r="G17" i="5" s="1"/>
  <c r="E16" i="5"/>
  <c r="G16" i="5" s="1"/>
  <c r="E15" i="5"/>
  <c r="G15" i="5" s="1"/>
  <c r="E14" i="5"/>
  <c r="G14" i="5" s="1"/>
  <c r="E13" i="5"/>
  <c r="G13" i="5" s="1"/>
  <c r="E12" i="5"/>
  <c r="G12" i="5" s="1"/>
  <c r="E11" i="5"/>
  <c r="G11" i="5" s="1"/>
  <c r="E9" i="5"/>
  <c r="G9" i="5" s="1"/>
  <c r="E8" i="5"/>
  <c r="G8" i="5" s="1"/>
  <c r="E7" i="5"/>
  <c r="G7" i="5" s="1"/>
  <c r="E6" i="5"/>
  <c r="G6" i="5" s="1"/>
  <c r="E5" i="5"/>
  <c r="G5" i="5" s="1"/>
  <c r="F22" i="4"/>
  <c r="F27" i="4" s="1"/>
  <c r="G29" i="4" s="1"/>
  <c r="G35" i="4" s="1"/>
  <c r="D22" i="4"/>
  <c r="C22" i="4"/>
  <c r="C27" i="4" s="1"/>
  <c r="E21" i="4"/>
  <c r="G21" i="4" s="1"/>
  <c r="E20" i="4"/>
  <c r="G20" i="4" s="1"/>
  <c r="E19" i="4"/>
  <c r="G19" i="4" s="1"/>
  <c r="E18" i="4"/>
  <c r="G18" i="4" s="1"/>
  <c r="E17" i="4"/>
  <c r="G17" i="4" s="1"/>
  <c r="E16" i="4"/>
  <c r="G16" i="4" s="1"/>
  <c r="E15" i="4"/>
  <c r="G15" i="4" s="1"/>
  <c r="E14" i="4"/>
  <c r="G14" i="4" s="1"/>
  <c r="E13" i="4"/>
  <c r="G13" i="4" s="1"/>
  <c r="E12" i="4"/>
  <c r="G12" i="4" s="1"/>
  <c r="E11" i="4"/>
  <c r="G11" i="4" s="1"/>
  <c r="E10" i="4"/>
  <c r="G10" i="4" s="1"/>
  <c r="E9" i="4"/>
  <c r="G9" i="4" s="1"/>
  <c r="E8" i="4"/>
  <c r="G8" i="4" s="1"/>
  <c r="E7" i="4"/>
  <c r="G7" i="4" s="1"/>
  <c r="E6" i="4"/>
  <c r="G6" i="4" s="1"/>
  <c r="E5" i="4"/>
  <c r="G5" i="4" s="1"/>
  <c r="G5" i="45" l="1"/>
  <c r="E22" i="45"/>
  <c r="C30" i="14"/>
  <c r="C37" i="14" s="1"/>
  <c r="E37" i="14" s="1"/>
  <c r="C28" i="15" s="1"/>
  <c r="E27" i="14"/>
  <c r="H36" i="6"/>
  <c r="D29" i="4"/>
  <c r="D29" i="5"/>
  <c r="C30" i="5" s="1"/>
  <c r="E22" i="5"/>
  <c r="G22" i="5" s="1"/>
  <c r="F30" i="5"/>
  <c r="F35" i="5" s="1"/>
  <c r="G35" i="5"/>
  <c r="E27" i="4"/>
  <c r="F30" i="4"/>
  <c r="F35" i="4" s="1"/>
  <c r="E22" i="4"/>
  <c r="G22" i="4" s="1"/>
  <c r="F21" i="1"/>
  <c r="G26" i="1" s="1"/>
  <c r="D5" i="46" l="1"/>
  <c r="G22" i="45"/>
  <c r="C37" i="15"/>
  <c r="E27" i="15"/>
  <c r="C30" i="15"/>
  <c r="E37" i="15" s="1"/>
  <c r="C28" i="16" s="1"/>
  <c r="C37" i="16" s="1"/>
  <c r="E37" i="16" s="1"/>
  <c r="C28" i="17" s="1"/>
  <c r="C36" i="17" s="1"/>
  <c r="E36" i="17" s="1"/>
  <c r="C28" i="18" s="1"/>
  <c r="C36" i="18" s="1"/>
  <c r="E36" i="18" s="1"/>
  <c r="C28" i="19" s="1"/>
  <c r="C36" i="19" s="1"/>
  <c r="E36" i="19" s="1"/>
  <c r="C28" i="20" s="1"/>
  <c r="C36" i="20" s="1"/>
  <c r="E36" i="20" s="1"/>
  <c r="C28" i="21" s="1"/>
  <c r="C38" i="21" s="1"/>
  <c r="E38" i="21" s="1"/>
  <c r="C28" i="22" s="1"/>
  <c r="C36" i="22" s="1"/>
  <c r="E36" i="22" s="1"/>
  <c r="C28" i="23" s="1"/>
  <c r="C36" i="23" s="1"/>
  <c r="E36" i="23" s="1"/>
  <c r="C28" i="24" s="1"/>
  <c r="C37" i="24" s="1"/>
  <c r="E37" i="24" s="1"/>
  <c r="C28" i="25" s="1"/>
  <c r="C37" i="25" s="1"/>
  <c r="E37" i="25" s="1"/>
  <c r="C28" i="26" s="1"/>
  <c r="C38" i="26" s="1"/>
  <c r="E38" i="26" s="1"/>
  <c r="C28" i="27" s="1"/>
  <c r="C37" i="27" s="1"/>
  <c r="E37" i="27" s="1"/>
  <c r="C28" i="28" s="1"/>
  <c r="C37" i="28" s="1"/>
  <c r="E37" i="28" s="1"/>
  <c r="C28" i="29" s="1"/>
  <c r="C37" i="29" s="1"/>
  <c r="E37" i="29" s="1"/>
  <c r="C28" i="30" s="1"/>
  <c r="C30" i="4"/>
  <c r="C35" i="4" s="1"/>
  <c r="E35" i="4" s="1"/>
  <c r="C28" i="5" s="1"/>
  <c r="H35" i="5"/>
  <c r="H35" i="4"/>
  <c r="F23" i="2"/>
  <c r="G28" i="2" s="1"/>
  <c r="G31" i="2" s="1"/>
  <c r="G36" i="2" s="1"/>
  <c r="D23" i="2"/>
  <c r="F23" i="3"/>
  <c r="E5" i="46" l="1"/>
  <c r="D22" i="46"/>
  <c r="C35" i="5"/>
  <c r="E35" i="5" s="1"/>
  <c r="C28" i="6" s="1"/>
  <c r="E27" i="5"/>
  <c r="C37" i="30"/>
  <c r="E37" i="30" s="1"/>
  <c r="C28" i="31" s="1"/>
  <c r="H30" i="2"/>
  <c r="H36" i="2" s="1"/>
  <c r="I36" i="2" s="1"/>
  <c r="G5" i="46" l="1"/>
  <c r="E22" i="46"/>
  <c r="C38" i="31"/>
  <c r="E38" i="31" s="1"/>
  <c r="C28" i="32" s="1"/>
  <c r="C40" i="32" s="1"/>
  <c r="E40" i="32" s="1"/>
  <c r="C28" i="33" s="1"/>
  <c r="C36" i="6"/>
  <c r="E36" i="6" s="1"/>
  <c r="C28" i="7" s="1"/>
  <c r="E27" i="6"/>
  <c r="C23" i="2"/>
  <c r="C28" i="2" s="1"/>
  <c r="E22" i="2"/>
  <c r="G22" i="2" s="1"/>
  <c r="E21" i="2"/>
  <c r="G21" i="2" s="1"/>
  <c r="E20" i="2"/>
  <c r="G20" i="2" s="1"/>
  <c r="E19" i="2"/>
  <c r="G19" i="2" s="1"/>
  <c r="E18" i="2"/>
  <c r="G18" i="2" s="1"/>
  <c r="E17" i="2"/>
  <c r="G17" i="2" s="1"/>
  <c r="E16" i="2"/>
  <c r="G16" i="2" s="1"/>
  <c r="E15" i="2"/>
  <c r="G15" i="2" s="1"/>
  <c r="E14" i="2"/>
  <c r="G14" i="2" s="1"/>
  <c r="E13" i="2"/>
  <c r="G13" i="2" s="1"/>
  <c r="E12" i="2"/>
  <c r="G12" i="2" s="1"/>
  <c r="E11" i="2"/>
  <c r="G11" i="2" s="1"/>
  <c r="E10" i="2"/>
  <c r="G10" i="2" s="1"/>
  <c r="E9" i="2"/>
  <c r="G9" i="2" s="1"/>
  <c r="E8" i="2"/>
  <c r="G8" i="2" s="1"/>
  <c r="E7" i="2"/>
  <c r="G7" i="2" s="1"/>
  <c r="E6" i="2"/>
  <c r="C23" i="3"/>
  <c r="C28" i="3" s="1"/>
  <c r="E22" i="3"/>
  <c r="G22" i="3" s="1"/>
  <c r="E21" i="3"/>
  <c r="G21" i="3" s="1"/>
  <c r="E20" i="3"/>
  <c r="G20" i="3" s="1"/>
  <c r="E19" i="3"/>
  <c r="G19" i="3" s="1"/>
  <c r="E18" i="3"/>
  <c r="G18" i="3" s="1"/>
  <c r="E17" i="3"/>
  <c r="G17" i="3" s="1"/>
  <c r="E16" i="3"/>
  <c r="G16" i="3" s="1"/>
  <c r="E15" i="3"/>
  <c r="G15" i="3" s="1"/>
  <c r="E14" i="3"/>
  <c r="G14" i="3" s="1"/>
  <c r="E13" i="3"/>
  <c r="G13" i="3" s="1"/>
  <c r="E12" i="3"/>
  <c r="G12" i="3" s="1"/>
  <c r="E11" i="3"/>
  <c r="G11" i="3" s="1"/>
  <c r="E10" i="3"/>
  <c r="G10" i="3" s="1"/>
  <c r="E9" i="3"/>
  <c r="G9" i="3" s="1"/>
  <c r="E8" i="3"/>
  <c r="G8" i="3" s="1"/>
  <c r="E7" i="3"/>
  <c r="G7" i="3" s="1"/>
  <c r="E6" i="3"/>
  <c r="G22" i="46" l="1"/>
  <c r="G24" i="46" s="1"/>
  <c r="D5" i="47"/>
  <c r="C30" i="7"/>
  <c r="C37" i="7" s="1"/>
  <c r="E37" i="7" s="1"/>
  <c r="E27" i="7"/>
  <c r="G28" i="7"/>
  <c r="C31" i="2"/>
  <c r="C36" i="2" s="1"/>
  <c r="D30" i="2"/>
  <c r="D36" i="2" s="1"/>
  <c r="E28" i="2"/>
  <c r="E23" i="2"/>
  <c r="G23" i="2" s="1"/>
  <c r="C31" i="3"/>
  <c r="C36" i="3" s="1"/>
  <c r="D30" i="3"/>
  <c r="D36" i="3" s="1"/>
  <c r="E28" i="3"/>
  <c r="E23" i="3"/>
  <c r="G23" i="3" s="1"/>
  <c r="G28" i="3" s="1"/>
  <c r="G6" i="3"/>
  <c r="G6" i="2"/>
  <c r="D21" i="1"/>
  <c r="C21" i="1"/>
  <c r="C26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4" i="1"/>
  <c r="E36" i="3" l="1"/>
  <c r="E5" i="47"/>
  <c r="D22" i="47"/>
  <c r="G30" i="7"/>
  <c r="G37" i="7" s="1"/>
  <c r="I37" i="7" s="1"/>
  <c r="G28" i="8" s="1"/>
  <c r="G30" i="8" s="1"/>
  <c r="G37" i="8" s="1"/>
  <c r="I37" i="8" s="1"/>
  <c r="G28" i="9" s="1"/>
  <c r="G30" i="9" s="1"/>
  <c r="G37" i="9" s="1"/>
  <c r="I37" i="9" s="1"/>
  <c r="G28" i="10" s="1"/>
  <c r="G30" i="10" s="1"/>
  <c r="G37" i="10" s="1"/>
  <c r="I37" i="10" s="1"/>
  <c r="G28" i="11" s="1"/>
  <c r="G30" i="11" s="1"/>
  <c r="G37" i="11" s="1"/>
  <c r="I37" i="11" s="1"/>
  <c r="G28" i="12" s="1"/>
  <c r="G30" i="12" s="1"/>
  <c r="G37" i="12" s="1"/>
  <c r="I37" i="12" s="1"/>
  <c r="G28" i="13" s="1"/>
  <c r="D28" i="1"/>
  <c r="C29" i="1"/>
  <c r="C34" i="1" s="1"/>
  <c r="E26" i="1"/>
  <c r="D34" i="1" s="1"/>
  <c r="H28" i="1"/>
  <c r="H34" i="1" s="1"/>
  <c r="G29" i="1"/>
  <c r="G34" i="1" s="1"/>
  <c r="E36" i="2"/>
  <c r="G31" i="3"/>
  <c r="G36" i="3" s="1"/>
  <c r="H30" i="3"/>
  <c r="E21" i="1"/>
  <c r="G21" i="1" s="1"/>
  <c r="G4" i="1"/>
  <c r="E34" i="1" l="1"/>
  <c r="G5" i="47"/>
  <c r="E22" i="47"/>
  <c r="G30" i="13"/>
  <c r="G37" i="13" s="1"/>
  <c r="I34" i="1"/>
  <c r="H36" i="3"/>
  <c r="I36" i="3" s="1"/>
  <c r="D5" i="48" l="1"/>
  <c r="G22" i="47"/>
  <c r="G24" i="47" s="1"/>
  <c r="I37" i="13"/>
  <c r="G28" i="14" s="1"/>
  <c r="E5" i="48" l="1"/>
  <c r="D22" i="48"/>
  <c r="G30" i="14"/>
  <c r="G37" i="14" s="1"/>
  <c r="I37" i="14" s="1"/>
  <c r="G28" i="15" s="1"/>
  <c r="G5" i="48" l="1"/>
  <c r="E22" i="48"/>
  <c r="G30" i="15"/>
  <c r="G37" i="15"/>
  <c r="I37" i="15" s="1"/>
  <c r="G28" i="16" s="1"/>
  <c r="G37" i="16" s="1"/>
  <c r="I37" i="16" s="1"/>
  <c r="G28" i="17" s="1"/>
  <c r="G36" i="17" s="1"/>
  <c r="I36" i="17" s="1"/>
  <c r="G28" i="18" s="1"/>
  <c r="G36" i="18" s="1"/>
  <c r="I36" i="18" s="1"/>
  <c r="G28" i="19" s="1"/>
  <c r="G36" i="19" s="1"/>
  <c r="I36" i="19" s="1"/>
  <c r="G28" i="20" s="1"/>
  <c r="G36" i="20" s="1"/>
  <c r="I36" i="20" s="1"/>
  <c r="G28" i="21" s="1"/>
  <c r="G38" i="21" s="1"/>
  <c r="I38" i="21" s="1"/>
  <c r="G28" i="22" s="1"/>
  <c r="G36" i="22" s="1"/>
  <c r="I36" i="22" s="1"/>
  <c r="G28" i="23" s="1"/>
  <c r="G36" i="23" s="1"/>
  <c r="I36" i="23" s="1"/>
  <c r="D5" i="49" l="1"/>
  <c r="G22" i="48"/>
  <c r="G24" i="48" s="1"/>
  <c r="G28" i="24"/>
  <c r="E5" i="49" l="1"/>
  <c r="D22" i="49"/>
  <c r="G37" i="24"/>
  <c r="I37" i="24" s="1"/>
  <c r="G28" i="25" s="1"/>
  <c r="G5" i="49" l="1"/>
  <c r="E22" i="49"/>
  <c r="G37" i="25"/>
  <c r="I37" i="25" s="1"/>
  <c r="G28" i="26" l="1"/>
  <c r="J35" i="25"/>
  <c r="D5" i="50"/>
  <c r="E5" i="50" s="1"/>
  <c r="G22" i="49"/>
  <c r="G38" i="26"/>
  <c r="I38" i="26" s="1"/>
  <c r="G24" i="49" l="1"/>
  <c r="D22" i="50"/>
  <c r="G28" i="27"/>
  <c r="G37" i="27" s="1"/>
  <c r="I37" i="27" s="1"/>
  <c r="J39" i="27" s="1"/>
  <c r="J38" i="26"/>
  <c r="G5" i="50"/>
  <c r="E22" i="50"/>
  <c r="G28" i="28"/>
  <c r="G37" i="28" s="1"/>
  <c r="I37" i="28" s="1"/>
  <c r="G22" i="50" l="1"/>
  <c r="D22" i="51" s="1"/>
  <c r="D5" i="51"/>
  <c r="E5" i="51" s="1"/>
  <c r="G24" i="50"/>
  <c r="G28" i="29"/>
  <c r="G37" i="29" s="1"/>
  <c r="I37" i="29" s="1"/>
  <c r="G5" i="51" l="1"/>
  <c r="E22" i="51"/>
  <c r="G28" i="30"/>
  <c r="G37" i="30" s="1"/>
  <c r="I37" i="30" s="1"/>
  <c r="G28" i="31" s="1"/>
  <c r="G38" i="31" s="1"/>
  <c r="I38" i="31" s="1"/>
  <c r="J36" i="29"/>
  <c r="G22" i="51" l="1"/>
  <c r="G24" i="51" s="1"/>
  <c r="D5" i="52"/>
  <c r="G28" i="32"/>
  <c r="K38" i="31"/>
  <c r="K38" i="30"/>
  <c r="G40" i="32"/>
  <c r="I40" i="32" s="1"/>
  <c r="G28" i="33" s="1"/>
  <c r="E5" i="52" l="1"/>
  <c r="E22" i="52" s="1"/>
  <c r="D22" i="52"/>
  <c r="G5" i="52"/>
  <c r="G22" i="52" s="1"/>
  <c r="G24" i="52" s="1"/>
  <c r="G43" i="33"/>
  <c r="I43" i="33" s="1"/>
  <c r="G28" i="34" s="1"/>
  <c r="C43" i="33"/>
  <c r="E43" i="33" s="1"/>
  <c r="C28" i="34" s="1"/>
  <c r="J43" i="33" l="1"/>
  <c r="J46" i="33"/>
  <c r="G42" i="34"/>
  <c r="I42" i="34" s="1"/>
  <c r="C42" i="34"/>
  <c r="E42" i="34" s="1"/>
  <c r="C28" i="35" s="1"/>
  <c r="C42" i="35" s="1"/>
  <c r="E42" i="35" s="1"/>
  <c r="C28" i="36" s="1"/>
  <c r="G28" i="35" l="1"/>
  <c r="I45" i="34"/>
  <c r="C42" i="36"/>
  <c r="E42" i="36" s="1"/>
  <c r="C28" i="37" s="1"/>
  <c r="C42" i="37" s="1"/>
  <c r="E42" i="37" s="1"/>
  <c r="C28" i="38" s="1"/>
  <c r="C42" i="38" s="1"/>
  <c r="E42" i="38" s="1"/>
  <c r="C28" i="39" s="1"/>
  <c r="C42" i="39" s="1"/>
  <c r="E42" i="39" s="1"/>
  <c r="C28" i="40" s="1"/>
  <c r="K31" i="35" l="1"/>
  <c r="G42" i="35"/>
  <c r="I42" i="35" s="1"/>
  <c r="G28" i="36" s="1"/>
  <c r="C42" i="40"/>
  <c r="E42" i="40" s="1"/>
  <c r="C28" i="41" s="1"/>
  <c r="C42" i="41" s="1"/>
  <c r="E42" i="41" s="1"/>
  <c r="K31" i="36" l="1"/>
  <c r="G42" i="36"/>
  <c r="I42" i="36" s="1"/>
  <c r="J37" i="41"/>
  <c r="C28" i="42"/>
  <c r="C42" i="42" s="1"/>
  <c r="E42" i="42" s="1"/>
  <c r="C28" i="43" s="1"/>
  <c r="C42" i="43" s="1"/>
  <c r="E42" i="43" s="1"/>
  <c r="C28" i="44" s="1"/>
  <c r="C42" i="44" s="1"/>
  <c r="E42" i="44" s="1"/>
  <c r="C28" i="45" s="1"/>
  <c r="G28" i="37" l="1"/>
  <c r="G42" i="37" s="1"/>
  <c r="I42" i="37" s="1"/>
  <c r="I45" i="36"/>
  <c r="C42" i="45"/>
  <c r="E42" i="45" s="1"/>
  <c r="C28" i="46" s="1"/>
  <c r="C42" i="46" s="1"/>
  <c r="E42" i="46" s="1"/>
  <c r="C28" i="47" s="1"/>
  <c r="C42" i="47" s="1"/>
  <c r="E42" i="47" s="1"/>
  <c r="C28" i="48" s="1"/>
  <c r="C42" i="48" s="1"/>
  <c r="E42" i="48" s="1"/>
  <c r="C28" i="49" s="1"/>
  <c r="C42" i="49" s="1"/>
  <c r="E42" i="49" s="1"/>
  <c r="C28" i="50" s="1"/>
  <c r="C42" i="50" s="1"/>
  <c r="E42" i="50" s="1"/>
  <c r="C28" i="51" s="1"/>
  <c r="C42" i="51" s="1"/>
  <c r="E42" i="51" s="1"/>
  <c r="C28" i="52" s="1"/>
  <c r="L32" i="52" s="1"/>
  <c r="L33" i="52" s="1"/>
  <c r="C42" i="52" l="1"/>
  <c r="E42" i="52" s="1"/>
  <c r="I46" i="37"/>
  <c r="I47" i="37" s="1"/>
  <c r="G28" i="38"/>
  <c r="G42" i="38" s="1"/>
  <c r="I42" i="38" s="1"/>
  <c r="G28" i="39" l="1"/>
  <c r="G42" i="39" s="1"/>
  <c r="I42" i="39" s="1"/>
  <c r="I45" i="38"/>
  <c r="G28" i="40" l="1"/>
  <c r="G42" i="40" s="1"/>
  <c r="I42" i="40" s="1"/>
  <c r="J41" i="39"/>
  <c r="I46" i="39"/>
  <c r="G28" i="41" l="1"/>
  <c r="G42" i="41" s="1"/>
  <c r="I42" i="41" s="1"/>
  <c r="H46" i="40"/>
  <c r="G28" i="42" l="1"/>
  <c r="G42" i="42" s="1"/>
  <c r="I42" i="42" s="1"/>
  <c r="I44" i="41"/>
  <c r="I45" i="42" l="1"/>
  <c r="I46" i="42" s="1"/>
  <c r="J44" i="42"/>
  <c r="G28" i="43"/>
  <c r="G42" i="43" s="1"/>
  <c r="I42" i="43" s="1"/>
  <c r="I44" i="43" l="1"/>
  <c r="I45" i="43" s="1"/>
  <c r="G28" i="44"/>
  <c r="G42" i="44" s="1"/>
  <c r="I42" i="44" s="1"/>
  <c r="I44" i="44" l="1"/>
  <c r="I45" i="44" s="1"/>
  <c r="G28" i="45"/>
  <c r="G42" i="45" s="1"/>
  <c r="I42" i="45" s="1"/>
  <c r="G28" i="46" s="1"/>
  <c r="G42" i="46" s="1"/>
  <c r="I42" i="46" s="1"/>
  <c r="G28" i="47" s="1"/>
  <c r="G42" i="47" s="1"/>
  <c r="I42" i="47" s="1"/>
  <c r="G28" i="48" s="1"/>
  <c r="G42" i="48" s="1"/>
  <c r="I42" i="48" s="1"/>
  <c r="G28" i="49" s="1"/>
  <c r="G42" i="49" s="1"/>
  <c r="I42" i="49" s="1"/>
  <c r="G28" i="50" s="1"/>
  <c r="G42" i="50" s="1"/>
  <c r="I42" i="50" s="1"/>
  <c r="G28" i="51" s="1"/>
  <c r="G42" i="51" s="1"/>
  <c r="I42" i="51" s="1"/>
  <c r="G28" i="52" s="1"/>
  <c r="G42" i="52" l="1"/>
  <c r="I42" i="52" s="1"/>
</calcChain>
</file>

<file path=xl/sharedStrings.xml><?xml version="1.0" encoding="utf-8"?>
<sst xmlns="http://schemas.openxmlformats.org/spreadsheetml/2006/main" count="3210" uniqueCount="380">
  <si>
    <t>NO.</t>
  </si>
  <si>
    <t>NAME</t>
  </si>
  <si>
    <t>RENT</t>
  </si>
  <si>
    <t>B/F</t>
  </si>
  <si>
    <t>TOTAL DUE</t>
  </si>
  <si>
    <t xml:space="preserve">PAID </t>
  </si>
  <si>
    <t>BALANCE</t>
  </si>
  <si>
    <t>PAUL NYAMONGO</t>
  </si>
  <si>
    <t>MUTUA</t>
  </si>
  <si>
    <t>EDWIN MARWA</t>
  </si>
  <si>
    <t>JOHN</t>
  </si>
  <si>
    <t>LAWRENCE NGANGA</t>
  </si>
  <si>
    <t>ELIKANA NYAKWA</t>
  </si>
  <si>
    <t>JOB MUKAYA</t>
  </si>
  <si>
    <t>WISLLY</t>
  </si>
  <si>
    <t>AMINA</t>
  </si>
  <si>
    <t>DAVID OCHIENG</t>
  </si>
  <si>
    <t>NICKSON OPIYO</t>
  </si>
  <si>
    <t>JAMES</t>
  </si>
  <si>
    <t>ENOCK OPIYO</t>
  </si>
  <si>
    <t>PETER MUTOKO</t>
  </si>
  <si>
    <t>VACANT</t>
  </si>
  <si>
    <t xml:space="preserve">DAVID </t>
  </si>
  <si>
    <t>MUTONGA</t>
  </si>
  <si>
    <t>TOTAL</t>
  </si>
  <si>
    <t>ASSET FLOW LTD</t>
  </si>
  <si>
    <t>BONNIE  CASH STATEMENT FOR THE MONTH OF NOVEMBER 2017</t>
  </si>
  <si>
    <t>SUMMARY</t>
  </si>
  <si>
    <t xml:space="preserve">DETAILS </t>
  </si>
  <si>
    <t xml:space="preserve">CR </t>
  </si>
  <si>
    <t>DR</t>
  </si>
  <si>
    <t>ROYALTY BL</t>
  </si>
  <si>
    <t>GABBAGE</t>
  </si>
  <si>
    <t>COMMISION</t>
  </si>
  <si>
    <t>PAYMENTS</t>
  </si>
  <si>
    <t>13/6/2017</t>
  </si>
  <si>
    <t>Approved By</t>
  </si>
  <si>
    <t>Received By</t>
  </si>
  <si>
    <t>Prepared BY</t>
  </si>
  <si>
    <t>L. Mwangi</t>
  </si>
  <si>
    <t>PAID ON 08-09-2017</t>
  </si>
  <si>
    <t xml:space="preserve">PAID  </t>
  </si>
  <si>
    <t>BONNIE  CASH STATEMENT FOR THE MONTH OF SEPTEMBER 2017</t>
  </si>
  <si>
    <t>BONNIE  CASH STATEMENT FOR THE MONTH OF OCTOMBER 2017</t>
  </si>
  <si>
    <t xml:space="preserve">           </t>
  </si>
  <si>
    <t>DEC REMITANCE</t>
  </si>
  <si>
    <t>NOV REMITANCE</t>
  </si>
  <si>
    <t>OCT REMITANCE</t>
  </si>
  <si>
    <t>SEP REMITANCE</t>
  </si>
  <si>
    <t>NEW</t>
  </si>
  <si>
    <t>JAN REMITANCE</t>
  </si>
  <si>
    <t>LL</t>
  </si>
  <si>
    <t>DIRECT TO LL</t>
  </si>
  <si>
    <t>FEB REMITANCE</t>
  </si>
  <si>
    <t>direct to ll</t>
  </si>
  <si>
    <t>BF</t>
  </si>
  <si>
    <t>VACCANT</t>
  </si>
  <si>
    <t>MARTIN NJERU</t>
  </si>
  <si>
    <t>MUTUNGA</t>
  </si>
  <si>
    <t xml:space="preserve">JOHN SANINGO </t>
  </si>
  <si>
    <t>RENT STATEMENT</t>
  </si>
  <si>
    <t>FOR THE MONTH OF DEC 2017</t>
  </si>
  <si>
    <t>BAL</t>
  </si>
  <si>
    <t>FOR THE MONTH OF FEB 2018</t>
  </si>
  <si>
    <t>FOR THE MONTH OF JAN 2018</t>
  </si>
  <si>
    <t>RUTH</t>
  </si>
  <si>
    <t>GRACE</t>
  </si>
  <si>
    <t>FOR THE MONTH OF MARCH  2018</t>
  </si>
  <si>
    <t>MARCH</t>
  </si>
  <si>
    <t>DETAILS</t>
  </si>
  <si>
    <t>GILBERT MOMANYI</t>
  </si>
  <si>
    <t>APRIL</t>
  </si>
  <si>
    <t>FOR THE MONTH OF APRIL  2018</t>
  </si>
  <si>
    <t>RAPHAEL MUTUNGA</t>
  </si>
  <si>
    <t>JOHN ANGWENYI</t>
  </si>
  <si>
    <t>WINNIE BARASA</t>
  </si>
  <si>
    <t>LL 800</t>
  </si>
  <si>
    <t>MAY</t>
  </si>
  <si>
    <t>FOR THE MONTH OF MAY  2018</t>
  </si>
  <si>
    <t>JUNE</t>
  </si>
  <si>
    <t>FOR THE MONTH OF JUNE  2018</t>
  </si>
  <si>
    <t>FOR THE MONTH OF JULY 2018</t>
  </si>
  <si>
    <t>JULY</t>
  </si>
  <si>
    <t>GEORGE IRUNGU</t>
  </si>
  <si>
    <t>FOR THE MONTH OF AUGUST 2018</t>
  </si>
  <si>
    <t>AUG</t>
  </si>
  <si>
    <t>DAVID MUCHIONI</t>
  </si>
  <si>
    <t>DAVID JUNE</t>
  </si>
  <si>
    <t>PAUL</t>
  </si>
  <si>
    <t>WINNIE</t>
  </si>
  <si>
    <t>ADVANCE</t>
  </si>
  <si>
    <t>JAMES MADANGI</t>
  </si>
  <si>
    <t>SEP</t>
  </si>
  <si>
    <t>FOR THE MONTH OF SEPTEMBER 2018</t>
  </si>
  <si>
    <t>ABEL KEGWARO</t>
  </si>
  <si>
    <t>MERCY MUTHEU</t>
  </si>
  <si>
    <t>KEMUNTO ONGUBO</t>
  </si>
  <si>
    <t>FOR THE MONTH OF OCTOBER 2018</t>
  </si>
  <si>
    <t>MERCY-2 SEP</t>
  </si>
  <si>
    <t>OCT</t>
  </si>
  <si>
    <t>FOR THE MONTH OF NOVEMBER  2018</t>
  </si>
  <si>
    <t>NOV</t>
  </si>
  <si>
    <t>FOR THE MONTH OF DECEMBER  2018</t>
  </si>
  <si>
    <t>DEC</t>
  </si>
  <si>
    <t>ALFRED WAFULA</t>
  </si>
  <si>
    <t>MICHAEL MUNYIRIRI</t>
  </si>
  <si>
    <t>DIRECT TO  LL</t>
  </si>
  <si>
    <t>FOR THE MONTH OF JANUARY 2019</t>
  </si>
  <si>
    <t>JAN</t>
  </si>
  <si>
    <t>PAID ON 31/12/18</t>
  </si>
  <si>
    <t>PAID ON 7/1/19</t>
  </si>
  <si>
    <t>PAID ON 8/1/19</t>
  </si>
  <si>
    <t>ALFRED HSE 1</t>
  </si>
  <si>
    <t>PAID ON 22/1/19</t>
  </si>
  <si>
    <t>FOR THE MONTH OF FEBRUARY 2019</t>
  </si>
  <si>
    <t>FEB</t>
  </si>
  <si>
    <t>PAID ON 2/2/19</t>
  </si>
  <si>
    <t>PAID ON 8/2/19</t>
  </si>
  <si>
    <t>HASSAN</t>
  </si>
  <si>
    <t>FOR THE MONTH OF MARCH 2019</t>
  </si>
  <si>
    <t>PAID ON 8/3/19</t>
  </si>
  <si>
    <t>PETER OMUTOKO</t>
  </si>
  <si>
    <t>PAID ON 20/3/19</t>
  </si>
  <si>
    <t>PAID ON 23/3/19</t>
  </si>
  <si>
    <t>FOR THE MONTH OF APRIL 2019</t>
  </si>
  <si>
    <t>PAID ON 30/3/19</t>
  </si>
  <si>
    <t>PATRICK MAUNDU</t>
  </si>
  <si>
    <t>ALEX MULWA</t>
  </si>
  <si>
    <t>PAID ON 27/4/19</t>
  </si>
  <si>
    <t>PAID ON 3/5/19</t>
  </si>
  <si>
    <t>FOR THE MONTH OF MAY 2019</t>
  </si>
  <si>
    <t>DIRECT TO LL-7</t>
  </si>
  <si>
    <t xml:space="preserve">MUTUNGA </t>
  </si>
  <si>
    <t>PAID ON 7/5/19</t>
  </si>
  <si>
    <t>PAID ON 24/5/19</t>
  </si>
  <si>
    <t>FOR THE MONTH OF JUNE 2019</t>
  </si>
  <si>
    <t xml:space="preserve">JUNE </t>
  </si>
  <si>
    <t>PAID ON 8/6/19</t>
  </si>
  <si>
    <t>ELIZABETH MINAH</t>
  </si>
  <si>
    <t>JACKSON KABUBU</t>
  </si>
  <si>
    <t xml:space="preserve">WINNIE </t>
  </si>
  <si>
    <t xml:space="preserve">NEW </t>
  </si>
  <si>
    <t>Mpesa charges on 22/6 &amp; 26/6</t>
  </si>
  <si>
    <t>FOR THE MONTH OF JULY 2019</t>
  </si>
  <si>
    <t>PAID ON 6/7/19</t>
  </si>
  <si>
    <t xml:space="preserve">LOAN </t>
  </si>
  <si>
    <t>PAID ON 8/7/19</t>
  </si>
  <si>
    <t>DIRECT TO LL-6 &amp; 7</t>
  </si>
  <si>
    <t>CASTYY GACHERI</t>
  </si>
  <si>
    <t>CASTY GACHERI</t>
  </si>
  <si>
    <t>FOR THE MONTH OF AUGUST 2019</t>
  </si>
  <si>
    <t>AUGUST</t>
  </si>
  <si>
    <t>PAID ON 7/8/19</t>
  </si>
  <si>
    <t>STIMA (MINAH)</t>
  </si>
  <si>
    <t>DANIEL MOKUA</t>
  </si>
  <si>
    <t>PAID ON 8/8/19</t>
  </si>
  <si>
    <t>DILECT TO LL</t>
  </si>
  <si>
    <t>PAID ON 3/9</t>
  </si>
  <si>
    <t>SEPT</t>
  </si>
  <si>
    <t>FOR THE MONTH OF SEPTEMBER 2019</t>
  </si>
  <si>
    <t>PETER MUTUKU</t>
  </si>
  <si>
    <t>LOAN</t>
  </si>
  <si>
    <t>ELIZA</t>
  </si>
  <si>
    <t>FLORENCE</t>
  </si>
  <si>
    <t>PAI D ON 7/9/</t>
  </si>
  <si>
    <t>JACKSON MURIITHI</t>
  </si>
  <si>
    <t>FOR THE MONTH OF OCTOBER  2019</t>
  </si>
  <si>
    <t>OCTOBER</t>
  </si>
  <si>
    <t>advance 28/9</t>
  </si>
  <si>
    <t>ADVANCE 28/9</t>
  </si>
  <si>
    <t>PAID ON 2/10/19</t>
  </si>
  <si>
    <t>LL 2300</t>
  </si>
  <si>
    <t>NOVEMBER</t>
  </si>
  <si>
    <t>FOR THE MONTH OF NOVEMBER 2019</t>
  </si>
  <si>
    <t>DIRECT TO LL NO.16</t>
  </si>
  <si>
    <t xml:space="preserve"> NO.16</t>
  </si>
  <si>
    <t>PAID ON 26/10</t>
  </si>
  <si>
    <t>PAID ON 30/10</t>
  </si>
  <si>
    <t>PAID ON 21/10</t>
  </si>
  <si>
    <t>JOB,15</t>
  </si>
  <si>
    <t>JOB,16</t>
  </si>
  <si>
    <t>PAID ON 7/11/19</t>
  </si>
  <si>
    <t>FOR THE MONTH OF DECEMBER 2019</t>
  </si>
  <si>
    <t>DECEMBER</t>
  </si>
  <si>
    <t>PAID ON  25/11</t>
  </si>
  <si>
    <t>PAID ON  30/11</t>
  </si>
  <si>
    <t>621GRACE</t>
  </si>
  <si>
    <t>500 GRACE</t>
  </si>
  <si>
    <t>PAID ON 7/12</t>
  </si>
  <si>
    <t>PATRICK MAYAFANDA</t>
  </si>
  <si>
    <t>GEORGE NGUGI</t>
  </si>
  <si>
    <t>JANUARY</t>
  </si>
  <si>
    <t>FOR THE MONTH OF JANUARY 2020</t>
  </si>
  <si>
    <t>PAID ON 23/12</t>
  </si>
  <si>
    <t>PAID ON 6/1</t>
  </si>
  <si>
    <t>PATRICK AFANDA</t>
  </si>
  <si>
    <t>PAID  ON 8/1</t>
  </si>
  <si>
    <t xml:space="preserve">LL </t>
  </si>
  <si>
    <t>FEBRUARY</t>
  </si>
  <si>
    <t>FOR THE MONTH OF FEBRUARY 2020</t>
  </si>
  <si>
    <t>DIRECT TO LL NO 1,8,15</t>
  </si>
  <si>
    <t>PENALTY</t>
  </si>
  <si>
    <t>LL 1300</t>
  </si>
  <si>
    <t>PAID ON 8/2</t>
  </si>
  <si>
    <t>FOR THE MONTH OF MARCH 2020</t>
  </si>
  <si>
    <t>JAMES MANDANGI</t>
  </si>
  <si>
    <t>PAID ON 7/3</t>
  </si>
  <si>
    <t>DIRECT TO LL NO 4&amp;7</t>
  </si>
  <si>
    <t>DIRECT TO LL NO.4&amp;7</t>
  </si>
  <si>
    <t>PAID ON 23/3</t>
  </si>
  <si>
    <t>FOR THE MONTH OF APRIL 2020</t>
  </si>
  <si>
    <t>DIRECT TO LL NO.1 &amp; 7</t>
  </si>
  <si>
    <t>PAID</t>
  </si>
  <si>
    <t>COMM</t>
  </si>
  <si>
    <t>PAID ON 14/4</t>
  </si>
  <si>
    <t>PAID ON 15/4</t>
  </si>
  <si>
    <t>PAID ON 18/4</t>
  </si>
  <si>
    <t>JOHN+ENOCK</t>
  </si>
  <si>
    <t>LL1000</t>
  </si>
  <si>
    <t>L2800</t>
  </si>
  <si>
    <t>JACKSON+MARTIN+AFANDA</t>
  </si>
  <si>
    <t>FOR THE MONTH OF MAY 2020</t>
  </si>
  <si>
    <t>PAID ON 9/5</t>
  </si>
  <si>
    <t>PAID ON 11/5</t>
  </si>
  <si>
    <t>PAID ON 16/5</t>
  </si>
  <si>
    <t>LL500</t>
  </si>
  <si>
    <t>JAME 1+JOB 7</t>
  </si>
  <si>
    <t>LL2000</t>
  </si>
  <si>
    <t>MARTIN 11+JACKSON 12</t>
  </si>
  <si>
    <t>TO PAY LL2500</t>
  </si>
  <si>
    <t>TO PAY L2500</t>
  </si>
  <si>
    <t>LL2500+500</t>
  </si>
  <si>
    <t>PETER+MICHAEL+PATRICK</t>
  </si>
  <si>
    <t>FOR THE MONTH OF JUNE 2020</t>
  </si>
  <si>
    <t>KEMUNTO 9</t>
  </si>
  <si>
    <t>PAID ON 8/6</t>
  </si>
  <si>
    <t>LL2500</t>
  </si>
  <si>
    <t>BENSON GATHIRU</t>
  </si>
  <si>
    <t>SHEILLA</t>
  </si>
  <si>
    <t>PAID ON 9/6</t>
  </si>
  <si>
    <t>NO16 PAID LL</t>
  </si>
  <si>
    <t>KEMUNTO 9 PAID LL</t>
  </si>
  <si>
    <t>PETER MUTUKU PAID LL</t>
  </si>
  <si>
    <t>ENOCK+JOHN 4 PAID LL</t>
  </si>
  <si>
    <t xml:space="preserve"> PAID LL</t>
  </si>
  <si>
    <t>JAME 1+JOB 7 PAID LL</t>
  </si>
  <si>
    <t>ENOCK PAID LL</t>
  </si>
  <si>
    <t>JOHN+ENOCK PAID LL</t>
  </si>
  <si>
    <t>PETER+MICHAEL+PATRICK PAID LL</t>
  </si>
  <si>
    <t>JAMES MANDANG PAID LLI</t>
  </si>
  <si>
    <t>JAMES NO.1 PAID LL</t>
  </si>
  <si>
    <t>JAMES PAID LL</t>
  </si>
  <si>
    <t>NO.15 PAID LL</t>
  </si>
  <si>
    <t>NO.3,8 PAID LL</t>
  </si>
  <si>
    <t>NO 3,8 PAID LL</t>
  </si>
  <si>
    <t>ll</t>
  </si>
  <si>
    <t>AFANDA3+MICHAEL 8 PAID LL</t>
  </si>
  <si>
    <t>FOR THE MONTH OF JULY 2020</t>
  </si>
  <si>
    <t>JAMES MADANGI1 PAID LL</t>
  </si>
  <si>
    <t>MARTIN NJIRU 11PAID LL</t>
  </si>
  <si>
    <t>JAMES 1 PAID LL</t>
  </si>
  <si>
    <t>JOHN 4 PAID LL</t>
  </si>
  <si>
    <t>MARTIN 11PAIDLL</t>
  </si>
  <si>
    <t>BENSON 16PAID LL</t>
  </si>
  <si>
    <t>JOB 7PAID LL</t>
  </si>
  <si>
    <t>JACKSON 12 PAID LL</t>
  </si>
  <si>
    <t>MICHAEL 8PAID LL</t>
  </si>
  <si>
    <t>PAID ON 20/7</t>
  </si>
  <si>
    <t>PETER 14 +SHEILLAPAID LL</t>
  </si>
  <si>
    <t>PETER 14 +SHEILAPAID LL</t>
  </si>
  <si>
    <t xml:space="preserve">AUGUST </t>
  </si>
  <si>
    <t>FOR THE MONTH OF AUGUST 2020</t>
  </si>
  <si>
    <t>PAID ON 5/8</t>
  </si>
  <si>
    <t>BENSON NO.16 PAID LL</t>
  </si>
  <si>
    <t>PAID ON 10/8</t>
  </si>
  <si>
    <t>SEPTEMBER</t>
  </si>
  <si>
    <t>FOR THE MONTH OF SEPTEMBER 2020</t>
  </si>
  <si>
    <t>PAID ON 26/8 MICHAEL</t>
  </si>
  <si>
    <t>PAID ON 1/9</t>
  </si>
  <si>
    <t>NO.16 PAID LL</t>
  </si>
  <si>
    <t>MARTIN</t>
  </si>
  <si>
    <t>PAID ON 8/9</t>
  </si>
  <si>
    <t>VACCATED</t>
  </si>
  <si>
    <t>DAVID NO.5 VACCATED</t>
  </si>
  <si>
    <t>PAID ON 17/9</t>
  </si>
  <si>
    <t>FOR THE MONTH OF OCTOBER 2020</t>
  </si>
  <si>
    <t>PAID ON 30/9</t>
  </si>
  <si>
    <t>500LL</t>
  </si>
  <si>
    <t>400LL</t>
  </si>
  <si>
    <t>PAID ON 8/10</t>
  </si>
  <si>
    <t>DIRECT TO LLJOB+JACKSON</t>
  </si>
  <si>
    <t>DIRECT TO LL+JOB+JACKSON</t>
  </si>
  <si>
    <t>FOR THE MONTH OF NOVEMBER 2020</t>
  </si>
  <si>
    <t>JAMES 1</t>
  </si>
  <si>
    <t>JACKSON NO.12 PAID</t>
  </si>
  <si>
    <t>LL600</t>
  </si>
  <si>
    <t>MICHAEL PAID LL</t>
  </si>
  <si>
    <t>JOHN ANGWENYI PAID LL</t>
  </si>
  <si>
    <t>PAID ON 7/11</t>
  </si>
  <si>
    <t>PAID ON 9/11</t>
  </si>
  <si>
    <t>LL950</t>
  </si>
  <si>
    <t>LL2600</t>
  </si>
  <si>
    <t>FOR THE MONTH OF DECEMBER 2020</t>
  </si>
  <si>
    <t>NO.5 DIRECT TO LL</t>
  </si>
  <si>
    <t>JOB NO.7PAID LL</t>
  </si>
  <si>
    <t>MARTIN NO.11</t>
  </si>
  <si>
    <t>MARTIN NO.11 PAID LL</t>
  </si>
  <si>
    <t>KELVIN MWANZIA</t>
  </si>
  <si>
    <t>WILLIAM</t>
  </si>
  <si>
    <t>KELVIN</t>
  </si>
  <si>
    <t>MARTIN NO.11PAID LL</t>
  </si>
  <si>
    <t>PAID ON 8/12</t>
  </si>
  <si>
    <t>JOB PAID LL</t>
  </si>
  <si>
    <t>FOR THE MONTH OF JANUARY 2021</t>
  </si>
  <si>
    <t>WILLIAM VACCATED</t>
  </si>
  <si>
    <t>KELVIN PAID LL</t>
  </si>
  <si>
    <t>JACKSON PAID LL</t>
  </si>
  <si>
    <t>JOHN NO.4PAID LL</t>
  </si>
  <si>
    <t>PAID ON 9/1</t>
  </si>
  <si>
    <t>GEORGE ONYANGO</t>
  </si>
  <si>
    <t>KEVIN MUCHANGI</t>
  </si>
  <si>
    <t>FOR THE MONTH OF FEBRUARY 2021</t>
  </si>
  <si>
    <t>direct to llno.5,4,13,15</t>
  </si>
  <si>
    <t>PAID ON 9/2</t>
  </si>
  <si>
    <t>KEVIN NO 16 PAID LL</t>
  </si>
  <si>
    <t>FOR THE MONTH OF MARCH 2021</t>
  </si>
  <si>
    <t>JOB MUKAYA PAID LL</t>
  </si>
  <si>
    <t>NO.15PAID LL</t>
  </si>
  <si>
    <t>ENOCK 13PAID LL</t>
  </si>
  <si>
    <t>LL 2000</t>
  </si>
  <si>
    <t>KELVIN NO.5</t>
  </si>
  <si>
    <t>JOHN ANGWENYI+JACK</t>
  </si>
  <si>
    <t>PAID ON 8/3</t>
  </si>
  <si>
    <t>JOHN NO4 PAIDLL</t>
  </si>
  <si>
    <t>KEMUNTO NO.9PAID LL</t>
  </si>
  <si>
    <t>FOR THE MONTH OF APRIL 2021</t>
  </si>
  <si>
    <t>OTIENO</t>
  </si>
  <si>
    <t>PAID ON 8/4</t>
  </si>
  <si>
    <t>PAID ON 22/4</t>
  </si>
  <si>
    <t>JOHN SANINGO</t>
  </si>
  <si>
    <t>FOR THE MONTH OF MAY 2021</t>
  </si>
  <si>
    <t>MARTIN PAID LL</t>
  </si>
  <si>
    <t>PAID ON 8/5</t>
  </si>
  <si>
    <t>FOR THE MONTH OF JUNE 2021</t>
  </si>
  <si>
    <t>PAID ON 7/6</t>
  </si>
  <si>
    <t xml:space="preserve">SHEILA </t>
  </si>
  <si>
    <t>SHEILA</t>
  </si>
  <si>
    <t>FOR THE MONTH OF JULY 2021</t>
  </si>
  <si>
    <t>PAID ON 7/7</t>
  </si>
  <si>
    <t>PAID ON 8/7</t>
  </si>
  <si>
    <t>FOR THE MONTH OF AUGUST 2021</t>
  </si>
  <si>
    <t>PAID ON 26/7</t>
  </si>
  <si>
    <t>ISAAC</t>
  </si>
  <si>
    <t>EMMANUEL</t>
  </si>
  <si>
    <t>EMMANUEL N0.12 PAID LL</t>
  </si>
  <si>
    <t>KELVIN NO.12 PAID LL</t>
  </si>
  <si>
    <t>KELVIN NO.16 PAID LL</t>
  </si>
  <si>
    <t>PAID ON 9/8</t>
  </si>
  <si>
    <t>LL1500</t>
  </si>
  <si>
    <t>LL1600</t>
  </si>
  <si>
    <t>BOBBY PAID LL</t>
  </si>
  <si>
    <t>BOBBY MURIITHI</t>
  </si>
  <si>
    <t>FOR THE MONTH OF SEPT 2021</t>
  </si>
  <si>
    <t xml:space="preserve">PAID ON </t>
  </si>
  <si>
    <t>PAID ON 6/9</t>
  </si>
  <si>
    <t>PAID ON 7/9</t>
  </si>
  <si>
    <t>SAMWEL</t>
  </si>
  <si>
    <t>FOR THE MONTH OF OCT 2021</t>
  </si>
  <si>
    <t>PAID ON 2/10</t>
  </si>
  <si>
    <t>PAID ON 4/10 BY JANET</t>
  </si>
  <si>
    <t>PAID on 6/10</t>
  </si>
  <si>
    <t xml:space="preserve">JOB PAID LL </t>
  </si>
  <si>
    <t>PAID ON 9/10</t>
  </si>
  <si>
    <t>FOR THE MONTH OF NOVEMBER 2021</t>
  </si>
  <si>
    <t>PAID CAROLINE</t>
  </si>
  <si>
    <t>PAID ON  2/11</t>
  </si>
  <si>
    <t>PAID ON 8/11</t>
  </si>
  <si>
    <t>PAID ON 25/11</t>
  </si>
  <si>
    <t>FOR THE MONTH OF DECEMBER 2021</t>
  </si>
  <si>
    <t>SAMUEL KIRAGU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</si>
</sst>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6"/>
      <color rgb="FF1A8600"/>
      <name val="Times New Roman"/>
      <family val="1"/>
    </font>
    <font>
      <b/>
      <u/>
      <sz val="14"/>
      <color theme="1"/>
      <name val="Times New Roman"/>
      <family val="1"/>
    </font>
    <font>
      <sz val="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u/>
      <sz val="8"/>
      <color theme="1"/>
      <name val="Times New Roman"/>
      <family val="1"/>
    </font>
    <font>
      <b/>
      <sz val="14"/>
      <color rgb="FF1A8600"/>
      <name val="Times New Roman"/>
      <family val="1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right"/>
    </xf>
    <xf numFmtId="9" fontId="0" fillId="0" borderId="1" xfId="0" applyNumberFormat="1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Border="1"/>
    <xf numFmtId="9" fontId="0" fillId="0" borderId="0" xfId="0" applyNumberFormat="1" applyBorder="1"/>
    <xf numFmtId="0" fontId="1" fillId="0" borderId="0" xfId="0" applyFont="1" applyBorder="1"/>
    <xf numFmtId="0" fontId="7" fillId="0" borderId="1" xfId="0" applyFont="1" applyBorder="1"/>
    <xf numFmtId="0" fontId="8" fillId="0" borderId="1" xfId="0" applyFont="1" applyBorder="1"/>
    <xf numFmtId="4" fontId="0" fillId="0" borderId="1" xfId="0" applyNumberFormat="1" applyBorder="1"/>
    <xf numFmtId="3" fontId="0" fillId="0" borderId="1" xfId="0" applyNumberFormat="1" applyBorder="1"/>
    <xf numFmtId="4" fontId="0" fillId="0" borderId="0" xfId="0" applyNumberFormat="1"/>
    <xf numFmtId="0" fontId="0" fillId="0" borderId="2" xfId="0" applyBorder="1"/>
    <xf numFmtId="0" fontId="0" fillId="0" borderId="1" xfId="0" applyFill="1" applyBorder="1"/>
    <xf numFmtId="14" fontId="0" fillId="0" borderId="1" xfId="0" applyNumberFormat="1" applyFill="1" applyBorder="1"/>
    <xf numFmtId="0" fontId="0" fillId="0" borderId="3" xfId="0" applyBorder="1"/>
    <xf numFmtId="0" fontId="1" fillId="0" borderId="1" xfId="0" applyFont="1" applyFill="1" applyBorder="1"/>
    <xf numFmtId="4" fontId="2" fillId="0" borderId="1" xfId="0" applyNumberFormat="1" applyFont="1" applyBorder="1"/>
    <xf numFmtId="4" fontId="2" fillId="0" borderId="4" xfId="0" applyNumberFormat="1" applyFont="1" applyBorder="1"/>
    <xf numFmtId="0" fontId="2" fillId="0" borderId="1" xfId="0" applyFont="1" applyBorder="1"/>
    <xf numFmtId="0" fontId="9" fillId="0" borderId="1" xfId="0" applyFont="1" applyBorder="1"/>
    <xf numFmtId="0" fontId="10" fillId="0" borderId="0" xfId="0" applyFont="1"/>
    <xf numFmtId="3" fontId="2" fillId="0" borderId="1" xfId="0" applyNumberFormat="1" applyFont="1" applyBorder="1"/>
    <xf numFmtId="0" fontId="11" fillId="0" borderId="0" xfId="0" applyFont="1" applyBorder="1"/>
    <xf numFmtId="14" fontId="0" fillId="0" borderId="1" xfId="0" applyNumberFormat="1" applyBorder="1"/>
    <xf numFmtId="14" fontId="0" fillId="0" borderId="1" xfId="0" applyNumberFormat="1" applyFont="1" applyFill="1" applyBorder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7" fillId="0" borderId="0" xfId="0" applyFont="1" applyBorder="1"/>
    <xf numFmtId="0" fontId="2" fillId="0" borderId="2" xfId="0" applyFont="1" applyBorder="1"/>
    <xf numFmtId="4" fontId="1" fillId="0" borderId="1" xfId="0" applyNumberFormat="1" applyFont="1" applyBorder="1"/>
    <xf numFmtId="3" fontId="0" fillId="0" borderId="0" xfId="0" applyNumberFormat="1"/>
    <xf numFmtId="0" fontId="0" fillId="0" borderId="1" xfId="0" applyNumberFormat="1" applyBorder="1"/>
    <xf numFmtId="0" fontId="1" fillId="0" borderId="1" xfId="0" applyNumberFormat="1" applyFont="1" applyBorder="1"/>
    <xf numFmtId="0" fontId="0" fillId="0" borderId="0" xfId="0" applyNumberFormat="1"/>
    <xf numFmtId="0" fontId="0" fillId="0" borderId="0" xfId="0" applyNumberFormat="1" applyBorder="1"/>
    <xf numFmtId="0" fontId="9" fillId="0" borderId="1" xfId="0" applyNumberFormat="1" applyFont="1" applyBorder="1"/>
    <xf numFmtId="0" fontId="2" fillId="0" borderId="1" xfId="0" applyNumberFormat="1" applyFont="1" applyBorder="1"/>
    <xf numFmtId="3" fontId="15" fillId="0" borderId="1" xfId="0" applyNumberFormat="1" applyFont="1" applyBorder="1"/>
    <xf numFmtId="0" fontId="16" fillId="0" borderId="0" xfId="0" applyFont="1" applyBorder="1"/>
    <xf numFmtId="0" fontId="15" fillId="0" borderId="0" xfId="0" applyFont="1" applyBorder="1"/>
    <xf numFmtId="0" fontId="15" fillId="0" borderId="0" xfId="0" applyFont="1"/>
    <xf numFmtId="0" fontId="17" fillId="0" borderId="1" xfId="0" applyFont="1" applyBorder="1"/>
    <xf numFmtId="0" fontId="18" fillId="0" borderId="1" xfId="0" applyFont="1" applyBorder="1"/>
    <xf numFmtId="9" fontId="15" fillId="0" borderId="1" xfId="0" applyNumberFormat="1" applyFont="1" applyBorder="1"/>
    <xf numFmtId="4" fontId="18" fillId="0" borderId="1" xfId="0" applyNumberFormat="1" applyFont="1" applyBorder="1"/>
    <xf numFmtId="0" fontId="15" fillId="0" borderId="1" xfId="0" applyFont="1" applyBorder="1"/>
    <xf numFmtId="4" fontId="15" fillId="0" borderId="1" xfId="0" applyNumberFormat="1" applyFont="1" applyBorder="1"/>
    <xf numFmtId="0" fontId="18" fillId="0" borderId="1" xfId="0" applyFont="1" applyFill="1" applyBorder="1"/>
    <xf numFmtId="14" fontId="15" fillId="0" borderId="1" xfId="0" applyNumberFormat="1" applyFont="1" applyFill="1" applyBorder="1"/>
    <xf numFmtId="14" fontId="15" fillId="0" borderId="1" xfId="0" applyNumberFormat="1" applyFont="1" applyBorder="1"/>
    <xf numFmtId="3" fontId="18" fillId="0" borderId="1" xfId="0" applyNumberFormat="1" applyFont="1" applyBorder="1"/>
    <xf numFmtId="0" fontId="0" fillId="0" borderId="5" xfId="0" applyFill="1" applyBorder="1"/>
    <xf numFmtId="0" fontId="17" fillId="0" borderId="5" xfId="0" applyFont="1" applyFill="1" applyBorder="1"/>
    <xf numFmtId="3" fontId="1" fillId="0" borderId="0" xfId="0" applyNumberFormat="1" applyFont="1"/>
    <xf numFmtId="0" fontId="2" fillId="0" borderId="0" xfId="0" applyFont="1"/>
    <xf numFmtId="3" fontId="0" fillId="0" borderId="0" xfId="0" applyNumberFormat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4" fillId="0" borderId="6" xfId="0" applyFont="1" applyBorder="1" applyAlignment="1">
      <alignment vertical="center"/>
    </xf>
    <xf numFmtId="0" fontId="1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8"/>
  <sheetViews>
    <sheetView topLeftCell="A7" workbookViewId="0">
      <selection activeCell="G26" sqref="G26"/>
    </sheetView>
  </sheetViews>
  <sheetFormatPr defaultRowHeight="15" x14ac:dyDescent="0.25"/>
  <cols>
    <col min="1" max="1" width="11.28515625" customWidth="1"/>
    <col min="2" max="2" width="20.7109375" customWidth="1"/>
    <col min="3" max="3" width="16.42578125" customWidth="1"/>
    <col min="4" max="4" width="9.28515625" customWidth="1"/>
    <col min="5" max="5" width="11.42578125" customWidth="1"/>
    <col min="9" max="9" width="13.140625" customWidth="1"/>
  </cols>
  <sheetData>
    <row r="2" spans="2:10" ht="33.75" x14ac:dyDescent="0.25">
      <c r="C2" s="6"/>
      <c r="D2" s="7"/>
      <c r="E2" s="8" t="s">
        <v>25</v>
      </c>
      <c r="F2" s="7"/>
    </row>
    <row r="3" spans="2:10" ht="18.75" x14ac:dyDescent="0.25">
      <c r="B3" s="9" t="s">
        <v>42</v>
      </c>
      <c r="C3" s="10"/>
      <c r="D3" s="10"/>
      <c r="E3" s="11"/>
      <c r="F3" s="11"/>
      <c r="G3" s="11"/>
      <c r="H3" s="11"/>
    </row>
    <row r="5" spans="2:10" x14ac:dyDescent="0.25"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/>
    </row>
    <row r="6" spans="2:10" x14ac:dyDescent="0.25">
      <c r="B6" s="3" t="s">
        <v>7</v>
      </c>
      <c r="C6" s="3">
        <v>4000</v>
      </c>
      <c r="D6" s="3"/>
      <c r="E6" s="3">
        <f>C6+D6</f>
        <v>4000</v>
      </c>
      <c r="F6" s="3"/>
      <c r="G6" s="3">
        <f>E6-F6</f>
        <v>4000</v>
      </c>
      <c r="H6" s="3"/>
    </row>
    <row r="7" spans="2:10" x14ac:dyDescent="0.25">
      <c r="B7" s="3" t="s">
        <v>8</v>
      </c>
      <c r="C7" s="3">
        <v>2000</v>
      </c>
      <c r="D7" s="3"/>
      <c r="E7" s="3">
        <f t="shared" ref="E7:E22" si="0">C7+D7</f>
        <v>2000</v>
      </c>
      <c r="F7" s="3"/>
      <c r="G7" s="3">
        <f t="shared" ref="G7:G22" si="1">E7-F7</f>
        <v>2000</v>
      </c>
      <c r="H7" s="3"/>
      <c r="J7" t="s">
        <v>44</v>
      </c>
    </row>
    <row r="8" spans="2:10" x14ac:dyDescent="0.25">
      <c r="B8" s="3" t="s">
        <v>9</v>
      </c>
      <c r="C8" s="3">
        <v>2000</v>
      </c>
      <c r="D8" s="3"/>
      <c r="E8" s="3">
        <f t="shared" si="0"/>
        <v>2000</v>
      </c>
      <c r="F8" s="3"/>
      <c r="G8" s="3">
        <f t="shared" si="1"/>
        <v>2000</v>
      </c>
      <c r="H8" s="3"/>
    </row>
    <row r="9" spans="2:10" x14ac:dyDescent="0.25">
      <c r="B9" s="3" t="s">
        <v>10</v>
      </c>
      <c r="C9" s="3">
        <v>2000</v>
      </c>
      <c r="D9" s="3"/>
      <c r="E9" s="3">
        <f t="shared" si="0"/>
        <v>2000</v>
      </c>
      <c r="F9" s="3"/>
      <c r="G9" s="3">
        <f t="shared" si="1"/>
        <v>2000</v>
      </c>
      <c r="H9" s="3"/>
    </row>
    <row r="10" spans="2:10" x14ac:dyDescent="0.25">
      <c r="B10" s="3" t="s">
        <v>11</v>
      </c>
      <c r="C10" s="3">
        <v>2200</v>
      </c>
      <c r="D10" s="3"/>
      <c r="E10" s="3">
        <f t="shared" si="0"/>
        <v>2200</v>
      </c>
      <c r="F10" s="3">
        <v>4000</v>
      </c>
      <c r="G10" s="3">
        <f t="shared" si="1"/>
        <v>-1800</v>
      </c>
      <c r="H10" s="3"/>
    </row>
    <row r="11" spans="2:10" x14ac:dyDescent="0.25">
      <c r="B11" s="3" t="s">
        <v>21</v>
      </c>
      <c r="C11" s="3">
        <v>0</v>
      </c>
      <c r="D11" s="3"/>
      <c r="E11" s="3">
        <f t="shared" si="0"/>
        <v>0</v>
      </c>
      <c r="F11" s="3"/>
      <c r="G11" s="3">
        <f t="shared" si="1"/>
        <v>0</v>
      </c>
      <c r="H11" s="3"/>
    </row>
    <row r="12" spans="2:10" x14ac:dyDescent="0.25">
      <c r="B12" s="3" t="s">
        <v>13</v>
      </c>
      <c r="C12" s="3">
        <v>2000</v>
      </c>
      <c r="D12" s="3"/>
      <c r="E12" s="3">
        <f t="shared" si="0"/>
        <v>2000</v>
      </c>
      <c r="F12" s="3"/>
      <c r="G12" s="3">
        <f t="shared" si="1"/>
        <v>2000</v>
      </c>
      <c r="H12" s="3"/>
    </row>
    <row r="13" spans="2:10" x14ac:dyDescent="0.25">
      <c r="B13" s="3" t="s">
        <v>14</v>
      </c>
      <c r="C13" s="3">
        <v>2000</v>
      </c>
      <c r="D13" s="3"/>
      <c r="E13" s="3">
        <f t="shared" si="0"/>
        <v>2000</v>
      </c>
      <c r="F13" s="3">
        <v>2000</v>
      </c>
      <c r="G13" s="3">
        <f t="shared" si="1"/>
        <v>0</v>
      </c>
      <c r="H13" s="3"/>
    </row>
    <row r="14" spans="2:10" x14ac:dyDescent="0.25">
      <c r="B14" s="3" t="s">
        <v>15</v>
      </c>
      <c r="C14" s="3">
        <v>2000</v>
      </c>
      <c r="D14" s="3"/>
      <c r="E14" s="3">
        <f t="shared" si="0"/>
        <v>2000</v>
      </c>
      <c r="F14" s="3"/>
      <c r="G14" s="3">
        <f t="shared" si="1"/>
        <v>2000</v>
      </c>
      <c r="H14" s="3"/>
    </row>
    <row r="15" spans="2:10" x14ac:dyDescent="0.25">
      <c r="B15" s="3" t="s">
        <v>16</v>
      </c>
      <c r="C15" s="3">
        <v>2000</v>
      </c>
      <c r="D15" s="3"/>
      <c r="E15" s="3">
        <f t="shared" si="0"/>
        <v>2000</v>
      </c>
      <c r="F15" s="3"/>
      <c r="G15" s="3">
        <f t="shared" si="1"/>
        <v>2000</v>
      </c>
      <c r="H15" s="3"/>
    </row>
    <row r="16" spans="2:10" x14ac:dyDescent="0.25">
      <c r="B16" s="3" t="s">
        <v>17</v>
      </c>
      <c r="C16" s="3">
        <v>2300</v>
      </c>
      <c r="D16" s="3"/>
      <c r="E16" s="3">
        <f t="shared" si="0"/>
        <v>2300</v>
      </c>
      <c r="F16" s="3">
        <v>2400</v>
      </c>
      <c r="G16" s="3">
        <f t="shared" si="1"/>
        <v>-100</v>
      </c>
      <c r="H16" s="3"/>
    </row>
    <row r="17" spans="2:9" x14ac:dyDescent="0.25">
      <c r="B17" s="3" t="s">
        <v>18</v>
      </c>
      <c r="C17" s="3">
        <v>2000</v>
      </c>
      <c r="D17" s="3"/>
      <c r="E17" s="3">
        <f t="shared" si="0"/>
        <v>2000</v>
      </c>
      <c r="F17" s="3">
        <v>2000</v>
      </c>
      <c r="G17" s="3">
        <f t="shared" si="1"/>
        <v>0</v>
      </c>
      <c r="H17" s="3"/>
    </row>
    <row r="18" spans="2:9" x14ac:dyDescent="0.25">
      <c r="B18" s="3" t="s">
        <v>19</v>
      </c>
      <c r="C18" s="3">
        <v>2000</v>
      </c>
      <c r="D18" s="3"/>
      <c r="E18" s="3">
        <f t="shared" si="0"/>
        <v>2000</v>
      </c>
      <c r="F18" s="3">
        <v>2000</v>
      </c>
      <c r="G18" s="3">
        <f t="shared" si="1"/>
        <v>0</v>
      </c>
      <c r="H18" s="3"/>
    </row>
    <row r="19" spans="2:9" x14ac:dyDescent="0.25">
      <c r="B19" s="3" t="s">
        <v>20</v>
      </c>
      <c r="C19" s="3">
        <v>2000</v>
      </c>
      <c r="D19" s="3"/>
      <c r="E19" s="3">
        <f t="shared" si="0"/>
        <v>2000</v>
      </c>
      <c r="F19" s="3">
        <v>2000</v>
      </c>
      <c r="G19" s="3">
        <f t="shared" si="1"/>
        <v>0</v>
      </c>
      <c r="H19" s="3"/>
    </row>
    <row r="20" spans="2:9" x14ac:dyDescent="0.25">
      <c r="B20" s="3" t="s">
        <v>21</v>
      </c>
      <c r="C20" s="3">
        <v>0</v>
      </c>
      <c r="D20" s="3"/>
      <c r="E20" s="3">
        <f t="shared" si="0"/>
        <v>0</v>
      </c>
      <c r="F20" s="3"/>
      <c r="G20" s="3">
        <f t="shared" si="1"/>
        <v>0</v>
      </c>
      <c r="H20" s="3"/>
    </row>
    <row r="21" spans="2:9" x14ac:dyDescent="0.25">
      <c r="B21" s="3" t="s">
        <v>22</v>
      </c>
      <c r="C21" s="3">
        <v>2000</v>
      </c>
      <c r="D21" s="3"/>
      <c r="E21" s="3">
        <f t="shared" si="0"/>
        <v>2000</v>
      </c>
      <c r="F21" s="3">
        <v>2000</v>
      </c>
      <c r="G21" s="3">
        <f t="shared" si="1"/>
        <v>0</v>
      </c>
      <c r="H21" s="3"/>
    </row>
    <row r="22" spans="2:9" x14ac:dyDescent="0.25">
      <c r="B22" s="3" t="s">
        <v>23</v>
      </c>
      <c r="C22" s="3">
        <v>2000</v>
      </c>
      <c r="D22" s="3"/>
      <c r="E22" s="3">
        <f t="shared" si="0"/>
        <v>2000</v>
      </c>
      <c r="F22" s="3">
        <v>2000</v>
      </c>
      <c r="G22" s="3">
        <f t="shared" si="1"/>
        <v>0</v>
      </c>
      <c r="H22" s="3"/>
    </row>
    <row r="23" spans="2:9" x14ac:dyDescent="0.25">
      <c r="B23" s="4" t="s">
        <v>24</v>
      </c>
      <c r="C23" s="2">
        <f>SUM(C6:C22)</f>
        <v>32500</v>
      </c>
      <c r="D23" s="2"/>
      <c r="E23" s="2">
        <f>SUM(E6:E22)</f>
        <v>32500</v>
      </c>
      <c r="F23" s="2">
        <f>SUM(F6:F22)</f>
        <v>18400</v>
      </c>
      <c r="G23" s="2">
        <f>E23-F23</f>
        <v>14100</v>
      </c>
      <c r="H23" s="2"/>
    </row>
    <row r="26" spans="2:9" ht="23.25" x14ac:dyDescent="0.35">
      <c r="B26" s="15" t="s">
        <v>27</v>
      </c>
      <c r="C26" s="3"/>
      <c r="D26" s="3"/>
      <c r="E26" s="3"/>
    </row>
    <row r="27" spans="2:9" ht="23.25" x14ac:dyDescent="0.35">
      <c r="B27" s="16" t="s">
        <v>28</v>
      </c>
      <c r="C27" s="16" t="s">
        <v>29</v>
      </c>
      <c r="D27" s="16" t="s">
        <v>30</v>
      </c>
      <c r="E27" s="16" t="s">
        <v>31</v>
      </c>
      <c r="G27" s="16" t="s">
        <v>29</v>
      </c>
      <c r="H27" s="16" t="s">
        <v>30</v>
      </c>
      <c r="I27" s="16" t="s">
        <v>31</v>
      </c>
    </row>
    <row r="28" spans="2:9" x14ac:dyDescent="0.25">
      <c r="B28" s="3" t="s">
        <v>48</v>
      </c>
      <c r="C28" s="17">
        <f>C23</f>
        <v>32500</v>
      </c>
      <c r="D28" s="5">
        <v>0.1</v>
      </c>
      <c r="E28" s="17">
        <f>C28-C29</f>
        <v>32500</v>
      </c>
      <c r="G28" s="17">
        <f>G23</f>
        <v>14100</v>
      </c>
      <c r="H28" s="5">
        <v>0.1</v>
      </c>
      <c r="I28" s="3"/>
    </row>
    <row r="29" spans="2:9" x14ac:dyDescent="0.25">
      <c r="B29" s="3" t="s">
        <v>32</v>
      </c>
      <c r="C29" s="18"/>
      <c r="D29" s="3"/>
      <c r="E29" s="3"/>
      <c r="G29" s="18"/>
      <c r="H29" s="3"/>
      <c r="I29" s="3"/>
    </row>
    <row r="30" spans="2:9" x14ac:dyDescent="0.25">
      <c r="B30" s="3" t="s">
        <v>33</v>
      </c>
      <c r="C30" s="19"/>
      <c r="D30" s="20">
        <f>C28*D28</f>
        <v>3250</v>
      </c>
      <c r="E30" s="3"/>
      <c r="G30" s="19"/>
      <c r="H30" s="20">
        <f>G28*H28</f>
        <v>1410</v>
      </c>
      <c r="I30" s="3"/>
    </row>
    <row r="31" spans="2:9" x14ac:dyDescent="0.25">
      <c r="B31" s="21"/>
      <c r="C31" s="17">
        <f>C28</f>
        <v>32500</v>
      </c>
      <c r="D31" s="3"/>
      <c r="E31" s="3"/>
      <c r="G31" s="17">
        <f>SUM(G28:G30)</f>
        <v>14100</v>
      </c>
      <c r="H31" s="3"/>
      <c r="I31" s="3"/>
    </row>
    <row r="32" spans="2:9" x14ac:dyDescent="0.25">
      <c r="B32" s="21" t="s">
        <v>34</v>
      </c>
      <c r="C32" s="3"/>
      <c r="E32" s="3"/>
      <c r="G32" s="3"/>
      <c r="I32" s="3"/>
    </row>
    <row r="33" spans="2:10" x14ac:dyDescent="0.25">
      <c r="B33" s="22" t="s">
        <v>40</v>
      </c>
      <c r="C33" s="3"/>
      <c r="D33" s="23">
        <v>29250</v>
      </c>
      <c r="E33" s="20"/>
      <c r="G33" t="s">
        <v>41</v>
      </c>
      <c r="H33" s="3">
        <v>29250</v>
      </c>
      <c r="I33" s="20"/>
    </row>
    <row r="34" spans="2:10" x14ac:dyDescent="0.25">
      <c r="B34" s="24"/>
      <c r="C34" s="3"/>
      <c r="D34" s="23"/>
      <c r="E34" s="3"/>
      <c r="G34" s="3"/>
      <c r="H34" s="23"/>
      <c r="I34" s="3"/>
    </row>
    <row r="35" spans="2:10" x14ac:dyDescent="0.25">
      <c r="B35" s="3"/>
      <c r="C35" s="3"/>
      <c r="E35" s="3"/>
      <c r="G35" s="3"/>
      <c r="I35" s="3"/>
    </row>
    <row r="36" spans="2:10" x14ac:dyDescent="0.25">
      <c r="B36" s="3"/>
      <c r="C36" s="25">
        <f>C31-C33</f>
        <v>32500</v>
      </c>
      <c r="D36" s="26">
        <f>SUM(D30:D35)</f>
        <v>32500</v>
      </c>
      <c r="E36" s="25">
        <f>C36-D36</f>
        <v>0</v>
      </c>
      <c r="F36" s="12"/>
      <c r="G36" s="25">
        <f>G31</f>
        <v>14100</v>
      </c>
      <c r="H36" s="26">
        <f>SUM(H30:H35)</f>
        <v>30660</v>
      </c>
      <c r="I36" s="25">
        <f>G36-H36</f>
        <v>-16560</v>
      </c>
      <c r="J36" s="12"/>
    </row>
    <row r="37" spans="2:10" x14ac:dyDescent="0.25">
      <c r="B37" s="27" t="s">
        <v>24</v>
      </c>
      <c r="C37" s="12" t="s">
        <v>36</v>
      </c>
      <c r="D37" s="12"/>
      <c r="E37" s="12" t="s">
        <v>37</v>
      </c>
      <c r="F37" s="12"/>
    </row>
    <row r="38" spans="2:10" x14ac:dyDescent="0.25">
      <c r="B38" s="12" t="s">
        <v>38</v>
      </c>
      <c r="C38" s="12" t="s">
        <v>39</v>
      </c>
      <c r="D38" s="12"/>
      <c r="E38" s="12"/>
      <c r="F38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zoomScaleNormal="100" workbookViewId="0">
      <selection activeCell="E13" sqref="E13"/>
    </sheetView>
  </sheetViews>
  <sheetFormatPr defaultRowHeight="15" x14ac:dyDescent="0.25"/>
  <cols>
    <col min="1" max="1" width="4.42578125" customWidth="1"/>
    <col min="2" max="2" width="18.5703125" customWidth="1"/>
    <col min="4" max="4" width="8.140625" customWidth="1"/>
    <col min="5" max="5" width="10.140625" customWidth="1"/>
  </cols>
  <sheetData>
    <row r="1" spans="1:9" ht="18.75" x14ac:dyDescent="0.25">
      <c r="C1" s="38" t="s">
        <v>59</v>
      </c>
      <c r="D1" s="39"/>
      <c r="E1" s="36"/>
      <c r="F1" s="34"/>
    </row>
    <row r="2" spans="1:9" ht="18.75" x14ac:dyDescent="0.25">
      <c r="C2" s="38" t="s">
        <v>60</v>
      </c>
      <c r="D2" s="38"/>
      <c r="E2" s="11"/>
      <c r="F2" s="11"/>
    </row>
    <row r="3" spans="1:9" ht="18.75" x14ac:dyDescent="0.25">
      <c r="C3" s="38" t="s">
        <v>80</v>
      </c>
      <c r="D3" s="38"/>
      <c r="E3" s="11"/>
      <c r="F3" s="11"/>
    </row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/>
      <c r="I4" s="1"/>
    </row>
    <row r="5" spans="1:9" x14ac:dyDescent="0.25">
      <c r="A5" s="3">
        <v>1</v>
      </c>
      <c r="B5" s="3" t="s">
        <v>7</v>
      </c>
      <c r="C5" s="3">
        <v>4000</v>
      </c>
      <c r="D5" s="3"/>
      <c r="E5" s="3">
        <f>C5+D5</f>
        <v>4000</v>
      </c>
      <c r="F5" s="3"/>
      <c r="G5" s="3">
        <f>E5-F5</f>
        <v>4000</v>
      </c>
      <c r="H5" s="3"/>
    </row>
    <row r="6" spans="1:9" x14ac:dyDescent="0.25">
      <c r="A6" s="3">
        <v>2</v>
      </c>
      <c r="B6" s="3" t="s">
        <v>8</v>
      </c>
      <c r="C6" s="3"/>
      <c r="D6" s="3"/>
      <c r="E6" s="3"/>
      <c r="F6" s="3"/>
      <c r="G6" s="3"/>
      <c r="H6" s="3"/>
    </row>
    <row r="7" spans="1:9" x14ac:dyDescent="0.25">
      <c r="A7" s="3">
        <v>3</v>
      </c>
      <c r="B7" s="3" t="s">
        <v>9</v>
      </c>
      <c r="C7" s="3">
        <v>2000</v>
      </c>
      <c r="D7" s="3"/>
      <c r="E7" s="3">
        <f t="shared" ref="E7:E21" si="0">C7+D7</f>
        <v>2000</v>
      </c>
      <c r="F7" s="3">
        <v>2000</v>
      </c>
      <c r="G7" s="3">
        <f t="shared" ref="G7:G21" si="1">E7-F7</f>
        <v>0</v>
      </c>
      <c r="H7" s="3"/>
    </row>
    <row r="8" spans="1:9" x14ac:dyDescent="0.25">
      <c r="A8" s="3">
        <v>4</v>
      </c>
      <c r="B8" s="3" t="s">
        <v>74</v>
      </c>
      <c r="C8" s="3">
        <v>2000</v>
      </c>
      <c r="D8" s="3"/>
      <c r="E8" s="3">
        <f t="shared" si="0"/>
        <v>2000</v>
      </c>
      <c r="F8" s="3">
        <v>2000</v>
      </c>
      <c r="G8" s="3">
        <f t="shared" si="1"/>
        <v>0</v>
      </c>
      <c r="H8" s="3"/>
    </row>
    <row r="9" spans="1:9" x14ac:dyDescent="0.25">
      <c r="A9" s="3">
        <v>5</v>
      </c>
      <c r="B9" s="3" t="s">
        <v>11</v>
      </c>
      <c r="C9" s="3">
        <v>2200</v>
      </c>
      <c r="D9" s="3">
        <v>200</v>
      </c>
      <c r="E9" s="3">
        <f t="shared" si="0"/>
        <v>2400</v>
      </c>
      <c r="F9" s="3">
        <v>2200</v>
      </c>
      <c r="G9" s="3">
        <f t="shared" si="1"/>
        <v>200</v>
      </c>
      <c r="H9" s="3"/>
    </row>
    <row r="10" spans="1:9" x14ac:dyDescent="0.25">
      <c r="A10" s="3">
        <v>6</v>
      </c>
      <c r="B10" s="3" t="s">
        <v>16</v>
      </c>
      <c r="C10" s="3">
        <v>2000</v>
      </c>
      <c r="D10" s="3">
        <v>1000</v>
      </c>
      <c r="E10" s="3">
        <f t="shared" si="0"/>
        <v>3000</v>
      </c>
      <c r="F10" s="3">
        <v>3000</v>
      </c>
      <c r="G10" s="3">
        <f t="shared" si="1"/>
        <v>0</v>
      </c>
      <c r="H10" s="3"/>
      <c r="I10" t="s">
        <v>51</v>
      </c>
    </row>
    <row r="11" spans="1:9" x14ac:dyDescent="0.25">
      <c r="A11" s="3">
        <v>7</v>
      </c>
      <c r="B11" s="3" t="s">
        <v>13</v>
      </c>
      <c r="C11" s="3">
        <v>2000</v>
      </c>
      <c r="D11" s="3"/>
      <c r="E11" s="3">
        <f t="shared" si="0"/>
        <v>2000</v>
      </c>
      <c r="F11" s="3">
        <v>2000</v>
      </c>
      <c r="G11" s="3">
        <f t="shared" si="1"/>
        <v>0</v>
      </c>
      <c r="H11" s="3"/>
    </row>
    <row r="12" spans="1:9" x14ac:dyDescent="0.25">
      <c r="A12" s="3">
        <v>8</v>
      </c>
      <c r="B12" s="3" t="s">
        <v>14</v>
      </c>
      <c r="C12" s="3">
        <v>2000</v>
      </c>
      <c r="D12" s="3"/>
      <c r="E12" s="3">
        <f t="shared" si="0"/>
        <v>2000</v>
      </c>
      <c r="F12" s="3">
        <v>2000</v>
      </c>
      <c r="G12" s="3">
        <f t="shared" si="1"/>
        <v>0</v>
      </c>
      <c r="H12" s="3"/>
    </row>
    <row r="13" spans="1:9" x14ac:dyDescent="0.25">
      <c r="A13" s="3">
        <v>9</v>
      </c>
      <c r="B13" s="3" t="s">
        <v>56</v>
      </c>
      <c r="C13" s="3"/>
      <c r="D13" s="3"/>
      <c r="E13" s="3">
        <f t="shared" si="0"/>
        <v>0</v>
      </c>
      <c r="F13" s="3"/>
      <c r="G13" s="3">
        <f t="shared" si="1"/>
        <v>0</v>
      </c>
      <c r="H13" s="3"/>
    </row>
    <row r="14" spans="1:9" x14ac:dyDescent="0.25">
      <c r="A14" s="3">
        <v>10</v>
      </c>
      <c r="B14" s="3" t="s">
        <v>57</v>
      </c>
      <c r="C14" s="3">
        <v>2000</v>
      </c>
      <c r="D14" s="3"/>
      <c r="E14" s="3">
        <f t="shared" si="0"/>
        <v>2000</v>
      </c>
      <c r="F14" s="3">
        <v>2000</v>
      </c>
      <c r="G14" s="3">
        <f t="shared" si="1"/>
        <v>0</v>
      </c>
      <c r="H14" s="3"/>
    </row>
    <row r="15" spans="1:9" x14ac:dyDescent="0.25">
      <c r="A15" s="3">
        <v>11</v>
      </c>
      <c r="B15" s="3" t="s">
        <v>57</v>
      </c>
      <c r="C15" s="3">
        <v>2500</v>
      </c>
      <c r="D15" s="3"/>
      <c r="E15" s="3">
        <f t="shared" si="0"/>
        <v>2500</v>
      </c>
      <c r="F15" s="3">
        <v>2500</v>
      </c>
      <c r="G15" s="3">
        <f t="shared" si="1"/>
        <v>0</v>
      </c>
      <c r="H15" s="3"/>
    </row>
    <row r="16" spans="1:9" x14ac:dyDescent="0.25">
      <c r="A16" s="3">
        <v>12</v>
      </c>
      <c r="B16" s="3" t="s">
        <v>18</v>
      </c>
      <c r="C16" s="3">
        <v>2000</v>
      </c>
      <c r="D16" s="3"/>
      <c r="E16" s="3">
        <f t="shared" si="0"/>
        <v>2000</v>
      </c>
      <c r="F16" s="3">
        <v>2000</v>
      </c>
      <c r="G16" s="3">
        <f t="shared" si="1"/>
        <v>0</v>
      </c>
      <c r="H16" s="3"/>
    </row>
    <row r="17" spans="1:9" x14ac:dyDescent="0.25">
      <c r="A17" s="3">
        <v>13</v>
      </c>
      <c r="B17" s="3" t="s">
        <v>19</v>
      </c>
      <c r="C17" s="3">
        <v>2000</v>
      </c>
      <c r="D17" s="3"/>
      <c r="E17" s="3">
        <f t="shared" si="0"/>
        <v>2000</v>
      </c>
      <c r="F17" s="3">
        <v>2000</v>
      </c>
      <c r="G17" s="3">
        <f t="shared" si="1"/>
        <v>0</v>
      </c>
      <c r="H17" s="3"/>
    </row>
    <row r="18" spans="1:9" x14ac:dyDescent="0.25">
      <c r="A18" s="3">
        <v>14</v>
      </c>
      <c r="B18" s="3" t="s">
        <v>20</v>
      </c>
      <c r="C18" s="3">
        <v>2000</v>
      </c>
      <c r="D18" s="3"/>
      <c r="E18" s="3">
        <f t="shared" si="0"/>
        <v>2000</v>
      </c>
      <c r="F18" s="3"/>
      <c r="G18" s="3">
        <f t="shared" si="1"/>
        <v>2000</v>
      </c>
      <c r="H18" s="3"/>
    </row>
    <row r="19" spans="1:9" x14ac:dyDescent="0.25">
      <c r="A19" s="3">
        <v>15</v>
      </c>
      <c r="B19" s="3" t="s">
        <v>75</v>
      </c>
      <c r="C19" s="3">
        <v>2000</v>
      </c>
      <c r="D19" s="3"/>
      <c r="E19" s="3">
        <f t="shared" si="0"/>
        <v>2000</v>
      </c>
      <c r="F19" s="3">
        <v>2000</v>
      </c>
      <c r="G19" s="3">
        <f t="shared" si="1"/>
        <v>0</v>
      </c>
      <c r="H19" s="3"/>
    </row>
    <row r="20" spans="1:9" x14ac:dyDescent="0.25">
      <c r="A20" s="3">
        <v>16</v>
      </c>
      <c r="B20" s="3" t="s">
        <v>22</v>
      </c>
      <c r="C20" s="3">
        <v>2000</v>
      </c>
      <c r="D20" s="3"/>
      <c r="E20" s="3">
        <f t="shared" si="0"/>
        <v>2000</v>
      </c>
      <c r="F20" s="3">
        <v>2000</v>
      </c>
      <c r="G20" s="3">
        <f t="shared" si="1"/>
        <v>0</v>
      </c>
      <c r="H20" s="3"/>
    </row>
    <row r="21" spans="1:9" x14ac:dyDescent="0.25">
      <c r="A21" s="3">
        <v>17</v>
      </c>
      <c r="B21" s="3" t="s">
        <v>73</v>
      </c>
      <c r="C21" s="3">
        <v>2000</v>
      </c>
      <c r="D21" s="3"/>
      <c r="E21" s="3">
        <f t="shared" si="0"/>
        <v>2000</v>
      </c>
      <c r="F21" s="3">
        <v>2000</v>
      </c>
      <c r="G21" s="3">
        <f t="shared" si="1"/>
        <v>0</v>
      </c>
      <c r="H21" s="3"/>
    </row>
    <row r="22" spans="1:9" x14ac:dyDescent="0.25">
      <c r="A22" s="2"/>
      <c r="B22" s="4" t="s">
        <v>24</v>
      </c>
      <c r="C22" s="2">
        <f>SUM(C5:C21)</f>
        <v>32700</v>
      </c>
      <c r="D22" s="2">
        <f>SUM(D5:D21)</f>
        <v>1200</v>
      </c>
      <c r="E22" s="2">
        <f>SUM(E5:E21)</f>
        <v>33900</v>
      </c>
      <c r="F22" s="2">
        <f>SUM(F5:F21)</f>
        <v>27700</v>
      </c>
      <c r="G22" s="2">
        <f>SUM(G5:G21)</f>
        <v>6200</v>
      </c>
      <c r="H22" s="2"/>
      <c r="I22" s="1"/>
    </row>
    <row r="23" spans="1:9" x14ac:dyDescent="0.25">
      <c r="A23" s="3"/>
      <c r="B23" s="3"/>
      <c r="C23" s="3"/>
      <c r="D23" s="3"/>
      <c r="E23" s="3"/>
      <c r="F23" s="3"/>
      <c r="G23" s="3"/>
      <c r="H23" s="3"/>
    </row>
    <row r="24" spans="1:9" x14ac:dyDescent="0.25">
      <c r="A24" s="12"/>
    </row>
    <row r="25" spans="1:9" ht="18.75" x14ac:dyDescent="0.3">
      <c r="A25" s="12"/>
      <c r="B25" s="31" t="s">
        <v>27</v>
      </c>
      <c r="C25" s="12"/>
      <c r="D25" s="12"/>
      <c r="E25" s="12"/>
      <c r="F25" s="12"/>
      <c r="G25" s="12"/>
    </row>
    <row r="26" spans="1:9" ht="15.75" x14ac:dyDescent="0.25">
      <c r="A26" s="12"/>
      <c r="B26" s="28" t="s">
        <v>28</v>
      </c>
      <c r="C26" s="28" t="s">
        <v>29</v>
      </c>
      <c r="D26" s="28" t="s">
        <v>30</v>
      </c>
      <c r="E26" s="28" t="s">
        <v>62</v>
      </c>
      <c r="F26" s="28" t="s">
        <v>69</v>
      </c>
      <c r="G26" s="28" t="s">
        <v>29</v>
      </c>
      <c r="H26" s="28" t="s">
        <v>30</v>
      </c>
      <c r="I26" s="28" t="s">
        <v>62</v>
      </c>
    </row>
    <row r="27" spans="1:9" x14ac:dyDescent="0.25">
      <c r="A27" s="12"/>
      <c r="B27" s="2" t="s">
        <v>79</v>
      </c>
      <c r="C27" s="18">
        <f>C22</f>
        <v>32700</v>
      </c>
      <c r="D27" s="5">
        <v>0.1</v>
      </c>
      <c r="E27" s="18">
        <f>C27-C28</f>
        <v>34700</v>
      </c>
      <c r="F27" s="42" t="s">
        <v>79</v>
      </c>
      <c r="G27" s="18">
        <f>F22</f>
        <v>27700</v>
      </c>
      <c r="H27" s="5">
        <v>0.1</v>
      </c>
      <c r="I27" s="3"/>
    </row>
    <row r="28" spans="1:9" x14ac:dyDescent="0.25">
      <c r="A28" s="12"/>
      <c r="B28" s="3" t="s">
        <v>55</v>
      </c>
      <c r="C28" s="18">
        <f>MAY!E37</f>
        <v>-2000</v>
      </c>
      <c r="D28" s="3"/>
      <c r="E28" s="3"/>
      <c r="F28" s="3" t="s">
        <v>55</v>
      </c>
      <c r="G28" s="18">
        <f>MAY!I37</f>
        <v>-3200</v>
      </c>
      <c r="H28" s="3"/>
      <c r="I28" s="3"/>
    </row>
    <row r="29" spans="1:9" x14ac:dyDescent="0.25">
      <c r="A29" s="12"/>
      <c r="B29" s="3" t="s">
        <v>33</v>
      </c>
      <c r="C29" s="17"/>
      <c r="D29" s="3">
        <f>C27*D27</f>
        <v>3270</v>
      </c>
      <c r="E29" s="3"/>
      <c r="F29" s="3"/>
      <c r="G29" s="17"/>
      <c r="H29" s="3">
        <f>D29</f>
        <v>3270</v>
      </c>
      <c r="I29" s="3"/>
    </row>
    <row r="30" spans="1:9" x14ac:dyDescent="0.25">
      <c r="A30" s="12"/>
      <c r="B30" s="21"/>
      <c r="C30" s="18">
        <f>C27+C28</f>
        <v>30700</v>
      </c>
      <c r="D30" s="18"/>
      <c r="E30" s="18"/>
      <c r="F30" s="18"/>
      <c r="G30" s="18">
        <f>SUM(G27:G29)</f>
        <v>24500</v>
      </c>
      <c r="H30" s="3"/>
      <c r="I30" s="3"/>
    </row>
    <row r="31" spans="1:9" x14ac:dyDescent="0.25">
      <c r="A31" s="12"/>
      <c r="B31" s="24" t="s">
        <v>34</v>
      </c>
      <c r="C31" s="3"/>
      <c r="D31" s="3"/>
      <c r="E31" s="3"/>
      <c r="F31" s="3"/>
      <c r="G31" s="3"/>
      <c r="H31" s="3"/>
      <c r="I31" s="3"/>
    </row>
    <row r="32" spans="1:9" x14ac:dyDescent="0.25">
      <c r="A32" s="12"/>
      <c r="B32" s="33">
        <v>43257</v>
      </c>
      <c r="C32" s="3"/>
      <c r="D32" s="3">
        <v>10085</v>
      </c>
      <c r="F32" s="33">
        <v>43257</v>
      </c>
      <c r="G32" s="3"/>
      <c r="H32" s="3">
        <v>10085</v>
      </c>
      <c r="I32" s="3"/>
    </row>
    <row r="33" spans="1:9" x14ac:dyDescent="0.25">
      <c r="A33" s="12"/>
      <c r="B33" s="32">
        <v>43259</v>
      </c>
      <c r="C33" s="3"/>
      <c r="D33" s="3">
        <v>17350</v>
      </c>
      <c r="E33" s="3"/>
      <c r="F33" s="32">
        <v>43259</v>
      </c>
      <c r="G33" s="3"/>
      <c r="H33" s="3">
        <v>17350</v>
      </c>
      <c r="I33" s="3"/>
    </row>
    <row r="34" spans="1:9" x14ac:dyDescent="0.25">
      <c r="A34" s="12"/>
      <c r="B34" s="32">
        <v>43267</v>
      </c>
      <c r="C34" s="3"/>
      <c r="D34" s="3">
        <v>9585</v>
      </c>
      <c r="E34" s="3"/>
      <c r="F34" s="32">
        <v>43267</v>
      </c>
      <c r="G34" s="3"/>
      <c r="H34" s="3">
        <v>9585</v>
      </c>
      <c r="I34" s="3"/>
    </row>
    <row r="35" spans="1:9" x14ac:dyDescent="0.25">
      <c r="A35" s="12"/>
      <c r="B35" s="32"/>
      <c r="C35" s="3"/>
      <c r="D35" s="3"/>
      <c r="E35" s="3"/>
      <c r="F35" s="3"/>
      <c r="G35" s="3"/>
      <c r="H35" s="3"/>
      <c r="I35" s="3"/>
    </row>
    <row r="36" spans="1:9" x14ac:dyDescent="0.25">
      <c r="A36" s="12"/>
      <c r="B36" s="3"/>
      <c r="C36" s="30"/>
      <c r="D36" s="30"/>
      <c r="E36" s="30"/>
      <c r="F36" s="30"/>
      <c r="G36" s="3"/>
      <c r="H36" s="3"/>
      <c r="I36" s="3"/>
    </row>
    <row r="37" spans="1:9" x14ac:dyDescent="0.25">
      <c r="A37" s="12"/>
      <c r="B37" s="27" t="s">
        <v>24</v>
      </c>
      <c r="C37" s="18">
        <f>C30</f>
        <v>30700</v>
      </c>
      <c r="D37" s="3">
        <f>SUM(D29:D36)</f>
        <v>40290</v>
      </c>
      <c r="E37" s="18">
        <f>C37-D37</f>
        <v>-9590</v>
      </c>
      <c r="F37" s="17"/>
      <c r="G37" s="30">
        <f>G30</f>
        <v>24500</v>
      </c>
      <c r="H37" s="30">
        <f>SUM(H29:H36)</f>
        <v>40290</v>
      </c>
      <c r="I37" s="30">
        <f>G37-H37</f>
        <v>-15790</v>
      </c>
    </row>
    <row r="40" spans="1:9" x14ac:dyDescent="0.25">
      <c r="B40" s="12" t="s">
        <v>38</v>
      </c>
      <c r="D40" s="12" t="s">
        <v>36</v>
      </c>
      <c r="F40" s="12"/>
      <c r="G40" s="12" t="s">
        <v>37</v>
      </c>
    </row>
    <row r="41" spans="1:9" x14ac:dyDescent="0.25">
      <c r="D41" s="12"/>
      <c r="F41" s="12"/>
      <c r="G41" s="12"/>
    </row>
    <row r="42" spans="1:9" x14ac:dyDescent="0.25">
      <c r="B42" t="s">
        <v>65</v>
      </c>
      <c r="D42" t="s">
        <v>66</v>
      </c>
      <c r="G42" t="s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zoomScaleNormal="100" workbookViewId="0">
      <selection activeCell="E11" sqref="E11"/>
    </sheetView>
  </sheetViews>
  <sheetFormatPr defaultRowHeight="15" x14ac:dyDescent="0.25"/>
  <cols>
    <col min="1" max="1" width="4.42578125" customWidth="1"/>
    <col min="2" max="2" width="18.85546875" customWidth="1"/>
    <col min="3" max="3" width="8.28515625" customWidth="1"/>
    <col min="4" max="4" width="8.140625" customWidth="1"/>
    <col min="5" max="5" width="10.5703125" customWidth="1"/>
    <col min="6" max="6" width="10" customWidth="1"/>
  </cols>
  <sheetData>
    <row r="1" spans="1:9" ht="18.75" x14ac:dyDescent="0.25">
      <c r="C1" s="38" t="s">
        <v>59</v>
      </c>
      <c r="D1" s="39"/>
      <c r="E1" s="36"/>
      <c r="F1" s="34"/>
    </row>
    <row r="2" spans="1:9" ht="18.75" x14ac:dyDescent="0.25">
      <c r="C2" s="38" t="s">
        <v>60</v>
      </c>
      <c r="D2" s="38"/>
      <c r="E2" s="11"/>
      <c r="F2" s="11"/>
    </row>
    <row r="3" spans="1:9" ht="18.75" x14ac:dyDescent="0.25">
      <c r="C3" s="38" t="s">
        <v>81</v>
      </c>
      <c r="D3" s="38"/>
      <c r="E3" s="11"/>
      <c r="F3" s="11"/>
    </row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/>
      <c r="I4" s="1"/>
    </row>
    <row r="5" spans="1:9" x14ac:dyDescent="0.25">
      <c r="A5" s="3">
        <v>1</v>
      </c>
      <c r="B5" s="3" t="s">
        <v>7</v>
      </c>
      <c r="C5" s="3">
        <v>4000</v>
      </c>
      <c r="D5" s="3">
        <v>4000</v>
      </c>
      <c r="E5" s="3">
        <f>C5+D5</f>
        <v>8000</v>
      </c>
      <c r="F5" s="3">
        <v>4000</v>
      </c>
      <c r="G5" s="3">
        <f>E5-F5</f>
        <v>4000</v>
      </c>
      <c r="H5" s="3"/>
    </row>
    <row r="6" spans="1:9" x14ac:dyDescent="0.25">
      <c r="A6" s="3">
        <v>2</v>
      </c>
      <c r="B6" s="3" t="s">
        <v>83</v>
      </c>
      <c r="C6" s="3">
        <v>2000</v>
      </c>
      <c r="D6" s="3"/>
      <c r="E6" s="3">
        <f>C6+D6</f>
        <v>2000</v>
      </c>
      <c r="F6" s="3">
        <v>2000</v>
      </c>
      <c r="G6" s="3">
        <f>E6-F6</f>
        <v>0</v>
      </c>
      <c r="H6" s="3"/>
      <c r="I6" t="s">
        <v>51</v>
      </c>
    </row>
    <row r="7" spans="1:9" x14ac:dyDescent="0.25">
      <c r="A7" s="3">
        <v>3</v>
      </c>
      <c r="B7" s="3" t="s">
        <v>9</v>
      </c>
      <c r="C7" s="3">
        <v>2000</v>
      </c>
      <c r="D7" s="3"/>
      <c r="E7" s="3">
        <f t="shared" ref="E7:E21" si="0">C7+D7</f>
        <v>2000</v>
      </c>
      <c r="F7" s="3">
        <v>2000</v>
      </c>
      <c r="G7" s="3">
        <f>E7-F7</f>
        <v>0</v>
      </c>
      <c r="H7" s="3"/>
    </row>
    <row r="8" spans="1:9" x14ac:dyDescent="0.25">
      <c r="A8" s="3">
        <v>4</v>
      </c>
      <c r="B8" s="3" t="s">
        <v>74</v>
      </c>
      <c r="C8" s="3">
        <v>2000</v>
      </c>
      <c r="D8" s="3"/>
      <c r="E8" s="3">
        <f t="shared" si="0"/>
        <v>2000</v>
      </c>
      <c r="F8" s="3">
        <v>2000</v>
      </c>
      <c r="G8" s="3">
        <f>E8-F8</f>
        <v>0</v>
      </c>
      <c r="H8" s="3"/>
    </row>
    <row r="9" spans="1:9" x14ac:dyDescent="0.25">
      <c r="A9" s="3">
        <v>5</v>
      </c>
      <c r="B9" s="3" t="s">
        <v>11</v>
      </c>
      <c r="C9" s="3">
        <v>2200</v>
      </c>
      <c r="D9" s="3">
        <v>200</v>
      </c>
      <c r="E9" s="3">
        <f t="shared" si="0"/>
        <v>2400</v>
      </c>
      <c r="F9" s="3">
        <v>1300</v>
      </c>
      <c r="G9" s="3">
        <f t="shared" ref="G9:G21" si="1">E9-F9</f>
        <v>1100</v>
      </c>
      <c r="H9" s="3"/>
    </row>
    <row r="10" spans="1:9" x14ac:dyDescent="0.25">
      <c r="A10" s="3">
        <v>6</v>
      </c>
      <c r="B10" s="3" t="s">
        <v>16</v>
      </c>
      <c r="C10" s="3"/>
      <c r="D10" s="3"/>
      <c r="E10" s="3"/>
      <c r="F10" s="3"/>
      <c r="G10" s="3"/>
      <c r="H10" s="3"/>
    </row>
    <row r="11" spans="1:9" x14ac:dyDescent="0.25">
      <c r="A11" s="3">
        <v>7</v>
      </c>
      <c r="B11" s="3" t="s">
        <v>13</v>
      </c>
      <c r="C11" s="3">
        <v>2000</v>
      </c>
      <c r="D11" s="3"/>
      <c r="E11" s="3">
        <f t="shared" si="0"/>
        <v>2000</v>
      </c>
      <c r="F11" s="3">
        <v>2000</v>
      </c>
      <c r="G11" s="3">
        <f t="shared" si="1"/>
        <v>0</v>
      </c>
      <c r="H11" s="3"/>
    </row>
    <row r="12" spans="1:9" x14ac:dyDescent="0.25">
      <c r="A12" s="3">
        <v>8</v>
      </c>
      <c r="B12" s="3" t="s">
        <v>14</v>
      </c>
      <c r="C12" s="3">
        <v>2000</v>
      </c>
      <c r="D12" s="3"/>
      <c r="E12" s="3">
        <f t="shared" si="0"/>
        <v>2000</v>
      </c>
      <c r="F12" s="3">
        <v>2000</v>
      </c>
      <c r="G12" s="3">
        <f t="shared" si="1"/>
        <v>0</v>
      </c>
      <c r="H12" s="3"/>
    </row>
    <row r="13" spans="1:9" x14ac:dyDescent="0.25">
      <c r="A13" s="3">
        <v>9</v>
      </c>
      <c r="B13" s="3" t="s">
        <v>49</v>
      </c>
      <c r="C13" s="3">
        <v>2000</v>
      </c>
      <c r="D13" s="3"/>
      <c r="E13" s="3">
        <f t="shared" si="0"/>
        <v>2000</v>
      </c>
      <c r="F13" s="3">
        <v>2000</v>
      </c>
      <c r="G13" s="3">
        <f t="shared" si="1"/>
        <v>0</v>
      </c>
      <c r="H13" s="3"/>
      <c r="I13" t="s">
        <v>51</v>
      </c>
    </row>
    <row r="14" spans="1:9" x14ac:dyDescent="0.25">
      <c r="A14" s="3">
        <v>10</v>
      </c>
      <c r="B14" s="3" t="s">
        <v>57</v>
      </c>
      <c r="C14" s="3">
        <v>2000</v>
      </c>
      <c r="D14" s="3"/>
      <c r="E14" s="3">
        <f t="shared" si="0"/>
        <v>2000</v>
      </c>
      <c r="F14" s="3">
        <v>2000</v>
      </c>
      <c r="G14" s="3">
        <f t="shared" si="1"/>
        <v>0</v>
      </c>
      <c r="H14" s="3"/>
    </row>
    <row r="15" spans="1:9" x14ac:dyDescent="0.25">
      <c r="A15" s="3">
        <v>11</v>
      </c>
      <c r="B15" s="3" t="s">
        <v>57</v>
      </c>
      <c r="C15" s="3">
        <v>2500</v>
      </c>
      <c r="D15" s="3"/>
      <c r="E15" s="3">
        <f t="shared" si="0"/>
        <v>2500</v>
      </c>
      <c r="F15" s="3">
        <v>2500</v>
      </c>
      <c r="G15" s="3">
        <f t="shared" si="1"/>
        <v>0</v>
      </c>
      <c r="H15" s="3"/>
    </row>
    <row r="16" spans="1:9" x14ac:dyDescent="0.25">
      <c r="A16" s="3">
        <v>12</v>
      </c>
      <c r="B16" s="3" t="s">
        <v>18</v>
      </c>
      <c r="C16" s="3">
        <v>2000</v>
      </c>
      <c r="D16" s="3"/>
      <c r="E16" s="3">
        <f t="shared" si="0"/>
        <v>2000</v>
      </c>
      <c r="F16" s="3">
        <v>2000</v>
      </c>
      <c r="G16" s="3">
        <f t="shared" si="1"/>
        <v>0</v>
      </c>
      <c r="H16" s="3"/>
    </row>
    <row r="17" spans="1:13" x14ac:dyDescent="0.25">
      <c r="A17" s="3">
        <v>13</v>
      </c>
      <c r="B17" s="3" t="s">
        <v>19</v>
      </c>
      <c r="C17" s="3">
        <v>2000</v>
      </c>
      <c r="D17" s="3"/>
      <c r="E17" s="3">
        <f t="shared" si="0"/>
        <v>2000</v>
      </c>
      <c r="F17" s="3">
        <v>2000</v>
      </c>
      <c r="G17" s="3">
        <f t="shared" si="1"/>
        <v>0</v>
      </c>
      <c r="H17" s="3"/>
    </row>
    <row r="18" spans="1:13" x14ac:dyDescent="0.25">
      <c r="A18" s="3">
        <v>14</v>
      </c>
      <c r="B18" s="3" t="s">
        <v>20</v>
      </c>
      <c r="C18" s="3">
        <v>2000</v>
      </c>
      <c r="D18" s="3">
        <v>2000</v>
      </c>
      <c r="E18" s="3">
        <f t="shared" si="0"/>
        <v>4000</v>
      </c>
      <c r="F18" s="3">
        <v>4000</v>
      </c>
      <c r="G18" s="3">
        <f t="shared" si="1"/>
        <v>0</v>
      </c>
      <c r="H18" s="3"/>
    </row>
    <row r="19" spans="1:13" x14ac:dyDescent="0.25">
      <c r="A19" s="3">
        <v>15</v>
      </c>
      <c r="B19" s="3" t="s">
        <v>75</v>
      </c>
      <c r="C19" s="3">
        <v>2000</v>
      </c>
      <c r="D19" s="3"/>
      <c r="E19" s="3">
        <f t="shared" si="0"/>
        <v>2000</v>
      </c>
      <c r="F19" s="3">
        <v>1500</v>
      </c>
      <c r="G19" s="3">
        <f t="shared" si="1"/>
        <v>500</v>
      </c>
      <c r="H19" s="3"/>
    </row>
    <row r="20" spans="1:13" x14ac:dyDescent="0.25">
      <c r="A20" s="3">
        <v>16</v>
      </c>
      <c r="B20" s="3" t="s">
        <v>86</v>
      </c>
      <c r="C20" s="3">
        <v>2000</v>
      </c>
      <c r="D20" s="3"/>
      <c r="E20" s="3">
        <f t="shared" si="0"/>
        <v>2000</v>
      </c>
      <c r="F20" s="3">
        <v>2000</v>
      </c>
      <c r="G20" s="3">
        <f t="shared" si="1"/>
        <v>0</v>
      </c>
      <c r="H20" s="3"/>
    </row>
    <row r="21" spans="1:13" x14ac:dyDescent="0.25">
      <c r="A21" s="3">
        <v>17</v>
      </c>
      <c r="B21" s="3" t="s">
        <v>73</v>
      </c>
      <c r="C21" s="3">
        <v>2000</v>
      </c>
      <c r="D21" s="3"/>
      <c r="E21" s="3">
        <f t="shared" si="0"/>
        <v>2000</v>
      </c>
      <c r="F21" s="3">
        <v>2000</v>
      </c>
      <c r="G21" s="3">
        <f t="shared" si="1"/>
        <v>0</v>
      </c>
      <c r="H21" s="3"/>
    </row>
    <row r="22" spans="1:13" x14ac:dyDescent="0.25">
      <c r="A22" s="2"/>
      <c r="B22" s="4" t="s">
        <v>24</v>
      </c>
      <c r="C22" s="2">
        <f>SUM(C5:C21)</f>
        <v>34700</v>
      </c>
      <c r="D22" s="2">
        <f>SUM(D5:D21)</f>
        <v>6200</v>
      </c>
      <c r="E22" s="2">
        <f>SUM(E5:E21)</f>
        <v>40900</v>
      </c>
      <c r="F22" s="2">
        <f>SUM(F5:F21)</f>
        <v>35300</v>
      </c>
      <c r="G22" s="2">
        <f>SUM(G5:G21)</f>
        <v>5600</v>
      </c>
      <c r="H22" s="2"/>
      <c r="I22" s="1"/>
    </row>
    <row r="23" spans="1:13" x14ac:dyDescent="0.25">
      <c r="A23" s="3"/>
      <c r="B23" s="3"/>
      <c r="C23" s="3"/>
      <c r="D23" s="3"/>
      <c r="E23" s="3"/>
      <c r="F23" s="3"/>
      <c r="G23" s="3"/>
      <c r="H23" s="3"/>
    </row>
    <row r="24" spans="1:13" x14ac:dyDescent="0.25">
      <c r="A24" s="12"/>
    </row>
    <row r="25" spans="1:13" ht="18.75" x14ac:dyDescent="0.3">
      <c r="A25" s="12"/>
      <c r="B25" s="31" t="s">
        <v>27</v>
      </c>
      <c r="C25" s="12"/>
      <c r="D25" s="12"/>
      <c r="E25" s="12"/>
      <c r="F25" s="12"/>
      <c r="G25" s="12"/>
    </row>
    <row r="26" spans="1:13" ht="15.75" x14ac:dyDescent="0.25">
      <c r="A26" s="12"/>
      <c r="B26" s="28" t="s">
        <v>28</v>
      </c>
      <c r="C26" s="28" t="s">
        <v>29</v>
      </c>
      <c r="D26" s="28" t="s">
        <v>30</v>
      </c>
      <c r="E26" s="28" t="s">
        <v>62</v>
      </c>
      <c r="F26" s="28" t="s">
        <v>69</v>
      </c>
      <c r="G26" s="28" t="s">
        <v>29</v>
      </c>
      <c r="H26" s="28" t="s">
        <v>30</v>
      </c>
      <c r="I26" s="28" t="s">
        <v>62</v>
      </c>
    </row>
    <row r="27" spans="1:13" x14ac:dyDescent="0.25">
      <c r="A27" s="12"/>
      <c r="B27" s="2" t="s">
        <v>82</v>
      </c>
      <c r="C27" s="18">
        <f>C22</f>
        <v>34700</v>
      </c>
      <c r="D27" s="5">
        <v>0.1</v>
      </c>
      <c r="E27" s="18">
        <f>C27-C28</f>
        <v>44290</v>
      </c>
      <c r="F27" s="42" t="s">
        <v>82</v>
      </c>
      <c r="G27" s="18">
        <f>F22</f>
        <v>35300</v>
      </c>
      <c r="H27" s="5">
        <v>0.1</v>
      </c>
      <c r="I27" s="3"/>
      <c r="L27">
        <v>24235</v>
      </c>
      <c r="M27" s="43">
        <f>L27-E37</f>
        <v>30830</v>
      </c>
    </row>
    <row r="28" spans="1:13" x14ac:dyDescent="0.25">
      <c r="A28" s="12"/>
      <c r="B28" s="3" t="s">
        <v>55</v>
      </c>
      <c r="C28" s="18">
        <f>JUNE18!E37</f>
        <v>-9590</v>
      </c>
      <c r="D28" s="3"/>
      <c r="E28" s="3"/>
      <c r="F28" s="3" t="s">
        <v>55</v>
      </c>
      <c r="G28" s="18">
        <f>JUNE18!I37</f>
        <v>-15790</v>
      </c>
      <c r="H28" s="3"/>
      <c r="I28" s="3"/>
    </row>
    <row r="29" spans="1:13" x14ac:dyDescent="0.25">
      <c r="A29" s="12"/>
      <c r="B29" s="3" t="s">
        <v>33</v>
      </c>
      <c r="C29" s="17"/>
      <c r="D29" s="3">
        <f>C27*D27</f>
        <v>3470</v>
      </c>
      <c r="E29" s="3"/>
      <c r="F29" s="3"/>
      <c r="G29" s="17"/>
      <c r="H29" s="3">
        <f>D29</f>
        <v>3470</v>
      </c>
      <c r="I29" s="3"/>
    </row>
    <row r="30" spans="1:13" x14ac:dyDescent="0.25">
      <c r="A30" s="12"/>
      <c r="B30" s="21"/>
      <c r="C30" s="18">
        <f>C27+C28</f>
        <v>25110</v>
      </c>
      <c r="D30" s="18"/>
      <c r="E30" s="18"/>
      <c r="F30" s="18"/>
      <c r="G30" s="18">
        <f>SUM(G27:G29)</f>
        <v>19510</v>
      </c>
      <c r="H30" s="3"/>
      <c r="I30" s="3"/>
      <c r="L30">
        <v>4795</v>
      </c>
      <c r="M30">
        <v>6595</v>
      </c>
    </row>
    <row r="31" spans="1:13" x14ac:dyDescent="0.25">
      <c r="A31" s="12"/>
      <c r="B31" s="24" t="s">
        <v>34</v>
      </c>
      <c r="C31" s="3"/>
      <c r="D31" s="3"/>
      <c r="E31" s="3"/>
      <c r="F31" s="3"/>
      <c r="G31" s="3"/>
      <c r="H31" s="3"/>
      <c r="I31" s="3"/>
      <c r="L31">
        <f>M30-L30</f>
        <v>1800</v>
      </c>
    </row>
    <row r="32" spans="1:13" x14ac:dyDescent="0.25">
      <c r="A32" s="12"/>
      <c r="B32" s="33" t="s">
        <v>52</v>
      </c>
      <c r="C32" s="3"/>
      <c r="D32" s="3">
        <f>C6+C13</f>
        <v>4000</v>
      </c>
      <c r="F32" s="33" t="s">
        <v>52</v>
      </c>
      <c r="G32" s="3"/>
      <c r="H32" s="3">
        <f>D32</f>
        <v>4000</v>
      </c>
      <c r="I32" s="3"/>
    </row>
    <row r="33" spans="1:9" x14ac:dyDescent="0.25">
      <c r="A33" s="12"/>
      <c r="B33" s="32">
        <v>43290</v>
      </c>
      <c r="C33" s="3"/>
      <c r="D33" s="3">
        <v>24235</v>
      </c>
      <c r="E33" s="3"/>
      <c r="F33" s="32">
        <v>43290</v>
      </c>
      <c r="G33" s="3"/>
      <c r="H33" s="3">
        <v>24235</v>
      </c>
      <c r="I33" s="3"/>
    </row>
    <row r="34" spans="1:9" x14ac:dyDescent="0.25">
      <c r="A34" s="12"/>
      <c r="B34" s="32"/>
      <c r="C34" s="3"/>
      <c r="D34" s="3"/>
      <c r="E34" s="3"/>
      <c r="F34" s="32"/>
      <c r="G34" s="3"/>
      <c r="H34" s="3"/>
      <c r="I34" s="3"/>
    </row>
    <row r="35" spans="1:9" x14ac:dyDescent="0.25">
      <c r="A35" s="12"/>
      <c r="B35" s="32"/>
      <c r="C35" s="3"/>
      <c r="D35" s="3"/>
      <c r="E35" s="3"/>
      <c r="F35" s="3"/>
      <c r="G35" s="3"/>
      <c r="H35" s="3"/>
      <c r="I35" s="3"/>
    </row>
    <row r="36" spans="1:9" x14ac:dyDescent="0.25">
      <c r="A36" s="12"/>
      <c r="B36" s="3"/>
      <c r="C36" s="30"/>
      <c r="D36" s="30"/>
      <c r="E36" s="30"/>
      <c r="F36" s="30"/>
      <c r="G36" s="3"/>
      <c r="H36" s="3"/>
      <c r="I36" s="3"/>
    </row>
    <row r="37" spans="1:9" x14ac:dyDescent="0.25">
      <c r="A37" s="12"/>
      <c r="B37" s="27" t="s">
        <v>24</v>
      </c>
      <c r="C37" s="18">
        <f>C30</f>
        <v>25110</v>
      </c>
      <c r="D37" s="3">
        <f>SUM(D29:D36)</f>
        <v>31705</v>
      </c>
      <c r="E37" s="18">
        <f>C37-D37</f>
        <v>-6595</v>
      </c>
      <c r="F37" s="17"/>
      <c r="G37" s="30">
        <f>G30</f>
        <v>19510</v>
      </c>
      <c r="H37" s="30">
        <f>SUM(H29:H36)</f>
        <v>31705</v>
      </c>
      <c r="I37" s="30">
        <f>G37-H37</f>
        <v>-12195</v>
      </c>
    </row>
    <row r="40" spans="1:9" x14ac:dyDescent="0.25">
      <c r="B40" s="12" t="s">
        <v>38</v>
      </c>
      <c r="D40" s="12" t="s">
        <v>36</v>
      </c>
      <c r="F40" s="12"/>
      <c r="G40" s="12" t="s">
        <v>37</v>
      </c>
    </row>
    <row r="41" spans="1:9" x14ac:dyDescent="0.25">
      <c r="D41" s="12"/>
      <c r="F41" s="12"/>
      <c r="G41" s="12"/>
    </row>
    <row r="42" spans="1:9" x14ac:dyDescent="0.25">
      <c r="B42" t="s">
        <v>65</v>
      </c>
      <c r="D42" t="s">
        <v>66</v>
      </c>
      <c r="G42" t="s">
        <v>10</v>
      </c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4" zoomScale="110" zoomScaleNormal="110" workbookViewId="0">
      <selection activeCell="E11" sqref="E11"/>
    </sheetView>
  </sheetViews>
  <sheetFormatPr defaultRowHeight="15" x14ac:dyDescent="0.25"/>
  <cols>
    <col min="1" max="1" width="4" customWidth="1"/>
    <col min="2" max="2" width="18.28515625" customWidth="1"/>
    <col min="3" max="3" width="8.5703125" customWidth="1"/>
    <col min="4" max="4" width="7.5703125" customWidth="1"/>
    <col min="5" max="5" width="10.28515625" customWidth="1"/>
    <col min="6" max="6" width="12.140625" customWidth="1"/>
    <col min="7" max="7" width="8.85546875" customWidth="1"/>
    <col min="9" max="9" width="8.42578125" customWidth="1"/>
  </cols>
  <sheetData>
    <row r="1" spans="1:9" ht="18.75" x14ac:dyDescent="0.25">
      <c r="C1" s="38" t="s">
        <v>59</v>
      </c>
      <c r="D1" s="39"/>
      <c r="E1" s="36"/>
      <c r="F1" s="34"/>
    </row>
    <row r="2" spans="1:9" ht="18.75" x14ac:dyDescent="0.25">
      <c r="C2" s="38" t="s">
        <v>60</v>
      </c>
      <c r="D2" s="38"/>
      <c r="E2" s="11"/>
      <c r="F2" s="11"/>
    </row>
    <row r="3" spans="1:9" ht="18.75" x14ac:dyDescent="0.25">
      <c r="C3" s="38" t="s">
        <v>84</v>
      </c>
      <c r="D3" s="38"/>
      <c r="E3" s="11"/>
      <c r="F3" s="11"/>
    </row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/>
      <c r="I4" s="1"/>
    </row>
    <row r="5" spans="1:9" x14ac:dyDescent="0.25">
      <c r="A5" s="3">
        <v>1</v>
      </c>
      <c r="B5" s="3" t="s">
        <v>88</v>
      </c>
      <c r="C5" s="3">
        <v>4000</v>
      </c>
      <c r="D5" s="3">
        <v>4000</v>
      </c>
      <c r="E5" s="3">
        <f t="shared" ref="E5:E10" si="0">C5+D5</f>
        <v>8000</v>
      </c>
      <c r="F5" s="3">
        <v>8000</v>
      </c>
      <c r="G5" s="3">
        <f>E5-F5</f>
        <v>0</v>
      </c>
      <c r="H5" s="3"/>
    </row>
    <row r="6" spans="1:9" x14ac:dyDescent="0.25">
      <c r="A6" s="3">
        <v>2</v>
      </c>
      <c r="B6" t="s">
        <v>56</v>
      </c>
      <c r="C6" s="3"/>
      <c r="D6" s="3"/>
      <c r="E6" s="3">
        <f t="shared" si="0"/>
        <v>0</v>
      </c>
      <c r="F6" s="3"/>
      <c r="G6" s="3">
        <f t="shared" ref="G6:G15" si="1">E6-F6</f>
        <v>0</v>
      </c>
      <c r="H6" s="3"/>
    </row>
    <row r="7" spans="1:9" x14ac:dyDescent="0.25">
      <c r="A7" s="3">
        <v>3</v>
      </c>
      <c r="B7" s="3" t="s">
        <v>9</v>
      </c>
      <c r="C7" s="3">
        <v>2000</v>
      </c>
      <c r="D7" s="3"/>
      <c r="E7" s="3">
        <f t="shared" si="0"/>
        <v>2000</v>
      </c>
      <c r="F7" s="3">
        <v>2000</v>
      </c>
      <c r="G7" s="3">
        <f t="shared" si="1"/>
        <v>0</v>
      </c>
      <c r="H7" s="3"/>
    </row>
    <row r="8" spans="1:9" x14ac:dyDescent="0.25">
      <c r="A8" s="3">
        <v>4</v>
      </c>
      <c r="B8" s="3" t="s">
        <v>74</v>
      </c>
      <c r="C8" s="3">
        <v>2000</v>
      </c>
      <c r="D8" s="3"/>
      <c r="E8" s="3">
        <f t="shared" si="0"/>
        <v>2000</v>
      </c>
      <c r="F8" s="3">
        <v>2000</v>
      </c>
      <c r="G8" s="3">
        <f t="shared" si="1"/>
        <v>0</v>
      </c>
      <c r="H8" s="3"/>
    </row>
    <row r="9" spans="1:9" x14ac:dyDescent="0.25">
      <c r="A9" s="3">
        <v>5</v>
      </c>
      <c r="B9" s="3" t="s">
        <v>11</v>
      </c>
      <c r="C9" s="3">
        <v>2200</v>
      </c>
      <c r="D9" s="3">
        <v>1100</v>
      </c>
      <c r="E9" s="3">
        <f t="shared" si="0"/>
        <v>3300</v>
      </c>
      <c r="F9" s="3">
        <v>2000</v>
      </c>
      <c r="G9" s="3">
        <f t="shared" si="1"/>
        <v>1300</v>
      </c>
      <c r="H9" s="3"/>
    </row>
    <row r="10" spans="1:9" x14ac:dyDescent="0.25">
      <c r="A10" s="3">
        <v>6</v>
      </c>
      <c r="B10" s="3" t="s">
        <v>49</v>
      </c>
      <c r="C10" s="3">
        <v>2000</v>
      </c>
      <c r="D10" s="3"/>
      <c r="E10" s="3">
        <f t="shared" si="0"/>
        <v>2000</v>
      </c>
      <c r="F10" s="3">
        <v>2000</v>
      </c>
      <c r="G10" s="3">
        <f t="shared" si="1"/>
        <v>0</v>
      </c>
      <c r="H10" s="3"/>
    </row>
    <row r="11" spans="1:9" x14ac:dyDescent="0.25">
      <c r="A11" s="3">
        <v>7</v>
      </c>
      <c r="B11" s="3" t="s">
        <v>13</v>
      </c>
      <c r="C11" s="3">
        <v>2000</v>
      </c>
      <c r="D11" s="3"/>
      <c r="E11" s="3">
        <f t="shared" ref="E11:E21" si="2">C11+D11</f>
        <v>2000</v>
      </c>
      <c r="F11" s="3">
        <v>2000</v>
      </c>
      <c r="G11" s="3">
        <f t="shared" si="1"/>
        <v>0</v>
      </c>
      <c r="H11" s="3"/>
    </row>
    <row r="12" spans="1:9" x14ac:dyDescent="0.25">
      <c r="A12" s="3">
        <v>8</v>
      </c>
      <c r="B12" s="3" t="s">
        <v>83</v>
      </c>
      <c r="C12" s="3">
        <v>2000</v>
      </c>
      <c r="D12" s="3"/>
      <c r="E12" s="3">
        <f t="shared" si="2"/>
        <v>2000</v>
      </c>
      <c r="F12" s="3">
        <v>2000</v>
      </c>
      <c r="G12" s="3">
        <f t="shared" si="1"/>
        <v>0</v>
      </c>
      <c r="H12" s="3"/>
    </row>
    <row r="13" spans="1:9" x14ac:dyDescent="0.25">
      <c r="A13" s="3">
        <v>9</v>
      </c>
      <c r="B13" s="3" t="s">
        <v>49</v>
      </c>
      <c r="C13" s="3">
        <v>2000</v>
      </c>
      <c r="D13" s="3"/>
      <c r="E13" s="3">
        <f t="shared" si="2"/>
        <v>2000</v>
      </c>
      <c r="F13" s="3">
        <v>2000</v>
      </c>
      <c r="G13" s="3">
        <f t="shared" si="1"/>
        <v>0</v>
      </c>
      <c r="H13" s="3"/>
    </row>
    <row r="14" spans="1:9" x14ac:dyDescent="0.25">
      <c r="A14" s="3">
        <v>10</v>
      </c>
      <c r="B14" s="3" t="s">
        <v>57</v>
      </c>
      <c r="C14" s="3">
        <v>2000</v>
      </c>
      <c r="D14" s="3"/>
      <c r="E14" s="3">
        <f t="shared" si="2"/>
        <v>2000</v>
      </c>
      <c r="F14" s="3">
        <v>2000</v>
      </c>
      <c r="G14" s="3">
        <f t="shared" si="1"/>
        <v>0</v>
      </c>
      <c r="H14" s="3"/>
    </row>
    <row r="15" spans="1:9" x14ac:dyDescent="0.25">
      <c r="A15" s="3">
        <v>11</v>
      </c>
      <c r="B15" s="3" t="s">
        <v>57</v>
      </c>
      <c r="C15" s="3">
        <v>2500</v>
      </c>
      <c r="D15" s="3"/>
      <c r="E15" s="3">
        <f t="shared" si="2"/>
        <v>2500</v>
      </c>
      <c r="F15" s="3">
        <v>2500</v>
      </c>
      <c r="G15" s="3">
        <f t="shared" si="1"/>
        <v>0</v>
      </c>
      <c r="H15" s="3"/>
    </row>
    <row r="16" spans="1:9" x14ac:dyDescent="0.25">
      <c r="A16" s="3">
        <v>12</v>
      </c>
      <c r="B16" s="3" t="s">
        <v>18</v>
      </c>
      <c r="C16" s="3">
        <v>2000</v>
      </c>
      <c r="D16" s="3"/>
      <c r="E16" s="3">
        <f t="shared" si="2"/>
        <v>2000</v>
      </c>
      <c r="F16" s="3">
        <v>2000</v>
      </c>
      <c r="G16" s="3">
        <f t="shared" ref="G16:G21" si="3">E16-F16</f>
        <v>0</v>
      </c>
      <c r="H16" s="3"/>
    </row>
    <row r="17" spans="1:9" x14ac:dyDescent="0.25">
      <c r="A17" s="3">
        <v>13</v>
      </c>
      <c r="B17" s="3" t="s">
        <v>19</v>
      </c>
      <c r="C17" s="3">
        <v>2000</v>
      </c>
      <c r="D17" s="3"/>
      <c r="E17" s="3">
        <f t="shared" si="2"/>
        <v>2000</v>
      </c>
      <c r="F17" s="3">
        <v>2000</v>
      </c>
      <c r="G17" s="3">
        <f t="shared" si="3"/>
        <v>0</v>
      </c>
      <c r="H17" s="3"/>
    </row>
    <row r="18" spans="1:9" x14ac:dyDescent="0.25">
      <c r="A18" s="3">
        <v>14</v>
      </c>
      <c r="B18" s="3" t="s">
        <v>20</v>
      </c>
      <c r="C18" s="3">
        <v>2000</v>
      </c>
      <c r="D18" s="3"/>
      <c r="E18" s="3">
        <f t="shared" si="2"/>
        <v>2000</v>
      </c>
      <c r="F18" s="3">
        <v>2000</v>
      </c>
      <c r="G18" s="3">
        <f t="shared" si="3"/>
        <v>0</v>
      </c>
      <c r="H18" s="3"/>
    </row>
    <row r="19" spans="1:9" x14ac:dyDescent="0.25">
      <c r="A19" s="3">
        <v>15</v>
      </c>
      <c r="B19" s="3" t="s">
        <v>75</v>
      </c>
      <c r="C19" s="3">
        <v>2000</v>
      </c>
      <c r="D19" s="3">
        <v>500</v>
      </c>
      <c r="E19" s="3">
        <f t="shared" si="2"/>
        <v>2500</v>
      </c>
      <c r="F19" s="3">
        <v>2500</v>
      </c>
      <c r="G19" s="3">
        <f t="shared" si="3"/>
        <v>0</v>
      </c>
      <c r="H19" s="3"/>
    </row>
    <row r="20" spans="1:9" x14ac:dyDescent="0.25">
      <c r="A20" s="3">
        <v>16</v>
      </c>
      <c r="B20" s="3" t="s">
        <v>86</v>
      </c>
      <c r="C20" s="3">
        <v>2000</v>
      </c>
      <c r="D20" s="3"/>
      <c r="E20" s="3">
        <f t="shared" si="2"/>
        <v>2000</v>
      </c>
      <c r="F20" s="3">
        <v>2000</v>
      </c>
      <c r="G20" s="3">
        <f t="shared" si="3"/>
        <v>0</v>
      </c>
      <c r="H20" s="3"/>
    </row>
    <row r="21" spans="1:9" x14ac:dyDescent="0.25">
      <c r="A21" s="3">
        <v>17</v>
      </c>
      <c r="B21" s="3" t="s">
        <v>73</v>
      </c>
      <c r="C21" s="3">
        <v>2000</v>
      </c>
      <c r="D21" s="3"/>
      <c r="E21" s="3">
        <f t="shared" si="2"/>
        <v>2000</v>
      </c>
      <c r="F21" s="3">
        <v>2000</v>
      </c>
      <c r="G21" s="3">
        <f t="shared" si="3"/>
        <v>0</v>
      </c>
      <c r="H21" s="3"/>
    </row>
    <row r="22" spans="1:9" x14ac:dyDescent="0.25">
      <c r="A22" s="2"/>
      <c r="B22" s="4" t="s">
        <v>24</v>
      </c>
      <c r="C22" s="2">
        <f>SUM(C5:C21)</f>
        <v>34700</v>
      </c>
      <c r="D22" s="2">
        <f>SUM(D5:D21)</f>
        <v>5600</v>
      </c>
      <c r="E22" s="2">
        <f>SUM(E5:E21)</f>
        <v>40300</v>
      </c>
      <c r="F22" s="2">
        <f>SUM(F5:F21)</f>
        <v>39000</v>
      </c>
      <c r="G22" s="2">
        <f>SUM(G5:G21)</f>
        <v>1300</v>
      </c>
      <c r="H22" s="2"/>
      <c r="I22" s="1"/>
    </row>
    <row r="23" spans="1:9" x14ac:dyDescent="0.25">
      <c r="A23" s="3"/>
      <c r="B23" s="3"/>
      <c r="C23" s="3"/>
      <c r="D23" s="3"/>
      <c r="E23" s="3"/>
      <c r="F23" s="3"/>
      <c r="G23" s="3"/>
      <c r="H23" s="3"/>
    </row>
    <row r="24" spans="1:9" x14ac:dyDescent="0.25">
      <c r="A24" s="12"/>
    </row>
    <row r="25" spans="1:9" ht="18.75" x14ac:dyDescent="0.3">
      <c r="A25" s="12"/>
      <c r="B25" s="31" t="s">
        <v>27</v>
      </c>
      <c r="C25" s="12"/>
      <c r="D25" s="12"/>
      <c r="E25" s="12"/>
      <c r="F25" s="12"/>
      <c r="G25" s="12"/>
    </row>
    <row r="26" spans="1:9" ht="15.75" x14ac:dyDescent="0.25">
      <c r="A26" s="12"/>
      <c r="B26" s="28" t="s">
        <v>28</v>
      </c>
      <c r="C26" s="28" t="s">
        <v>29</v>
      </c>
      <c r="D26" s="28" t="s">
        <v>30</v>
      </c>
      <c r="E26" s="28" t="s">
        <v>62</v>
      </c>
      <c r="F26" s="28" t="s">
        <v>69</v>
      </c>
      <c r="G26" s="28" t="s">
        <v>29</v>
      </c>
      <c r="H26" s="28" t="s">
        <v>30</v>
      </c>
      <c r="I26" s="28" t="s">
        <v>62</v>
      </c>
    </row>
    <row r="27" spans="1:9" x14ac:dyDescent="0.25">
      <c r="A27" s="12"/>
      <c r="B27" s="2" t="s">
        <v>85</v>
      </c>
      <c r="C27" s="18">
        <f>C22</f>
        <v>34700</v>
      </c>
      <c r="D27" s="5">
        <v>0.1</v>
      </c>
      <c r="E27" s="18">
        <f>C27-C28</f>
        <v>41295</v>
      </c>
      <c r="F27" s="42" t="s">
        <v>85</v>
      </c>
      <c r="G27" s="18">
        <f>F22</f>
        <v>39000</v>
      </c>
      <c r="H27" s="5">
        <v>0.1</v>
      </c>
      <c r="I27" s="3"/>
    </row>
    <row r="28" spans="1:9" x14ac:dyDescent="0.25">
      <c r="A28" s="12"/>
      <c r="B28" s="3" t="s">
        <v>55</v>
      </c>
      <c r="C28" s="18">
        <f>JULY!E37</f>
        <v>-6595</v>
      </c>
      <c r="D28" s="3"/>
      <c r="E28" s="3"/>
      <c r="F28" s="3" t="s">
        <v>55</v>
      </c>
      <c r="G28" s="18">
        <f>JULY!I37</f>
        <v>-12195</v>
      </c>
      <c r="H28" s="3"/>
      <c r="I28" s="3"/>
    </row>
    <row r="29" spans="1:9" x14ac:dyDescent="0.25">
      <c r="A29" s="12"/>
      <c r="B29" s="3" t="s">
        <v>33</v>
      </c>
      <c r="C29" s="17"/>
      <c r="D29" s="3">
        <f>C27*D27</f>
        <v>3470</v>
      </c>
      <c r="E29" s="3"/>
      <c r="F29" s="3"/>
      <c r="G29" s="17"/>
      <c r="H29" s="3">
        <f>D29</f>
        <v>3470</v>
      </c>
      <c r="I29" s="3"/>
    </row>
    <row r="30" spans="1:9" x14ac:dyDescent="0.25">
      <c r="A30" s="12"/>
      <c r="B30" s="21"/>
      <c r="C30" s="18">
        <f>C27+C28</f>
        <v>28105</v>
      </c>
      <c r="D30" s="18"/>
      <c r="E30" s="18"/>
      <c r="F30" s="18"/>
      <c r="G30" s="18">
        <f>SUM(G27:G29)</f>
        <v>26805</v>
      </c>
      <c r="H30" s="3"/>
      <c r="I30" s="3"/>
    </row>
    <row r="31" spans="1:9" x14ac:dyDescent="0.25">
      <c r="A31" s="12"/>
      <c r="B31" s="24" t="s">
        <v>34</v>
      </c>
      <c r="C31" s="3"/>
      <c r="D31" s="3"/>
      <c r="E31" s="3"/>
      <c r="F31" s="3"/>
      <c r="G31" s="3"/>
      <c r="H31" s="3"/>
      <c r="I31" s="3"/>
    </row>
    <row r="32" spans="1:9" x14ac:dyDescent="0.25">
      <c r="A32" s="12"/>
      <c r="B32" s="33" t="s">
        <v>87</v>
      </c>
      <c r="C32" s="3"/>
      <c r="D32" s="3">
        <v>3000</v>
      </c>
      <c r="F32" s="33" t="s">
        <v>87</v>
      </c>
      <c r="G32" s="3"/>
      <c r="H32" s="3">
        <v>3000</v>
      </c>
      <c r="I32" s="3"/>
    </row>
    <row r="33" spans="1:9" x14ac:dyDescent="0.25">
      <c r="A33" s="12"/>
      <c r="B33" s="32">
        <v>43320</v>
      </c>
      <c r="C33" s="3"/>
      <c r="D33" s="3">
        <v>19835</v>
      </c>
      <c r="E33" s="3"/>
      <c r="F33" s="32">
        <v>43320</v>
      </c>
      <c r="G33" s="3"/>
      <c r="H33" s="3">
        <v>19835</v>
      </c>
      <c r="I33" s="3"/>
    </row>
    <row r="34" spans="1:9" x14ac:dyDescent="0.25">
      <c r="A34" s="12"/>
      <c r="B34" s="32" t="s">
        <v>89</v>
      </c>
      <c r="C34" s="3"/>
      <c r="D34" s="3">
        <v>500</v>
      </c>
      <c r="E34" s="3"/>
      <c r="F34" s="32" t="s">
        <v>89</v>
      </c>
      <c r="G34" s="3"/>
      <c r="H34" s="3">
        <v>500</v>
      </c>
      <c r="I34" s="3"/>
    </row>
    <row r="35" spans="1:9" x14ac:dyDescent="0.25">
      <c r="A35" s="12"/>
      <c r="B35" s="32" t="s">
        <v>52</v>
      </c>
      <c r="C35" s="3"/>
      <c r="D35" s="3">
        <f>C17+C12</f>
        <v>4000</v>
      </c>
      <c r="E35" s="3"/>
      <c r="F35" s="32" t="s">
        <v>52</v>
      </c>
      <c r="G35" s="3"/>
      <c r="H35" s="3">
        <v>4000</v>
      </c>
      <c r="I35" s="3"/>
    </row>
    <row r="36" spans="1:9" x14ac:dyDescent="0.25">
      <c r="A36" s="12"/>
      <c r="B36" s="32">
        <v>43339</v>
      </c>
      <c r="C36" s="30"/>
      <c r="D36" s="50">
        <v>3000</v>
      </c>
      <c r="E36" s="30"/>
      <c r="F36" s="32">
        <v>43339</v>
      </c>
      <c r="G36" s="3"/>
      <c r="H36" s="50">
        <v>3000</v>
      </c>
      <c r="I36" s="3"/>
    </row>
    <row r="37" spans="1:9" x14ac:dyDescent="0.25">
      <c r="A37" s="12"/>
      <c r="B37" s="27" t="s">
        <v>24</v>
      </c>
      <c r="C37" s="18">
        <f>C30</f>
        <v>28105</v>
      </c>
      <c r="D37" s="3">
        <f>SUM(D29:D36)</f>
        <v>33805</v>
      </c>
      <c r="E37" s="18">
        <f>C37-D37</f>
        <v>-5700</v>
      </c>
      <c r="F37" s="17"/>
      <c r="G37" s="30">
        <f>G30</f>
        <v>26805</v>
      </c>
      <c r="H37" s="30">
        <f>SUM(H29:H36)</f>
        <v>33805</v>
      </c>
      <c r="I37" s="30">
        <f>G37-H37</f>
        <v>-7000</v>
      </c>
    </row>
    <row r="40" spans="1:9" x14ac:dyDescent="0.25">
      <c r="B40" s="12" t="s">
        <v>38</v>
      </c>
      <c r="D40" s="12" t="s">
        <v>36</v>
      </c>
      <c r="F40" s="12"/>
      <c r="G40" s="12" t="s">
        <v>37</v>
      </c>
    </row>
    <row r="41" spans="1:9" x14ac:dyDescent="0.25">
      <c r="D41" s="12"/>
      <c r="F41" s="12"/>
      <c r="G41" s="12"/>
    </row>
    <row r="42" spans="1:9" x14ac:dyDescent="0.25">
      <c r="B42" t="s">
        <v>65</v>
      </c>
      <c r="D42" t="s">
        <v>66</v>
      </c>
      <c r="G42" t="s">
        <v>10</v>
      </c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E14" sqref="E14"/>
    </sheetView>
  </sheetViews>
  <sheetFormatPr defaultRowHeight="15" x14ac:dyDescent="0.25"/>
  <cols>
    <col min="1" max="1" width="4" customWidth="1"/>
    <col min="2" max="2" width="19" customWidth="1"/>
    <col min="5" max="5" width="10.7109375" customWidth="1"/>
    <col min="6" max="6" width="9.5703125" customWidth="1"/>
  </cols>
  <sheetData>
    <row r="1" spans="1:9" ht="18.75" x14ac:dyDescent="0.25">
      <c r="C1" s="38" t="s">
        <v>59</v>
      </c>
      <c r="D1" s="39"/>
      <c r="E1" s="36"/>
      <c r="F1" s="34"/>
    </row>
    <row r="2" spans="1:9" ht="18.75" x14ac:dyDescent="0.25">
      <c r="C2" s="38" t="s">
        <v>60</v>
      </c>
      <c r="D2" s="38"/>
      <c r="E2" s="11"/>
      <c r="F2" s="11"/>
    </row>
    <row r="3" spans="1:9" ht="18.75" x14ac:dyDescent="0.25">
      <c r="C3" s="38" t="s">
        <v>93</v>
      </c>
      <c r="D3" s="38"/>
      <c r="E3" s="11"/>
      <c r="F3" s="11"/>
    </row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/>
      <c r="I4" s="1"/>
    </row>
    <row r="5" spans="1:9" x14ac:dyDescent="0.25">
      <c r="A5" s="3">
        <v>1</v>
      </c>
      <c r="B5" s="3" t="s">
        <v>7</v>
      </c>
      <c r="C5" s="3">
        <v>4000</v>
      </c>
      <c r="D5" s="3"/>
      <c r="E5" s="3">
        <f>C5+D5</f>
        <v>4000</v>
      </c>
      <c r="F5" s="3">
        <v>4000</v>
      </c>
      <c r="G5" s="3">
        <f>E5-F5</f>
        <v>0</v>
      </c>
      <c r="H5" s="3"/>
    </row>
    <row r="6" spans="1:9" x14ac:dyDescent="0.25">
      <c r="A6" s="3">
        <v>2</v>
      </c>
      <c r="B6" t="s">
        <v>95</v>
      </c>
      <c r="C6" s="3">
        <v>2000</v>
      </c>
      <c r="D6" s="3"/>
      <c r="E6" s="3">
        <f>C6+D6</f>
        <v>2000</v>
      </c>
      <c r="F6" s="3">
        <v>2000</v>
      </c>
      <c r="G6" s="3">
        <f t="shared" ref="G6:G21" si="0">E6-F6</f>
        <v>0</v>
      </c>
      <c r="H6" s="3"/>
      <c r="I6" t="s">
        <v>51</v>
      </c>
    </row>
    <row r="7" spans="1:9" x14ac:dyDescent="0.25">
      <c r="A7" s="3">
        <v>3</v>
      </c>
      <c r="B7" s="3" t="s">
        <v>9</v>
      </c>
      <c r="C7" s="3">
        <v>2000</v>
      </c>
      <c r="D7" s="3"/>
      <c r="E7" s="3">
        <f t="shared" ref="E7:E21" si="1">C7+D7</f>
        <v>2000</v>
      </c>
      <c r="F7" s="3">
        <v>2000</v>
      </c>
      <c r="G7" s="3">
        <f t="shared" si="0"/>
        <v>0</v>
      </c>
      <c r="H7" s="3"/>
    </row>
    <row r="8" spans="1:9" x14ac:dyDescent="0.25">
      <c r="A8" s="3">
        <v>4</v>
      </c>
      <c r="B8" s="3" t="s">
        <v>74</v>
      </c>
      <c r="C8" s="3">
        <v>2000</v>
      </c>
      <c r="D8" s="3"/>
      <c r="E8" s="3">
        <f t="shared" si="1"/>
        <v>2000</v>
      </c>
      <c r="F8" s="3">
        <v>2000</v>
      </c>
      <c r="G8" s="3">
        <f t="shared" si="0"/>
        <v>0</v>
      </c>
      <c r="H8" s="3"/>
    </row>
    <row r="9" spans="1:9" x14ac:dyDescent="0.25">
      <c r="A9" s="3">
        <v>5</v>
      </c>
      <c r="B9" s="3" t="s">
        <v>11</v>
      </c>
      <c r="C9" s="3">
        <v>2200</v>
      </c>
      <c r="D9" s="3">
        <v>1300</v>
      </c>
      <c r="E9" s="3">
        <f>C9+D9</f>
        <v>3500</v>
      </c>
      <c r="F9" s="3">
        <v>2200</v>
      </c>
      <c r="G9" s="3">
        <f t="shared" si="0"/>
        <v>1300</v>
      </c>
      <c r="H9" s="3"/>
    </row>
    <row r="10" spans="1:9" x14ac:dyDescent="0.25">
      <c r="A10" s="3">
        <v>6</v>
      </c>
      <c r="B10" s="3" t="s">
        <v>94</v>
      </c>
      <c r="C10" s="3">
        <v>2000</v>
      </c>
      <c r="D10" s="3"/>
      <c r="E10" s="3">
        <f t="shared" si="1"/>
        <v>2000</v>
      </c>
      <c r="F10" s="3">
        <v>2000</v>
      </c>
      <c r="G10" s="3">
        <f t="shared" si="0"/>
        <v>0</v>
      </c>
      <c r="H10" s="3"/>
    </row>
    <row r="11" spans="1:9" x14ac:dyDescent="0.25">
      <c r="A11" s="3">
        <v>7</v>
      </c>
      <c r="B11" s="3" t="s">
        <v>13</v>
      </c>
      <c r="C11" s="3">
        <v>2000</v>
      </c>
      <c r="D11" s="3"/>
      <c r="E11" s="3">
        <f t="shared" si="1"/>
        <v>2000</v>
      </c>
      <c r="F11" s="3">
        <v>2000</v>
      </c>
      <c r="G11" s="3">
        <f t="shared" si="0"/>
        <v>0</v>
      </c>
      <c r="H11" s="3"/>
    </row>
    <row r="12" spans="1:9" x14ac:dyDescent="0.25">
      <c r="A12" s="3">
        <v>8</v>
      </c>
      <c r="B12" s="3" t="s">
        <v>83</v>
      </c>
      <c r="C12" s="3">
        <v>2000</v>
      </c>
      <c r="D12" s="3"/>
      <c r="E12" s="3">
        <f t="shared" si="1"/>
        <v>2000</v>
      </c>
      <c r="F12" s="3"/>
      <c r="G12" s="3">
        <f t="shared" si="0"/>
        <v>2000</v>
      </c>
      <c r="H12" s="3"/>
    </row>
    <row r="13" spans="1:9" x14ac:dyDescent="0.25">
      <c r="A13" s="3">
        <v>9</v>
      </c>
      <c r="B13" s="3" t="s">
        <v>96</v>
      </c>
      <c r="C13" s="3">
        <v>2000</v>
      </c>
      <c r="D13" s="3"/>
      <c r="E13" s="3">
        <f t="shared" si="1"/>
        <v>2000</v>
      </c>
      <c r="F13" s="3">
        <v>2000</v>
      </c>
      <c r="G13" s="3">
        <f t="shared" si="0"/>
        <v>0</v>
      </c>
      <c r="H13" s="3"/>
    </row>
    <row r="14" spans="1:9" x14ac:dyDescent="0.25">
      <c r="A14" s="3">
        <v>10</v>
      </c>
      <c r="B14" s="3" t="s">
        <v>57</v>
      </c>
      <c r="C14" s="3">
        <v>2000</v>
      </c>
      <c r="D14" s="3"/>
      <c r="E14" s="3">
        <f t="shared" si="1"/>
        <v>2000</v>
      </c>
      <c r="F14" s="3">
        <v>2000</v>
      </c>
      <c r="G14" s="3">
        <f t="shared" si="0"/>
        <v>0</v>
      </c>
      <c r="H14" s="3"/>
    </row>
    <row r="15" spans="1:9" x14ac:dyDescent="0.25">
      <c r="A15" s="3">
        <v>11</v>
      </c>
      <c r="B15" s="3" t="s">
        <v>57</v>
      </c>
      <c r="C15" s="3">
        <v>2500</v>
      </c>
      <c r="D15" s="3"/>
      <c r="E15" s="3">
        <f t="shared" si="1"/>
        <v>2500</v>
      </c>
      <c r="F15" s="3">
        <v>2500</v>
      </c>
      <c r="G15" s="3">
        <f t="shared" si="0"/>
        <v>0</v>
      </c>
      <c r="H15" s="3"/>
    </row>
    <row r="16" spans="1:9" x14ac:dyDescent="0.25">
      <c r="A16" s="3">
        <v>12</v>
      </c>
      <c r="B16" s="3" t="s">
        <v>91</v>
      </c>
      <c r="C16" s="3">
        <v>2000</v>
      </c>
      <c r="D16" s="3"/>
      <c r="E16" s="3">
        <f t="shared" si="1"/>
        <v>2000</v>
      </c>
      <c r="F16" s="3">
        <v>2000</v>
      </c>
      <c r="G16" s="3">
        <f t="shared" si="0"/>
        <v>0</v>
      </c>
      <c r="H16" s="3"/>
    </row>
    <row r="17" spans="1:9" x14ac:dyDescent="0.25">
      <c r="A17" s="3">
        <v>13</v>
      </c>
      <c r="B17" s="3" t="s">
        <v>19</v>
      </c>
      <c r="C17" s="3">
        <v>2000</v>
      </c>
      <c r="D17" s="3"/>
      <c r="E17" s="3">
        <f t="shared" si="1"/>
        <v>2000</v>
      </c>
      <c r="F17" s="3">
        <v>2000</v>
      </c>
      <c r="G17" s="3">
        <f t="shared" si="0"/>
        <v>0</v>
      </c>
      <c r="H17" s="3"/>
    </row>
    <row r="18" spans="1:9" x14ac:dyDescent="0.25">
      <c r="A18" s="3">
        <v>14</v>
      </c>
      <c r="B18" s="3" t="s">
        <v>20</v>
      </c>
      <c r="C18" s="3">
        <v>2000</v>
      </c>
      <c r="D18" s="3"/>
      <c r="E18" s="3">
        <f t="shared" si="1"/>
        <v>2000</v>
      </c>
      <c r="F18" s="3">
        <v>2000</v>
      </c>
      <c r="G18" s="3">
        <f t="shared" si="0"/>
        <v>0</v>
      </c>
      <c r="H18" s="3"/>
    </row>
    <row r="19" spans="1:9" x14ac:dyDescent="0.25">
      <c r="A19" s="3">
        <v>15</v>
      </c>
      <c r="B19" s="3" t="s">
        <v>75</v>
      </c>
      <c r="C19" s="3">
        <v>2000</v>
      </c>
      <c r="D19" s="3"/>
      <c r="E19" s="3">
        <f t="shared" si="1"/>
        <v>2000</v>
      </c>
      <c r="F19" s="3">
        <v>2000</v>
      </c>
      <c r="G19" s="3">
        <f t="shared" si="0"/>
        <v>0</v>
      </c>
      <c r="H19" s="3"/>
    </row>
    <row r="20" spans="1:9" x14ac:dyDescent="0.25">
      <c r="A20" s="3">
        <v>16</v>
      </c>
      <c r="B20" s="3" t="s">
        <v>86</v>
      </c>
      <c r="C20" s="3">
        <v>2000</v>
      </c>
      <c r="D20" s="3"/>
      <c r="E20" s="3">
        <f t="shared" si="1"/>
        <v>2000</v>
      </c>
      <c r="F20" s="3">
        <v>2000</v>
      </c>
      <c r="G20" s="3">
        <f t="shared" si="0"/>
        <v>0</v>
      </c>
      <c r="H20" s="3"/>
    </row>
    <row r="21" spans="1:9" x14ac:dyDescent="0.25">
      <c r="A21" s="3">
        <v>17</v>
      </c>
      <c r="B21" s="3" t="s">
        <v>73</v>
      </c>
      <c r="C21" s="3">
        <v>2000</v>
      </c>
      <c r="D21" s="3"/>
      <c r="E21" s="3">
        <f t="shared" si="1"/>
        <v>2000</v>
      </c>
      <c r="F21" s="3">
        <v>2000</v>
      </c>
      <c r="G21" s="3">
        <f t="shared" si="0"/>
        <v>0</v>
      </c>
      <c r="H21" s="3"/>
    </row>
    <row r="22" spans="1:9" x14ac:dyDescent="0.25">
      <c r="A22" s="2"/>
      <c r="B22" s="4" t="s">
        <v>24</v>
      </c>
      <c r="C22" s="2">
        <f>SUM(C5:C21)</f>
        <v>36700</v>
      </c>
      <c r="D22" s="2">
        <f>SUM(D5:D21)</f>
        <v>1300</v>
      </c>
      <c r="E22" s="2">
        <f>SUM(E5:E21)</f>
        <v>38000</v>
      </c>
      <c r="F22" s="2">
        <f>SUM(F5:F21)</f>
        <v>34700</v>
      </c>
      <c r="G22" s="2">
        <f>SUM(G5:G21)</f>
        <v>3300</v>
      </c>
      <c r="H22" s="2"/>
      <c r="I22" s="1"/>
    </row>
    <row r="23" spans="1:9" x14ac:dyDescent="0.25">
      <c r="A23" s="3"/>
      <c r="B23" s="3"/>
      <c r="C23" s="3"/>
      <c r="D23" s="3"/>
      <c r="E23" s="3"/>
      <c r="F23" s="3"/>
      <c r="G23" s="3"/>
      <c r="H23" s="3"/>
    </row>
    <row r="24" spans="1:9" x14ac:dyDescent="0.25">
      <c r="A24" s="12"/>
    </row>
    <row r="25" spans="1:9" ht="18.75" x14ac:dyDescent="0.3">
      <c r="A25" s="12"/>
      <c r="B25" s="31" t="s">
        <v>27</v>
      </c>
      <c r="C25" s="12"/>
      <c r="D25" s="12"/>
      <c r="E25" s="12"/>
      <c r="F25" s="12"/>
      <c r="G25" s="12"/>
    </row>
    <row r="26" spans="1:9" ht="15.75" x14ac:dyDescent="0.25">
      <c r="A26" s="12"/>
      <c r="B26" s="28" t="s">
        <v>28</v>
      </c>
      <c r="C26" s="28" t="s">
        <v>29</v>
      </c>
      <c r="D26" s="28" t="s">
        <v>30</v>
      </c>
      <c r="E26" s="28" t="s">
        <v>62</v>
      </c>
      <c r="F26" s="28" t="s">
        <v>69</v>
      </c>
      <c r="G26" s="28" t="s">
        <v>29</v>
      </c>
      <c r="H26" s="28" t="s">
        <v>30</v>
      </c>
      <c r="I26" s="28" t="s">
        <v>62</v>
      </c>
    </row>
    <row r="27" spans="1:9" x14ac:dyDescent="0.25">
      <c r="A27" s="12"/>
      <c r="B27" s="2" t="s">
        <v>92</v>
      </c>
      <c r="C27" s="18">
        <f>C22</f>
        <v>36700</v>
      </c>
      <c r="D27" s="5">
        <v>0.1</v>
      </c>
      <c r="E27" s="18">
        <f>C27-C28</f>
        <v>42400</v>
      </c>
      <c r="F27" s="42" t="s">
        <v>92</v>
      </c>
      <c r="G27" s="18">
        <f>F22</f>
        <v>34700</v>
      </c>
      <c r="H27" s="5">
        <v>0.1</v>
      </c>
      <c r="I27" s="3"/>
    </row>
    <row r="28" spans="1:9" x14ac:dyDescent="0.25">
      <c r="A28" s="12"/>
      <c r="B28" s="3" t="s">
        <v>55</v>
      </c>
      <c r="C28" s="18">
        <f>AUG!E37</f>
        <v>-5700</v>
      </c>
      <c r="D28" s="3"/>
      <c r="E28" s="3"/>
      <c r="F28" s="3" t="s">
        <v>55</v>
      </c>
      <c r="G28" s="18">
        <f>AUG!I37</f>
        <v>-7000</v>
      </c>
      <c r="H28" s="3"/>
      <c r="I28" s="3"/>
    </row>
    <row r="29" spans="1:9" x14ac:dyDescent="0.25">
      <c r="A29" s="12"/>
      <c r="B29" s="3" t="s">
        <v>33</v>
      </c>
      <c r="C29" s="17"/>
      <c r="D29" s="3">
        <f>C27*D27</f>
        <v>3670</v>
      </c>
      <c r="E29" s="3"/>
      <c r="F29" s="3"/>
      <c r="G29" s="17"/>
      <c r="H29" s="3">
        <f>D29</f>
        <v>3670</v>
      </c>
      <c r="I29" s="3"/>
    </row>
    <row r="30" spans="1:9" x14ac:dyDescent="0.25">
      <c r="A30" s="12"/>
      <c r="B30" s="21"/>
      <c r="C30" s="18">
        <f>C27+C28</f>
        <v>31000</v>
      </c>
      <c r="D30" s="18"/>
      <c r="E30" s="18"/>
      <c r="F30" s="18"/>
      <c r="G30" s="18">
        <f>SUM(G27:G29)</f>
        <v>27700</v>
      </c>
      <c r="H30" s="3"/>
      <c r="I30" s="3"/>
    </row>
    <row r="31" spans="1:9" x14ac:dyDescent="0.25">
      <c r="A31" s="12"/>
      <c r="B31" s="24" t="s">
        <v>34</v>
      </c>
      <c r="C31" s="3"/>
      <c r="D31" s="3"/>
      <c r="E31" s="3"/>
      <c r="F31" s="3"/>
      <c r="G31" s="3"/>
      <c r="H31" s="3"/>
      <c r="I31" s="3"/>
    </row>
    <row r="32" spans="1:9" x14ac:dyDescent="0.25">
      <c r="A32" s="12"/>
      <c r="B32" s="33" t="s">
        <v>90</v>
      </c>
      <c r="C32" s="3"/>
      <c r="D32" s="3">
        <v>1066</v>
      </c>
      <c r="F32" s="33" t="s">
        <v>90</v>
      </c>
      <c r="G32" s="3"/>
      <c r="H32" s="3">
        <v>1066</v>
      </c>
      <c r="I32" s="3"/>
    </row>
    <row r="33" spans="1:9" x14ac:dyDescent="0.25">
      <c r="A33" s="12"/>
      <c r="B33" s="32">
        <v>43349</v>
      </c>
      <c r="C33" s="3"/>
      <c r="D33" s="3">
        <v>5000</v>
      </c>
      <c r="E33" s="3"/>
      <c r="F33" s="32">
        <v>43349</v>
      </c>
      <c r="G33" s="3"/>
      <c r="H33" s="3">
        <v>5000</v>
      </c>
      <c r="I33" s="3"/>
    </row>
    <row r="34" spans="1:9" x14ac:dyDescent="0.25">
      <c r="A34" s="12"/>
      <c r="B34" s="32">
        <v>43351</v>
      </c>
      <c r="C34" s="3"/>
      <c r="D34" s="3">
        <v>21260</v>
      </c>
      <c r="E34" s="3"/>
      <c r="F34" s="32">
        <v>43351</v>
      </c>
      <c r="G34" s="3"/>
      <c r="H34" s="3">
        <v>21260</v>
      </c>
      <c r="I34" s="3"/>
    </row>
    <row r="35" spans="1:9" x14ac:dyDescent="0.25">
      <c r="A35" s="12"/>
      <c r="B35" s="32">
        <v>43364</v>
      </c>
      <c r="C35" s="3"/>
      <c r="D35" s="3">
        <v>5000</v>
      </c>
      <c r="E35" s="3"/>
      <c r="F35" s="32">
        <v>43364</v>
      </c>
      <c r="G35" s="3"/>
      <c r="H35" s="3">
        <v>5000</v>
      </c>
      <c r="I35" s="3"/>
    </row>
    <row r="36" spans="1:9" x14ac:dyDescent="0.25">
      <c r="A36" s="12"/>
      <c r="B36" s="32"/>
      <c r="C36" s="30"/>
      <c r="D36" s="50"/>
      <c r="E36" s="30"/>
      <c r="F36" s="32"/>
      <c r="G36" s="3"/>
      <c r="H36" s="50"/>
      <c r="I36" s="3"/>
    </row>
    <row r="37" spans="1:9" x14ac:dyDescent="0.25">
      <c r="A37" s="12"/>
      <c r="B37" s="27" t="s">
        <v>24</v>
      </c>
      <c r="C37" s="18">
        <f>C30</f>
        <v>31000</v>
      </c>
      <c r="D37" s="3">
        <f>SUM(D29:D36)</f>
        <v>35996</v>
      </c>
      <c r="E37" s="18">
        <f>C37-D37</f>
        <v>-4996</v>
      </c>
      <c r="F37" s="17"/>
      <c r="G37" s="30">
        <f>G30</f>
        <v>27700</v>
      </c>
      <c r="H37" s="30">
        <f>SUM(H29:H36)</f>
        <v>35996</v>
      </c>
      <c r="I37" s="30">
        <f>G37-H37</f>
        <v>-8296</v>
      </c>
    </row>
    <row r="40" spans="1:9" x14ac:dyDescent="0.25">
      <c r="B40" s="12" t="s">
        <v>38</v>
      </c>
      <c r="D40" s="12" t="s">
        <v>36</v>
      </c>
      <c r="F40" s="12"/>
      <c r="G40" s="12" t="s">
        <v>37</v>
      </c>
    </row>
    <row r="41" spans="1:9" x14ac:dyDescent="0.25">
      <c r="D41" s="12"/>
      <c r="F41" s="12"/>
      <c r="G41" s="12"/>
    </row>
    <row r="42" spans="1:9" x14ac:dyDescent="0.25">
      <c r="B42" t="s">
        <v>65</v>
      </c>
      <c r="D42" t="s">
        <v>66</v>
      </c>
      <c r="G42" t="s">
        <v>10</v>
      </c>
    </row>
  </sheetData>
  <pageMargins left="0" right="0" top="0" bottom="0" header="0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zoomScaleNormal="100" workbookViewId="0">
      <selection activeCell="E11" sqref="E11"/>
    </sheetView>
  </sheetViews>
  <sheetFormatPr defaultRowHeight="15" x14ac:dyDescent="0.25"/>
  <cols>
    <col min="1" max="1" width="4" customWidth="1"/>
    <col min="2" max="2" width="19" customWidth="1"/>
    <col min="5" max="5" width="10.7109375" customWidth="1"/>
    <col min="6" max="6" width="9.5703125" customWidth="1"/>
  </cols>
  <sheetData>
    <row r="1" spans="1:9" ht="18.75" x14ac:dyDescent="0.25">
      <c r="C1" s="38" t="s">
        <v>59</v>
      </c>
      <c r="D1" s="39"/>
      <c r="E1" s="36"/>
      <c r="F1" s="34"/>
    </row>
    <row r="2" spans="1:9" ht="18.75" x14ac:dyDescent="0.25">
      <c r="C2" s="38" t="s">
        <v>60</v>
      </c>
      <c r="D2" s="38"/>
      <c r="E2" s="11"/>
      <c r="F2" s="11"/>
    </row>
    <row r="3" spans="1:9" ht="18.75" x14ac:dyDescent="0.25">
      <c r="C3" s="38" t="s">
        <v>97</v>
      </c>
      <c r="D3" s="38"/>
      <c r="E3" s="11"/>
      <c r="F3" s="11"/>
    </row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/>
      <c r="I4" s="1"/>
    </row>
    <row r="5" spans="1:9" x14ac:dyDescent="0.25">
      <c r="A5" s="3">
        <v>1</v>
      </c>
      <c r="B5" s="3" t="s">
        <v>56</v>
      </c>
      <c r="C5" s="3"/>
      <c r="D5" s="3"/>
      <c r="E5" s="3">
        <f>C5+D5</f>
        <v>0</v>
      </c>
      <c r="F5" s="3"/>
      <c r="G5" s="3">
        <f>E5-F5</f>
        <v>0</v>
      </c>
      <c r="H5" s="3"/>
    </row>
    <row r="6" spans="1:9" x14ac:dyDescent="0.25">
      <c r="A6" s="3">
        <v>2</v>
      </c>
      <c r="B6" t="s">
        <v>56</v>
      </c>
      <c r="C6" s="3"/>
      <c r="D6" s="3"/>
      <c r="E6" s="3">
        <f>C6+D6</f>
        <v>0</v>
      </c>
      <c r="F6" s="3"/>
      <c r="G6" s="3">
        <f t="shared" ref="G6:G21" si="0">E6-F6</f>
        <v>0</v>
      </c>
      <c r="H6" s="3"/>
    </row>
    <row r="7" spans="1:9" x14ac:dyDescent="0.25">
      <c r="A7" s="3">
        <v>3</v>
      </c>
      <c r="B7" s="3" t="s">
        <v>9</v>
      </c>
      <c r="C7" s="3">
        <v>2000</v>
      </c>
      <c r="D7" s="3"/>
      <c r="E7" s="3">
        <f t="shared" ref="E7:E21" si="1">C7+D7</f>
        <v>2000</v>
      </c>
      <c r="F7" s="3">
        <v>2000</v>
      </c>
      <c r="G7" s="3">
        <f t="shared" si="0"/>
        <v>0</v>
      </c>
      <c r="H7" s="3"/>
    </row>
    <row r="8" spans="1:9" x14ac:dyDescent="0.25">
      <c r="A8" s="3">
        <v>4</v>
      </c>
      <c r="B8" s="3" t="s">
        <v>74</v>
      </c>
      <c r="C8" s="3">
        <v>2000</v>
      </c>
      <c r="D8" s="3"/>
      <c r="E8" s="3">
        <f t="shared" si="1"/>
        <v>2000</v>
      </c>
      <c r="F8" s="3">
        <v>2000</v>
      </c>
      <c r="G8" s="3">
        <f t="shared" si="0"/>
        <v>0</v>
      </c>
      <c r="H8" s="3"/>
    </row>
    <row r="9" spans="1:9" x14ac:dyDescent="0.25">
      <c r="A9" s="3">
        <v>5</v>
      </c>
      <c r="B9" s="3" t="s">
        <v>11</v>
      </c>
      <c r="C9" s="3">
        <v>2200</v>
      </c>
      <c r="D9" s="3">
        <v>1300</v>
      </c>
      <c r="E9" s="3">
        <f>C9+D9</f>
        <v>3500</v>
      </c>
      <c r="F9" s="3">
        <v>2200</v>
      </c>
      <c r="G9" s="3">
        <f t="shared" si="0"/>
        <v>1300</v>
      </c>
      <c r="H9" s="3"/>
    </row>
    <row r="10" spans="1:9" x14ac:dyDescent="0.25">
      <c r="A10" s="3">
        <v>6</v>
      </c>
      <c r="B10" s="3" t="s">
        <v>94</v>
      </c>
      <c r="C10" s="3">
        <v>700</v>
      </c>
      <c r="D10" s="3"/>
      <c r="E10" s="3">
        <f t="shared" si="1"/>
        <v>700</v>
      </c>
      <c r="F10" s="3">
        <v>650</v>
      </c>
      <c r="G10" s="3">
        <f t="shared" si="0"/>
        <v>50</v>
      </c>
      <c r="H10" s="3"/>
    </row>
    <row r="11" spans="1:9" x14ac:dyDescent="0.25">
      <c r="A11" s="3">
        <v>7</v>
      </c>
      <c r="B11" s="3" t="s">
        <v>13</v>
      </c>
      <c r="C11" s="3">
        <v>2000</v>
      </c>
      <c r="D11" s="3"/>
      <c r="E11" s="3">
        <f t="shared" si="1"/>
        <v>2000</v>
      </c>
      <c r="F11" s="3">
        <v>2000</v>
      </c>
      <c r="G11" s="3">
        <f t="shared" si="0"/>
        <v>0</v>
      </c>
      <c r="H11" s="3"/>
    </row>
    <row r="12" spans="1:9" x14ac:dyDescent="0.25">
      <c r="A12" s="3">
        <v>8</v>
      </c>
      <c r="B12" s="3" t="s">
        <v>83</v>
      </c>
      <c r="C12" s="3"/>
      <c r="D12" s="3">
        <v>2000</v>
      </c>
      <c r="E12" s="3">
        <f t="shared" si="1"/>
        <v>2000</v>
      </c>
      <c r="F12" s="3">
        <v>2000</v>
      </c>
      <c r="G12" s="3">
        <f t="shared" si="0"/>
        <v>0</v>
      </c>
      <c r="H12" s="3"/>
    </row>
    <row r="13" spans="1:9" x14ac:dyDescent="0.25">
      <c r="A13" s="3">
        <v>9</v>
      </c>
      <c r="B13" s="3" t="s">
        <v>96</v>
      </c>
      <c r="C13" s="3">
        <v>2000</v>
      </c>
      <c r="D13" s="3"/>
      <c r="E13" s="3">
        <f t="shared" si="1"/>
        <v>2000</v>
      </c>
      <c r="F13" s="3">
        <v>2000</v>
      </c>
      <c r="G13" s="3">
        <f t="shared" si="0"/>
        <v>0</v>
      </c>
      <c r="H13" s="3"/>
    </row>
    <row r="14" spans="1:9" x14ac:dyDescent="0.25">
      <c r="A14" s="3">
        <v>10</v>
      </c>
      <c r="B14" s="3" t="s">
        <v>57</v>
      </c>
      <c r="C14" s="3">
        <v>2000</v>
      </c>
      <c r="D14" s="3"/>
      <c r="E14" s="3">
        <f t="shared" si="1"/>
        <v>2000</v>
      </c>
      <c r="F14" s="3">
        <v>2000</v>
      </c>
      <c r="G14" s="3">
        <f t="shared" si="0"/>
        <v>0</v>
      </c>
      <c r="H14" s="3"/>
    </row>
    <row r="15" spans="1:9" x14ac:dyDescent="0.25">
      <c r="A15" s="3">
        <v>11</v>
      </c>
      <c r="B15" s="3" t="s">
        <v>57</v>
      </c>
      <c r="C15" s="3">
        <v>2500</v>
      </c>
      <c r="D15" s="3"/>
      <c r="E15" s="3">
        <f t="shared" si="1"/>
        <v>2500</v>
      </c>
      <c r="F15" s="3">
        <v>2500</v>
      </c>
      <c r="G15" s="3">
        <f t="shared" si="0"/>
        <v>0</v>
      </c>
      <c r="H15" s="3"/>
    </row>
    <row r="16" spans="1:9" x14ac:dyDescent="0.25">
      <c r="A16" s="3">
        <v>12</v>
      </c>
      <c r="B16" s="3" t="s">
        <v>91</v>
      </c>
      <c r="C16" s="3">
        <v>2000</v>
      </c>
      <c r="D16" s="3"/>
      <c r="E16" s="3">
        <f t="shared" si="1"/>
        <v>2000</v>
      </c>
      <c r="F16" s="3">
        <v>2000</v>
      </c>
      <c r="G16" s="3">
        <f t="shared" si="0"/>
        <v>0</v>
      </c>
      <c r="H16" s="3"/>
    </row>
    <row r="17" spans="1:9" x14ac:dyDescent="0.25">
      <c r="A17" s="3">
        <v>13</v>
      </c>
      <c r="B17" s="3" t="s">
        <v>19</v>
      </c>
      <c r="C17" s="3">
        <v>2000</v>
      </c>
      <c r="D17" s="3"/>
      <c r="E17" s="3">
        <f t="shared" si="1"/>
        <v>2000</v>
      </c>
      <c r="F17" s="3">
        <v>2000</v>
      </c>
      <c r="G17" s="3">
        <f t="shared" si="0"/>
        <v>0</v>
      </c>
      <c r="H17" s="3"/>
    </row>
    <row r="18" spans="1:9" x14ac:dyDescent="0.25">
      <c r="A18" s="3">
        <v>14</v>
      </c>
      <c r="B18" s="3" t="s">
        <v>20</v>
      </c>
      <c r="C18" s="3">
        <v>2000</v>
      </c>
      <c r="D18" s="3"/>
      <c r="E18" s="3">
        <f t="shared" si="1"/>
        <v>2000</v>
      </c>
      <c r="F18" s="3">
        <v>2000</v>
      </c>
      <c r="G18" s="3">
        <f t="shared" si="0"/>
        <v>0</v>
      </c>
      <c r="H18" s="3"/>
    </row>
    <row r="19" spans="1:9" x14ac:dyDescent="0.25">
      <c r="A19" s="3">
        <v>15</v>
      </c>
      <c r="B19" s="3" t="s">
        <v>75</v>
      </c>
      <c r="C19" s="3">
        <v>2000</v>
      </c>
      <c r="D19" s="3"/>
      <c r="E19" s="3">
        <f t="shared" si="1"/>
        <v>2000</v>
      </c>
      <c r="F19" s="3">
        <v>1000</v>
      </c>
      <c r="G19" s="3">
        <f t="shared" si="0"/>
        <v>1000</v>
      </c>
      <c r="H19" s="3"/>
    </row>
    <row r="20" spans="1:9" x14ac:dyDescent="0.25">
      <c r="A20" s="3">
        <v>16</v>
      </c>
      <c r="B20" s="3" t="s">
        <v>86</v>
      </c>
      <c r="C20" s="3">
        <v>2000</v>
      </c>
      <c r="D20" s="3"/>
      <c r="E20" s="3">
        <f t="shared" si="1"/>
        <v>2000</v>
      </c>
      <c r="F20" s="3">
        <v>2000</v>
      </c>
      <c r="G20" s="3">
        <f t="shared" si="0"/>
        <v>0</v>
      </c>
      <c r="H20" s="3"/>
    </row>
    <row r="21" spans="1:9" x14ac:dyDescent="0.25">
      <c r="A21" s="3">
        <v>17</v>
      </c>
      <c r="B21" s="3" t="s">
        <v>73</v>
      </c>
      <c r="C21" s="3">
        <v>2000</v>
      </c>
      <c r="D21" s="3"/>
      <c r="E21" s="3">
        <f t="shared" si="1"/>
        <v>2000</v>
      </c>
      <c r="F21" s="3">
        <v>2000</v>
      </c>
      <c r="G21" s="3">
        <f t="shared" si="0"/>
        <v>0</v>
      </c>
      <c r="H21" s="3"/>
    </row>
    <row r="22" spans="1:9" x14ac:dyDescent="0.25">
      <c r="A22" s="2"/>
      <c r="B22" s="4" t="s">
        <v>24</v>
      </c>
      <c r="C22" s="2">
        <f>SUM(C5:C21)</f>
        <v>27400</v>
      </c>
      <c r="D22" s="2">
        <f>SUM(D5:D21)</f>
        <v>3300</v>
      </c>
      <c r="E22" s="2">
        <f>SUM(E5:E21)</f>
        <v>30700</v>
      </c>
      <c r="F22" s="2">
        <f>SUM(F5:F21)</f>
        <v>28350</v>
      </c>
      <c r="G22" s="2">
        <f>SUM(G5:G21)</f>
        <v>2350</v>
      </c>
      <c r="H22" s="2"/>
      <c r="I22" s="1"/>
    </row>
    <row r="23" spans="1:9" x14ac:dyDescent="0.25">
      <c r="A23" s="3"/>
      <c r="B23" s="3"/>
      <c r="C23" s="3"/>
      <c r="D23" s="3"/>
      <c r="E23" s="3"/>
      <c r="F23" s="3"/>
      <c r="G23" s="3"/>
      <c r="H23" s="3"/>
    </row>
    <row r="24" spans="1:9" x14ac:dyDescent="0.25">
      <c r="A24" s="12"/>
    </row>
    <row r="25" spans="1:9" ht="18.75" x14ac:dyDescent="0.3">
      <c r="A25" s="12"/>
      <c r="B25" s="31" t="s">
        <v>27</v>
      </c>
      <c r="C25" s="12"/>
      <c r="D25" s="12"/>
      <c r="E25" s="12"/>
      <c r="F25" s="12"/>
      <c r="G25" s="12"/>
    </row>
    <row r="26" spans="1:9" ht="15.75" x14ac:dyDescent="0.25">
      <c r="A26" s="12"/>
      <c r="B26" s="28" t="s">
        <v>28</v>
      </c>
      <c r="C26" s="28" t="s">
        <v>29</v>
      </c>
      <c r="D26" s="28" t="s">
        <v>30</v>
      </c>
      <c r="E26" s="28" t="s">
        <v>62</v>
      </c>
      <c r="F26" s="28" t="s">
        <v>69</v>
      </c>
      <c r="G26" s="28" t="s">
        <v>29</v>
      </c>
      <c r="H26" s="28" t="s">
        <v>30</v>
      </c>
      <c r="I26" s="28" t="s">
        <v>62</v>
      </c>
    </row>
    <row r="27" spans="1:9" x14ac:dyDescent="0.25">
      <c r="A27" s="12"/>
      <c r="B27" s="2" t="s">
        <v>99</v>
      </c>
      <c r="C27" s="18">
        <f>C22</f>
        <v>27400</v>
      </c>
      <c r="D27" s="5">
        <v>0.1</v>
      </c>
      <c r="E27" s="18">
        <f>C27-C28</f>
        <v>32396</v>
      </c>
      <c r="F27" s="42" t="s">
        <v>99</v>
      </c>
      <c r="G27" s="18">
        <f>F22</f>
        <v>28350</v>
      </c>
      <c r="H27" s="5">
        <v>0.1</v>
      </c>
      <c r="I27" s="3"/>
    </row>
    <row r="28" spans="1:9" x14ac:dyDescent="0.25">
      <c r="A28" s="12"/>
      <c r="B28" s="3" t="s">
        <v>55</v>
      </c>
      <c r="C28" s="18">
        <f>SEP!E37</f>
        <v>-4996</v>
      </c>
      <c r="D28" s="3"/>
      <c r="E28" s="3"/>
      <c r="F28" s="3" t="s">
        <v>55</v>
      </c>
      <c r="G28" s="18">
        <f>SEP!I37</f>
        <v>-8296</v>
      </c>
      <c r="H28" s="3"/>
      <c r="I28" s="3"/>
    </row>
    <row r="29" spans="1:9" x14ac:dyDescent="0.25">
      <c r="A29" s="12"/>
      <c r="B29" s="3" t="s">
        <v>33</v>
      </c>
      <c r="C29" s="17"/>
      <c r="D29" s="3">
        <f>C27*D27</f>
        <v>2740</v>
      </c>
      <c r="E29" s="3"/>
      <c r="F29" s="3"/>
      <c r="G29" s="17"/>
      <c r="H29" s="3">
        <f>D29</f>
        <v>2740</v>
      </c>
      <c r="I29" s="3"/>
    </row>
    <row r="30" spans="1:9" x14ac:dyDescent="0.25">
      <c r="A30" s="12"/>
      <c r="B30" s="21"/>
      <c r="C30" s="18">
        <f>C27+C28</f>
        <v>22404</v>
      </c>
      <c r="D30" s="18"/>
      <c r="E30" s="18"/>
      <c r="F30" s="18"/>
      <c r="G30" s="18">
        <f>SUM(G27:G29)</f>
        <v>20054</v>
      </c>
      <c r="H30" s="3"/>
      <c r="I30" s="3"/>
    </row>
    <row r="31" spans="1:9" x14ac:dyDescent="0.25">
      <c r="A31" s="12"/>
      <c r="B31" s="24" t="s">
        <v>34</v>
      </c>
      <c r="C31" s="3"/>
      <c r="D31" s="3"/>
      <c r="E31" s="3"/>
      <c r="F31" s="3"/>
      <c r="G31" s="3"/>
      <c r="H31" s="3"/>
      <c r="I31" s="3"/>
    </row>
    <row r="32" spans="1:9" x14ac:dyDescent="0.25">
      <c r="A32" s="12"/>
      <c r="B32" s="33" t="s">
        <v>98</v>
      </c>
      <c r="C32" s="3"/>
      <c r="D32" s="3">
        <v>2000</v>
      </c>
      <c r="F32" s="33" t="s">
        <v>98</v>
      </c>
      <c r="G32" s="3"/>
      <c r="H32" s="3">
        <v>2000</v>
      </c>
      <c r="I32" s="3"/>
    </row>
    <row r="33" spans="1:9" x14ac:dyDescent="0.25">
      <c r="A33" s="12"/>
      <c r="B33" s="32">
        <v>43381</v>
      </c>
      <c r="C33" s="3"/>
      <c r="D33" s="3">
        <v>20000</v>
      </c>
      <c r="E33" s="3"/>
      <c r="F33" s="32">
        <v>43391</v>
      </c>
      <c r="G33" s="3"/>
      <c r="H33" s="3">
        <v>20000</v>
      </c>
      <c r="I33" s="3"/>
    </row>
    <row r="34" spans="1:9" x14ac:dyDescent="0.25">
      <c r="A34" s="12"/>
      <c r="B34" s="32">
        <v>43402</v>
      </c>
      <c r="C34" s="3"/>
      <c r="D34" s="3">
        <v>2000</v>
      </c>
      <c r="E34" s="3"/>
      <c r="F34" s="32">
        <v>43402</v>
      </c>
      <c r="G34" s="3"/>
      <c r="H34" s="3">
        <v>2000</v>
      </c>
      <c r="I34" s="3"/>
    </row>
    <row r="35" spans="1:9" x14ac:dyDescent="0.25">
      <c r="A35" s="12"/>
      <c r="B35" s="3"/>
      <c r="C35" s="3"/>
      <c r="D35" s="3"/>
      <c r="E35" s="3"/>
      <c r="F35" s="3"/>
      <c r="G35" s="3"/>
      <c r="H35" s="3"/>
      <c r="I35" s="3"/>
    </row>
    <row r="36" spans="1:9" x14ac:dyDescent="0.25">
      <c r="A36" s="12"/>
      <c r="B36" s="32"/>
      <c r="C36" s="30"/>
      <c r="D36" s="50"/>
      <c r="E36" s="30"/>
      <c r="F36" s="32"/>
      <c r="G36" s="3"/>
      <c r="H36" s="50"/>
      <c r="I36" s="3"/>
    </row>
    <row r="37" spans="1:9" x14ac:dyDescent="0.25">
      <c r="A37" s="12"/>
      <c r="B37" s="27" t="s">
        <v>24</v>
      </c>
      <c r="C37" s="18">
        <f>C30</f>
        <v>22404</v>
      </c>
      <c r="D37" s="3">
        <f>SUM(D29:D36)</f>
        <v>26740</v>
      </c>
      <c r="E37" s="18">
        <f>C37-D37</f>
        <v>-4336</v>
      </c>
      <c r="F37" s="17"/>
      <c r="G37" s="30">
        <f>G30</f>
        <v>20054</v>
      </c>
      <c r="H37" s="30">
        <f>SUM(H29:H36)</f>
        <v>26740</v>
      </c>
      <c r="I37" s="30">
        <f>G37-H37</f>
        <v>-6686</v>
      </c>
    </row>
    <row r="40" spans="1:9" x14ac:dyDescent="0.25">
      <c r="B40" s="12" t="s">
        <v>38</v>
      </c>
      <c r="D40" s="12" t="s">
        <v>36</v>
      </c>
      <c r="F40" s="12"/>
      <c r="G40" s="12" t="s">
        <v>37</v>
      </c>
    </row>
    <row r="41" spans="1:9" x14ac:dyDescent="0.25">
      <c r="D41" s="12"/>
      <c r="F41" s="12"/>
      <c r="G41" s="12"/>
    </row>
    <row r="42" spans="1:9" x14ac:dyDescent="0.25">
      <c r="B42" t="s">
        <v>65</v>
      </c>
      <c r="D42" t="s">
        <v>66</v>
      </c>
      <c r="G42" t="s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zoomScaleNormal="100" workbookViewId="0">
      <selection activeCell="L32" sqref="L32"/>
    </sheetView>
  </sheetViews>
  <sheetFormatPr defaultRowHeight="15" x14ac:dyDescent="0.25"/>
  <cols>
    <col min="1" max="1" width="4" customWidth="1"/>
    <col min="2" max="2" width="19" customWidth="1"/>
    <col min="3" max="3" width="9.140625" customWidth="1"/>
    <col min="4" max="4" width="7.42578125" customWidth="1"/>
    <col min="5" max="5" width="10.7109375" bestFit="1" customWidth="1"/>
    <col min="6" max="6" width="8.85546875" bestFit="1" customWidth="1"/>
  </cols>
  <sheetData>
    <row r="1" spans="1:9" ht="18.75" x14ac:dyDescent="0.25">
      <c r="C1" s="38" t="s">
        <v>59</v>
      </c>
      <c r="D1" s="39"/>
      <c r="E1" s="36"/>
      <c r="F1" s="34"/>
    </row>
    <row r="2" spans="1:9" ht="18.75" x14ac:dyDescent="0.25">
      <c r="C2" s="38" t="s">
        <v>60</v>
      </c>
      <c r="D2" s="38"/>
      <c r="E2" s="11"/>
      <c r="F2" s="11"/>
    </row>
    <row r="3" spans="1:9" ht="18.75" x14ac:dyDescent="0.25">
      <c r="C3" s="38" t="s">
        <v>100</v>
      </c>
      <c r="D3" s="38"/>
      <c r="E3" s="11"/>
      <c r="F3" s="11"/>
    </row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/>
      <c r="I4" s="1"/>
    </row>
    <row r="5" spans="1:9" x14ac:dyDescent="0.25">
      <c r="A5" s="3">
        <v>1</v>
      </c>
      <c r="B5" s="3" t="s">
        <v>49</v>
      </c>
      <c r="C5" s="3">
        <v>4000</v>
      </c>
      <c r="D5" s="3"/>
      <c r="E5" s="3">
        <f>C5+D5</f>
        <v>4000</v>
      </c>
      <c r="F5" s="3">
        <v>4000</v>
      </c>
      <c r="G5" s="3">
        <f>E5-F5</f>
        <v>0</v>
      </c>
      <c r="H5" s="3"/>
      <c r="I5" t="s">
        <v>51</v>
      </c>
    </row>
    <row r="6" spans="1:9" x14ac:dyDescent="0.25">
      <c r="A6" s="3">
        <v>2</v>
      </c>
      <c r="B6" t="s">
        <v>49</v>
      </c>
      <c r="C6" s="3">
        <v>2000</v>
      </c>
      <c r="D6" s="3"/>
      <c r="E6" s="3">
        <f>C6+D6</f>
        <v>2000</v>
      </c>
      <c r="F6" s="3">
        <v>2000</v>
      </c>
      <c r="G6" s="3">
        <f t="shared" ref="G6:G21" si="0">E6-F6</f>
        <v>0</v>
      </c>
      <c r="H6" s="3"/>
      <c r="I6" t="s">
        <v>51</v>
      </c>
    </row>
    <row r="7" spans="1:9" x14ac:dyDescent="0.25">
      <c r="A7" s="3">
        <v>3</v>
      </c>
      <c r="B7" s="3" t="s">
        <v>9</v>
      </c>
      <c r="C7" s="3">
        <v>2000</v>
      </c>
      <c r="D7" s="3"/>
      <c r="E7" s="3">
        <f t="shared" ref="E7:E21" si="1">C7+D7</f>
        <v>2000</v>
      </c>
      <c r="F7" s="3">
        <v>2000</v>
      </c>
      <c r="G7" s="3">
        <f t="shared" si="0"/>
        <v>0</v>
      </c>
      <c r="H7" s="3"/>
    </row>
    <row r="8" spans="1:9" x14ac:dyDescent="0.25">
      <c r="A8" s="3">
        <v>4</v>
      </c>
      <c r="B8" s="3" t="s">
        <v>74</v>
      </c>
      <c r="C8" s="3">
        <v>2000</v>
      </c>
      <c r="D8" s="3"/>
      <c r="E8" s="3">
        <f t="shared" si="1"/>
        <v>2000</v>
      </c>
      <c r="F8" s="3">
        <v>2000</v>
      </c>
      <c r="G8" s="3">
        <f t="shared" si="0"/>
        <v>0</v>
      </c>
      <c r="H8" s="3"/>
    </row>
    <row r="9" spans="1:9" x14ac:dyDescent="0.25">
      <c r="A9" s="3">
        <v>5</v>
      </c>
      <c r="B9" s="3" t="s">
        <v>11</v>
      </c>
      <c r="C9" s="3">
        <v>2200</v>
      </c>
      <c r="D9" s="3">
        <v>1300</v>
      </c>
      <c r="E9" s="3">
        <f>C9+D9</f>
        <v>3500</v>
      </c>
      <c r="F9" s="3">
        <v>2200</v>
      </c>
      <c r="G9" s="3">
        <f t="shared" si="0"/>
        <v>1300</v>
      </c>
      <c r="H9" s="3"/>
    </row>
    <row r="10" spans="1:9" x14ac:dyDescent="0.25">
      <c r="A10" s="3">
        <v>6</v>
      </c>
      <c r="B10" s="3" t="s">
        <v>94</v>
      </c>
      <c r="C10" s="3">
        <v>2000</v>
      </c>
      <c r="D10" s="3">
        <v>50</v>
      </c>
      <c r="E10" s="3">
        <f t="shared" si="1"/>
        <v>2050</v>
      </c>
      <c r="F10" s="3">
        <v>2000</v>
      </c>
      <c r="G10" s="3">
        <f t="shared" si="0"/>
        <v>50</v>
      </c>
      <c r="H10" s="3"/>
    </row>
    <row r="11" spans="1:9" x14ac:dyDescent="0.25">
      <c r="A11" s="3">
        <v>7</v>
      </c>
      <c r="B11" s="3" t="s">
        <v>13</v>
      </c>
      <c r="C11" s="3">
        <v>2000</v>
      </c>
      <c r="D11" s="3"/>
      <c r="E11" s="3">
        <f t="shared" si="1"/>
        <v>2000</v>
      </c>
      <c r="F11" s="3">
        <v>2000</v>
      </c>
      <c r="G11" s="3">
        <f t="shared" si="0"/>
        <v>0</v>
      </c>
      <c r="H11" s="3"/>
    </row>
    <row r="12" spans="1:9" x14ac:dyDescent="0.25">
      <c r="A12" s="3">
        <v>8</v>
      </c>
      <c r="B12" s="3" t="s">
        <v>49</v>
      </c>
      <c r="C12" s="3">
        <v>2000</v>
      </c>
      <c r="D12" s="3"/>
      <c r="E12" s="3">
        <f t="shared" si="1"/>
        <v>2000</v>
      </c>
      <c r="F12" s="3">
        <v>2000</v>
      </c>
      <c r="G12" s="3">
        <f t="shared" si="0"/>
        <v>0</v>
      </c>
      <c r="H12" s="3"/>
      <c r="I12" t="s">
        <v>51</v>
      </c>
    </row>
    <row r="13" spans="1:9" x14ac:dyDescent="0.25">
      <c r="A13" s="3">
        <v>9</v>
      </c>
      <c r="B13" s="3" t="s">
        <v>96</v>
      </c>
      <c r="C13" s="3">
        <v>2000</v>
      </c>
      <c r="D13" s="3"/>
      <c r="E13" s="3">
        <f t="shared" si="1"/>
        <v>2000</v>
      </c>
      <c r="F13" s="3">
        <v>2000</v>
      </c>
      <c r="G13" s="3">
        <f t="shared" si="0"/>
        <v>0</v>
      </c>
      <c r="H13" s="3"/>
    </row>
    <row r="14" spans="1:9" x14ac:dyDescent="0.25">
      <c r="A14" s="3">
        <v>10</v>
      </c>
      <c r="B14" s="3" t="s">
        <v>57</v>
      </c>
      <c r="C14" s="3">
        <v>2000</v>
      </c>
      <c r="D14" s="3"/>
      <c r="E14" s="3">
        <f t="shared" si="1"/>
        <v>2000</v>
      </c>
      <c r="F14" s="3">
        <v>2000</v>
      </c>
      <c r="G14" s="3">
        <f t="shared" si="0"/>
        <v>0</v>
      </c>
      <c r="H14" s="3"/>
    </row>
    <row r="15" spans="1:9" x14ac:dyDescent="0.25">
      <c r="A15" s="3">
        <v>11</v>
      </c>
      <c r="B15" s="3" t="s">
        <v>57</v>
      </c>
      <c r="C15" s="3">
        <v>2500</v>
      </c>
      <c r="D15" s="3"/>
      <c r="E15" s="3">
        <f t="shared" si="1"/>
        <v>2500</v>
      </c>
      <c r="F15" s="3">
        <v>2500</v>
      </c>
      <c r="G15" s="3">
        <f t="shared" si="0"/>
        <v>0</v>
      </c>
      <c r="H15" s="3"/>
    </row>
    <row r="16" spans="1:9" x14ac:dyDescent="0.25">
      <c r="A16" s="3">
        <v>12</v>
      </c>
      <c r="B16" s="3" t="s">
        <v>91</v>
      </c>
      <c r="C16" s="3">
        <v>2000</v>
      </c>
      <c r="D16" s="3"/>
      <c r="E16" s="3">
        <f t="shared" si="1"/>
        <v>2000</v>
      </c>
      <c r="F16" s="3">
        <v>2000</v>
      </c>
      <c r="G16" s="3">
        <f t="shared" si="0"/>
        <v>0</v>
      </c>
      <c r="H16" s="3"/>
    </row>
    <row r="17" spans="1:9" x14ac:dyDescent="0.25">
      <c r="A17" s="3">
        <v>13</v>
      </c>
      <c r="B17" s="3" t="s">
        <v>19</v>
      </c>
      <c r="C17" s="3">
        <v>2000</v>
      </c>
      <c r="D17" s="3"/>
      <c r="E17" s="3">
        <f t="shared" si="1"/>
        <v>2000</v>
      </c>
      <c r="F17" s="3">
        <v>2000</v>
      </c>
      <c r="G17" s="3">
        <f t="shared" si="0"/>
        <v>0</v>
      </c>
      <c r="H17" s="3"/>
    </row>
    <row r="18" spans="1:9" x14ac:dyDescent="0.25">
      <c r="A18" s="3">
        <v>14</v>
      </c>
      <c r="B18" s="3" t="s">
        <v>20</v>
      </c>
      <c r="C18" s="3">
        <v>2000</v>
      </c>
      <c r="D18" s="3"/>
      <c r="E18" s="3">
        <f t="shared" si="1"/>
        <v>2000</v>
      </c>
      <c r="F18" s="3">
        <v>2000</v>
      </c>
      <c r="G18" s="3">
        <f t="shared" si="0"/>
        <v>0</v>
      </c>
      <c r="H18" s="3"/>
    </row>
    <row r="19" spans="1:9" x14ac:dyDescent="0.25">
      <c r="A19" s="3">
        <v>15</v>
      </c>
      <c r="B19" s="3" t="s">
        <v>75</v>
      </c>
      <c r="C19" s="3">
        <v>2000</v>
      </c>
      <c r="D19" s="3">
        <v>1000</v>
      </c>
      <c r="E19" s="3">
        <f t="shared" si="1"/>
        <v>3000</v>
      </c>
      <c r="F19" s="3">
        <v>3000</v>
      </c>
      <c r="G19" s="3">
        <f t="shared" si="0"/>
        <v>0</v>
      </c>
      <c r="H19" s="3"/>
    </row>
    <row r="20" spans="1:9" x14ac:dyDescent="0.25">
      <c r="A20" s="3">
        <v>16</v>
      </c>
      <c r="B20" s="3" t="s">
        <v>86</v>
      </c>
      <c r="C20" s="3">
        <v>2000</v>
      </c>
      <c r="D20" s="3"/>
      <c r="E20" s="3">
        <f t="shared" si="1"/>
        <v>2000</v>
      </c>
      <c r="F20" s="3">
        <v>2000</v>
      </c>
      <c r="G20" s="3">
        <f t="shared" si="0"/>
        <v>0</v>
      </c>
      <c r="H20" s="3"/>
    </row>
    <row r="21" spans="1:9" x14ac:dyDescent="0.25">
      <c r="A21" s="3">
        <v>17</v>
      </c>
      <c r="B21" s="3" t="s">
        <v>73</v>
      </c>
      <c r="C21" s="3">
        <v>2000</v>
      </c>
      <c r="D21" s="3"/>
      <c r="E21" s="3">
        <f t="shared" si="1"/>
        <v>2000</v>
      </c>
      <c r="F21" s="3">
        <v>2000</v>
      </c>
      <c r="G21" s="3">
        <f t="shared" si="0"/>
        <v>0</v>
      </c>
      <c r="H21" s="3"/>
    </row>
    <row r="22" spans="1:9" x14ac:dyDescent="0.25">
      <c r="A22" s="2"/>
      <c r="B22" s="4" t="s">
        <v>24</v>
      </c>
      <c r="C22" s="2">
        <f>SUM(C5:C21)</f>
        <v>36700</v>
      </c>
      <c r="D22" s="2">
        <f>SUM(D5:D21)</f>
        <v>2350</v>
      </c>
      <c r="E22" s="2">
        <f>SUM(E5:E21)</f>
        <v>39050</v>
      </c>
      <c r="F22" s="2">
        <f>SUM(F5:F21)</f>
        <v>37700</v>
      </c>
      <c r="G22" s="2">
        <f>SUM(G5:G21)</f>
        <v>1350</v>
      </c>
      <c r="H22" s="2"/>
      <c r="I22" s="1"/>
    </row>
    <row r="23" spans="1:9" x14ac:dyDescent="0.25">
      <c r="A23" s="3"/>
      <c r="B23" s="3"/>
      <c r="C23" s="3"/>
      <c r="D23" s="3"/>
      <c r="E23" s="3"/>
      <c r="F23" s="3"/>
      <c r="G23" s="3"/>
      <c r="H23" s="3"/>
    </row>
    <row r="24" spans="1:9" x14ac:dyDescent="0.25">
      <c r="A24" s="12"/>
    </row>
    <row r="25" spans="1:9" ht="18.75" x14ac:dyDescent="0.3">
      <c r="A25" s="12"/>
      <c r="B25" s="31" t="s">
        <v>27</v>
      </c>
      <c r="C25" s="12"/>
      <c r="D25" s="12"/>
      <c r="E25" s="12"/>
      <c r="F25" s="12"/>
      <c r="G25" s="12"/>
    </row>
    <row r="26" spans="1:9" ht="15.75" x14ac:dyDescent="0.25">
      <c r="A26" s="12"/>
      <c r="B26" s="28" t="s">
        <v>28</v>
      </c>
      <c r="C26" s="28" t="s">
        <v>29</v>
      </c>
      <c r="D26" s="28" t="s">
        <v>30</v>
      </c>
      <c r="E26" s="28" t="s">
        <v>62</v>
      </c>
      <c r="F26" s="28" t="s">
        <v>69</v>
      </c>
      <c r="G26" s="28" t="s">
        <v>29</v>
      </c>
      <c r="H26" s="28" t="s">
        <v>30</v>
      </c>
      <c r="I26" s="28" t="s">
        <v>62</v>
      </c>
    </row>
    <row r="27" spans="1:9" x14ac:dyDescent="0.25">
      <c r="A27" s="12"/>
      <c r="B27" s="2" t="s">
        <v>101</v>
      </c>
      <c r="C27" s="18">
        <f>C22</f>
        <v>36700</v>
      </c>
      <c r="D27" s="5">
        <v>0.1</v>
      </c>
      <c r="E27" s="18">
        <f>C27-C28</f>
        <v>41036</v>
      </c>
      <c r="F27" s="42" t="s">
        <v>101</v>
      </c>
      <c r="G27" s="18">
        <f>F22</f>
        <v>37700</v>
      </c>
      <c r="H27" s="5">
        <v>0.1</v>
      </c>
      <c r="I27" s="3"/>
    </row>
    <row r="28" spans="1:9" x14ac:dyDescent="0.25">
      <c r="A28" s="12"/>
      <c r="B28" s="3" t="s">
        <v>55</v>
      </c>
      <c r="C28" s="18">
        <f>OCT!E37</f>
        <v>-4336</v>
      </c>
      <c r="D28" s="3"/>
      <c r="E28" s="3"/>
      <c r="F28" s="3" t="s">
        <v>55</v>
      </c>
      <c r="G28" s="18">
        <f>OCT!I37</f>
        <v>-6686</v>
      </c>
      <c r="H28" s="3"/>
      <c r="I28" s="3"/>
    </row>
    <row r="29" spans="1:9" x14ac:dyDescent="0.25">
      <c r="A29" s="12"/>
      <c r="B29" s="3" t="s">
        <v>33</v>
      </c>
      <c r="C29" s="17"/>
      <c r="D29" s="3">
        <f>C27*D27</f>
        <v>3670</v>
      </c>
      <c r="E29" s="3"/>
      <c r="F29" s="3"/>
      <c r="G29" s="17"/>
      <c r="H29" s="3">
        <f>D29</f>
        <v>3670</v>
      </c>
      <c r="I29" s="3"/>
    </row>
    <row r="30" spans="1:9" x14ac:dyDescent="0.25">
      <c r="A30" s="12"/>
      <c r="B30" s="21"/>
      <c r="C30" s="18">
        <f>C27+C28</f>
        <v>32364</v>
      </c>
      <c r="D30" s="18"/>
      <c r="E30" s="18"/>
      <c r="F30" s="18"/>
      <c r="G30" s="18">
        <f>SUM(G27:G29)</f>
        <v>31014</v>
      </c>
      <c r="H30" s="3"/>
      <c r="I30" s="3"/>
    </row>
    <row r="31" spans="1:9" x14ac:dyDescent="0.25">
      <c r="A31" s="12"/>
      <c r="B31" s="24" t="s">
        <v>34</v>
      </c>
      <c r="C31" s="3"/>
      <c r="D31" s="3"/>
      <c r="E31" s="3"/>
      <c r="F31" s="3"/>
      <c r="G31" s="3"/>
      <c r="H31" s="3"/>
      <c r="I31" s="3"/>
    </row>
    <row r="32" spans="1:9" x14ac:dyDescent="0.25">
      <c r="A32" s="12"/>
      <c r="B32" s="33">
        <v>43412</v>
      </c>
      <c r="C32" s="3"/>
      <c r="D32" s="3">
        <v>5061</v>
      </c>
      <c r="F32" s="33">
        <v>43412</v>
      </c>
      <c r="G32" s="3"/>
      <c r="H32" s="3">
        <v>5061</v>
      </c>
      <c r="I32" s="3"/>
    </row>
    <row r="33" spans="1:9" x14ac:dyDescent="0.25">
      <c r="A33" s="12"/>
      <c r="B33" s="32">
        <v>43413</v>
      </c>
      <c r="C33" s="3"/>
      <c r="D33" s="3">
        <v>16433</v>
      </c>
      <c r="E33" s="3"/>
      <c r="F33" s="32">
        <v>43413</v>
      </c>
      <c r="G33" s="3"/>
      <c r="H33" s="3">
        <v>16433</v>
      </c>
      <c r="I33" s="3"/>
    </row>
    <row r="34" spans="1:9" x14ac:dyDescent="0.25">
      <c r="A34" s="12"/>
      <c r="B34" s="32">
        <v>43430</v>
      </c>
      <c r="C34" s="3"/>
      <c r="D34" s="3">
        <v>3106</v>
      </c>
      <c r="E34" s="3"/>
      <c r="F34" s="32">
        <v>43430</v>
      </c>
      <c r="G34" s="3"/>
      <c r="H34" s="3">
        <v>3106</v>
      </c>
      <c r="I34" s="3"/>
    </row>
    <row r="35" spans="1:9" x14ac:dyDescent="0.25">
      <c r="A35" s="12"/>
      <c r="B35" s="32" t="s">
        <v>52</v>
      </c>
      <c r="C35" s="3"/>
      <c r="D35" s="3">
        <f>C5+C6+C12</f>
        <v>8000</v>
      </c>
      <c r="E35" s="3"/>
      <c r="F35" s="32" t="s">
        <v>52</v>
      </c>
      <c r="G35" s="3"/>
      <c r="H35" s="3">
        <f>D35</f>
        <v>8000</v>
      </c>
      <c r="I35" s="3"/>
    </row>
    <row r="36" spans="1:9" x14ac:dyDescent="0.25">
      <c r="A36" s="12"/>
      <c r="B36" s="32"/>
      <c r="C36" s="30"/>
      <c r="D36" s="50"/>
      <c r="E36" s="30"/>
      <c r="F36" s="32"/>
      <c r="G36" s="3"/>
      <c r="H36" s="50"/>
      <c r="I36" s="3"/>
    </row>
    <row r="37" spans="1:9" x14ac:dyDescent="0.25">
      <c r="A37" s="12"/>
      <c r="B37" s="27" t="s">
        <v>24</v>
      </c>
      <c r="C37" s="18">
        <f>C27+C28-D29</f>
        <v>28694</v>
      </c>
      <c r="D37" s="3">
        <f>SUM(D32:D36)</f>
        <v>32600</v>
      </c>
      <c r="E37" s="18">
        <f>C37-D37</f>
        <v>-3906</v>
      </c>
      <c r="F37" s="17"/>
      <c r="G37" s="30">
        <f>G27+G28-H29</f>
        <v>27344</v>
      </c>
      <c r="H37" s="30">
        <f>SUM(H32:H36)</f>
        <v>32600</v>
      </c>
      <c r="I37" s="30">
        <f>G37-H37</f>
        <v>-5256</v>
      </c>
    </row>
    <row r="40" spans="1:9" x14ac:dyDescent="0.25">
      <c r="B40" s="12" t="s">
        <v>38</v>
      </c>
      <c r="D40" s="12" t="s">
        <v>36</v>
      </c>
      <c r="F40" s="12"/>
      <c r="G40" s="12" t="s">
        <v>37</v>
      </c>
    </row>
    <row r="41" spans="1:9" x14ac:dyDescent="0.25">
      <c r="D41" s="12"/>
      <c r="F41" s="12"/>
      <c r="G41" s="12"/>
    </row>
    <row r="42" spans="1:9" x14ac:dyDescent="0.25">
      <c r="B42" t="s">
        <v>65</v>
      </c>
      <c r="D42" t="s">
        <v>66</v>
      </c>
      <c r="G42" t="s">
        <v>10</v>
      </c>
    </row>
  </sheetData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zoomScaleNormal="100" workbookViewId="0">
      <selection activeCell="F14" sqref="F14"/>
    </sheetView>
  </sheetViews>
  <sheetFormatPr defaultRowHeight="15" x14ac:dyDescent="0.25"/>
  <cols>
    <col min="1" max="1" width="4" customWidth="1"/>
    <col min="2" max="2" width="19" customWidth="1"/>
    <col min="3" max="3" width="9.140625" customWidth="1"/>
    <col min="4" max="4" width="7.42578125" customWidth="1"/>
    <col min="5" max="5" width="10.5703125" customWidth="1"/>
    <col min="6" max="6" width="8.85546875" bestFit="1" customWidth="1"/>
  </cols>
  <sheetData>
    <row r="1" spans="1:9" ht="18.75" x14ac:dyDescent="0.25">
      <c r="C1" s="38" t="s">
        <v>59</v>
      </c>
      <c r="D1" s="39"/>
      <c r="E1" s="36"/>
      <c r="F1" s="34"/>
    </row>
    <row r="2" spans="1:9" ht="18.75" x14ac:dyDescent="0.25">
      <c r="C2" s="38" t="s">
        <v>60</v>
      </c>
      <c r="D2" s="38"/>
      <c r="E2" s="11"/>
      <c r="F2" s="11"/>
    </row>
    <row r="3" spans="1:9" ht="18.75" x14ac:dyDescent="0.25">
      <c r="C3" s="38" t="s">
        <v>102</v>
      </c>
      <c r="D3" s="38"/>
      <c r="E3" s="11"/>
      <c r="F3" s="11"/>
    </row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/>
      <c r="I4" s="1"/>
    </row>
    <row r="5" spans="1:9" x14ac:dyDescent="0.25">
      <c r="A5" s="3">
        <v>1</v>
      </c>
      <c r="B5" s="3" t="s">
        <v>104</v>
      </c>
      <c r="C5" s="3">
        <v>4000</v>
      </c>
      <c r="D5" s="3"/>
      <c r="E5" s="3">
        <f>C5+D5</f>
        <v>4000</v>
      </c>
      <c r="F5" s="3">
        <v>4000</v>
      </c>
      <c r="G5" s="3">
        <f>E5-F5</f>
        <v>0</v>
      </c>
      <c r="H5" s="3"/>
    </row>
    <row r="6" spans="1:9" x14ac:dyDescent="0.25">
      <c r="A6" s="3">
        <v>2</v>
      </c>
      <c r="B6" t="s">
        <v>49</v>
      </c>
      <c r="C6" s="3">
        <v>2000</v>
      </c>
      <c r="D6" s="3"/>
      <c r="E6" s="3">
        <f>C6+D6</f>
        <v>2000</v>
      </c>
      <c r="F6" s="3">
        <v>2000</v>
      </c>
      <c r="G6" s="3">
        <f t="shared" ref="G6:G21" si="0">E6-F6</f>
        <v>0</v>
      </c>
      <c r="H6" s="3"/>
    </row>
    <row r="7" spans="1:9" x14ac:dyDescent="0.25">
      <c r="A7" s="3">
        <v>3</v>
      </c>
      <c r="B7" s="3" t="s">
        <v>9</v>
      </c>
      <c r="C7" s="3">
        <v>2000</v>
      </c>
      <c r="D7" s="3"/>
      <c r="E7" s="3">
        <f t="shared" ref="E7:E21" si="1">C7+D7</f>
        <v>2000</v>
      </c>
      <c r="F7" s="3">
        <v>2000</v>
      </c>
      <c r="G7" s="3">
        <f t="shared" si="0"/>
        <v>0</v>
      </c>
      <c r="H7" s="3"/>
    </row>
    <row r="8" spans="1:9" x14ac:dyDescent="0.25">
      <c r="A8" s="3">
        <v>4</v>
      </c>
      <c r="B8" s="3" t="s">
        <v>74</v>
      </c>
      <c r="C8" s="3">
        <v>2000</v>
      </c>
      <c r="D8" s="3"/>
      <c r="E8" s="3">
        <f t="shared" si="1"/>
        <v>2000</v>
      </c>
      <c r="F8" s="3">
        <v>2000</v>
      </c>
      <c r="G8" s="3">
        <f t="shared" si="0"/>
        <v>0</v>
      </c>
      <c r="H8" s="3"/>
      <c r="I8" t="s">
        <v>51</v>
      </c>
    </row>
    <row r="9" spans="1:9" x14ac:dyDescent="0.25">
      <c r="A9" s="3">
        <v>5</v>
      </c>
      <c r="B9" s="3" t="s">
        <v>11</v>
      </c>
      <c r="C9" s="3">
        <v>2200</v>
      </c>
      <c r="D9" s="3">
        <v>1300</v>
      </c>
      <c r="E9" s="3">
        <f>C9+D9</f>
        <v>3500</v>
      </c>
      <c r="F9" s="3">
        <v>2200</v>
      </c>
      <c r="G9" s="3">
        <f t="shared" si="0"/>
        <v>1300</v>
      </c>
      <c r="H9" s="3"/>
    </row>
    <row r="10" spans="1:9" x14ac:dyDescent="0.25">
      <c r="A10" s="3">
        <v>6</v>
      </c>
      <c r="B10" s="3" t="s">
        <v>94</v>
      </c>
      <c r="C10" s="3">
        <v>2000</v>
      </c>
      <c r="D10" s="3">
        <v>50</v>
      </c>
      <c r="E10" s="3">
        <f t="shared" si="1"/>
        <v>2050</v>
      </c>
      <c r="F10" s="3">
        <v>2000</v>
      </c>
      <c r="G10" s="3">
        <f t="shared" si="0"/>
        <v>50</v>
      </c>
      <c r="H10" s="3"/>
    </row>
    <row r="11" spans="1:9" x14ac:dyDescent="0.25">
      <c r="A11" s="3">
        <v>7</v>
      </c>
      <c r="B11" s="3" t="s">
        <v>13</v>
      </c>
      <c r="C11" s="3">
        <v>2000</v>
      </c>
      <c r="D11" s="3"/>
      <c r="E11" s="3">
        <f t="shared" si="1"/>
        <v>2000</v>
      </c>
      <c r="F11" s="3">
        <v>2000</v>
      </c>
      <c r="G11" s="3">
        <f t="shared" si="0"/>
        <v>0</v>
      </c>
      <c r="H11" s="3"/>
    </row>
    <row r="12" spans="1:9" x14ac:dyDescent="0.25">
      <c r="A12" s="3">
        <v>8</v>
      </c>
      <c r="B12" s="3" t="s">
        <v>105</v>
      </c>
      <c r="C12" s="3">
        <v>2000</v>
      </c>
      <c r="D12" s="3"/>
      <c r="E12" s="3">
        <f t="shared" si="1"/>
        <v>2000</v>
      </c>
      <c r="F12" s="3">
        <v>2000</v>
      </c>
      <c r="G12" s="3">
        <f t="shared" si="0"/>
        <v>0</v>
      </c>
      <c r="H12" s="3"/>
    </row>
    <row r="13" spans="1:9" x14ac:dyDescent="0.25">
      <c r="A13" s="3">
        <v>9</v>
      </c>
      <c r="B13" s="3" t="s">
        <v>96</v>
      </c>
      <c r="C13" s="3">
        <v>2000</v>
      </c>
      <c r="D13" s="3"/>
      <c r="E13" s="3">
        <f t="shared" si="1"/>
        <v>2000</v>
      </c>
      <c r="F13" s="3">
        <v>2000</v>
      </c>
      <c r="G13" s="3">
        <f t="shared" si="0"/>
        <v>0</v>
      </c>
      <c r="H13" s="3"/>
    </row>
    <row r="14" spans="1:9" x14ac:dyDescent="0.25">
      <c r="A14" s="3">
        <v>10</v>
      </c>
      <c r="B14" s="3" t="s">
        <v>57</v>
      </c>
      <c r="C14" s="3">
        <v>2000</v>
      </c>
      <c r="D14" s="3"/>
      <c r="E14" s="3">
        <f t="shared" si="1"/>
        <v>2000</v>
      </c>
      <c r="F14" s="3">
        <v>2000</v>
      </c>
      <c r="G14" s="3">
        <f t="shared" si="0"/>
        <v>0</v>
      </c>
      <c r="H14" s="3"/>
    </row>
    <row r="15" spans="1:9" x14ac:dyDescent="0.25">
      <c r="A15" s="3">
        <v>11</v>
      </c>
      <c r="B15" s="3" t="s">
        <v>57</v>
      </c>
      <c r="C15" s="3">
        <v>2500</v>
      </c>
      <c r="D15" s="3"/>
      <c r="E15" s="3">
        <f t="shared" si="1"/>
        <v>2500</v>
      </c>
      <c r="F15" s="3">
        <v>2500</v>
      </c>
      <c r="G15" s="3">
        <f t="shared" si="0"/>
        <v>0</v>
      </c>
      <c r="H15" s="3"/>
    </row>
    <row r="16" spans="1:9" x14ac:dyDescent="0.25">
      <c r="A16" s="3">
        <v>12</v>
      </c>
      <c r="B16" s="3" t="s">
        <v>91</v>
      </c>
      <c r="C16" s="3">
        <v>2000</v>
      </c>
      <c r="D16" s="3"/>
      <c r="E16" s="3">
        <f t="shared" si="1"/>
        <v>2000</v>
      </c>
      <c r="F16" s="3">
        <v>2000</v>
      </c>
      <c r="G16" s="3">
        <f t="shared" si="0"/>
        <v>0</v>
      </c>
      <c r="H16" s="3"/>
    </row>
    <row r="17" spans="1:9" x14ac:dyDescent="0.25">
      <c r="A17" s="3">
        <v>13</v>
      </c>
      <c r="B17" s="3" t="s">
        <v>19</v>
      </c>
      <c r="C17" s="3">
        <v>2000</v>
      </c>
      <c r="D17" s="3"/>
      <c r="E17" s="3">
        <f t="shared" si="1"/>
        <v>2000</v>
      </c>
      <c r="F17" s="3">
        <v>2000</v>
      </c>
      <c r="G17" s="3">
        <f t="shared" si="0"/>
        <v>0</v>
      </c>
      <c r="H17" s="3"/>
    </row>
    <row r="18" spans="1:9" x14ac:dyDescent="0.25">
      <c r="A18" s="3">
        <v>14</v>
      </c>
      <c r="B18" s="3" t="s">
        <v>20</v>
      </c>
      <c r="C18" s="3">
        <v>2000</v>
      </c>
      <c r="D18" s="3"/>
      <c r="E18" s="3">
        <f t="shared" si="1"/>
        <v>2000</v>
      </c>
      <c r="F18" s="3">
        <v>2000</v>
      </c>
      <c r="G18" s="3">
        <f t="shared" si="0"/>
        <v>0</v>
      </c>
      <c r="H18" s="3"/>
    </row>
    <row r="19" spans="1:9" x14ac:dyDescent="0.25">
      <c r="A19" s="3">
        <v>15</v>
      </c>
      <c r="B19" s="3" t="s">
        <v>75</v>
      </c>
      <c r="C19" s="3">
        <v>2000</v>
      </c>
      <c r="D19" s="3"/>
      <c r="E19" s="3">
        <f t="shared" si="1"/>
        <v>2000</v>
      </c>
      <c r="F19" s="3">
        <v>2000</v>
      </c>
      <c r="G19" s="3">
        <f t="shared" si="0"/>
        <v>0</v>
      </c>
      <c r="H19" s="3"/>
    </row>
    <row r="20" spans="1:9" x14ac:dyDescent="0.25">
      <c r="A20" s="3">
        <v>16</v>
      </c>
      <c r="B20" s="3" t="s">
        <v>86</v>
      </c>
      <c r="C20" s="3">
        <v>2000</v>
      </c>
      <c r="D20" s="3"/>
      <c r="E20" s="3">
        <f t="shared" si="1"/>
        <v>2000</v>
      </c>
      <c r="F20" s="3">
        <v>2000</v>
      </c>
      <c r="G20" s="3">
        <f t="shared" si="0"/>
        <v>0</v>
      </c>
      <c r="H20" s="3"/>
    </row>
    <row r="21" spans="1:9" x14ac:dyDescent="0.25">
      <c r="A21" s="3">
        <v>17</v>
      </c>
      <c r="B21" s="3" t="s">
        <v>73</v>
      </c>
      <c r="C21" s="3">
        <v>2000</v>
      </c>
      <c r="D21" s="3"/>
      <c r="E21" s="3">
        <f t="shared" si="1"/>
        <v>2000</v>
      </c>
      <c r="F21" s="3">
        <v>2000</v>
      </c>
      <c r="G21" s="3">
        <f t="shared" si="0"/>
        <v>0</v>
      </c>
      <c r="H21" s="3"/>
    </row>
    <row r="22" spans="1:9" x14ac:dyDescent="0.25">
      <c r="A22" s="2"/>
      <c r="B22" s="4" t="s">
        <v>24</v>
      </c>
      <c r="C22" s="2">
        <f>SUM(C5:C21)</f>
        <v>36700</v>
      </c>
      <c r="D22" s="2">
        <f>SUM(D5:D21)</f>
        <v>1350</v>
      </c>
      <c r="E22" s="2">
        <f>SUM(E5:E21)</f>
        <v>38050</v>
      </c>
      <c r="F22" s="2">
        <f>SUM(F5:F21)</f>
        <v>36700</v>
      </c>
      <c r="G22" s="2">
        <f>SUM(G5:G21)</f>
        <v>1350</v>
      </c>
      <c r="H22" s="2"/>
      <c r="I22" s="1"/>
    </row>
    <row r="23" spans="1:9" x14ac:dyDescent="0.25">
      <c r="A23" s="3"/>
      <c r="B23" s="3"/>
      <c r="C23" s="3"/>
      <c r="D23" s="3"/>
      <c r="E23" s="3"/>
      <c r="F23" s="3"/>
      <c r="G23" s="3"/>
      <c r="H23" s="3"/>
    </row>
    <row r="24" spans="1:9" x14ac:dyDescent="0.25">
      <c r="A24" s="12"/>
    </row>
    <row r="25" spans="1:9" ht="18.75" x14ac:dyDescent="0.3">
      <c r="A25" s="12"/>
      <c r="B25" s="31" t="s">
        <v>27</v>
      </c>
      <c r="C25" s="12"/>
      <c r="D25" s="12"/>
      <c r="E25" s="12"/>
      <c r="F25" s="12"/>
      <c r="G25" s="12"/>
    </row>
    <row r="26" spans="1:9" ht="15.75" x14ac:dyDescent="0.25">
      <c r="A26" s="12"/>
      <c r="B26" s="28" t="s">
        <v>28</v>
      </c>
      <c r="C26" s="28" t="s">
        <v>29</v>
      </c>
      <c r="D26" s="28" t="s">
        <v>30</v>
      </c>
      <c r="E26" s="28" t="s">
        <v>62</v>
      </c>
      <c r="F26" s="28" t="s">
        <v>69</v>
      </c>
      <c r="G26" s="28" t="s">
        <v>29</v>
      </c>
      <c r="H26" s="28" t="s">
        <v>30</v>
      </c>
      <c r="I26" s="28" t="s">
        <v>62</v>
      </c>
    </row>
    <row r="27" spans="1:9" x14ac:dyDescent="0.25">
      <c r="A27" s="12"/>
      <c r="B27" s="2" t="s">
        <v>103</v>
      </c>
      <c r="C27" s="18">
        <f>C22</f>
        <v>36700</v>
      </c>
      <c r="D27" s="5">
        <v>0.1</v>
      </c>
      <c r="E27" s="18"/>
      <c r="F27" s="42" t="s">
        <v>103</v>
      </c>
      <c r="G27" s="18">
        <f>F22</f>
        <v>36700</v>
      </c>
      <c r="H27" s="5">
        <v>0.1</v>
      </c>
      <c r="I27" s="3"/>
    </row>
    <row r="28" spans="1:9" x14ac:dyDescent="0.25">
      <c r="A28" s="12"/>
      <c r="B28" s="3" t="s">
        <v>55</v>
      </c>
      <c r="C28" s="18">
        <f>'NOVEMBER '!E37</f>
        <v>-3906</v>
      </c>
      <c r="D28" s="3"/>
      <c r="E28" s="3"/>
      <c r="F28" s="3" t="s">
        <v>55</v>
      </c>
      <c r="G28" s="18">
        <f>'NOVEMBER '!I37</f>
        <v>-5256</v>
      </c>
      <c r="H28" s="3"/>
      <c r="I28" s="3"/>
    </row>
    <row r="29" spans="1:9" x14ac:dyDescent="0.25">
      <c r="A29" s="12"/>
      <c r="B29" s="3" t="s">
        <v>33</v>
      </c>
      <c r="C29" s="17"/>
      <c r="D29" s="3">
        <f>C27*D27</f>
        <v>3670</v>
      </c>
      <c r="E29" s="3"/>
      <c r="F29" s="3"/>
      <c r="G29" s="17"/>
      <c r="H29" s="3">
        <f>D29</f>
        <v>3670</v>
      </c>
      <c r="I29" s="3"/>
    </row>
    <row r="30" spans="1:9" x14ac:dyDescent="0.25">
      <c r="A30" s="12"/>
      <c r="B30" s="21"/>
      <c r="C30" s="18"/>
      <c r="D30" s="18"/>
      <c r="E30" s="18"/>
      <c r="F30" s="18"/>
      <c r="G30" s="18"/>
      <c r="H30" s="3"/>
      <c r="I30" s="3"/>
    </row>
    <row r="31" spans="1:9" x14ac:dyDescent="0.25">
      <c r="A31" s="12"/>
      <c r="B31" s="24" t="s">
        <v>34</v>
      </c>
      <c r="C31" s="3"/>
      <c r="D31" s="3"/>
      <c r="E31" s="3"/>
      <c r="F31" s="24" t="s">
        <v>34</v>
      </c>
      <c r="G31" s="3"/>
      <c r="H31" s="3"/>
      <c r="I31" s="3"/>
    </row>
    <row r="32" spans="1:9" x14ac:dyDescent="0.25">
      <c r="A32" s="12"/>
      <c r="B32" s="33">
        <v>43440</v>
      </c>
      <c r="C32" s="3"/>
      <c r="D32" s="3">
        <v>29124</v>
      </c>
      <c r="F32" s="33">
        <v>43440</v>
      </c>
      <c r="G32" s="3"/>
      <c r="H32" s="3">
        <v>29124</v>
      </c>
      <c r="I32" s="3"/>
    </row>
    <row r="33" spans="1:9" x14ac:dyDescent="0.25">
      <c r="A33" s="12"/>
      <c r="B33" s="32" t="s">
        <v>106</v>
      </c>
      <c r="C33" s="3"/>
      <c r="D33" s="3">
        <v>2000</v>
      </c>
      <c r="E33" s="3"/>
      <c r="F33" s="32" t="s">
        <v>106</v>
      </c>
      <c r="G33" s="3"/>
      <c r="H33" s="3">
        <v>2000</v>
      </c>
      <c r="I33" s="3"/>
    </row>
    <row r="34" spans="1:9" x14ac:dyDescent="0.25">
      <c r="A34" s="12"/>
      <c r="B34" s="32" t="s">
        <v>109</v>
      </c>
      <c r="C34" s="3"/>
      <c r="D34" s="3">
        <v>1000</v>
      </c>
      <c r="E34" s="3"/>
      <c r="F34" s="32" t="s">
        <v>109</v>
      </c>
      <c r="G34" s="3"/>
      <c r="H34" s="3">
        <v>1000</v>
      </c>
      <c r="I34" s="3"/>
    </row>
    <row r="35" spans="1:9" x14ac:dyDescent="0.25">
      <c r="A35" s="12"/>
      <c r="B35" s="32"/>
      <c r="C35" s="3"/>
      <c r="D35" s="3"/>
      <c r="E35" s="3"/>
      <c r="F35" s="32"/>
      <c r="G35" s="3"/>
      <c r="H35" s="3"/>
      <c r="I35" s="3"/>
    </row>
    <row r="36" spans="1:9" x14ac:dyDescent="0.25">
      <c r="A36" s="12"/>
      <c r="B36" s="32"/>
      <c r="C36" s="30"/>
      <c r="D36" s="50"/>
      <c r="E36" s="30"/>
      <c r="F36" s="32"/>
      <c r="G36" s="3"/>
      <c r="H36" s="50"/>
      <c r="I36" s="3"/>
    </row>
    <row r="37" spans="1:9" x14ac:dyDescent="0.25">
      <c r="A37" s="12"/>
      <c r="B37" s="27" t="s">
        <v>24</v>
      </c>
      <c r="C37" s="18">
        <f>C27+C28-D29</f>
        <v>29124</v>
      </c>
      <c r="D37" s="3">
        <f>SUM(D32:D36)</f>
        <v>32124</v>
      </c>
      <c r="E37" s="18">
        <f>C37-D37</f>
        <v>-3000</v>
      </c>
      <c r="F37" s="17"/>
      <c r="G37" s="30">
        <f>G27+G28-H29</f>
        <v>27774</v>
      </c>
      <c r="H37" s="30">
        <f>SUM(H32:H36)</f>
        <v>32124</v>
      </c>
      <c r="I37" s="30">
        <f>G37-H37</f>
        <v>-4350</v>
      </c>
    </row>
    <row r="40" spans="1:9" x14ac:dyDescent="0.25">
      <c r="B40" s="12" t="s">
        <v>38</v>
      </c>
      <c r="D40" s="12" t="s">
        <v>36</v>
      </c>
      <c r="F40" s="12"/>
      <c r="G40" s="12" t="s">
        <v>37</v>
      </c>
    </row>
    <row r="41" spans="1:9" x14ac:dyDescent="0.25">
      <c r="D41" s="12"/>
      <c r="F41" s="12"/>
      <c r="G41" s="12"/>
    </row>
    <row r="42" spans="1:9" x14ac:dyDescent="0.25">
      <c r="B42" t="s">
        <v>65</v>
      </c>
      <c r="D42" t="s">
        <v>66</v>
      </c>
      <c r="G42" t="s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F11" sqref="F11"/>
    </sheetView>
  </sheetViews>
  <sheetFormatPr defaultRowHeight="15" x14ac:dyDescent="0.25"/>
  <cols>
    <col min="1" max="1" width="4" customWidth="1"/>
    <col min="2" max="2" width="19" customWidth="1"/>
    <col min="3" max="3" width="9.140625" customWidth="1"/>
    <col min="4" max="4" width="7.42578125" customWidth="1"/>
    <col min="5" max="5" width="10.5703125" customWidth="1"/>
    <col min="6" max="6" width="8.85546875" bestFit="1" customWidth="1"/>
  </cols>
  <sheetData>
    <row r="1" spans="1:9" ht="18.75" x14ac:dyDescent="0.25">
      <c r="C1" s="38" t="s">
        <v>59</v>
      </c>
      <c r="D1" s="39"/>
      <c r="E1" s="36"/>
      <c r="F1" s="34"/>
    </row>
    <row r="2" spans="1:9" ht="18.75" x14ac:dyDescent="0.25">
      <c r="C2" s="38" t="s">
        <v>60</v>
      </c>
      <c r="D2" s="38"/>
      <c r="E2" s="11"/>
      <c r="F2" s="11"/>
    </row>
    <row r="3" spans="1:9" ht="18.75" x14ac:dyDescent="0.25">
      <c r="C3" s="38" t="s">
        <v>107</v>
      </c>
      <c r="D3" s="38"/>
      <c r="E3" s="11"/>
      <c r="F3" s="11"/>
    </row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/>
      <c r="I4" s="1"/>
    </row>
    <row r="5" spans="1:9" x14ac:dyDescent="0.25">
      <c r="A5" s="3">
        <v>1</v>
      </c>
      <c r="B5" s="3" t="s">
        <v>104</v>
      </c>
      <c r="C5" s="3">
        <v>4000</v>
      </c>
      <c r="D5" s="3"/>
      <c r="E5" s="3">
        <f>C5+D5</f>
        <v>4000</v>
      </c>
      <c r="F5" s="3">
        <v>4000</v>
      </c>
      <c r="G5" s="3">
        <f>E5-F5</f>
        <v>0</v>
      </c>
      <c r="H5" s="3"/>
      <c r="I5" t="s">
        <v>51</v>
      </c>
    </row>
    <row r="6" spans="1:9" x14ac:dyDescent="0.25">
      <c r="A6" s="3">
        <v>2</v>
      </c>
      <c r="B6" t="s">
        <v>49</v>
      </c>
      <c r="C6" s="3">
        <v>2000</v>
      </c>
      <c r="D6" s="3"/>
      <c r="E6" s="3">
        <f>C6+D6</f>
        <v>2000</v>
      </c>
      <c r="F6" s="3">
        <v>2000</v>
      </c>
      <c r="G6" s="3">
        <f t="shared" ref="G6:G21" si="0">E6-F6</f>
        <v>0</v>
      </c>
      <c r="H6" s="3"/>
    </row>
    <row r="7" spans="1:9" x14ac:dyDescent="0.25">
      <c r="A7" s="3">
        <v>3</v>
      </c>
      <c r="B7" s="3" t="s">
        <v>9</v>
      </c>
      <c r="C7" s="3">
        <v>2000</v>
      </c>
      <c r="D7" s="3"/>
      <c r="E7" s="3">
        <f t="shared" ref="E7:E21" si="1">C7+D7</f>
        <v>2000</v>
      </c>
      <c r="F7" s="3">
        <v>2000</v>
      </c>
      <c r="G7" s="3">
        <f t="shared" si="0"/>
        <v>0</v>
      </c>
      <c r="H7" s="3"/>
    </row>
    <row r="8" spans="1:9" x14ac:dyDescent="0.25">
      <c r="A8" s="3">
        <v>4</v>
      </c>
      <c r="B8" s="3" t="s">
        <v>74</v>
      </c>
      <c r="C8" s="3">
        <v>2000</v>
      </c>
      <c r="D8" s="3"/>
      <c r="E8" s="3">
        <f t="shared" si="1"/>
        <v>2000</v>
      </c>
      <c r="F8" s="3">
        <v>2000</v>
      </c>
      <c r="G8" s="3">
        <f t="shared" si="0"/>
        <v>0</v>
      </c>
      <c r="H8" s="3"/>
    </row>
    <row r="9" spans="1:9" x14ac:dyDescent="0.25">
      <c r="A9" s="3">
        <v>5</v>
      </c>
      <c r="B9" s="3" t="s">
        <v>11</v>
      </c>
      <c r="C9" s="3">
        <v>2200</v>
      </c>
      <c r="D9" s="3">
        <v>1300</v>
      </c>
      <c r="E9" s="3">
        <f>C9+D9</f>
        <v>3500</v>
      </c>
      <c r="F9" s="3">
        <v>2200</v>
      </c>
      <c r="G9" s="3">
        <f t="shared" si="0"/>
        <v>1300</v>
      </c>
      <c r="H9" s="3"/>
    </row>
    <row r="10" spans="1:9" x14ac:dyDescent="0.25">
      <c r="A10" s="3">
        <v>6</v>
      </c>
      <c r="B10" s="3" t="s">
        <v>94</v>
      </c>
      <c r="C10" s="3">
        <v>2000</v>
      </c>
      <c r="D10" s="3">
        <v>50</v>
      </c>
      <c r="E10" s="3">
        <f t="shared" si="1"/>
        <v>2050</v>
      </c>
      <c r="F10" s="3"/>
      <c r="G10" s="3">
        <f t="shared" si="0"/>
        <v>2050</v>
      </c>
      <c r="H10" s="3"/>
    </row>
    <row r="11" spans="1:9" x14ac:dyDescent="0.25">
      <c r="A11" s="3">
        <v>7</v>
      </c>
      <c r="B11" s="3" t="s">
        <v>13</v>
      </c>
      <c r="C11" s="3">
        <v>2000</v>
      </c>
      <c r="D11" s="3"/>
      <c r="E11" s="3">
        <f t="shared" si="1"/>
        <v>2000</v>
      </c>
      <c r="F11" s="3">
        <v>2300</v>
      </c>
      <c r="G11" s="3">
        <f t="shared" si="0"/>
        <v>-300</v>
      </c>
      <c r="H11" s="3"/>
    </row>
    <row r="12" spans="1:9" x14ac:dyDescent="0.25">
      <c r="A12" s="3">
        <v>8</v>
      </c>
      <c r="B12" s="3" t="s">
        <v>105</v>
      </c>
      <c r="C12" s="3">
        <v>2000</v>
      </c>
      <c r="D12" s="3"/>
      <c r="E12" s="3">
        <f t="shared" si="1"/>
        <v>2000</v>
      </c>
      <c r="F12" s="3">
        <v>2000</v>
      </c>
      <c r="G12" s="3">
        <f t="shared" si="0"/>
        <v>0</v>
      </c>
      <c r="H12" s="3"/>
    </row>
    <row r="13" spans="1:9" x14ac:dyDescent="0.25">
      <c r="A13" s="3">
        <v>9</v>
      </c>
      <c r="B13" s="3" t="s">
        <v>96</v>
      </c>
      <c r="C13" s="3">
        <v>2000</v>
      </c>
      <c r="D13" s="3"/>
      <c r="E13" s="3">
        <f t="shared" si="1"/>
        <v>2000</v>
      </c>
      <c r="F13" s="3">
        <v>2000</v>
      </c>
      <c r="G13" s="3">
        <f t="shared" si="0"/>
        <v>0</v>
      </c>
      <c r="H13" s="3"/>
    </row>
    <row r="14" spans="1:9" x14ac:dyDescent="0.25">
      <c r="A14" s="3">
        <v>10</v>
      </c>
      <c r="B14" s="3" t="s">
        <v>57</v>
      </c>
      <c r="C14" s="3">
        <v>2000</v>
      </c>
      <c r="D14" s="3"/>
      <c r="E14" s="3">
        <f t="shared" si="1"/>
        <v>2000</v>
      </c>
      <c r="F14" s="3">
        <v>2000</v>
      </c>
      <c r="G14" s="3">
        <f t="shared" si="0"/>
        <v>0</v>
      </c>
      <c r="H14" s="3"/>
    </row>
    <row r="15" spans="1:9" x14ac:dyDescent="0.25">
      <c r="A15" s="3">
        <v>11</v>
      </c>
      <c r="B15" s="3" t="s">
        <v>57</v>
      </c>
      <c r="C15" s="3">
        <v>2500</v>
      </c>
      <c r="D15" s="3"/>
      <c r="E15" s="3">
        <f t="shared" si="1"/>
        <v>2500</v>
      </c>
      <c r="F15" s="3">
        <v>2500</v>
      </c>
      <c r="G15" s="3">
        <f t="shared" si="0"/>
        <v>0</v>
      </c>
      <c r="H15" s="3"/>
    </row>
    <row r="16" spans="1:9" x14ac:dyDescent="0.25">
      <c r="A16" s="3">
        <v>12</v>
      </c>
      <c r="B16" s="3" t="s">
        <v>91</v>
      </c>
      <c r="C16" s="3">
        <v>2000</v>
      </c>
      <c r="D16" s="3"/>
      <c r="E16" s="3">
        <f t="shared" si="1"/>
        <v>2000</v>
      </c>
      <c r="F16" s="3">
        <v>2000</v>
      </c>
      <c r="G16" s="3">
        <f t="shared" si="0"/>
        <v>0</v>
      </c>
      <c r="H16" s="3"/>
    </row>
    <row r="17" spans="1:9" x14ac:dyDescent="0.25">
      <c r="A17" s="3">
        <v>13</v>
      </c>
      <c r="B17" s="3" t="s">
        <v>19</v>
      </c>
      <c r="C17" s="3">
        <v>2000</v>
      </c>
      <c r="D17" s="3"/>
      <c r="E17" s="3">
        <f t="shared" si="1"/>
        <v>2000</v>
      </c>
      <c r="F17" s="3">
        <v>2000</v>
      </c>
      <c r="G17" s="3">
        <f t="shared" si="0"/>
        <v>0</v>
      </c>
      <c r="H17" s="3"/>
    </row>
    <row r="18" spans="1:9" x14ac:dyDescent="0.25">
      <c r="A18" s="3">
        <v>14</v>
      </c>
      <c r="B18" s="3" t="s">
        <v>20</v>
      </c>
      <c r="C18" s="3">
        <v>2000</v>
      </c>
      <c r="D18" s="3"/>
      <c r="E18" s="3">
        <f t="shared" si="1"/>
        <v>2000</v>
      </c>
      <c r="F18" s="3">
        <v>2000</v>
      </c>
      <c r="G18" s="3">
        <f t="shared" si="0"/>
        <v>0</v>
      </c>
      <c r="H18" s="3"/>
    </row>
    <row r="19" spans="1:9" x14ac:dyDescent="0.25">
      <c r="A19" s="3">
        <v>15</v>
      </c>
      <c r="B19" s="3" t="s">
        <v>75</v>
      </c>
      <c r="C19" s="3">
        <v>2000</v>
      </c>
      <c r="D19" s="3"/>
      <c r="E19" s="3">
        <f t="shared" si="1"/>
        <v>2000</v>
      </c>
      <c r="F19" s="3">
        <v>1000</v>
      </c>
      <c r="G19" s="3">
        <f t="shared" si="0"/>
        <v>1000</v>
      </c>
      <c r="H19" s="3"/>
    </row>
    <row r="20" spans="1:9" x14ac:dyDescent="0.25">
      <c r="A20" s="3">
        <v>16</v>
      </c>
      <c r="B20" s="3" t="s">
        <v>86</v>
      </c>
      <c r="C20" s="3">
        <v>2000</v>
      </c>
      <c r="D20" s="3"/>
      <c r="E20" s="3">
        <f t="shared" si="1"/>
        <v>2000</v>
      </c>
      <c r="F20" s="3">
        <v>2000</v>
      </c>
      <c r="G20" s="3">
        <f t="shared" si="0"/>
        <v>0</v>
      </c>
      <c r="H20" s="3"/>
    </row>
    <row r="21" spans="1:9" x14ac:dyDescent="0.25">
      <c r="A21" s="3">
        <v>17</v>
      </c>
      <c r="B21" s="3" t="s">
        <v>73</v>
      </c>
      <c r="C21" s="3">
        <v>2000</v>
      </c>
      <c r="D21" s="3"/>
      <c r="E21" s="3">
        <f t="shared" si="1"/>
        <v>2000</v>
      </c>
      <c r="F21" s="3">
        <v>2000</v>
      </c>
      <c r="G21" s="3">
        <f t="shared" si="0"/>
        <v>0</v>
      </c>
      <c r="H21" s="3"/>
    </row>
    <row r="22" spans="1:9" x14ac:dyDescent="0.25">
      <c r="A22" s="2"/>
      <c r="B22" s="4" t="s">
        <v>24</v>
      </c>
      <c r="C22" s="2">
        <f>SUM(C5:C21)</f>
        <v>36700</v>
      </c>
      <c r="D22" s="2">
        <f>SUM(D5:D21)</f>
        <v>1350</v>
      </c>
      <c r="E22" s="2">
        <f>SUM(E5:E21)</f>
        <v>38050</v>
      </c>
      <c r="F22" s="2">
        <f>SUM(F5:F21)</f>
        <v>34000</v>
      </c>
      <c r="G22" s="2">
        <f>SUM(G5:G21)</f>
        <v>4050</v>
      </c>
      <c r="H22" s="2"/>
      <c r="I22" s="1"/>
    </row>
    <row r="23" spans="1:9" x14ac:dyDescent="0.25">
      <c r="A23" s="3"/>
      <c r="B23" s="3"/>
      <c r="C23" s="3"/>
      <c r="D23" s="3"/>
      <c r="E23" s="3"/>
      <c r="F23" s="3"/>
      <c r="G23" s="3"/>
      <c r="H23" s="3"/>
    </row>
    <row r="24" spans="1:9" x14ac:dyDescent="0.25">
      <c r="A24" s="12"/>
    </row>
    <row r="25" spans="1:9" ht="18.75" x14ac:dyDescent="0.3">
      <c r="A25" s="12"/>
      <c r="B25" s="51" t="s">
        <v>27</v>
      </c>
      <c r="C25" s="52"/>
      <c r="D25" s="52"/>
      <c r="E25" s="52"/>
      <c r="F25" s="52"/>
      <c r="G25" s="52"/>
      <c r="H25" s="53"/>
      <c r="I25" s="53"/>
    </row>
    <row r="26" spans="1:9" ht="15.75" x14ac:dyDescent="0.25">
      <c r="A26" s="12"/>
      <c r="B26" s="54" t="s">
        <v>28</v>
      </c>
      <c r="C26" s="54" t="s">
        <v>29</v>
      </c>
      <c r="D26" s="54" t="s">
        <v>30</v>
      </c>
      <c r="E26" s="54" t="s">
        <v>62</v>
      </c>
      <c r="F26" s="54" t="s">
        <v>69</v>
      </c>
      <c r="G26" s="54" t="s">
        <v>29</v>
      </c>
      <c r="H26" s="54" t="s">
        <v>30</v>
      </c>
      <c r="I26" s="54" t="s">
        <v>62</v>
      </c>
    </row>
    <row r="27" spans="1:9" x14ac:dyDescent="0.25">
      <c r="A27" s="12"/>
      <c r="B27" s="55" t="s">
        <v>108</v>
      </c>
      <c r="C27" s="50">
        <f>C22</f>
        <v>36700</v>
      </c>
      <c r="D27" s="56">
        <v>0.1</v>
      </c>
      <c r="E27" s="50"/>
      <c r="F27" s="57" t="s">
        <v>108</v>
      </c>
      <c r="G27" s="50">
        <f>F22</f>
        <v>34000</v>
      </c>
      <c r="H27" s="56">
        <v>0.1</v>
      </c>
      <c r="I27" s="58"/>
    </row>
    <row r="28" spans="1:9" x14ac:dyDescent="0.25">
      <c r="A28" s="12"/>
      <c r="B28" s="58" t="s">
        <v>55</v>
      </c>
      <c r="C28" s="50">
        <f>DECE!E37</f>
        <v>-3000</v>
      </c>
      <c r="D28" s="58"/>
      <c r="E28" s="58"/>
      <c r="F28" s="58" t="s">
        <v>55</v>
      </c>
      <c r="G28" s="50">
        <f>DECE!I37</f>
        <v>-4350</v>
      </c>
      <c r="H28" s="58"/>
      <c r="I28" s="58"/>
    </row>
    <row r="29" spans="1:9" x14ac:dyDescent="0.25">
      <c r="A29" s="12"/>
      <c r="B29" s="58" t="s">
        <v>33</v>
      </c>
      <c r="C29" s="59"/>
      <c r="D29" s="58">
        <f>C27*D27</f>
        <v>3670</v>
      </c>
      <c r="E29" s="58"/>
      <c r="F29" s="58"/>
      <c r="G29" s="59"/>
      <c r="H29" s="58">
        <f>D29</f>
        <v>3670</v>
      </c>
      <c r="I29" s="58"/>
    </row>
    <row r="30" spans="1:9" x14ac:dyDescent="0.25">
      <c r="A30" s="12"/>
      <c r="B30" s="60" t="s">
        <v>34</v>
      </c>
      <c r="C30" s="58"/>
      <c r="D30" s="58"/>
      <c r="E30" s="58"/>
      <c r="F30" s="60" t="s">
        <v>34</v>
      </c>
      <c r="G30" s="58"/>
      <c r="H30" s="58"/>
      <c r="I30" s="58"/>
    </row>
    <row r="31" spans="1:9" x14ac:dyDescent="0.25">
      <c r="A31" s="12"/>
      <c r="B31" s="61" t="s">
        <v>110</v>
      </c>
      <c r="C31" s="58"/>
      <c r="D31" s="58">
        <v>10000</v>
      </c>
      <c r="E31" s="53"/>
      <c r="F31" s="61" t="s">
        <v>110</v>
      </c>
      <c r="G31" s="58"/>
      <c r="H31" s="58">
        <v>10000</v>
      </c>
      <c r="I31" s="58"/>
    </row>
    <row r="32" spans="1:9" x14ac:dyDescent="0.25">
      <c r="A32" s="12"/>
      <c r="B32" s="62" t="s">
        <v>111</v>
      </c>
      <c r="C32" s="58"/>
      <c r="D32" s="58">
        <v>20030</v>
      </c>
      <c r="E32" s="58"/>
      <c r="F32" s="62" t="s">
        <v>111</v>
      </c>
      <c r="G32" s="58"/>
      <c r="H32" s="58">
        <v>20030</v>
      </c>
      <c r="I32" s="58"/>
    </row>
    <row r="33" spans="1:9" x14ac:dyDescent="0.25">
      <c r="A33" s="12"/>
      <c r="B33" s="62" t="s">
        <v>112</v>
      </c>
      <c r="C33" s="58"/>
      <c r="D33" s="58">
        <v>4000</v>
      </c>
      <c r="E33" s="58"/>
      <c r="F33" s="62" t="s">
        <v>112</v>
      </c>
      <c r="G33" s="58"/>
      <c r="H33" s="58">
        <v>4000</v>
      </c>
      <c r="I33" s="58"/>
    </row>
    <row r="34" spans="1:9" x14ac:dyDescent="0.25">
      <c r="A34" s="12"/>
      <c r="B34" s="62" t="s">
        <v>113</v>
      </c>
      <c r="C34" s="58"/>
      <c r="D34" s="58">
        <v>1000</v>
      </c>
      <c r="E34" s="58"/>
      <c r="F34" s="62" t="s">
        <v>113</v>
      </c>
      <c r="G34" s="58"/>
      <c r="H34" s="58">
        <v>1000</v>
      </c>
      <c r="I34" s="58"/>
    </row>
    <row r="35" spans="1:9" x14ac:dyDescent="0.25">
      <c r="A35" s="12"/>
      <c r="B35" s="62"/>
      <c r="C35" s="50"/>
      <c r="D35" s="50"/>
      <c r="E35" s="50"/>
      <c r="F35" s="62"/>
      <c r="G35" s="58"/>
      <c r="H35" s="50"/>
      <c r="I35" s="58"/>
    </row>
    <row r="36" spans="1:9" x14ac:dyDescent="0.25">
      <c r="A36" s="12"/>
      <c r="B36" s="55" t="s">
        <v>24</v>
      </c>
      <c r="C36" s="63">
        <f>C27+C28-D29</f>
        <v>30030</v>
      </c>
      <c r="D36" s="55">
        <f>SUM(D31:D35)</f>
        <v>35030</v>
      </c>
      <c r="E36" s="63">
        <f>C36-D36</f>
        <v>-5000</v>
      </c>
      <c r="F36" s="57"/>
      <c r="G36" s="63">
        <f>G27+G28-H29</f>
        <v>25980</v>
      </c>
      <c r="H36" s="63">
        <f>SUM(H31:H35)</f>
        <v>35030</v>
      </c>
      <c r="I36" s="63">
        <f>G36-H36</f>
        <v>-9050</v>
      </c>
    </row>
    <row r="39" spans="1:9" x14ac:dyDescent="0.25">
      <c r="B39" s="12" t="s">
        <v>38</v>
      </c>
      <c r="D39" s="12" t="s">
        <v>36</v>
      </c>
      <c r="F39" s="12"/>
      <c r="G39" s="12" t="s">
        <v>37</v>
      </c>
    </row>
    <row r="40" spans="1:9" x14ac:dyDescent="0.25">
      <c r="D40" s="12"/>
      <c r="F40" s="12"/>
      <c r="G40" s="12"/>
    </row>
    <row r="41" spans="1:9" x14ac:dyDescent="0.25">
      <c r="B41" t="s">
        <v>65</v>
      </c>
      <c r="D41" t="s">
        <v>66</v>
      </c>
      <c r="G41" t="s">
        <v>10</v>
      </c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4" zoomScaleNormal="100" workbookViewId="0">
      <selection activeCell="K34" sqref="K34"/>
    </sheetView>
  </sheetViews>
  <sheetFormatPr defaultRowHeight="15" x14ac:dyDescent="0.25"/>
  <cols>
    <col min="1" max="1" width="4" customWidth="1"/>
    <col min="2" max="2" width="19" customWidth="1"/>
    <col min="3" max="3" width="9.140625" customWidth="1"/>
    <col min="4" max="4" width="7.42578125" customWidth="1"/>
    <col min="5" max="5" width="10.5703125" customWidth="1"/>
    <col min="6" max="6" width="8.85546875" bestFit="1" customWidth="1"/>
  </cols>
  <sheetData>
    <row r="1" spans="1:9" ht="18.75" x14ac:dyDescent="0.25">
      <c r="C1" s="38" t="s">
        <v>59</v>
      </c>
      <c r="D1" s="39"/>
      <c r="E1" s="36"/>
      <c r="F1" s="34"/>
    </row>
    <row r="2" spans="1:9" ht="18.75" x14ac:dyDescent="0.25">
      <c r="C2" s="38" t="s">
        <v>60</v>
      </c>
      <c r="D2" s="38"/>
      <c r="E2" s="11"/>
      <c r="F2" s="11"/>
    </row>
    <row r="3" spans="1:9" ht="18.75" x14ac:dyDescent="0.25">
      <c r="C3" s="38" t="s">
        <v>114</v>
      </c>
      <c r="D3" s="38"/>
      <c r="E3" s="11"/>
      <c r="F3" s="11"/>
    </row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/>
      <c r="I4" s="1"/>
    </row>
    <row r="5" spans="1:9" x14ac:dyDescent="0.25">
      <c r="A5" s="3">
        <v>1</v>
      </c>
      <c r="B5" s="3" t="s">
        <v>91</v>
      </c>
      <c r="C5" s="3">
        <v>4000</v>
      </c>
      <c r="D5" s="3"/>
      <c r="E5" s="3">
        <f>C5+D5</f>
        <v>4000</v>
      </c>
      <c r="F5" s="3">
        <v>4000</v>
      </c>
      <c r="G5" s="3">
        <f>E5-F5</f>
        <v>0</v>
      </c>
      <c r="H5" s="3"/>
    </row>
    <row r="6" spans="1:9" x14ac:dyDescent="0.25">
      <c r="A6" s="3">
        <v>2</v>
      </c>
      <c r="B6" t="s">
        <v>49</v>
      </c>
      <c r="C6" s="3">
        <v>2300</v>
      </c>
      <c r="D6" s="3"/>
      <c r="E6" s="3">
        <f>C6+D6</f>
        <v>2300</v>
      </c>
      <c r="F6" s="3">
        <v>2300</v>
      </c>
      <c r="G6" s="3">
        <f t="shared" ref="G6:G21" si="0">E6-F6</f>
        <v>0</v>
      </c>
      <c r="H6" s="3"/>
    </row>
    <row r="7" spans="1:9" x14ac:dyDescent="0.25">
      <c r="A7" s="3">
        <v>3</v>
      </c>
      <c r="B7" s="3" t="s">
        <v>9</v>
      </c>
      <c r="C7" s="3">
        <v>2300</v>
      </c>
      <c r="D7" s="3"/>
      <c r="E7" s="3">
        <f t="shared" ref="E7:E21" si="1">C7+D7</f>
        <v>2300</v>
      </c>
      <c r="F7" s="3"/>
      <c r="G7" s="3">
        <f t="shared" si="0"/>
        <v>2300</v>
      </c>
      <c r="H7" s="3"/>
    </row>
    <row r="8" spans="1:9" x14ac:dyDescent="0.25">
      <c r="A8" s="3">
        <v>4</v>
      </c>
      <c r="B8" s="3" t="s">
        <v>74</v>
      </c>
      <c r="C8" s="3">
        <v>2300</v>
      </c>
      <c r="D8" s="3"/>
      <c r="E8" s="3">
        <f t="shared" si="1"/>
        <v>2300</v>
      </c>
      <c r="F8" s="3">
        <v>2000</v>
      </c>
      <c r="G8" s="3">
        <f t="shared" si="0"/>
        <v>300</v>
      </c>
      <c r="H8" s="3"/>
    </row>
    <row r="9" spans="1:9" x14ac:dyDescent="0.25">
      <c r="A9" s="3">
        <v>5</v>
      </c>
      <c r="B9" s="3" t="s">
        <v>11</v>
      </c>
      <c r="C9" s="3">
        <v>2500</v>
      </c>
      <c r="D9" s="3">
        <v>1300</v>
      </c>
      <c r="E9" s="3">
        <f>C9+D9</f>
        <v>3800</v>
      </c>
      <c r="F9" s="3">
        <v>2200</v>
      </c>
      <c r="G9" s="3">
        <f t="shared" si="0"/>
        <v>1600</v>
      </c>
      <c r="H9" s="3"/>
    </row>
    <row r="10" spans="1:9" x14ac:dyDescent="0.25">
      <c r="A10" s="3">
        <v>6</v>
      </c>
      <c r="B10" s="3" t="s">
        <v>94</v>
      </c>
      <c r="C10" s="3">
        <v>2300</v>
      </c>
      <c r="D10" s="3">
        <v>2050</v>
      </c>
      <c r="E10" s="3">
        <f t="shared" si="1"/>
        <v>4350</v>
      </c>
      <c r="F10" s="3">
        <v>4350</v>
      </c>
      <c r="G10" s="3">
        <f t="shared" si="0"/>
        <v>0</v>
      </c>
      <c r="H10" s="3"/>
    </row>
    <row r="11" spans="1:9" x14ac:dyDescent="0.25">
      <c r="A11" s="3">
        <v>7</v>
      </c>
      <c r="B11" s="3" t="s">
        <v>13</v>
      </c>
      <c r="C11" s="3">
        <v>2300</v>
      </c>
      <c r="D11" s="3">
        <v>-300</v>
      </c>
      <c r="E11" s="3">
        <f t="shared" si="1"/>
        <v>2000</v>
      </c>
      <c r="F11" s="3">
        <v>2000</v>
      </c>
      <c r="G11" s="3">
        <f t="shared" si="0"/>
        <v>0</v>
      </c>
      <c r="H11" s="3"/>
    </row>
    <row r="12" spans="1:9" x14ac:dyDescent="0.25">
      <c r="A12" s="3">
        <v>8</v>
      </c>
      <c r="B12" s="3" t="s">
        <v>105</v>
      </c>
      <c r="C12" s="3">
        <v>2300</v>
      </c>
      <c r="D12" s="3"/>
      <c r="E12" s="3">
        <f t="shared" si="1"/>
        <v>2300</v>
      </c>
      <c r="F12" s="3">
        <v>2300</v>
      </c>
      <c r="G12" s="3">
        <f t="shared" si="0"/>
        <v>0</v>
      </c>
      <c r="H12" s="3"/>
    </row>
    <row r="13" spans="1:9" x14ac:dyDescent="0.25">
      <c r="A13" s="3">
        <v>9</v>
      </c>
      <c r="B13" s="3" t="s">
        <v>96</v>
      </c>
      <c r="C13" s="3">
        <v>2300</v>
      </c>
      <c r="D13" s="3"/>
      <c r="E13" s="3">
        <f t="shared" si="1"/>
        <v>2300</v>
      </c>
      <c r="F13" s="3">
        <v>2300</v>
      </c>
      <c r="G13" s="3">
        <f t="shared" si="0"/>
        <v>0</v>
      </c>
      <c r="H13" s="3"/>
    </row>
    <row r="14" spans="1:9" x14ac:dyDescent="0.25">
      <c r="A14" s="3">
        <v>10</v>
      </c>
      <c r="B14" s="3" t="s">
        <v>57</v>
      </c>
      <c r="C14" s="3">
        <v>2000</v>
      </c>
      <c r="D14" s="3"/>
      <c r="E14" s="3">
        <f t="shared" si="1"/>
        <v>2000</v>
      </c>
      <c r="F14" s="3">
        <v>2000</v>
      </c>
      <c r="G14" s="3">
        <f t="shared" si="0"/>
        <v>0</v>
      </c>
      <c r="H14" s="3"/>
    </row>
    <row r="15" spans="1:9" x14ac:dyDescent="0.25">
      <c r="A15" s="3">
        <v>11</v>
      </c>
      <c r="B15" s="3" t="s">
        <v>57</v>
      </c>
      <c r="C15" s="3">
        <v>2500</v>
      </c>
      <c r="D15" s="3"/>
      <c r="E15" s="3">
        <f t="shared" si="1"/>
        <v>2500</v>
      </c>
      <c r="F15" s="3">
        <v>2500</v>
      </c>
      <c r="G15" s="3">
        <f t="shared" si="0"/>
        <v>0</v>
      </c>
      <c r="H15" s="3"/>
    </row>
    <row r="16" spans="1:9" x14ac:dyDescent="0.25">
      <c r="A16" s="3">
        <v>12</v>
      </c>
      <c r="B16" s="3" t="s">
        <v>118</v>
      </c>
      <c r="C16" s="3">
        <v>2300</v>
      </c>
      <c r="D16" s="3"/>
      <c r="E16" s="3">
        <f t="shared" si="1"/>
        <v>2300</v>
      </c>
      <c r="F16" s="3">
        <v>2300</v>
      </c>
      <c r="G16" s="3">
        <f t="shared" si="0"/>
        <v>0</v>
      </c>
      <c r="H16" s="3"/>
    </row>
    <row r="17" spans="1:9" x14ac:dyDescent="0.25">
      <c r="A17" s="3">
        <v>13</v>
      </c>
      <c r="B17" s="3" t="s">
        <v>19</v>
      </c>
      <c r="C17" s="3">
        <v>2300</v>
      </c>
      <c r="D17" s="3"/>
      <c r="E17" s="3">
        <f t="shared" si="1"/>
        <v>2300</v>
      </c>
      <c r="F17" s="3">
        <v>2300</v>
      </c>
      <c r="G17" s="3">
        <f t="shared" si="0"/>
        <v>0</v>
      </c>
      <c r="H17" s="3"/>
    </row>
    <row r="18" spans="1:9" x14ac:dyDescent="0.25">
      <c r="A18" s="3">
        <v>14</v>
      </c>
      <c r="B18" s="3" t="s">
        <v>20</v>
      </c>
      <c r="C18" s="3">
        <v>2300</v>
      </c>
      <c r="D18" s="3"/>
      <c r="E18" s="3">
        <f t="shared" si="1"/>
        <v>2300</v>
      </c>
      <c r="F18" s="3">
        <v>2300</v>
      </c>
      <c r="G18" s="3">
        <f t="shared" si="0"/>
        <v>0</v>
      </c>
      <c r="H18" s="3"/>
    </row>
    <row r="19" spans="1:9" x14ac:dyDescent="0.25">
      <c r="A19" s="3">
        <v>15</v>
      </c>
      <c r="B19" s="3" t="s">
        <v>75</v>
      </c>
      <c r="C19" s="3">
        <v>2300</v>
      </c>
      <c r="D19" s="3">
        <v>1000</v>
      </c>
      <c r="E19" s="3">
        <f t="shared" si="1"/>
        <v>3300</v>
      </c>
      <c r="F19" s="3">
        <v>1000</v>
      </c>
      <c r="G19" s="3">
        <f t="shared" si="0"/>
        <v>2300</v>
      </c>
      <c r="H19" s="3"/>
    </row>
    <row r="20" spans="1:9" x14ac:dyDescent="0.25">
      <c r="A20" s="3">
        <v>16</v>
      </c>
      <c r="B20" s="3" t="s">
        <v>86</v>
      </c>
      <c r="C20" s="3">
        <v>2300</v>
      </c>
      <c r="D20" s="3"/>
      <c r="E20" s="3">
        <f t="shared" si="1"/>
        <v>2300</v>
      </c>
      <c r="F20" s="3">
        <v>2300</v>
      </c>
      <c r="G20" s="3">
        <f t="shared" si="0"/>
        <v>0</v>
      </c>
      <c r="H20" s="3"/>
    </row>
    <row r="21" spans="1:9" x14ac:dyDescent="0.25">
      <c r="A21" s="3">
        <v>17</v>
      </c>
      <c r="B21" s="3" t="s">
        <v>73</v>
      </c>
      <c r="C21" s="3">
        <v>2300</v>
      </c>
      <c r="D21" s="3"/>
      <c r="E21" s="3">
        <f t="shared" si="1"/>
        <v>2300</v>
      </c>
      <c r="F21" s="3">
        <v>2000</v>
      </c>
      <c r="G21" s="3">
        <f t="shared" si="0"/>
        <v>300</v>
      </c>
      <c r="H21" s="3"/>
    </row>
    <row r="22" spans="1:9" x14ac:dyDescent="0.25">
      <c r="A22" s="2"/>
      <c r="B22" s="4" t="s">
        <v>24</v>
      </c>
      <c r="C22" s="2">
        <f>SUM(C5:C21)</f>
        <v>40900</v>
      </c>
      <c r="D22" s="2">
        <f>SUM(D5:D21)</f>
        <v>4050</v>
      </c>
      <c r="E22" s="2">
        <f>SUM(E5:E21)</f>
        <v>44950</v>
      </c>
      <c r="F22" s="2">
        <f>SUM(F5:F21)</f>
        <v>38150</v>
      </c>
      <c r="G22" s="2">
        <f>SUM(G5:G21)</f>
        <v>6800</v>
      </c>
      <c r="H22" s="2"/>
      <c r="I22" s="1"/>
    </row>
    <row r="23" spans="1:9" x14ac:dyDescent="0.25">
      <c r="A23" s="3"/>
      <c r="B23" s="3"/>
      <c r="C23" s="3"/>
      <c r="D23" s="3"/>
      <c r="E23" s="3"/>
      <c r="F23" s="3"/>
      <c r="G23" s="3"/>
      <c r="H23" s="3"/>
    </row>
    <row r="24" spans="1:9" x14ac:dyDescent="0.25">
      <c r="A24" s="12"/>
    </row>
    <row r="25" spans="1:9" ht="18.75" x14ac:dyDescent="0.3">
      <c r="A25" s="12"/>
      <c r="B25" s="51" t="s">
        <v>27</v>
      </c>
      <c r="C25" s="52"/>
      <c r="D25" s="52"/>
      <c r="E25" s="52"/>
      <c r="F25" s="52"/>
      <c r="G25" s="52"/>
      <c r="H25" s="53"/>
      <c r="I25" s="53"/>
    </row>
    <row r="26" spans="1:9" ht="15.75" x14ac:dyDescent="0.25">
      <c r="A26" s="12"/>
      <c r="B26" s="54" t="s">
        <v>28</v>
      </c>
      <c r="C26" s="54" t="s">
        <v>29</v>
      </c>
      <c r="D26" s="54" t="s">
        <v>30</v>
      </c>
      <c r="E26" s="54" t="s">
        <v>62</v>
      </c>
      <c r="F26" s="54" t="s">
        <v>69</v>
      </c>
      <c r="G26" s="54" t="s">
        <v>29</v>
      </c>
      <c r="H26" s="54" t="s">
        <v>30</v>
      </c>
      <c r="I26" s="54" t="s">
        <v>62</v>
      </c>
    </row>
    <row r="27" spans="1:9" x14ac:dyDescent="0.25">
      <c r="A27" s="12"/>
      <c r="B27" s="55" t="s">
        <v>115</v>
      </c>
      <c r="C27" s="50">
        <f>C22</f>
        <v>40900</v>
      </c>
      <c r="D27" s="56">
        <v>0.1</v>
      </c>
      <c r="E27" s="50"/>
      <c r="F27" s="57" t="s">
        <v>115</v>
      </c>
      <c r="G27" s="50">
        <f>F22</f>
        <v>38150</v>
      </c>
      <c r="H27" s="56">
        <v>0.1</v>
      </c>
      <c r="I27" s="58"/>
    </row>
    <row r="28" spans="1:9" x14ac:dyDescent="0.25">
      <c r="A28" s="12"/>
      <c r="B28" s="58" t="s">
        <v>55</v>
      </c>
      <c r="C28" s="50">
        <f>'JANUARY '!E36</f>
        <v>-5000</v>
      </c>
      <c r="D28" s="58"/>
      <c r="E28" s="58"/>
      <c r="F28" s="58" t="s">
        <v>55</v>
      </c>
      <c r="G28" s="50">
        <f>'JANUARY '!I36</f>
        <v>-9050</v>
      </c>
      <c r="H28" s="58"/>
      <c r="I28" s="58"/>
    </row>
    <row r="29" spans="1:9" x14ac:dyDescent="0.25">
      <c r="A29" s="12"/>
      <c r="B29" s="58" t="s">
        <v>33</v>
      </c>
      <c r="C29" s="59"/>
      <c r="D29" s="58">
        <f>C27*D27</f>
        <v>4090</v>
      </c>
      <c r="E29" s="58"/>
      <c r="F29" s="58"/>
      <c r="G29" s="59"/>
      <c r="H29" s="58">
        <f>D29</f>
        <v>4090</v>
      </c>
      <c r="I29" s="58"/>
    </row>
    <row r="30" spans="1:9" x14ac:dyDescent="0.25">
      <c r="A30" s="12"/>
      <c r="B30" s="60" t="s">
        <v>34</v>
      </c>
      <c r="C30" s="58"/>
      <c r="D30" s="58"/>
      <c r="E30" s="58"/>
      <c r="F30" s="60" t="s">
        <v>34</v>
      </c>
      <c r="G30" s="58"/>
      <c r="H30" s="58"/>
      <c r="I30" s="58"/>
    </row>
    <row r="31" spans="1:9" x14ac:dyDescent="0.25">
      <c r="A31" s="12"/>
      <c r="B31" s="61" t="s">
        <v>116</v>
      </c>
      <c r="C31" s="58"/>
      <c r="D31" s="58">
        <v>1000</v>
      </c>
      <c r="E31" s="53"/>
      <c r="F31" s="61" t="s">
        <v>116</v>
      </c>
      <c r="G31" s="58"/>
      <c r="H31" s="58">
        <v>1000</v>
      </c>
      <c r="I31" s="58"/>
    </row>
    <row r="32" spans="1:9" x14ac:dyDescent="0.25">
      <c r="A32" s="12"/>
      <c r="B32" s="62" t="s">
        <v>117</v>
      </c>
      <c r="C32" s="58"/>
      <c r="D32" s="58">
        <v>30810</v>
      </c>
      <c r="E32" s="58"/>
      <c r="F32" s="62" t="s">
        <v>117</v>
      </c>
      <c r="G32" s="58"/>
      <c r="H32" s="58">
        <v>30810</v>
      </c>
      <c r="I32" s="58"/>
    </row>
    <row r="33" spans="1:9" x14ac:dyDescent="0.25">
      <c r="A33" s="12"/>
      <c r="B33" s="62"/>
      <c r="C33" s="58"/>
      <c r="D33" s="58"/>
      <c r="E33" s="58"/>
      <c r="F33" s="62"/>
      <c r="G33" s="58"/>
      <c r="H33" s="58"/>
      <c r="I33" s="58"/>
    </row>
    <row r="34" spans="1:9" x14ac:dyDescent="0.25">
      <c r="A34" s="12"/>
      <c r="B34" s="62"/>
      <c r="C34" s="58"/>
      <c r="D34" s="58"/>
      <c r="E34" s="58"/>
      <c r="F34" s="62"/>
      <c r="G34" s="58"/>
      <c r="H34" s="58"/>
      <c r="I34" s="58"/>
    </row>
    <row r="35" spans="1:9" x14ac:dyDescent="0.25">
      <c r="A35" s="12"/>
      <c r="B35" s="62"/>
      <c r="C35" s="50"/>
      <c r="D35" s="50"/>
      <c r="E35" s="50"/>
      <c r="F35" s="62"/>
      <c r="G35" s="58"/>
      <c r="H35" s="50"/>
      <c r="I35" s="58"/>
    </row>
    <row r="36" spans="1:9" x14ac:dyDescent="0.25">
      <c r="A36" s="12"/>
      <c r="B36" s="55" t="s">
        <v>24</v>
      </c>
      <c r="C36" s="63">
        <f>C27+C28-D29</f>
        <v>31810</v>
      </c>
      <c r="D36" s="55">
        <f>SUM(D31:D35)</f>
        <v>31810</v>
      </c>
      <c r="E36" s="63">
        <f>C36-D36</f>
        <v>0</v>
      </c>
      <c r="F36" s="57"/>
      <c r="G36" s="63">
        <f>G27+G28-H29</f>
        <v>25010</v>
      </c>
      <c r="H36" s="63">
        <f>SUM(H31:H35)</f>
        <v>31810</v>
      </c>
      <c r="I36" s="63">
        <f>G36-H36</f>
        <v>-6800</v>
      </c>
    </row>
    <row r="39" spans="1:9" x14ac:dyDescent="0.25">
      <c r="B39" s="12" t="s">
        <v>38</v>
      </c>
      <c r="D39" s="12" t="s">
        <v>36</v>
      </c>
      <c r="F39" s="12"/>
      <c r="G39" s="12" t="s">
        <v>37</v>
      </c>
    </row>
    <row r="40" spans="1:9" x14ac:dyDescent="0.25">
      <c r="D40" s="12"/>
      <c r="F40" s="12"/>
      <c r="G40" s="12"/>
    </row>
    <row r="41" spans="1:9" x14ac:dyDescent="0.25">
      <c r="B41" t="s">
        <v>65</v>
      </c>
      <c r="D41" t="s">
        <v>66</v>
      </c>
      <c r="G41" t="s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zoomScaleNormal="100" workbookViewId="0">
      <selection activeCell="G28" sqref="G28"/>
    </sheetView>
  </sheetViews>
  <sheetFormatPr defaultRowHeight="15" x14ac:dyDescent="0.25"/>
  <cols>
    <col min="1" max="1" width="4" customWidth="1"/>
    <col min="2" max="2" width="19" customWidth="1"/>
    <col min="3" max="3" width="9.140625" customWidth="1"/>
    <col min="4" max="4" width="7.42578125" customWidth="1"/>
    <col min="5" max="5" width="10.5703125" customWidth="1"/>
    <col min="6" max="6" width="8.85546875" bestFit="1" customWidth="1"/>
  </cols>
  <sheetData>
    <row r="1" spans="1:9" ht="18.75" x14ac:dyDescent="0.25">
      <c r="C1" s="38" t="s">
        <v>59</v>
      </c>
      <c r="D1" s="39"/>
      <c r="E1" s="36"/>
      <c r="F1" s="34"/>
    </row>
    <row r="2" spans="1:9" ht="18.75" x14ac:dyDescent="0.25">
      <c r="C2" s="38" t="s">
        <v>60</v>
      </c>
      <c r="D2" s="38"/>
      <c r="E2" s="11"/>
      <c r="F2" s="11"/>
    </row>
    <row r="3" spans="1:9" ht="18.75" x14ac:dyDescent="0.25">
      <c r="C3" s="38" t="s">
        <v>119</v>
      </c>
      <c r="D3" s="38"/>
      <c r="E3" s="11"/>
      <c r="F3" s="11"/>
    </row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/>
      <c r="I4" s="1"/>
    </row>
    <row r="5" spans="1:9" x14ac:dyDescent="0.25">
      <c r="A5" s="3">
        <v>1</v>
      </c>
      <c r="B5" s="3" t="s">
        <v>91</v>
      </c>
      <c r="C5" s="3">
        <v>4000</v>
      </c>
      <c r="D5" s="3"/>
      <c r="E5" s="3">
        <f>C5+D5</f>
        <v>4000</v>
      </c>
      <c r="F5" s="3">
        <v>4000</v>
      </c>
      <c r="G5" s="3">
        <f>E5-F5</f>
        <v>0</v>
      </c>
      <c r="H5" s="3"/>
    </row>
    <row r="6" spans="1:9" x14ac:dyDescent="0.25">
      <c r="A6" s="3">
        <v>2</v>
      </c>
      <c r="B6" t="s">
        <v>49</v>
      </c>
      <c r="C6" s="3">
        <v>2300</v>
      </c>
      <c r="D6" s="3"/>
      <c r="E6" s="3">
        <f>C6+D6</f>
        <v>2300</v>
      </c>
      <c r="F6" s="3">
        <v>2300</v>
      </c>
      <c r="G6" s="3">
        <f t="shared" ref="G6:G21" si="0">E6-F6</f>
        <v>0</v>
      </c>
      <c r="H6" s="3"/>
    </row>
    <row r="7" spans="1:9" x14ac:dyDescent="0.25">
      <c r="A7" s="3">
        <v>3</v>
      </c>
      <c r="B7" s="3" t="s">
        <v>9</v>
      </c>
      <c r="C7" s="3">
        <v>2300</v>
      </c>
      <c r="D7" s="3">
        <v>2300</v>
      </c>
      <c r="E7" s="3">
        <f t="shared" ref="E7:E21" si="1">C7+D7</f>
        <v>4600</v>
      </c>
      <c r="F7" s="3">
        <v>4300</v>
      </c>
      <c r="G7" s="3">
        <f t="shared" si="0"/>
        <v>300</v>
      </c>
      <c r="H7" s="3"/>
    </row>
    <row r="8" spans="1:9" x14ac:dyDescent="0.25">
      <c r="A8" s="3">
        <v>4</v>
      </c>
      <c r="B8" s="3" t="s">
        <v>74</v>
      </c>
      <c r="C8" s="3">
        <v>2300</v>
      </c>
      <c r="D8" s="3">
        <v>300</v>
      </c>
      <c r="E8" s="3">
        <f t="shared" si="1"/>
        <v>2600</v>
      </c>
      <c r="F8" s="3">
        <v>2300</v>
      </c>
      <c r="G8" s="3">
        <f t="shared" si="0"/>
        <v>300</v>
      </c>
      <c r="H8" s="3"/>
    </row>
    <row r="9" spans="1:9" x14ac:dyDescent="0.25">
      <c r="A9" s="3">
        <v>5</v>
      </c>
      <c r="B9" s="3" t="s">
        <v>11</v>
      </c>
      <c r="C9" s="3">
        <v>2500</v>
      </c>
      <c r="D9" s="3">
        <v>1600</v>
      </c>
      <c r="E9" s="3">
        <f>C9+D9</f>
        <v>4100</v>
      </c>
      <c r="F9" s="3">
        <v>4100</v>
      </c>
      <c r="G9" s="3">
        <f t="shared" si="0"/>
        <v>0</v>
      </c>
      <c r="H9" s="3"/>
    </row>
    <row r="10" spans="1:9" x14ac:dyDescent="0.25">
      <c r="A10" s="3">
        <v>6</v>
      </c>
      <c r="B10" s="3" t="s">
        <v>94</v>
      </c>
      <c r="C10" s="3">
        <v>2300</v>
      </c>
      <c r="D10" s="3"/>
      <c r="E10" s="3">
        <f t="shared" si="1"/>
        <v>2300</v>
      </c>
      <c r="F10" s="3">
        <v>2300</v>
      </c>
      <c r="G10" s="3">
        <f t="shared" si="0"/>
        <v>0</v>
      </c>
      <c r="H10" s="3"/>
    </row>
    <row r="11" spans="1:9" x14ac:dyDescent="0.25">
      <c r="A11" s="3">
        <v>7</v>
      </c>
      <c r="B11" s="3" t="s">
        <v>13</v>
      </c>
      <c r="C11" s="3">
        <v>2300</v>
      </c>
      <c r="D11" s="3"/>
      <c r="E11" s="3">
        <f t="shared" si="1"/>
        <v>2300</v>
      </c>
      <c r="F11" s="3">
        <v>2300</v>
      </c>
      <c r="G11" s="3">
        <f t="shared" si="0"/>
        <v>0</v>
      </c>
      <c r="H11" s="3"/>
    </row>
    <row r="12" spans="1:9" x14ac:dyDescent="0.25">
      <c r="A12" s="3">
        <v>8</v>
      </c>
      <c r="B12" s="3" t="s">
        <v>105</v>
      </c>
      <c r="C12" s="3">
        <v>2300</v>
      </c>
      <c r="D12" s="3"/>
      <c r="E12" s="3">
        <f t="shared" si="1"/>
        <v>2300</v>
      </c>
      <c r="F12" s="3">
        <v>2300</v>
      </c>
      <c r="G12" s="3">
        <f t="shared" si="0"/>
        <v>0</v>
      </c>
      <c r="H12" s="3"/>
    </row>
    <row r="13" spans="1:9" x14ac:dyDescent="0.25">
      <c r="A13" s="3">
        <v>9</v>
      </c>
      <c r="B13" s="3" t="s">
        <v>96</v>
      </c>
      <c r="C13" s="3">
        <v>2300</v>
      </c>
      <c r="D13" s="3"/>
      <c r="E13" s="3">
        <f t="shared" si="1"/>
        <v>2300</v>
      </c>
      <c r="F13" s="3">
        <v>2300</v>
      </c>
      <c r="G13" s="3">
        <f t="shared" si="0"/>
        <v>0</v>
      </c>
      <c r="H13" s="3"/>
    </row>
    <row r="14" spans="1:9" x14ac:dyDescent="0.25">
      <c r="A14" s="3">
        <v>10</v>
      </c>
      <c r="B14" s="3" t="s">
        <v>57</v>
      </c>
      <c r="C14" s="3">
        <v>2000</v>
      </c>
      <c r="D14" s="3"/>
      <c r="E14" s="3">
        <f t="shared" si="1"/>
        <v>2000</v>
      </c>
      <c r="F14" s="3">
        <v>2000</v>
      </c>
      <c r="G14" s="3">
        <f t="shared" si="0"/>
        <v>0</v>
      </c>
      <c r="H14" s="3"/>
    </row>
    <row r="15" spans="1:9" x14ac:dyDescent="0.25">
      <c r="A15" s="3">
        <v>11</v>
      </c>
      <c r="B15" s="3" t="s">
        <v>57</v>
      </c>
      <c r="C15" s="3">
        <v>2500</v>
      </c>
      <c r="D15" s="3"/>
      <c r="E15" s="3">
        <f t="shared" si="1"/>
        <v>2500</v>
      </c>
      <c r="F15" s="3">
        <v>2500</v>
      </c>
      <c r="G15" s="3">
        <f t="shared" si="0"/>
        <v>0</v>
      </c>
      <c r="H15" s="3"/>
    </row>
    <row r="16" spans="1:9" x14ac:dyDescent="0.25">
      <c r="A16" s="3">
        <v>12</v>
      </c>
      <c r="B16" s="3" t="s">
        <v>118</v>
      </c>
      <c r="C16" s="3">
        <v>2300</v>
      </c>
      <c r="D16" s="3"/>
      <c r="E16" s="3">
        <f t="shared" si="1"/>
        <v>2300</v>
      </c>
      <c r="F16" s="3">
        <v>2300</v>
      </c>
      <c r="G16" s="3">
        <f t="shared" si="0"/>
        <v>0</v>
      </c>
      <c r="H16" s="3"/>
    </row>
    <row r="17" spans="1:9" x14ac:dyDescent="0.25">
      <c r="A17" s="3">
        <v>13</v>
      </c>
      <c r="B17" s="3" t="s">
        <v>19</v>
      </c>
      <c r="C17" s="3">
        <v>2300</v>
      </c>
      <c r="D17" s="3"/>
      <c r="E17" s="3">
        <f t="shared" si="1"/>
        <v>2300</v>
      </c>
      <c r="F17" s="3">
        <v>2300</v>
      </c>
      <c r="G17" s="3">
        <f t="shared" si="0"/>
        <v>0</v>
      </c>
      <c r="H17" s="3"/>
    </row>
    <row r="18" spans="1:9" x14ac:dyDescent="0.25">
      <c r="A18" s="3">
        <v>14</v>
      </c>
      <c r="B18" s="3" t="s">
        <v>121</v>
      </c>
      <c r="C18" s="3">
        <v>2300</v>
      </c>
      <c r="D18" s="3"/>
      <c r="E18" s="3">
        <f t="shared" si="1"/>
        <v>2300</v>
      </c>
      <c r="F18" s="3">
        <v>2300</v>
      </c>
      <c r="G18" s="3">
        <f t="shared" si="0"/>
        <v>0</v>
      </c>
      <c r="H18" s="3"/>
    </row>
    <row r="19" spans="1:9" x14ac:dyDescent="0.25">
      <c r="A19" s="3">
        <v>15</v>
      </c>
      <c r="B19" s="3" t="s">
        <v>75</v>
      </c>
      <c r="C19" s="3">
        <v>2300</v>
      </c>
      <c r="D19" s="3">
        <v>2300</v>
      </c>
      <c r="E19" s="3">
        <f t="shared" si="1"/>
        <v>4600</v>
      </c>
      <c r="F19" s="3">
        <v>2300</v>
      </c>
      <c r="G19" s="3">
        <f t="shared" si="0"/>
        <v>2300</v>
      </c>
      <c r="H19" s="3"/>
    </row>
    <row r="20" spans="1:9" x14ac:dyDescent="0.25">
      <c r="A20" s="3">
        <v>16</v>
      </c>
      <c r="B20" s="3" t="s">
        <v>86</v>
      </c>
      <c r="C20" s="3">
        <v>2300</v>
      </c>
      <c r="D20" s="3"/>
      <c r="E20" s="3">
        <f t="shared" si="1"/>
        <v>2300</v>
      </c>
      <c r="F20" s="3">
        <v>2000</v>
      </c>
      <c r="G20" s="3">
        <f t="shared" si="0"/>
        <v>300</v>
      </c>
      <c r="H20" s="3"/>
    </row>
    <row r="21" spans="1:9" x14ac:dyDescent="0.25">
      <c r="A21" s="3">
        <v>17</v>
      </c>
      <c r="B21" s="3" t="s">
        <v>73</v>
      </c>
      <c r="C21" s="3">
        <v>2300</v>
      </c>
      <c r="D21" s="3">
        <v>300</v>
      </c>
      <c r="E21" s="3">
        <f t="shared" si="1"/>
        <v>2600</v>
      </c>
      <c r="F21" s="3">
        <v>2000</v>
      </c>
      <c r="G21" s="3">
        <f t="shared" si="0"/>
        <v>600</v>
      </c>
      <c r="H21" s="3"/>
    </row>
    <row r="22" spans="1:9" x14ac:dyDescent="0.25">
      <c r="A22" s="2"/>
      <c r="B22" s="4" t="s">
        <v>24</v>
      </c>
      <c r="C22" s="2">
        <f>SUM(C5:C21)</f>
        <v>40900</v>
      </c>
      <c r="D22" s="2">
        <f>SUM(D5:D21)</f>
        <v>6800</v>
      </c>
      <c r="E22" s="2">
        <f>SUM(E5:E21)</f>
        <v>47700</v>
      </c>
      <c r="F22" s="2">
        <f>SUM(F5:F21)</f>
        <v>43900</v>
      </c>
      <c r="G22" s="2">
        <f>SUM(G5:G21)</f>
        <v>3800</v>
      </c>
      <c r="H22" s="2"/>
      <c r="I22" s="1"/>
    </row>
    <row r="23" spans="1:9" x14ac:dyDescent="0.25">
      <c r="A23" s="3"/>
      <c r="B23" s="3"/>
      <c r="C23" s="3"/>
      <c r="D23" s="3"/>
      <c r="E23" s="3"/>
      <c r="F23" s="3"/>
      <c r="G23" s="3"/>
      <c r="H23" s="3"/>
    </row>
    <row r="24" spans="1:9" x14ac:dyDescent="0.25">
      <c r="A24" s="12"/>
    </row>
    <row r="25" spans="1:9" ht="18.75" x14ac:dyDescent="0.3">
      <c r="A25" s="12"/>
      <c r="B25" s="51" t="s">
        <v>27</v>
      </c>
      <c r="C25" s="52"/>
      <c r="D25" s="52"/>
      <c r="E25" s="52"/>
      <c r="F25" s="52"/>
      <c r="G25" s="52"/>
      <c r="H25" s="53"/>
      <c r="I25" s="53"/>
    </row>
    <row r="26" spans="1:9" ht="15.75" x14ac:dyDescent="0.25">
      <c r="A26" s="12"/>
      <c r="B26" s="54" t="s">
        <v>28</v>
      </c>
      <c r="C26" s="54" t="s">
        <v>29</v>
      </c>
      <c r="D26" s="54" t="s">
        <v>30</v>
      </c>
      <c r="E26" s="54" t="s">
        <v>62</v>
      </c>
      <c r="F26" s="54" t="s">
        <v>69</v>
      </c>
      <c r="G26" s="54" t="s">
        <v>29</v>
      </c>
      <c r="H26" s="54" t="s">
        <v>30</v>
      </c>
      <c r="I26" s="54" t="s">
        <v>62</v>
      </c>
    </row>
    <row r="27" spans="1:9" x14ac:dyDescent="0.25">
      <c r="A27" s="12"/>
      <c r="B27" s="55" t="s">
        <v>68</v>
      </c>
      <c r="C27" s="50">
        <f>C22</f>
        <v>40900</v>
      </c>
      <c r="D27" s="56">
        <v>0.1</v>
      </c>
      <c r="E27" s="50"/>
      <c r="F27" s="57" t="s">
        <v>68</v>
      </c>
      <c r="G27" s="50">
        <f>F22</f>
        <v>43900</v>
      </c>
      <c r="H27" s="56">
        <v>0.1</v>
      </c>
      <c r="I27" s="58"/>
    </row>
    <row r="28" spans="1:9" x14ac:dyDescent="0.25">
      <c r="A28" s="12"/>
      <c r="B28" s="58" t="s">
        <v>55</v>
      </c>
      <c r="C28" s="50">
        <f>FEBRUARY!E36</f>
        <v>0</v>
      </c>
      <c r="D28" s="58"/>
      <c r="E28" s="58"/>
      <c r="F28" s="58" t="s">
        <v>55</v>
      </c>
      <c r="G28" s="50">
        <f>FEBRUARY!I36</f>
        <v>-6800</v>
      </c>
      <c r="H28" s="58"/>
      <c r="I28" s="58"/>
    </row>
    <row r="29" spans="1:9" x14ac:dyDescent="0.25">
      <c r="A29" s="12"/>
      <c r="B29" s="58" t="s">
        <v>33</v>
      </c>
      <c r="C29" s="59"/>
      <c r="D29" s="58">
        <f>C27*D27</f>
        <v>4090</v>
      </c>
      <c r="E29" s="58"/>
      <c r="F29" s="58"/>
      <c r="G29" s="59"/>
      <c r="H29" s="58">
        <f>D29</f>
        <v>4090</v>
      </c>
      <c r="I29" s="58"/>
    </row>
    <row r="30" spans="1:9" x14ac:dyDescent="0.25">
      <c r="A30" s="12"/>
      <c r="B30" s="60" t="s">
        <v>34</v>
      </c>
      <c r="C30" s="58"/>
      <c r="D30" s="58"/>
      <c r="E30" s="58"/>
      <c r="F30" s="60" t="s">
        <v>34</v>
      </c>
      <c r="G30" s="58"/>
      <c r="H30" s="58"/>
      <c r="I30" s="58"/>
    </row>
    <row r="31" spans="1:9" x14ac:dyDescent="0.25">
      <c r="A31" s="12"/>
      <c r="B31" s="62" t="s">
        <v>120</v>
      </c>
      <c r="C31" s="58"/>
      <c r="D31" s="58">
        <v>32440</v>
      </c>
      <c r="E31" s="58"/>
      <c r="F31" s="62" t="s">
        <v>120</v>
      </c>
      <c r="G31" s="58"/>
      <c r="H31" s="58">
        <v>32440</v>
      </c>
      <c r="I31" s="58"/>
    </row>
    <row r="32" spans="1:9" x14ac:dyDescent="0.25">
      <c r="A32" s="12"/>
      <c r="B32" s="3" t="s">
        <v>122</v>
      </c>
      <c r="C32" s="3"/>
      <c r="D32" s="3">
        <v>1000</v>
      </c>
      <c r="E32" s="3"/>
      <c r="F32" s="3" t="s">
        <v>122</v>
      </c>
      <c r="G32" s="3"/>
      <c r="H32" s="3">
        <v>1000</v>
      </c>
      <c r="I32" s="58"/>
    </row>
    <row r="33" spans="1:9" x14ac:dyDescent="0.25">
      <c r="A33" s="12"/>
      <c r="B33" s="62" t="s">
        <v>123</v>
      </c>
      <c r="C33" s="58"/>
      <c r="D33" s="58">
        <v>1300</v>
      </c>
      <c r="E33" s="58"/>
      <c r="F33" s="62" t="s">
        <v>123</v>
      </c>
      <c r="G33" s="58"/>
      <c r="H33" s="58">
        <v>1300</v>
      </c>
      <c r="I33" s="58"/>
    </row>
    <row r="34" spans="1:9" x14ac:dyDescent="0.25">
      <c r="A34" s="12"/>
      <c r="B34" s="62"/>
      <c r="C34" s="58"/>
      <c r="D34" s="58"/>
      <c r="E34" s="58"/>
      <c r="F34" s="62"/>
      <c r="G34" s="58"/>
      <c r="H34" s="58"/>
      <c r="I34" s="58"/>
    </row>
    <row r="35" spans="1:9" x14ac:dyDescent="0.25">
      <c r="A35" s="12"/>
      <c r="B35" s="62"/>
      <c r="C35" s="50"/>
      <c r="D35" s="50"/>
      <c r="E35" s="50"/>
      <c r="F35" s="62"/>
      <c r="G35" s="58"/>
      <c r="H35" s="50"/>
      <c r="I35" s="58"/>
    </row>
    <row r="36" spans="1:9" x14ac:dyDescent="0.25">
      <c r="A36" s="12"/>
      <c r="B36" s="55" t="s">
        <v>24</v>
      </c>
      <c r="C36" s="63">
        <f>C27+C28-D29</f>
        <v>36810</v>
      </c>
      <c r="D36" s="55">
        <f>SUM(D31:D35)</f>
        <v>34740</v>
      </c>
      <c r="E36" s="63">
        <f>C36-D36</f>
        <v>2070</v>
      </c>
      <c r="F36" s="57"/>
      <c r="G36" s="63">
        <f>G27+G28-H29</f>
        <v>33010</v>
      </c>
      <c r="H36" s="63">
        <f>SUM(H31:H35)</f>
        <v>34740</v>
      </c>
      <c r="I36" s="63">
        <f>G36-H36</f>
        <v>-1730</v>
      </c>
    </row>
    <row r="39" spans="1:9" x14ac:dyDescent="0.25">
      <c r="B39" s="12" t="s">
        <v>38</v>
      </c>
      <c r="D39" s="12" t="s">
        <v>36</v>
      </c>
      <c r="F39" s="12"/>
      <c r="G39" s="12" t="s">
        <v>37</v>
      </c>
    </row>
    <row r="40" spans="1:9" x14ac:dyDescent="0.25">
      <c r="D40" s="12"/>
      <c r="F40" s="12"/>
      <c r="G40" s="12"/>
    </row>
    <row r="41" spans="1:9" x14ac:dyDescent="0.25">
      <c r="B41" t="s">
        <v>65</v>
      </c>
      <c r="D41" t="s">
        <v>66</v>
      </c>
      <c r="G4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8"/>
  <sheetViews>
    <sheetView topLeftCell="A20" workbookViewId="0">
      <selection activeCell="D28" sqref="D28"/>
    </sheetView>
  </sheetViews>
  <sheetFormatPr defaultRowHeight="15" x14ac:dyDescent="0.25"/>
  <cols>
    <col min="1" max="1" width="8.140625" customWidth="1"/>
    <col min="2" max="2" width="19.5703125" customWidth="1"/>
    <col min="3" max="3" width="9.140625" customWidth="1"/>
    <col min="4" max="4" width="11.7109375" customWidth="1"/>
    <col min="5" max="5" width="11.140625" customWidth="1"/>
  </cols>
  <sheetData>
    <row r="2" spans="2:8" ht="33.75" x14ac:dyDescent="0.25">
      <c r="C2" s="6"/>
      <c r="D2" s="7"/>
      <c r="E2" s="8" t="s">
        <v>25</v>
      </c>
      <c r="F2" s="7"/>
    </row>
    <row r="3" spans="2:8" ht="18.75" x14ac:dyDescent="0.25">
      <c r="B3" s="9" t="s">
        <v>43</v>
      </c>
      <c r="C3" s="10"/>
      <c r="D3" s="10"/>
      <c r="E3" s="11"/>
      <c r="F3" s="11"/>
      <c r="G3" s="11"/>
      <c r="H3" s="11"/>
    </row>
    <row r="4" spans="2:8" x14ac:dyDescent="0.25">
      <c r="H4" s="1"/>
    </row>
    <row r="5" spans="2:8" x14ac:dyDescent="0.25"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</row>
    <row r="6" spans="2:8" x14ac:dyDescent="0.25">
      <c r="B6" s="3" t="s">
        <v>7</v>
      </c>
      <c r="C6" s="3">
        <v>4000</v>
      </c>
      <c r="D6" s="3"/>
      <c r="E6" s="3">
        <f>C6+D6</f>
        <v>4000</v>
      </c>
      <c r="F6" s="3">
        <v>4000</v>
      </c>
      <c r="G6" s="3">
        <f>E6-F6</f>
        <v>0</v>
      </c>
    </row>
    <row r="7" spans="2:8" x14ac:dyDescent="0.25">
      <c r="B7" s="3" t="s">
        <v>8</v>
      </c>
      <c r="C7" s="3">
        <v>2000</v>
      </c>
      <c r="D7" s="3"/>
      <c r="E7" s="3">
        <f t="shared" ref="E7:E22" si="0">C7+D7</f>
        <v>2000</v>
      </c>
      <c r="F7" s="3">
        <v>2000</v>
      </c>
      <c r="G7" s="3">
        <f t="shared" ref="G7:G22" si="1">E7-F7</f>
        <v>0</v>
      </c>
    </row>
    <row r="8" spans="2:8" x14ac:dyDescent="0.25">
      <c r="B8" s="3" t="s">
        <v>9</v>
      </c>
      <c r="C8" s="3">
        <v>2000</v>
      </c>
      <c r="D8" s="3"/>
      <c r="E8" s="3">
        <f t="shared" si="0"/>
        <v>2000</v>
      </c>
      <c r="F8" s="3"/>
      <c r="G8" s="3">
        <f t="shared" si="1"/>
        <v>2000</v>
      </c>
    </row>
    <row r="9" spans="2:8" x14ac:dyDescent="0.25">
      <c r="B9" s="3" t="s">
        <v>10</v>
      </c>
      <c r="C9" s="3">
        <v>2000</v>
      </c>
      <c r="D9" s="3"/>
      <c r="E9" s="3">
        <f t="shared" si="0"/>
        <v>2000</v>
      </c>
      <c r="F9" s="3">
        <v>2000</v>
      </c>
      <c r="G9" s="3">
        <f t="shared" si="1"/>
        <v>0</v>
      </c>
    </row>
    <row r="10" spans="2:8" x14ac:dyDescent="0.25">
      <c r="B10" s="3" t="s">
        <v>11</v>
      </c>
      <c r="C10" s="3">
        <v>2200</v>
      </c>
      <c r="D10" s="3"/>
      <c r="E10" s="3">
        <f t="shared" si="0"/>
        <v>2200</v>
      </c>
      <c r="F10" s="3">
        <v>2000</v>
      </c>
      <c r="G10" s="3">
        <f t="shared" si="1"/>
        <v>200</v>
      </c>
    </row>
    <row r="11" spans="2:8" x14ac:dyDescent="0.25">
      <c r="B11" s="3" t="s">
        <v>12</v>
      </c>
      <c r="C11" s="3">
        <v>2500</v>
      </c>
      <c r="D11" s="3">
        <v>1000</v>
      </c>
      <c r="E11" s="3">
        <f t="shared" si="0"/>
        <v>3500</v>
      </c>
      <c r="F11" s="3">
        <v>3500</v>
      </c>
      <c r="G11" s="3">
        <f t="shared" si="1"/>
        <v>0</v>
      </c>
    </row>
    <row r="12" spans="2:8" x14ac:dyDescent="0.25">
      <c r="B12" s="3" t="s">
        <v>13</v>
      </c>
      <c r="C12" s="3">
        <v>2000</v>
      </c>
      <c r="D12" s="3"/>
      <c r="E12" s="3">
        <f t="shared" si="0"/>
        <v>2000</v>
      </c>
      <c r="F12" s="3"/>
      <c r="G12" s="3">
        <f t="shared" si="1"/>
        <v>2000</v>
      </c>
    </row>
    <row r="13" spans="2:8" x14ac:dyDescent="0.25">
      <c r="B13" s="3" t="s">
        <v>14</v>
      </c>
      <c r="C13" s="3">
        <v>2000</v>
      </c>
      <c r="D13" s="3"/>
      <c r="E13" s="3">
        <f t="shared" si="0"/>
        <v>2000</v>
      </c>
      <c r="F13" s="3">
        <v>2000</v>
      </c>
      <c r="G13" s="3">
        <f t="shared" si="1"/>
        <v>0</v>
      </c>
    </row>
    <row r="14" spans="2:8" x14ac:dyDescent="0.25">
      <c r="B14" s="3" t="s">
        <v>15</v>
      </c>
      <c r="C14" s="3">
        <v>2000</v>
      </c>
      <c r="D14" s="3"/>
      <c r="E14" s="3">
        <f t="shared" si="0"/>
        <v>2000</v>
      </c>
      <c r="F14" s="3"/>
      <c r="G14" s="3">
        <f t="shared" si="1"/>
        <v>2000</v>
      </c>
    </row>
    <row r="15" spans="2:8" x14ac:dyDescent="0.25">
      <c r="B15" s="3" t="s">
        <v>16</v>
      </c>
      <c r="C15" s="3">
        <v>2000</v>
      </c>
      <c r="D15" s="3"/>
      <c r="E15" s="3">
        <f t="shared" si="0"/>
        <v>2000</v>
      </c>
      <c r="F15" s="3"/>
      <c r="G15" s="3">
        <f t="shared" si="1"/>
        <v>2000</v>
      </c>
    </row>
    <row r="16" spans="2:8" x14ac:dyDescent="0.25">
      <c r="B16" s="3" t="s">
        <v>17</v>
      </c>
      <c r="C16" s="3">
        <v>2300</v>
      </c>
      <c r="D16" s="3"/>
      <c r="E16" s="3">
        <f t="shared" si="0"/>
        <v>2300</v>
      </c>
      <c r="F16" s="3">
        <v>2400</v>
      </c>
      <c r="G16" s="3">
        <f t="shared" si="1"/>
        <v>-100</v>
      </c>
    </row>
    <row r="17" spans="2:9" x14ac:dyDescent="0.25">
      <c r="B17" s="3" t="s">
        <v>18</v>
      </c>
      <c r="C17" s="3">
        <v>2000</v>
      </c>
      <c r="D17" s="3"/>
      <c r="E17" s="3">
        <f t="shared" si="0"/>
        <v>2000</v>
      </c>
      <c r="F17" s="3">
        <v>2000</v>
      </c>
      <c r="G17" s="3">
        <f t="shared" si="1"/>
        <v>0</v>
      </c>
    </row>
    <row r="18" spans="2:9" x14ac:dyDescent="0.25">
      <c r="B18" s="3" t="s">
        <v>19</v>
      </c>
      <c r="C18" s="3">
        <v>2000</v>
      </c>
      <c r="D18" s="3"/>
      <c r="E18" s="3">
        <f t="shared" si="0"/>
        <v>2000</v>
      </c>
      <c r="F18" s="3">
        <v>2000</v>
      </c>
      <c r="G18" s="3">
        <f t="shared" si="1"/>
        <v>0</v>
      </c>
    </row>
    <row r="19" spans="2:9" x14ac:dyDescent="0.25">
      <c r="B19" s="3" t="s">
        <v>20</v>
      </c>
      <c r="C19" s="3">
        <v>2000</v>
      </c>
      <c r="D19" s="3"/>
      <c r="E19" s="3">
        <f t="shared" si="0"/>
        <v>2000</v>
      </c>
      <c r="F19" s="3">
        <v>2000</v>
      </c>
      <c r="G19" s="3">
        <f t="shared" si="1"/>
        <v>0</v>
      </c>
    </row>
    <row r="20" spans="2:9" x14ac:dyDescent="0.25">
      <c r="B20" s="3" t="s">
        <v>21</v>
      </c>
      <c r="C20" s="3">
        <v>0</v>
      </c>
      <c r="D20" s="3"/>
      <c r="E20" s="3">
        <f t="shared" si="0"/>
        <v>0</v>
      </c>
      <c r="F20" s="3"/>
      <c r="G20" s="3">
        <f t="shared" si="1"/>
        <v>0</v>
      </c>
    </row>
    <row r="21" spans="2:9" x14ac:dyDescent="0.25">
      <c r="B21" s="3" t="s">
        <v>22</v>
      </c>
      <c r="C21" s="3">
        <v>2000</v>
      </c>
      <c r="D21" s="3"/>
      <c r="E21" s="3">
        <f t="shared" si="0"/>
        <v>2000</v>
      </c>
      <c r="F21" s="3">
        <v>2000</v>
      </c>
      <c r="G21" s="3">
        <f t="shared" si="1"/>
        <v>0</v>
      </c>
    </row>
    <row r="22" spans="2:9" x14ac:dyDescent="0.25">
      <c r="B22" s="3" t="s">
        <v>23</v>
      </c>
      <c r="C22" s="3">
        <v>2000</v>
      </c>
      <c r="D22" s="3"/>
      <c r="E22" s="3">
        <f t="shared" si="0"/>
        <v>2000</v>
      </c>
      <c r="F22" s="3">
        <v>2000</v>
      </c>
      <c r="G22" s="3">
        <f t="shared" si="1"/>
        <v>0</v>
      </c>
      <c r="H22" s="1"/>
    </row>
    <row r="23" spans="2:9" x14ac:dyDescent="0.25">
      <c r="B23" s="4" t="s">
        <v>24</v>
      </c>
      <c r="C23" s="2">
        <f>SUM(C6:C22)</f>
        <v>35000</v>
      </c>
      <c r="D23" s="2">
        <f>SUM(D6:D22)</f>
        <v>1000</v>
      </c>
      <c r="E23" s="2">
        <f>SUM(E6:E22)</f>
        <v>36000</v>
      </c>
      <c r="F23" s="2">
        <f>SUM(F6:F22)</f>
        <v>27900</v>
      </c>
      <c r="G23" s="2">
        <f>E23-F23</f>
        <v>8100</v>
      </c>
    </row>
    <row r="26" spans="2:9" ht="23.25" x14ac:dyDescent="0.35">
      <c r="B26" s="15" t="s">
        <v>27</v>
      </c>
      <c r="C26" s="3"/>
      <c r="D26" s="3"/>
      <c r="E26" s="3"/>
    </row>
    <row r="27" spans="2:9" ht="23.25" x14ac:dyDescent="0.35">
      <c r="B27" s="16" t="s">
        <v>28</v>
      </c>
      <c r="C27" s="16" t="s">
        <v>29</v>
      </c>
      <c r="D27" s="16" t="s">
        <v>30</v>
      </c>
      <c r="E27" s="16" t="s">
        <v>31</v>
      </c>
      <c r="G27" s="16" t="s">
        <v>29</v>
      </c>
      <c r="H27" s="16" t="s">
        <v>30</v>
      </c>
      <c r="I27" s="16" t="s">
        <v>31</v>
      </c>
    </row>
    <row r="28" spans="2:9" x14ac:dyDescent="0.25">
      <c r="B28" s="3" t="s">
        <v>47</v>
      </c>
      <c r="C28" s="17">
        <f>C23</f>
        <v>35000</v>
      </c>
      <c r="D28" s="5">
        <v>0.1</v>
      </c>
      <c r="E28" s="17">
        <f>C28-C29</f>
        <v>35000</v>
      </c>
      <c r="G28" s="17">
        <f>F23</f>
        <v>27900</v>
      </c>
      <c r="H28" s="5">
        <v>0.1</v>
      </c>
      <c r="I28" s="3"/>
    </row>
    <row r="29" spans="2:9" x14ac:dyDescent="0.25">
      <c r="B29" s="3" t="s">
        <v>32</v>
      </c>
      <c r="C29" s="18"/>
      <c r="D29" s="3"/>
      <c r="E29" s="3"/>
      <c r="G29" s="18"/>
      <c r="H29" s="3"/>
      <c r="I29" s="3"/>
    </row>
    <row r="30" spans="2:9" x14ac:dyDescent="0.25">
      <c r="B30" s="3" t="s">
        <v>33</v>
      </c>
      <c r="C30" s="19"/>
      <c r="D30" s="20">
        <f>C28*D28</f>
        <v>3500</v>
      </c>
      <c r="E30" s="3"/>
      <c r="G30" s="19"/>
      <c r="H30" s="20">
        <f>G28*H28</f>
        <v>2790</v>
      </c>
      <c r="I30" s="3"/>
    </row>
    <row r="31" spans="2:9" x14ac:dyDescent="0.25">
      <c r="B31" s="21"/>
      <c r="C31" s="17">
        <f>C28</f>
        <v>35000</v>
      </c>
      <c r="D31" s="3"/>
      <c r="E31" s="3"/>
      <c r="G31" s="17">
        <f>SUM(G28:G30)</f>
        <v>27900</v>
      </c>
      <c r="H31" s="3"/>
      <c r="I31" s="3"/>
    </row>
    <row r="32" spans="2:9" x14ac:dyDescent="0.25">
      <c r="B32" s="21" t="s">
        <v>34</v>
      </c>
      <c r="C32" s="3"/>
      <c r="E32" s="3"/>
      <c r="G32" s="3"/>
      <c r="I32" s="3"/>
    </row>
    <row r="33" spans="2:10" x14ac:dyDescent="0.25">
      <c r="B33" s="22" t="s">
        <v>35</v>
      </c>
      <c r="C33" s="3"/>
      <c r="D33" s="23">
        <v>29100</v>
      </c>
      <c r="E33" s="20"/>
      <c r="G33" t="s">
        <v>5</v>
      </c>
      <c r="H33" s="3">
        <v>29100</v>
      </c>
      <c r="I33" s="20"/>
    </row>
    <row r="34" spans="2:10" x14ac:dyDescent="0.25">
      <c r="B34" s="24"/>
      <c r="C34" s="3"/>
      <c r="D34" s="23"/>
      <c r="E34" s="3"/>
      <c r="G34" s="3"/>
      <c r="H34" s="23"/>
      <c r="I34" s="3"/>
    </row>
    <row r="35" spans="2:10" x14ac:dyDescent="0.25">
      <c r="B35" s="3"/>
      <c r="C35" s="3"/>
      <c r="E35" s="3"/>
      <c r="G35" s="3"/>
      <c r="I35" s="3"/>
    </row>
    <row r="36" spans="2:10" x14ac:dyDescent="0.25">
      <c r="B36" s="3"/>
      <c r="C36" s="25">
        <f>C31-C33</f>
        <v>35000</v>
      </c>
      <c r="D36" s="26">
        <f>SUM(D30:D35)</f>
        <v>32600</v>
      </c>
      <c r="E36" s="25">
        <f>C36-D36</f>
        <v>2400</v>
      </c>
      <c r="F36" s="12"/>
      <c r="G36" s="25">
        <f>G31</f>
        <v>27900</v>
      </c>
      <c r="H36" s="26">
        <f>SUM(H30:H35)</f>
        <v>31890</v>
      </c>
      <c r="I36" s="25">
        <f>G36-H36</f>
        <v>-3990</v>
      </c>
      <c r="J36" s="12"/>
    </row>
    <row r="37" spans="2:10" x14ac:dyDescent="0.25">
      <c r="B37" s="27" t="s">
        <v>24</v>
      </c>
      <c r="C37" s="12" t="s">
        <v>36</v>
      </c>
      <c r="D37" s="12"/>
      <c r="E37" s="12" t="s">
        <v>37</v>
      </c>
      <c r="F37" s="12"/>
    </row>
    <row r="38" spans="2:10" x14ac:dyDescent="0.25">
      <c r="B38" s="12" t="s">
        <v>38</v>
      </c>
      <c r="C38" s="12" t="s">
        <v>39</v>
      </c>
      <c r="D38" s="12"/>
      <c r="E38" s="12"/>
      <c r="F38" s="1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G28" sqref="G28"/>
    </sheetView>
  </sheetViews>
  <sheetFormatPr defaultRowHeight="15" x14ac:dyDescent="0.25"/>
  <cols>
    <col min="1" max="1" width="4" customWidth="1"/>
    <col min="2" max="2" width="19" customWidth="1"/>
    <col min="3" max="3" width="9.140625" customWidth="1"/>
    <col min="4" max="4" width="7.42578125" customWidth="1"/>
    <col min="5" max="5" width="10.5703125" customWidth="1"/>
    <col min="6" max="6" width="8.85546875" bestFit="1" customWidth="1"/>
  </cols>
  <sheetData>
    <row r="1" spans="1:9" ht="18.75" x14ac:dyDescent="0.25">
      <c r="C1" s="38" t="s">
        <v>59</v>
      </c>
      <c r="D1" s="39"/>
      <c r="E1" s="36"/>
      <c r="F1" s="34"/>
    </row>
    <row r="2" spans="1:9" ht="18.75" x14ac:dyDescent="0.25">
      <c r="C2" s="38" t="s">
        <v>60</v>
      </c>
      <c r="D2" s="38"/>
      <c r="E2" s="11"/>
      <c r="F2" s="11"/>
    </row>
    <row r="3" spans="1:9" ht="18.75" x14ac:dyDescent="0.25">
      <c r="C3" s="38" t="s">
        <v>124</v>
      </c>
      <c r="D3" s="38"/>
      <c r="E3" s="11"/>
      <c r="F3" s="11"/>
    </row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/>
      <c r="I4" s="1"/>
    </row>
    <row r="5" spans="1:9" x14ac:dyDescent="0.25">
      <c r="A5" s="3">
        <v>1</v>
      </c>
      <c r="B5" s="3" t="s">
        <v>91</v>
      </c>
      <c r="C5" s="3">
        <v>4000</v>
      </c>
      <c r="D5" s="3"/>
      <c r="E5" s="3">
        <f>C5+D5</f>
        <v>4000</v>
      </c>
      <c r="F5" s="3">
        <v>4000</v>
      </c>
      <c r="G5" s="3">
        <f>E5-F5</f>
        <v>0</v>
      </c>
      <c r="H5" s="3"/>
    </row>
    <row r="6" spans="1:9" x14ac:dyDescent="0.25">
      <c r="A6" s="3">
        <v>2</v>
      </c>
      <c r="B6" t="s">
        <v>126</v>
      </c>
      <c r="C6" s="3">
        <v>2300</v>
      </c>
      <c r="D6" s="3"/>
      <c r="E6" s="3">
        <f>C6+D6</f>
        <v>2300</v>
      </c>
      <c r="F6" s="3">
        <v>2300</v>
      </c>
      <c r="G6" s="3">
        <f t="shared" ref="G6:G21" si="0">E6-F6</f>
        <v>0</v>
      </c>
      <c r="H6" s="3"/>
    </row>
    <row r="7" spans="1:9" x14ac:dyDescent="0.25">
      <c r="A7" s="3">
        <v>3</v>
      </c>
      <c r="B7" s="3" t="s">
        <v>149</v>
      </c>
      <c r="C7" s="3">
        <v>2300</v>
      </c>
      <c r="D7" s="3">
        <v>300</v>
      </c>
      <c r="E7" s="3">
        <f t="shared" ref="E7:E21" si="1">C7+D7</f>
        <v>2600</v>
      </c>
      <c r="F7" s="3">
        <v>2600</v>
      </c>
      <c r="G7" s="3">
        <f t="shared" si="0"/>
        <v>0</v>
      </c>
      <c r="H7" s="3"/>
    </row>
    <row r="8" spans="1:9" x14ac:dyDescent="0.25">
      <c r="A8" s="3">
        <v>4</v>
      </c>
      <c r="B8" s="3" t="s">
        <v>74</v>
      </c>
      <c r="C8" s="3">
        <v>2300</v>
      </c>
      <c r="D8" s="3">
        <v>300</v>
      </c>
      <c r="E8" s="3">
        <f t="shared" si="1"/>
        <v>2600</v>
      </c>
      <c r="F8" s="3">
        <v>2300</v>
      </c>
      <c r="G8" s="3">
        <f t="shared" si="0"/>
        <v>300</v>
      </c>
      <c r="H8" s="3"/>
    </row>
    <row r="9" spans="1:9" x14ac:dyDescent="0.25">
      <c r="A9" s="3">
        <v>5</v>
      </c>
      <c r="B9" s="3" t="s">
        <v>86</v>
      </c>
      <c r="C9" s="3">
        <v>2500</v>
      </c>
      <c r="D9" s="3">
        <v>300</v>
      </c>
      <c r="E9" s="3">
        <f>C9+D9</f>
        <v>2800</v>
      </c>
      <c r="F9" s="3">
        <v>2800</v>
      </c>
      <c r="G9" s="3">
        <f t="shared" si="0"/>
        <v>0</v>
      </c>
      <c r="H9" s="3"/>
    </row>
    <row r="10" spans="1:9" x14ac:dyDescent="0.25">
      <c r="A10" s="3">
        <v>6</v>
      </c>
      <c r="B10" s="3" t="s">
        <v>94</v>
      </c>
      <c r="C10" s="3">
        <v>2300</v>
      </c>
      <c r="D10" s="3"/>
      <c r="E10" s="3">
        <f t="shared" si="1"/>
        <v>2300</v>
      </c>
      <c r="F10" s="3"/>
      <c r="G10" s="3">
        <f t="shared" si="0"/>
        <v>2300</v>
      </c>
      <c r="H10" s="3"/>
    </row>
    <row r="11" spans="1:9" x14ac:dyDescent="0.25">
      <c r="A11" s="3">
        <v>7</v>
      </c>
      <c r="B11" s="3" t="s">
        <v>13</v>
      </c>
      <c r="C11" s="3">
        <v>2300</v>
      </c>
      <c r="D11" s="3"/>
      <c r="E11" s="3">
        <f t="shared" si="1"/>
        <v>2300</v>
      </c>
      <c r="F11" s="3">
        <v>2300</v>
      </c>
      <c r="G11" s="3">
        <f t="shared" si="0"/>
        <v>0</v>
      </c>
      <c r="H11" s="3"/>
      <c r="I11" t="s">
        <v>51</v>
      </c>
    </row>
    <row r="12" spans="1:9" x14ac:dyDescent="0.25">
      <c r="A12" s="3">
        <v>8</v>
      </c>
      <c r="B12" s="3" t="s">
        <v>105</v>
      </c>
      <c r="C12" s="3">
        <v>2300</v>
      </c>
      <c r="D12" s="3"/>
      <c r="E12" s="3">
        <f t="shared" si="1"/>
        <v>2300</v>
      </c>
      <c r="F12" s="3">
        <v>2300</v>
      </c>
      <c r="G12" s="3">
        <f t="shared" si="0"/>
        <v>0</v>
      </c>
      <c r="H12" s="3"/>
    </row>
    <row r="13" spans="1:9" x14ac:dyDescent="0.25">
      <c r="A13" s="3">
        <v>9</v>
      </c>
      <c r="B13" s="3" t="s">
        <v>96</v>
      </c>
      <c r="C13" s="3">
        <v>2300</v>
      </c>
      <c r="D13" s="3"/>
      <c r="E13" s="3">
        <f t="shared" si="1"/>
        <v>2300</v>
      </c>
      <c r="F13" s="3">
        <v>2280</v>
      </c>
      <c r="G13" s="3">
        <f t="shared" si="0"/>
        <v>20</v>
      </c>
      <c r="H13" s="3"/>
    </row>
    <row r="14" spans="1:9" x14ac:dyDescent="0.25">
      <c r="A14" s="3">
        <v>10</v>
      </c>
      <c r="B14" s="3" t="s">
        <v>57</v>
      </c>
      <c r="C14" s="3">
        <v>2000</v>
      </c>
      <c r="D14" s="3"/>
      <c r="E14" s="3">
        <f t="shared" si="1"/>
        <v>2000</v>
      </c>
      <c r="F14" s="3">
        <v>2000</v>
      </c>
      <c r="G14" s="3">
        <f t="shared" si="0"/>
        <v>0</v>
      </c>
      <c r="H14" s="3"/>
    </row>
    <row r="15" spans="1:9" x14ac:dyDescent="0.25">
      <c r="A15" s="3">
        <v>11</v>
      </c>
      <c r="B15" s="3" t="s">
        <v>57</v>
      </c>
      <c r="C15" s="3">
        <v>2500</v>
      </c>
      <c r="D15" s="3"/>
      <c r="E15" s="3">
        <f t="shared" si="1"/>
        <v>2500</v>
      </c>
      <c r="F15" s="3">
        <v>2500</v>
      </c>
      <c r="G15" s="3">
        <f t="shared" si="0"/>
        <v>0</v>
      </c>
      <c r="H15" s="3"/>
    </row>
    <row r="16" spans="1:9" x14ac:dyDescent="0.25">
      <c r="A16" s="3">
        <v>12</v>
      </c>
      <c r="B16" s="3" t="s">
        <v>118</v>
      </c>
      <c r="C16" s="3">
        <v>2300</v>
      </c>
      <c r="D16" s="3"/>
      <c r="E16" s="3">
        <f t="shared" si="1"/>
        <v>2300</v>
      </c>
      <c r="F16" s="3">
        <v>2300</v>
      </c>
      <c r="G16" s="3">
        <f t="shared" si="0"/>
        <v>0</v>
      </c>
      <c r="H16" s="3"/>
    </row>
    <row r="17" spans="1:9" x14ac:dyDescent="0.25">
      <c r="A17" s="3">
        <v>13</v>
      </c>
      <c r="B17" s="3" t="s">
        <v>19</v>
      </c>
      <c r="C17" s="3">
        <v>2300</v>
      </c>
      <c r="D17" s="3"/>
      <c r="E17" s="3">
        <f t="shared" si="1"/>
        <v>2300</v>
      </c>
      <c r="F17" s="3">
        <v>2300</v>
      </c>
      <c r="G17" s="3">
        <f t="shared" si="0"/>
        <v>0</v>
      </c>
      <c r="H17" s="3"/>
    </row>
    <row r="18" spans="1:9" x14ac:dyDescent="0.25">
      <c r="A18" s="3">
        <v>14</v>
      </c>
      <c r="B18" s="3" t="s">
        <v>121</v>
      </c>
      <c r="C18" s="3">
        <v>2300</v>
      </c>
      <c r="D18" s="3"/>
      <c r="E18" s="3">
        <f t="shared" si="1"/>
        <v>2300</v>
      </c>
      <c r="F18" s="3">
        <v>2300</v>
      </c>
      <c r="G18" s="3">
        <f t="shared" si="0"/>
        <v>0</v>
      </c>
      <c r="H18" s="3"/>
    </row>
    <row r="19" spans="1:9" x14ac:dyDescent="0.25">
      <c r="A19" s="3">
        <v>15</v>
      </c>
      <c r="B19" s="3" t="s">
        <v>75</v>
      </c>
      <c r="C19" s="3"/>
      <c r="D19" s="3">
        <v>2300</v>
      </c>
      <c r="E19" s="3">
        <f t="shared" si="1"/>
        <v>2300</v>
      </c>
      <c r="F19" s="3">
        <v>2000</v>
      </c>
      <c r="G19" s="3">
        <f t="shared" si="0"/>
        <v>300</v>
      </c>
      <c r="H19" s="3"/>
    </row>
    <row r="20" spans="1:9" x14ac:dyDescent="0.25">
      <c r="A20" s="3">
        <v>16</v>
      </c>
      <c r="B20" s="3" t="s">
        <v>127</v>
      </c>
      <c r="C20" s="3">
        <v>2300</v>
      </c>
      <c r="D20" s="3"/>
      <c r="E20" s="3">
        <f t="shared" si="1"/>
        <v>2300</v>
      </c>
      <c r="F20" s="3">
        <v>2300</v>
      </c>
      <c r="G20" s="3">
        <f t="shared" si="0"/>
        <v>0</v>
      </c>
      <c r="H20" s="3"/>
    </row>
    <row r="21" spans="1:9" x14ac:dyDescent="0.25">
      <c r="A21" s="3">
        <v>17</v>
      </c>
      <c r="B21" s="3" t="s">
        <v>73</v>
      </c>
      <c r="C21" s="3">
        <v>2300</v>
      </c>
      <c r="D21" s="3">
        <v>600</v>
      </c>
      <c r="E21" s="3">
        <f t="shared" si="1"/>
        <v>2900</v>
      </c>
      <c r="F21" s="3">
        <v>2000</v>
      </c>
      <c r="G21" s="3">
        <f t="shared" si="0"/>
        <v>900</v>
      </c>
      <c r="H21" s="3"/>
    </row>
    <row r="22" spans="1:9" x14ac:dyDescent="0.25">
      <c r="A22" s="2"/>
      <c r="B22" s="4" t="s">
        <v>24</v>
      </c>
      <c r="C22" s="2">
        <f>SUM(C5:C21)</f>
        <v>38600</v>
      </c>
      <c r="D22" s="2">
        <f>SUM(D5:D21)</f>
        <v>3800</v>
      </c>
      <c r="E22" s="2">
        <f>SUM(E5:E21)</f>
        <v>42400</v>
      </c>
      <c r="F22" s="2">
        <f>SUM(F5:F21)</f>
        <v>38580</v>
      </c>
      <c r="G22" s="2">
        <f>SUM(G5:G21)</f>
        <v>3820</v>
      </c>
      <c r="H22" s="2"/>
      <c r="I22" s="1"/>
    </row>
    <row r="23" spans="1:9" x14ac:dyDescent="0.25">
      <c r="A23" s="3"/>
      <c r="B23" s="3"/>
      <c r="C23" s="3"/>
      <c r="D23" s="3"/>
      <c r="E23" s="3"/>
      <c r="F23" s="3"/>
      <c r="G23" s="3"/>
      <c r="H23" s="3"/>
    </row>
    <row r="24" spans="1:9" x14ac:dyDescent="0.25">
      <c r="A24" s="12"/>
    </row>
    <row r="25" spans="1:9" ht="18.75" x14ac:dyDescent="0.3">
      <c r="A25" s="12"/>
      <c r="B25" s="51" t="s">
        <v>27</v>
      </c>
      <c r="C25" s="52"/>
      <c r="D25" s="52"/>
      <c r="E25" s="52"/>
      <c r="F25" s="52"/>
      <c r="G25" s="52"/>
      <c r="H25" s="53"/>
      <c r="I25" s="53"/>
    </row>
    <row r="26" spans="1:9" ht="15.75" x14ac:dyDescent="0.25">
      <c r="A26" s="12"/>
      <c r="B26" s="54" t="s">
        <v>28</v>
      </c>
      <c r="C26" s="54" t="s">
        <v>29</v>
      </c>
      <c r="D26" s="54" t="s">
        <v>30</v>
      </c>
      <c r="E26" s="54" t="s">
        <v>62</v>
      </c>
      <c r="F26" s="54" t="s">
        <v>69</v>
      </c>
      <c r="G26" s="54" t="s">
        <v>29</v>
      </c>
      <c r="H26" s="54" t="s">
        <v>30</v>
      </c>
      <c r="I26" s="54" t="s">
        <v>62</v>
      </c>
    </row>
    <row r="27" spans="1:9" x14ac:dyDescent="0.25">
      <c r="A27" s="12"/>
      <c r="B27" s="55" t="s">
        <v>71</v>
      </c>
      <c r="C27" s="50">
        <f>C22</f>
        <v>38600</v>
      </c>
      <c r="D27" s="56">
        <v>0.1</v>
      </c>
      <c r="E27" s="50"/>
      <c r="F27" s="57" t="s">
        <v>71</v>
      </c>
      <c r="G27" s="50">
        <f>F22</f>
        <v>38580</v>
      </c>
      <c r="H27" s="56">
        <v>0.1</v>
      </c>
      <c r="I27" s="58"/>
    </row>
    <row r="28" spans="1:9" x14ac:dyDescent="0.25">
      <c r="A28" s="12"/>
      <c r="B28" s="58" t="s">
        <v>55</v>
      </c>
      <c r="C28" s="50">
        <f>'MARCH '!E36</f>
        <v>2070</v>
      </c>
      <c r="D28" s="58"/>
      <c r="E28" s="58"/>
      <c r="F28" s="58" t="s">
        <v>55</v>
      </c>
      <c r="G28" s="50">
        <f>'MARCH '!I36</f>
        <v>-1730</v>
      </c>
      <c r="H28" s="58"/>
      <c r="I28" s="58"/>
    </row>
    <row r="29" spans="1:9" x14ac:dyDescent="0.25">
      <c r="A29" s="12"/>
      <c r="B29" s="58" t="s">
        <v>33</v>
      </c>
      <c r="C29" s="59"/>
      <c r="D29" s="58">
        <f>C27*D27</f>
        <v>3860</v>
      </c>
      <c r="E29" s="58"/>
      <c r="F29" s="58"/>
      <c r="G29" s="59"/>
      <c r="H29" s="58">
        <f>D29</f>
        <v>3860</v>
      </c>
      <c r="I29" s="58"/>
    </row>
    <row r="30" spans="1:9" x14ac:dyDescent="0.25">
      <c r="A30" s="12"/>
      <c r="B30" s="60" t="s">
        <v>34</v>
      </c>
      <c r="C30" s="58"/>
      <c r="D30" s="58"/>
      <c r="E30" s="58"/>
      <c r="F30" s="60" t="s">
        <v>34</v>
      </c>
      <c r="G30" s="58"/>
      <c r="H30" s="58"/>
      <c r="I30" s="58"/>
    </row>
    <row r="31" spans="1:9" x14ac:dyDescent="0.25">
      <c r="A31" s="12"/>
      <c r="B31" s="62" t="s">
        <v>125</v>
      </c>
      <c r="C31" s="58"/>
      <c r="D31" s="58">
        <v>34740</v>
      </c>
      <c r="E31" s="58"/>
      <c r="F31" s="62" t="s">
        <v>125</v>
      </c>
      <c r="G31" s="58"/>
      <c r="H31" s="58">
        <v>34740</v>
      </c>
      <c r="I31" s="58"/>
    </row>
    <row r="32" spans="1:9" x14ac:dyDescent="0.25">
      <c r="A32" s="12"/>
      <c r="B32" s="3" t="s">
        <v>128</v>
      </c>
      <c r="C32" s="3"/>
      <c r="D32" s="3">
        <v>3106</v>
      </c>
      <c r="E32" s="3"/>
      <c r="F32" s="3" t="s">
        <v>128</v>
      </c>
      <c r="G32" s="3"/>
      <c r="H32" s="3">
        <v>3106</v>
      </c>
      <c r="I32" s="58"/>
    </row>
    <row r="33" spans="1:9" x14ac:dyDescent="0.25">
      <c r="A33" s="12"/>
      <c r="B33" s="62" t="s">
        <v>131</v>
      </c>
      <c r="C33" s="58"/>
      <c r="D33" s="58">
        <v>2300</v>
      </c>
      <c r="E33" s="58"/>
      <c r="F33" s="62" t="s">
        <v>131</v>
      </c>
      <c r="G33" s="58"/>
      <c r="H33" s="58">
        <v>2300</v>
      </c>
      <c r="I33" s="58"/>
    </row>
    <row r="34" spans="1:9" x14ac:dyDescent="0.25">
      <c r="A34" s="12"/>
      <c r="B34" s="62"/>
      <c r="C34" s="58"/>
      <c r="D34" s="58"/>
      <c r="E34" s="58"/>
      <c r="F34" s="62"/>
      <c r="G34" s="58"/>
      <c r="H34" s="58"/>
      <c r="I34" s="58"/>
    </row>
    <row r="35" spans="1:9" x14ac:dyDescent="0.25">
      <c r="A35" s="12"/>
      <c r="B35" s="62"/>
      <c r="C35" s="50"/>
      <c r="D35" s="50"/>
      <c r="E35" s="50"/>
      <c r="F35" s="62"/>
      <c r="G35" s="58"/>
      <c r="H35" s="50"/>
      <c r="I35" s="58"/>
    </row>
    <row r="36" spans="1:9" x14ac:dyDescent="0.25">
      <c r="A36" s="12"/>
      <c r="B36" s="55" t="s">
        <v>24</v>
      </c>
      <c r="C36" s="63">
        <f>C27+C28-D29</f>
        <v>36810</v>
      </c>
      <c r="D36" s="55">
        <f>SUM(D31:D35)</f>
        <v>40146</v>
      </c>
      <c r="E36" s="63">
        <f>C36-D36</f>
        <v>-3336</v>
      </c>
      <c r="F36" s="57"/>
      <c r="G36" s="63">
        <f>G27+G28-H29</f>
        <v>32990</v>
      </c>
      <c r="H36" s="63">
        <f>SUM(H31:H35)</f>
        <v>40146</v>
      </c>
      <c r="I36" s="63">
        <f>G36-H36</f>
        <v>-7156</v>
      </c>
    </row>
    <row r="39" spans="1:9" x14ac:dyDescent="0.25">
      <c r="B39" s="12" t="s">
        <v>38</v>
      </c>
      <c r="D39" s="12" t="s">
        <v>36</v>
      </c>
      <c r="F39" s="12"/>
      <c r="G39" s="12" t="s">
        <v>37</v>
      </c>
    </row>
    <row r="40" spans="1:9" x14ac:dyDescent="0.25">
      <c r="D40" s="12"/>
      <c r="F40" s="12"/>
      <c r="G40" s="12"/>
    </row>
    <row r="41" spans="1:9" x14ac:dyDescent="0.25">
      <c r="B41" t="s">
        <v>65</v>
      </c>
      <c r="D41" t="s">
        <v>66</v>
      </c>
      <c r="G41" t="s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opLeftCell="A4" zoomScaleNormal="100" workbookViewId="0">
      <selection activeCell="G28" sqref="G28"/>
    </sheetView>
  </sheetViews>
  <sheetFormatPr defaultRowHeight="15" x14ac:dyDescent="0.25"/>
  <cols>
    <col min="1" max="1" width="4" customWidth="1"/>
    <col min="2" max="2" width="19" customWidth="1"/>
    <col min="3" max="3" width="9.140625" customWidth="1"/>
    <col min="4" max="4" width="7.42578125" customWidth="1"/>
    <col min="5" max="5" width="10.5703125" customWidth="1"/>
    <col min="6" max="6" width="8.85546875" bestFit="1" customWidth="1"/>
  </cols>
  <sheetData>
    <row r="1" spans="1:9" ht="18.75" x14ac:dyDescent="0.25">
      <c r="C1" s="38" t="s">
        <v>59</v>
      </c>
      <c r="D1" s="39"/>
      <c r="E1" s="36"/>
      <c r="F1" s="34"/>
    </row>
    <row r="2" spans="1:9" ht="18.75" x14ac:dyDescent="0.25">
      <c r="C2" s="38" t="s">
        <v>60</v>
      </c>
      <c r="D2" s="38"/>
      <c r="E2" s="11"/>
      <c r="F2" s="11"/>
    </row>
    <row r="3" spans="1:9" ht="18.75" x14ac:dyDescent="0.25">
      <c r="C3" s="38" t="s">
        <v>130</v>
      </c>
      <c r="D3" s="38"/>
      <c r="E3" s="11"/>
      <c r="F3" s="11"/>
    </row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/>
      <c r="I4" s="1"/>
    </row>
    <row r="5" spans="1:9" x14ac:dyDescent="0.25">
      <c r="A5" s="3">
        <v>1</v>
      </c>
      <c r="B5" s="3" t="s">
        <v>91</v>
      </c>
      <c r="C5" s="3">
        <v>4000</v>
      </c>
      <c r="D5" s="3"/>
      <c r="E5" s="3">
        <f>C5+D5</f>
        <v>4000</v>
      </c>
      <c r="F5" s="3">
        <v>4000</v>
      </c>
      <c r="G5" s="3">
        <f>E5-F5</f>
        <v>0</v>
      </c>
      <c r="H5" s="3"/>
    </row>
    <row r="6" spans="1:9" x14ac:dyDescent="0.25">
      <c r="A6" s="3">
        <v>2</v>
      </c>
      <c r="B6" t="s">
        <v>126</v>
      </c>
      <c r="C6" s="3">
        <v>2300</v>
      </c>
      <c r="D6" s="3"/>
      <c r="E6" s="3">
        <f>C6+D6</f>
        <v>2300</v>
      </c>
      <c r="F6" s="3">
        <v>2300</v>
      </c>
      <c r="G6" s="3">
        <f t="shared" ref="G6:G21" si="0">E6-F6</f>
        <v>0</v>
      </c>
      <c r="H6" s="3"/>
    </row>
    <row r="7" spans="1:9" x14ac:dyDescent="0.25">
      <c r="A7" s="3">
        <v>3</v>
      </c>
      <c r="B7" s="3" t="s">
        <v>149</v>
      </c>
      <c r="C7" s="3">
        <v>2300</v>
      </c>
      <c r="D7" s="3"/>
      <c r="E7" s="3">
        <f t="shared" ref="E7:E21" si="1">C7+D7</f>
        <v>2300</v>
      </c>
      <c r="F7" s="3">
        <v>2000</v>
      </c>
      <c r="G7" s="3">
        <f t="shared" si="0"/>
        <v>300</v>
      </c>
      <c r="H7" s="3"/>
    </row>
    <row r="8" spans="1:9" x14ac:dyDescent="0.25">
      <c r="A8" s="3">
        <v>4</v>
      </c>
      <c r="B8" s="3" t="s">
        <v>74</v>
      </c>
      <c r="C8" s="3">
        <v>2300</v>
      </c>
      <c r="D8" s="3">
        <v>300</v>
      </c>
      <c r="E8" s="3">
        <f t="shared" si="1"/>
        <v>2600</v>
      </c>
      <c r="F8" s="3">
        <v>2300</v>
      </c>
      <c r="G8" s="3">
        <f t="shared" si="0"/>
        <v>300</v>
      </c>
      <c r="H8" s="3"/>
    </row>
    <row r="9" spans="1:9" x14ac:dyDescent="0.25">
      <c r="A9" s="3">
        <v>5</v>
      </c>
      <c r="B9" s="3" t="s">
        <v>86</v>
      </c>
      <c r="C9" s="3">
        <v>2500</v>
      </c>
      <c r="D9" s="3"/>
      <c r="E9" s="3">
        <f>C9+D9</f>
        <v>2500</v>
      </c>
      <c r="F9" s="3">
        <v>2500</v>
      </c>
      <c r="G9" s="3">
        <f t="shared" si="0"/>
        <v>0</v>
      </c>
      <c r="H9" s="3"/>
    </row>
    <row r="10" spans="1:9" x14ac:dyDescent="0.25">
      <c r="A10" s="3">
        <v>6</v>
      </c>
      <c r="B10" s="3" t="s">
        <v>94</v>
      </c>
      <c r="C10" s="3">
        <v>2300</v>
      </c>
      <c r="D10" s="3">
        <v>2300</v>
      </c>
      <c r="E10" s="3">
        <f t="shared" si="1"/>
        <v>4600</v>
      </c>
      <c r="F10" s="3">
        <v>4600</v>
      </c>
      <c r="G10" s="3">
        <f t="shared" si="0"/>
        <v>0</v>
      </c>
      <c r="H10" s="3"/>
    </row>
    <row r="11" spans="1:9" x14ac:dyDescent="0.25">
      <c r="A11" s="3">
        <v>7</v>
      </c>
      <c r="B11" s="3" t="s">
        <v>13</v>
      </c>
      <c r="C11" s="3">
        <v>2300</v>
      </c>
      <c r="D11" s="3"/>
      <c r="E11" s="3">
        <f t="shared" si="1"/>
        <v>2300</v>
      </c>
      <c r="F11" s="3">
        <v>2300</v>
      </c>
      <c r="G11" s="3">
        <f t="shared" si="0"/>
        <v>0</v>
      </c>
      <c r="H11" s="3"/>
    </row>
    <row r="12" spans="1:9" x14ac:dyDescent="0.25">
      <c r="A12" s="3">
        <v>8</v>
      </c>
      <c r="B12" s="3" t="s">
        <v>105</v>
      </c>
      <c r="C12" s="3">
        <v>2300</v>
      </c>
      <c r="D12" s="3"/>
      <c r="E12" s="3">
        <f t="shared" si="1"/>
        <v>2300</v>
      </c>
      <c r="F12" s="3">
        <v>2300</v>
      </c>
      <c r="G12" s="3">
        <f t="shared" si="0"/>
        <v>0</v>
      </c>
      <c r="H12" s="3"/>
    </row>
    <row r="13" spans="1:9" x14ac:dyDescent="0.25">
      <c r="A13" s="3">
        <v>9</v>
      </c>
      <c r="B13" s="3" t="s">
        <v>96</v>
      </c>
      <c r="C13" s="3">
        <v>2300</v>
      </c>
      <c r="D13" s="3">
        <v>20</v>
      </c>
      <c r="E13" s="3">
        <f t="shared" si="1"/>
        <v>2320</v>
      </c>
      <c r="F13" s="3">
        <v>2300</v>
      </c>
      <c r="G13" s="3">
        <f t="shared" si="0"/>
        <v>20</v>
      </c>
      <c r="H13" s="3"/>
    </row>
    <row r="14" spans="1:9" x14ac:dyDescent="0.25">
      <c r="A14" s="3">
        <v>10</v>
      </c>
      <c r="B14" s="3" t="s">
        <v>57</v>
      </c>
      <c r="C14" s="3">
        <v>2000</v>
      </c>
      <c r="D14" s="3"/>
      <c r="E14" s="3">
        <f t="shared" si="1"/>
        <v>2000</v>
      </c>
      <c r="F14" s="3">
        <v>2000</v>
      </c>
      <c r="G14" s="3">
        <f t="shared" si="0"/>
        <v>0</v>
      </c>
      <c r="H14" s="3"/>
    </row>
    <row r="15" spans="1:9" x14ac:dyDescent="0.25">
      <c r="A15" s="3">
        <v>11</v>
      </c>
      <c r="B15" s="3" t="s">
        <v>57</v>
      </c>
      <c r="C15" s="3">
        <v>2500</v>
      </c>
      <c r="D15" s="3"/>
      <c r="E15" s="3">
        <f t="shared" si="1"/>
        <v>2500</v>
      </c>
      <c r="F15" s="3"/>
      <c r="G15" s="3">
        <f t="shared" si="0"/>
        <v>2500</v>
      </c>
      <c r="H15" s="3"/>
    </row>
    <row r="16" spans="1:9" x14ac:dyDescent="0.25">
      <c r="A16" s="3">
        <v>12</v>
      </c>
      <c r="B16" s="3" t="s">
        <v>118</v>
      </c>
      <c r="C16" s="3">
        <v>2300</v>
      </c>
      <c r="D16" s="3"/>
      <c r="E16" s="3">
        <f t="shared" si="1"/>
        <v>2300</v>
      </c>
      <c r="F16" s="3">
        <v>2300</v>
      </c>
      <c r="G16" s="3">
        <f t="shared" si="0"/>
        <v>0</v>
      </c>
      <c r="H16" s="3"/>
    </row>
    <row r="17" spans="1:9" x14ac:dyDescent="0.25">
      <c r="A17" s="3">
        <v>13</v>
      </c>
      <c r="B17" s="3" t="s">
        <v>19</v>
      </c>
      <c r="C17" s="3">
        <v>2300</v>
      </c>
      <c r="D17" s="3"/>
      <c r="E17" s="3">
        <f t="shared" si="1"/>
        <v>2300</v>
      </c>
      <c r="F17" s="3">
        <v>2300</v>
      </c>
      <c r="G17" s="3">
        <f t="shared" si="0"/>
        <v>0</v>
      </c>
      <c r="H17" s="3"/>
    </row>
    <row r="18" spans="1:9" x14ac:dyDescent="0.25">
      <c r="A18" s="3">
        <v>14</v>
      </c>
      <c r="B18" s="3" t="s">
        <v>121</v>
      </c>
      <c r="C18" s="3">
        <v>2300</v>
      </c>
      <c r="D18" s="3"/>
      <c r="E18" s="3">
        <f t="shared" si="1"/>
        <v>2300</v>
      </c>
      <c r="F18" s="3">
        <v>2300</v>
      </c>
      <c r="G18" s="3">
        <f t="shared" si="0"/>
        <v>0</v>
      </c>
      <c r="H18" s="3"/>
    </row>
    <row r="19" spans="1:9" x14ac:dyDescent="0.25">
      <c r="A19" s="3">
        <v>15</v>
      </c>
      <c r="B19" s="3" t="s">
        <v>75</v>
      </c>
      <c r="C19" s="3"/>
      <c r="D19" s="3">
        <v>300</v>
      </c>
      <c r="E19" s="3">
        <f t="shared" si="1"/>
        <v>300</v>
      </c>
      <c r="F19" s="3"/>
      <c r="G19" s="3">
        <f t="shared" si="0"/>
        <v>300</v>
      </c>
      <c r="H19" s="3"/>
    </row>
    <row r="20" spans="1:9" x14ac:dyDescent="0.25">
      <c r="A20" s="3">
        <v>16</v>
      </c>
      <c r="B20" s="3" t="s">
        <v>127</v>
      </c>
      <c r="C20" s="3">
        <v>2300</v>
      </c>
      <c r="D20" s="3"/>
      <c r="E20" s="3">
        <f t="shared" si="1"/>
        <v>2300</v>
      </c>
      <c r="F20" s="3">
        <v>2300</v>
      </c>
      <c r="G20" s="3">
        <f t="shared" si="0"/>
        <v>0</v>
      </c>
      <c r="H20" s="3"/>
    </row>
    <row r="21" spans="1:9" x14ac:dyDescent="0.25">
      <c r="A21" s="3">
        <v>17</v>
      </c>
      <c r="B21" s="3" t="s">
        <v>73</v>
      </c>
      <c r="C21" s="3">
        <v>2300</v>
      </c>
      <c r="D21" s="3">
        <v>900</v>
      </c>
      <c r="E21" s="3">
        <f t="shared" si="1"/>
        <v>3200</v>
      </c>
      <c r="F21" s="3">
        <v>3200</v>
      </c>
      <c r="G21" s="3">
        <f t="shared" si="0"/>
        <v>0</v>
      </c>
      <c r="H21" s="3"/>
    </row>
    <row r="22" spans="1:9" x14ac:dyDescent="0.25">
      <c r="A22" s="2"/>
      <c r="B22" s="4" t="s">
        <v>24</v>
      </c>
      <c r="C22" s="2">
        <f>SUM(C5:C21)</f>
        <v>38600</v>
      </c>
      <c r="D22" s="2">
        <f>SUM(D5:D21)</f>
        <v>3820</v>
      </c>
      <c r="E22" s="2">
        <f>SUM(E5:E21)</f>
        <v>42420</v>
      </c>
      <c r="F22" s="2">
        <f>SUM(F5:F21)</f>
        <v>39000</v>
      </c>
      <c r="G22" s="2">
        <f>SUM(G5:G21)</f>
        <v>3420</v>
      </c>
      <c r="H22" s="2"/>
      <c r="I22" s="1"/>
    </row>
    <row r="23" spans="1:9" x14ac:dyDescent="0.25">
      <c r="A23" s="3"/>
      <c r="B23" s="3"/>
      <c r="C23" s="3"/>
      <c r="D23" s="3"/>
      <c r="E23" s="3"/>
      <c r="F23" s="3"/>
      <c r="G23" s="3"/>
      <c r="H23" s="3"/>
    </row>
    <row r="24" spans="1:9" x14ac:dyDescent="0.25">
      <c r="A24" s="12"/>
    </row>
    <row r="25" spans="1:9" ht="18.75" x14ac:dyDescent="0.3">
      <c r="A25" s="12"/>
      <c r="B25" s="51" t="s">
        <v>27</v>
      </c>
      <c r="C25" s="52"/>
      <c r="D25" s="52"/>
      <c r="E25" s="52"/>
      <c r="F25" s="52"/>
      <c r="G25" s="52"/>
      <c r="H25" s="53"/>
      <c r="I25" s="53"/>
    </row>
    <row r="26" spans="1:9" ht="15.75" x14ac:dyDescent="0.25">
      <c r="A26" s="12"/>
      <c r="B26" s="54" t="s">
        <v>28</v>
      </c>
      <c r="C26" s="54" t="s">
        <v>29</v>
      </c>
      <c r="D26" s="54" t="s">
        <v>30</v>
      </c>
      <c r="E26" s="54" t="s">
        <v>62</v>
      </c>
      <c r="F26" s="54" t="s">
        <v>69</v>
      </c>
      <c r="G26" s="54" t="s">
        <v>29</v>
      </c>
      <c r="H26" s="54" t="s">
        <v>30</v>
      </c>
      <c r="I26" s="54" t="s">
        <v>62</v>
      </c>
    </row>
    <row r="27" spans="1:9" x14ac:dyDescent="0.25">
      <c r="A27" s="12"/>
      <c r="B27" s="55" t="s">
        <v>77</v>
      </c>
      <c r="C27" s="50">
        <f>C22</f>
        <v>38600</v>
      </c>
      <c r="D27" s="56">
        <v>0.1</v>
      </c>
      <c r="E27" s="50"/>
      <c r="F27" s="57" t="s">
        <v>77</v>
      </c>
      <c r="G27" s="50">
        <f>F22</f>
        <v>39000</v>
      </c>
      <c r="H27" s="56">
        <v>0.1</v>
      </c>
      <c r="I27" s="58"/>
    </row>
    <row r="28" spans="1:9" x14ac:dyDescent="0.25">
      <c r="A28" s="12"/>
      <c r="B28" s="58" t="s">
        <v>55</v>
      </c>
      <c r="C28" s="50">
        <f>'APRIL '!E36</f>
        <v>-3336</v>
      </c>
      <c r="D28" s="58"/>
      <c r="E28" s="58"/>
      <c r="F28" s="58" t="s">
        <v>55</v>
      </c>
      <c r="G28" s="50">
        <f>'APRIL '!I36</f>
        <v>-7156</v>
      </c>
      <c r="H28" s="58"/>
      <c r="I28" s="58"/>
    </row>
    <row r="29" spans="1:9" x14ac:dyDescent="0.25">
      <c r="A29" s="12"/>
      <c r="B29" s="58" t="s">
        <v>33</v>
      </c>
      <c r="C29" s="59"/>
      <c r="D29" s="58">
        <f>C27*D27</f>
        <v>3860</v>
      </c>
      <c r="E29" s="58"/>
      <c r="F29" s="58"/>
      <c r="G29" s="59"/>
      <c r="H29" s="58">
        <f>D29</f>
        <v>3860</v>
      </c>
      <c r="I29" s="58"/>
    </row>
    <row r="30" spans="1:9" x14ac:dyDescent="0.25">
      <c r="A30" s="12"/>
      <c r="B30" s="60" t="s">
        <v>34</v>
      </c>
      <c r="C30" s="58"/>
      <c r="D30" s="58"/>
      <c r="E30" s="58"/>
      <c r="F30" s="60" t="s">
        <v>34</v>
      </c>
      <c r="G30" s="58"/>
      <c r="H30" s="58"/>
      <c r="I30" s="58"/>
    </row>
    <row r="31" spans="1:9" x14ac:dyDescent="0.25">
      <c r="A31" s="12"/>
      <c r="B31" s="62" t="s">
        <v>129</v>
      </c>
      <c r="C31" s="58"/>
      <c r="D31" s="58">
        <v>1000</v>
      </c>
      <c r="E31" s="58"/>
      <c r="F31" s="62" t="s">
        <v>129</v>
      </c>
      <c r="G31" s="58"/>
      <c r="H31" s="58">
        <v>1000</v>
      </c>
      <c r="I31" s="58"/>
    </row>
    <row r="32" spans="1:9" x14ac:dyDescent="0.25">
      <c r="A32" s="12"/>
      <c r="B32" s="3" t="s">
        <v>132</v>
      </c>
      <c r="C32" s="3"/>
      <c r="D32" s="3">
        <v>900</v>
      </c>
      <c r="E32" s="3"/>
      <c r="F32" s="3" t="s">
        <v>132</v>
      </c>
      <c r="G32" s="3"/>
      <c r="H32" s="3">
        <v>900</v>
      </c>
      <c r="I32" s="58"/>
    </row>
    <row r="33" spans="1:9" x14ac:dyDescent="0.25">
      <c r="A33" s="12"/>
      <c r="B33" s="62" t="s">
        <v>133</v>
      </c>
      <c r="C33" s="58"/>
      <c r="D33" s="58">
        <v>29504</v>
      </c>
      <c r="E33" s="58"/>
      <c r="F33" s="62" t="s">
        <v>133</v>
      </c>
      <c r="G33" s="58"/>
      <c r="H33" s="58">
        <v>29504</v>
      </c>
      <c r="I33" s="58"/>
    </row>
    <row r="34" spans="1:9" x14ac:dyDescent="0.25">
      <c r="A34" s="12"/>
      <c r="B34" s="62" t="s">
        <v>134</v>
      </c>
      <c r="C34" s="58"/>
      <c r="D34" s="58">
        <v>10087</v>
      </c>
      <c r="E34" s="58"/>
      <c r="F34" s="62" t="s">
        <v>134</v>
      </c>
      <c r="G34" s="58"/>
      <c r="H34" s="58">
        <v>10087</v>
      </c>
      <c r="I34" s="58"/>
    </row>
    <row r="35" spans="1:9" x14ac:dyDescent="0.25">
      <c r="A35" s="12"/>
      <c r="B35" s="62" t="s">
        <v>118</v>
      </c>
      <c r="C35" s="58"/>
      <c r="D35" s="58">
        <v>2300</v>
      </c>
      <c r="E35" s="58"/>
      <c r="F35" s="62" t="s">
        <v>118</v>
      </c>
      <c r="G35" s="58"/>
      <c r="H35" s="58">
        <v>2300</v>
      </c>
      <c r="I35" s="58"/>
    </row>
    <row r="36" spans="1:9" x14ac:dyDescent="0.25">
      <c r="A36" s="12"/>
      <c r="B36" s="62"/>
      <c r="C36" s="58"/>
      <c r="D36" s="58"/>
      <c r="E36" s="58"/>
      <c r="F36" s="62"/>
      <c r="G36" s="58"/>
      <c r="H36" s="58"/>
      <c r="I36" s="58"/>
    </row>
    <row r="37" spans="1:9" x14ac:dyDescent="0.25">
      <c r="A37" s="12"/>
      <c r="B37" s="62"/>
      <c r="C37" s="50"/>
      <c r="D37" s="50"/>
      <c r="E37" s="50"/>
      <c r="F37" s="62"/>
      <c r="G37" s="58"/>
      <c r="H37" s="50"/>
      <c r="I37" s="58"/>
    </row>
    <row r="38" spans="1:9" x14ac:dyDescent="0.25">
      <c r="A38" s="12"/>
      <c r="B38" s="55" t="s">
        <v>24</v>
      </c>
      <c r="C38" s="63">
        <f>C27+C28-D29</f>
        <v>31404</v>
      </c>
      <c r="D38" s="55">
        <f>SUM(D31:D37)</f>
        <v>43791</v>
      </c>
      <c r="E38" s="63">
        <f>C38-D38</f>
        <v>-12387</v>
      </c>
      <c r="F38" s="57"/>
      <c r="G38" s="63">
        <f>G27+G28-H29</f>
        <v>27984</v>
      </c>
      <c r="H38" s="63">
        <f>SUM(H31:H37)</f>
        <v>43791</v>
      </c>
      <c r="I38" s="63">
        <f>G38-H38</f>
        <v>-15807</v>
      </c>
    </row>
    <row r="41" spans="1:9" x14ac:dyDescent="0.25">
      <c r="B41" s="12" t="s">
        <v>38</v>
      </c>
      <c r="D41" s="12" t="s">
        <v>36</v>
      </c>
      <c r="F41" s="12"/>
      <c r="G41" s="12" t="s">
        <v>37</v>
      </c>
    </row>
    <row r="42" spans="1:9" x14ac:dyDescent="0.25">
      <c r="D42" s="12"/>
      <c r="F42" s="12"/>
      <c r="G42" s="12"/>
    </row>
    <row r="43" spans="1:9" x14ac:dyDescent="0.25">
      <c r="B43" t="s">
        <v>65</v>
      </c>
      <c r="D43" t="s">
        <v>66</v>
      </c>
      <c r="G43" t="s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G28" sqref="G28"/>
    </sheetView>
  </sheetViews>
  <sheetFormatPr defaultRowHeight="15" x14ac:dyDescent="0.25"/>
  <cols>
    <col min="1" max="1" width="4" customWidth="1"/>
    <col min="2" max="2" width="18.85546875" customWidth="1"/>
    <col min="3" max="3" width="9.140625" customWidth="1"/>
    <col min="4" max="4" width="7.42578125" customWidth="1"/>
    <col min="5" max="5" width="10.5703125" customWidth="1"/>
    <col min="6" max="6" width="9.42578125" customWidth="1"/>
    <col min="7" max="7" width="15.42578125" customWidth="1"/>
  </cols>
  <sheetData>
    <row r="1" spans="1:9" ht="18.75" x14ac:dyDescent="0.25">
      <c r="C1" s="38" t="s">
        <v>59</v>
      </c>
      <c r="D1" s="39"/>
      <c r="E1" s="36"/>
      <c r="F1" s="34"/>
    </row>
    <row r="2" spans="1:9" ht="18.75" x14ac:dyDescent="0.25">
      <c r="C2" s="38" t="s">
        <v>60</v>
      </c>
      <c r="D2" s="38"/>
      <c r="E2" s="11"/>
      <c r="F2" s="11"/>
    </row>
    <row r="3" spans="1:9" ht="18.75" x14ac:dyDescent="0.25">
      <c r="C3" s="38" t="s">
        <v>135</v>
      </c>
      <c r="D3" s="38"/>
      <c r="E3" s="11"/>
      <c r="F3" s="11"/>
    </row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/>
      <c r="I4" s="1"/>
    </row>
    <row r="5" spans="1:9" x14ac:dyDescent="0.25">
      <c r="A5" s="3">
        <v>1</v>
      </c>
      <c r="B5" s="3" t="s">
        <v>91</v>
      </c>
      <c r="C5" s="3">
        <v>4000</v>
      </c>
      <c r="D5" s="3"/>
      <c r="E5" s="3">
        <f>C5+D5</f>
        <v>4000</v>
      </c>
      <c r="F5" s="3">
        <v>4000</v>
      </c>
      <c r="G5" s="3">
        <f>E5-F5</f>
        <v>0</v>
      </c>
      <c r="H5" s="3"/>
    </row>
    <row r="6" spans="1:9" x14ac:dyDescent="0.25">
      <c r="A6" s="3">
        <v>2</v>
      </c>
      <c r="B6" t="s">
        <v>126</v>
      </c>
      <c r="C6" s="3">
        <v>2300</v>
      </c>
      <c r="D6" s="3"/>
      <c r="E6" s="3">
        <f>C6+D6</f>
        <v>2300</v>
      </c>
      <c r="F6" s="3">
        <v>2300</v>
      </c>
      <c r="G6" s="3">
        <f t="shared" ref="G6:G21" si="0">E6-F6</f>
        <v>0</v>
      </c>
      <c r="H6" s="3"/>
    </row>
    <row r="7" spans="1:9" x14ac:dyDescent="0.25">
      <c r="A7" s="3">
        <v>3</v>
      </c>
      <c r="B7" s="3" t="s">
        <v>149</v>
      </c>
      <c r="C7" s="3">
        <v>2300</v>
      </c>
      <c r="D7" s="3">
        <v>300</v>
      </c>
      <c r="E7" s="3">
        <f t="shared" ref="E7:E21" si="1">C7+D7</f>
        <v>2600</v>
      </c>
      <c r="F7" s="3">
        <v>2300</v>
      </c>
      <c r="G7" s="3">
        <f t="shared" si="0"/>
        <v>300</v>
      </c>
      <c r="H7" s="3"/>
    </row>
    <row r="8" spans="1:9" x14ac:dyDescent="0.25">
      <c r="A8" s="3">
        <v>4</v>
      </c>
      <c r="B8" s="3" t="s">
        <v>74</v>
      </c>
      <c r="C8" s="3">
        <v>2300</v>
      </c>
      <c r="D8" s="3">
        <v>300</v>
      </c>
      <c r="E8" s="3">
        <f t="shared" si="1"/>
        <v>2600</v>
      </c>
      <c r="F8" s="3"/>
      <c r="G8" s="3">
        <f t="shared" si="0"/>
        <v>2600</v>
      </c>
      <c r="H8" s="3"/>
    </row>
    <row r="9" spans="1:9" x14ac:dyDescent="0.25">
      <c r="A9" s="3">
        <v>5</v>
      </c>
      <c r="B9" s="3" t="s">
        <v>86</v>
      </c>
      <c r="C9" s="3">
        <v>2500</v>
      </c>
      <c r="D9" s="3"/>
      <c r="E9" s="3">
        <f>C9+D9</f>
        <v>2500</v>
      </c>
      <c r="F9" s="3">
        <v>2500</v>
      </c>
      <c r="G9" s="3">
        <f t="shared" si="0"/>
        <v>0</v>
      </c>
      <c r="H9" s="3"/>
    </row>
    <row r="10" spans="1:9" x14ac:dyDescent="0.25">
      <c r="A10" s="3">
        <v>6</v>
      </c>
      <c r="B10" s="64" t="s">
        <v>49</v>
      </c>
      <c r="C10" s="3">
        <v>2300</v>
      </c>
      <c r="D10" s="3"/>
      <c r="E10" s="3">
        <f>C10+D10</f>
        <v>2300</v>
      </c>
      <c r="F10" s="3">
        <v>2300</v>
      </c>
      <c r="G10" s="3">
        <f t="shared" si="0"/>
        <v>0</v>
      </c>
      <c r="H10" s="3"/>
      <c r="I10" t="s">
        <v>51</v>
      </c>
    </row>
    <row r="11" spans="1:9" x14ac:dyDescent="0.25">
      <c r="A11" s="3">
        <v>7</v>
      </c>
      <c r="B11" s="3" t="s">
        <v>13</v>
      </c>
      <c r="C11" s="3">
        <v>2300</v>
      </c>
      <c r="D11" s="3"/>
      <c r="E11" s="3">
        <f t="shared" si="1"/>
        <v>2300</v>
      </c>
      <c r="F11" s="3">
        <v>2300</v>
      </c>
      <c r="G11" s="3">
        <f t="shared" si="0"/>
        <v>0</v>
      </c>
      <c r="H11" s="3"/>
    </row>
    <row r="12" spans="1:9" x14ac:dyDescent="0.25">
      <c r="A12" s="3">
        <v>8</v>
      </c>
      <c r="B12" s="3" t="s">
        <v>105</v>
      </c>
      <c r="C12" s="3">
        <v>2300</v>
      </c>
      <c r="D12" s="3"/>
      <c r="E12" s="3">
        <f t="shared" si="1"/>
        <v>2300</v>
      </c>
      <c r="F12" s="3">
        <v>2300</v>
      </c>
      <c r="G12" s="3">
        <f t="shared" si="0"/>
        <v>0</v>
      </c>
      <c r="H12" s="3"/>
    </row>
    <row r="13" spans="1:9" x14ac:dyDescent="0.25">
      <c r="A13" s="3">
        <v>9</v>
      </c>
      <c r="B13" s="3" t="s">
        <v>96</v>
      </c>
      <c r="C13" s="3">
        <v>2300</v>
      </c>
      <c r="D13" s="3">
        <v>20</v>
      </c>
      <c r="E13" s="3">
        <f t="shared" si="1"/>
        <v>2320</v>
      </c>
      <c r="F13" s="3">
        <v>2300</v>
      </c>
      <c r="G13" s="3">
        <f t="shared" si="0"/>
        <v>20</v>
      </c>
      <c r="H13" s="3"/>
    </row>
    <row r="14" spans="1:9" x14ac:dyDescent="0.25">
      <c r="A14" s="3">
        <v>10</v>
      </c>
      <c r="B14" s="3" t="s">
        <v>57</v>
      </c>
      <c r="C14" s="3">
        <v>2000</v>
      </c>
      <c r="D14" s="3"/>
      <c r="E14" s="3">
        <f t="shared" si="1"/>
        <v>2000</v>
      </c>
      <c r="F14" s="3">
        <v>2000</v>
      </c>
      <c r="G14" s="3">
        <f t="shared" si="0"/>
        <v>0</v>
      </c>
      <c r="H14" s="3"/>
    </row>
    <row r="15" spans="1:9" x14ac:dyDescent="0.25">
      <c r="A15" s="3">
        <v>11</v>
      </c>
      <c r="B15" s="3" t="s">
        <v>57</v>
      </c>
      <c r="C15" s="3">
        <v>2500</v>
      </c>
      <c r="D15" s="3">
        <v>2500</v>
      </c>
      <c r="E15" s="3">
        <f t="shared" si="1"/>
        <v>5000</v>
      </c>
      <c r="F15" s="3">
        <v>5000</v>
      </c>
      <c r="G15" s="3">
        <f t="shared" si="0"/>
        <v>0</v>
      </c>
      <c r="H15" s="3"/>
    </row>
    <row r="16" spans="1:9" x14ac:dyDescent="0.25">
      <c r="A16" s="3">
        <v>12</v>
      </c>
      <c r="B16" s="3" t="s">
        <v>139</v>
      </c>
      <c r="C16" s="3">
        <v>2300</v>
      </c>
      <c r="D16" s="3"/>
      <c r="E16" s="3">
        <f t="shared" si="1"/>
        <v>2300</v>
      </c>
      <c r="F16" s="3">
        <v>2300</v>
      </c>
      <c r="G16" s="3">
        <f t="shared" si="0"/>
        <v>0</v>
      </c>
      <c r="H16" s="3"/>
    </row>
    <row r="17" spans="1:11" x14ac:dyDescent="0.25">
      <c r="A17" s="3">
        <v>13</v>
      </c>
      <c r="B17" s="3" t="s">
        <v>19</v>
      </c>
      <c r="C17" s="3">
        <v>2300</v>
      </c>
      <c r="D17" s="3"/>
      <c r="E17" s="3">
        <f t="shared" si="1"/>
        <v>2300</v>
      </c>
      <c r="F17" s="3">
        <v>2300</v>
      </c>
      <c r="G17" s="3">
        <f t="shared" si="0"/>
        <v>0</v>
      </c>
      <c r="H17" s="3"/>
    </row>
    <row r="18" spans="1:11" x14ac:dyDescent="0.25">
      <c r="A18" s="3">
        <v>14</v>
      </c>
      <c r="B18" s="3" t="s">
        <v>121</v>
      </c>
      <c r="C18" s="3">
        <v>2300</v>
      </c>
      <c r="D18" s="3"/>
      <c r="E18" s="3">
        <f t="shared" si="1"/>
        <v>2300</v>
      </c>
      <c r="F18" s="3">
        <v>2300</v>
      </c>
      <c r="G18" s="3">
        <f t="shared" si="0"/>
        <v>0</v>
      </c>
      <c r="H18" s="3"/>
    </row>
    <row r="19" spans="1:11" x14ac:dyDescent="0.25">
      <c r="A19" s="3">
        <v>15</v>
      </c>
      <c r="B19" s="3" t="s">
        <v>138</v>
      </c>
      <c r="C19" s="3">
        <v>2300</v>
      </c>
      <c r="D19" s="3">
        <v>300</v>
      </c>
      <c r="E19" s="3">
        <f t="shared" si="1"/>
        <v>2600</v>
      </c>
      <c r="F19" s="3">
        <v>2600</v>
      </c>
      <c r="G19" s="3">
        <f t="shared" si="0"/>
        <v>0</v>
      </c>
      <c r="H19" s="3"/>
    </row>
    <row r="20" spans="1:11" x14ac:dyDescent="0.25">
      <c r="A20" s="3">
        <v>16</v>
      </c>
      <c r="B20" s="3" t="s">
        <v>127</v>
      </c>
      <c r="C20" s="3">
        <v>2300</v>
      </c>
      <c r="D20" s="3"/>
      <c r="E20" s="3">
        <f t="shared" si="1"/>
        <v>2300</v>
      </c>
      <c r="F20" s="3">
        <v>2300</v>
      </c>
      <c r="G20" s="3">
        <f t="shared" si="0"/>
        <v>0</v>
      </c>
      <c r="H20" s="3"/>
    </row>
    <row r="21" spans="1:11" x14ac:dyDescent="0.25">
      <c r="A21" s="3">
        <v>17</v>
      </c>
      <c r="B21" s="3" t="s">
        <v>73</v>
      </c>
      <c r="C21" s="3">
        <v>2300</v>
      </c>
      <c r="D21" s="3"/>
      <c r="E21" s="3">
        <f t="shared" si="1"/>
        <v>2300</v>
      </c>
      <c r="F21" s="3">
        <v>2300</v>
      </c>
      <c r="G21" s="3">
        <f t="shared" si="0"/>
        <v>0</v>
      </c>
      <c r="H21" s="3"/>
    </row>
    <row r="22" spans="1:11" x14ac:dyDescent="0.25">
      <c r="A22" s="2"/>
      <c r="B22" s="4" t="s">
        <v>24</v>
      </c>
      <c r="C22" s="2">
        <f>SUM(C5:C21)</f>
        <v>40900</v>
      </c>
      <c r="D22" s="2">
        <f>SUM(D5:D21)</f>
        <v>3420</v>
      </c>
      <c r="E22" s="2">
        <f>SUM(E5:E21)</f>
        <v>44320</v>
      </c>
      <c r="F22" s="2">
        <f>SUM(F5:F21)</f>
        <v>41400</v>
      </c>
      <c r="G22" s="2">
        <f>SUM(G5:G21)</f>
        <v>2920</v>
      </c>
      <c r="H22" s="2"/>
      <c r="I22" s="1"/>
    </row>
    <row r="23" spans="1:11" x14ac:dyDescent="0.25">
      <c r="A23" s="3"/>
      <c r="B23" s="3"/>
      <c r="C23" s="3"/>
      <c r="D23" s="3"/>
      <c r="E23" s="3"/>
      <c r="F23" s="3"/>
      <c r="G23" s="3"/>
      <c r="H23" s="3"/>
    </row>
    <row r="24" spans="1:11" x14ac:dyDescent="0.25">
      <c r="A24" s="12"/>
    </row>
    <row r="25" spans="1:11" ht="18.75" x14ac:dyDescent="0.3">
      <c r="A25" s="12"/>
      <c r="B25" s="51" t="s">
        <v>27</v>
      </c>
      <c r="C25" s="52"/>
      <c r="D25" s="52"/>
      <c r="E25" s="52"/>
      <c r="F25" s="52"/>
      <c r="G25" s="52"/>
      <c r="H25" s="53"/>
      <c r="I25" s="53"/>
    </row>
    <row r="26" spans="1:11" ht="15.75" x14ac:dyDescent="0.25">
      <c r="A26" s="12"/>
      <c r="B26" s="54" t="s">
        <v>28</v>
      </c>
      <c r="C26" s="54" t="s">
        <v>29</v>
      </c>
      <c r="D26" s="54" t="s">
        <v>30</v>
      </c>
      <c r="E26" s="54" t="s">
        <v>62</v>
      </c>
      <c r="F26" s="54" t="s">
        <v>69</v>
      </c>
      <c r="G26" s="54" t="s">
        <v>29</v>
      </c>
      <c r="H26" s="54" t="s">
        <v>30</v>
      </c>
      <c r="I26" s="54" t="s">
        <v>62</v>
      </c>
      <c r="K26">
        <v>5300</v>
      </c>
    </row>
    <row r="27" spans="1:11" x14ac:dyDescent="0.25">
      <c r="A27" s="12"/>
      <c r="B27" s="55" t="s">
        <v>79</v>
      </c>
      <c r="C27" s="50">
        <f>C22</f>
        <v>40900</v>
      </c>
      <c r="D27" s="56">
        <v>0.1</v>
      </c>
      <c r="E27" s="50"/>
      <c r="F27" s="57" t="s">
        <v>136</v>
      </c>
      <c r="G27" s="50">
        <f>F22</f>
        <v>41400</v>
      </c>
      <c r="H27" s="56">
        <v>0.1</v>
      </c>
      <c r="I27" s="58"/>
      <c r="K27">
        <f>K26+G22</f>
        <v>8220</v>
      </c>
    </row>
    <row r="28" spans="1:11" x14ac:dyDescent="0.25">
      <c r="A28" s="12"/>
      <c r="B28" s="58" t="s">
        <v>55</v>
      </c>
      <c r="C28" s="50">
        <f>'MAY '!E38</f>
        <v>-12387</v>
      </c>
      <c r="D28" s="58"/>
      <c r="E28" s="58"/>
      <c r="F28" s="58" t="s">
        <v>55</v>
      </c>
      <c r="G28" s="50">
        <f>'MAY '!I38</f>
        <v>-15807</v>
      </c>
      <c r="H28" s="58"/>
      <c r="I28" s="58"/>
    </row>
    <row r="29" spans="1:11" x14ac:dyDescent="0.25">
      <c r="A29" s="12"/>
      <c r="B29" s="58" t="s">
        <v>33</v>
      </c>
      <c r="C29" s="59"/>
      <c r="D29" s="58">
        <f>C27*D27</f>
        <v>4090</v>
      </c>
      <c r="E29" s="58"/>
      <c r="F29" s="58"/>
      <c r="G29" s="59"/>
      <c r="H29" s="58">
        <f>D29</f>
        <v>4090</v>
      </c>
      <c r="I29" s="58"/>
    </row>
    <row r="30" spans="1:11" x14ac:dyDescent="0.25">
      <c r="A30" s="12"/>
      <c r="B30" s="60" t="s">
        <v>34</v>
      </c>
      <c r="C30" s="58"/>
      <c r="D30" s="58"/>
      <c r="E30" s="58"/>
      <c r="F30" s="60" t="s">
        <v>34</v>
      </c>
      <c r="G30" s="58"/>
      <c r="H30" s="58"/>
      <c r="I30" s="58"/>
    </row>
    <row r="31" spans="1:11" x14ac:dyDescent="0.25">
      <c r="A31" s="12"/>
      <c r="B31" s="62" t="s">
        <v>137</v>
      </c>
      <c r="C31" s="58"/>
      <c r="D31" s="58">
        <v>29423</v>
      </c>
      <c r="E31" s="58"/>
      <c r="F31" s="62" t="s">
        <v>137</v>
      </c>
      <c r="G31" s="58"/>
      <c r="H31" s="58">
        <v>29423</v>
      </c>
      <c r="I31" s="58"/>
    </row>
    <row r="32" spans="1:11" x14ac:dyDescent="0.25">
      <c r="A32" s="12"/>
      <c r="B32" s="3" t="s">
        <v>140</v>
      </c>
      <c r="C32" s="3"/>
      <c r="D32" s="3">
        <v>300</v>
      </c>
      <c r="E32" s="3"/>
      <c r="F32" s="3" t="s">
        <v>140</v>
      </c>
      <c r="G32" s="3"/>
      <c r="H32" s="3">
        <v>300</v>
      </c>
      <c r="I32" s="58"/>
    </row>
    <row r="33" spans="1:9" x14ac:dyDescent="0.25">
      <c r="A33" s="12"/>
      <c r="B33" s="62" t="s">
        <v>141</v>
      </c>
      <c r="C33" s="58"/>
      <c r="D33" s="58">
        <v>2300</v>
      </c>
      <c r="E33" s="58"/>
      <c r="F33" s="62" t="s">
        <v>141</v>
      </c>
      <c r="G33" s="58"/>
      <c r="H33" s="58">
        <v>2300</v>
      </c>
      <c r="I33" s="58"/>
    </row>
    <row r="34" spans="1:9" x14ac:dyDescent="0.25">
      <c r="A34" s="12"/>
      <c r="B34" s="62" t="s">
        <v>142</v>
      </c>
      <c r="C34" s="58"/>
      <c r="D34" s="58">
        <v>147</v>
      </c>
      <c r="E34" s="58"/>
      <c r="F34" s="62" t="s">
        <v>142</v>
      </c>
      <c r="G34" s="58"/>
      <c r="H34" s="58">
        <v>147</v>
      </c>
      <c r="I34" s="58"/>
    </row>
    <row r="35" spans="1:9" x14ac:dyDescent="0.25">
      <c r="A35" s="12"/>
      <c r="B35" s="62"/>
      <c r="C35" s="50"/>
      <c r="D35" s="50"/>
      <c r="E35" s="50"/>
      <c r="F35" s="62"/>
      <c r="G35" s="58"/>
      <c r="H35" s="50"/>
      <c r="I35" s="58"/>
    </row>
    <row r="36" spans="1:9" x14ac:dyDescent="0.25">
      <c r="A36" s="12"/>
      <c r="B36" s="55" t="s">
        <v>24</v>
      </c>
      <c r="C36" s="63">
        <f>C27+C28-D29</f>
        <v>24423</v>
      </c>
      <c r="D36" s="55">
        <f>SUM(D31:D35)</f>
        <v>32170</v>
      </c>
      <c r="E36" s="63">
        <f>C36-D36</f>
        <v>-7747</v>
      </c>
      <c r="F36" s="57"/>
      <c r="G36" s="63">
        <f>G27+G28-H29</f>
        <v>21503</v>
      </c>
      <c r="H36" s="63">
        <f>SUM(H31:H35)</f>
        <v>32170</v>
      </c>
      <c r="I36" s="63">
        <f>G36-H36</f>
        <v>-10667</v>
      </c>
    </row>
    <row r="39" spans="1:9" x14ac:dyDescent="0.25">
      <c r="B39" s="12" t="s">
        <v>38</v>
      </c>
      <c r="D39" s="12" t="s">
        <v>36</v>
      </c>
      <c r="F39" s="12"/>
      <c r="G39" s="12" t="s">
        <v>37</v>
      </c>
    </row>
    <row r="40" spans="1:9" x14ac:dyDescent="0.25">
      <c r="D40" s="12"/>
      <c r="F40" s="12"/>
      <c r="G40" s="12"/>
    </row>
    <row r="41" spans="1:9" x14ac:dyDescent="0.25">
      <c r="B41" t="s">
        <v>65</v>
      </c>
      <c r="D41" t="s">
        <v>66</v>
      </c>
      <c r="G41" t="s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K30" sqref="K30"/>
    </sheetView>
  </sheetViews>
  <sheetFormatPr defaultRowHeight="15" x14ac:dyDescent="0.25"/>
  <cols>
    <col min="1" max="1" width="4" customWidth="1"/>
    <col min="2" max="2" width="18.42578125" customWidth="1"/>
    <col min="3" max="3" width="9.140625" customWidth="1"/>
    <col min="4" max="4" width="7.42578125" customWidth="1"/>
    <col min="5" max="5" width="10.5703125" customWidth="1"/>
    <col min="6" max="6" width="14.28515625" customWidth="1"/>
    <col min="7" max="7" width="9.5703125" customWidth="1"/>
  </cols>
  <sheetData>
    <row r="1" spans="1:9" ht="18.75" x14ac:dyDescent="0.25">
      <c r="C1" s="38" t="s">
        <v>59</v>
      </c>
      <c r="D1" s="39"/>
      <c r="E1" s="36"/>
      <c r="F1" s="34"/>
    </row>
    <row r="2" spans="1:9" ht="18.75" x14ac:dyDescent="0.25">
      <c r="C2" s="38" t="s">
        <v>60</v>
      </c>
      <c r="D2" s="38"/>
      <c r="E2" s="11"/>
      <c r="F2" s="11"/>
    </row>
    <row r="3" spans="1:9" ht="18.75" x14ac:dyDescent="0.25">
      <c r="C3" s="38" t="s">
        <v>143</v>
      </c>
      <c r="D3" s="38"/>
      <c r="E3" s="11"/>
      <c r="F3" s="11"/>
    </row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/>
      <c r="I4" s="1"/>
    </row>
    <row r="5" spans="1:9" x14ac:dyDescent="0.25">
      <c r="A5" s="3">
        <v>1</v>
      </c>
      <c r="B5" s="3" t="s">
        <v>91</v>
      </c>
      <c r="C5" s="3">
        <v>4000</v>
      </c>
      <c r="D5" s="3"/>
      <c r="E5" s="3">
        <f>C5+D5</f>
        <v>4000</v>
      </c>
      <c r="F5" s="3">
        <v>4000</v>
      </c>
      <c r="G5" s="3">
        <f>E5-F5</f>
        <v>0</v>
      </c>
      <c r="H5" s="3"/>
    </row>
    <row r="6" spans="1:9" x14ac:dyDescent="0.25">
      <c r="A6" s="3">
        <v>2</v>
      </c>
      <c r="B6" t="s">
        <v>126</v>
      </c>
      <c r="C6" s="3">
        <v>2300</v>
      </c>
      <c r="D6" s="3"/>
      <c r="E6" s="3">
        <f>C6+D6</f>
        <v>2300</v>
      </c>
      <c r="F6" s="3">
        <v>2300</v>
      </c>
      <c r="G6" s="3">
        <f t="shared" ref="G6:G21" si="0">E6-F6</f>
        <v>0</v>
      </c>
      <c r="H6" s="3"/>
    </row>
    <row r="7" spans="1:9" x14ac:dyDescent="0.25">
      <c r="A7" s="3">
        <v>3</v>
      </c>
      <c r="B7" s="3" t="s">
        <v>148</v>
      </c>
      <c r="C7" s="3">
        <v>2300</v>
      </c>
      <c r="D7" s="3">
        <v>300</v>
      </c>
      <c r="E7" s="3">
        <f t="shared" ref="E7:E21" si="1">C7+D7</f>
        <v>2600</v>
      </c>
      <c r="F7" s="3">
        <v>2600</v>
      </c>
      <c r="G7" s="3">
        <f t="shared" si="0"/>
        <v>0</v>
      </c>
      <c r="H7" s="3"/>
    </row>
    <row r="8" spans="1:9" x14ac:dyDescent="0.25">
      <c r="A8" s="3">
        <v>4</v>
      </c>
      <c r="B8" s="3" t="s">
        <v>74</v>
      </c>
      <c r="C8" s="3">
        <v>2300</v>
      </c>
      <c r="D8" s="3">
        <v>2600</v>
      </c>
      <c r="E8" s="3">
        <f t="shared" si="1"/>
        <v>4900</v>
      </c>
      <c r="F8" s="3">
        <f>4000+500</f>
        <v>4500</v>
      </c>
      <c r="G8" s="3">
        <f t="shared" si="0"/>
        <v>400</v>
      </c>
      <c r="H8" s="3"/>
    </row>
    <row r="9" spans="1:9" x14ac:dyDescent="0.25">
      <c r="A9" s="3">
        <v>5</v>
      </c>
      <c r="B9" s="3" t="s">
        <v>86</v>
      </c>
      <c r="C9" s="3">
        <v>2500</v>
      </c>
      <c r="D9" s="3"/>
      <c r="E9" s="3">
        <f>C9+D9</f>
        <v>2500</v>
      </c>
      <c r="F9" s="3">
        <f>2000+250</f>
        <v>2250</v>
      </c>
      <c r="G9" s="3">
        <f t="shared" si="0"/>
        <v>250</v>
      </c>
      <c r="H9" s="3"/>
    </row>
    <row r="10" spans="1:9" x14ac:dyDescent="0.25">
      <c r="A10" s="3">
        <v>6</v>
      </c>
      <c r="B10" s="64" t="s">
        <v>49</v>
      </c>
      <c r="C10" s="3">
        <v>2300</v>
      </c>
      <c r="D10" s="3"/>
      <c r="E10" s="3">
        <f>C10+D10</f>
        <v>2300</v>
      </c>
      <c r="F10" s="3">
        <v>2300</v>
      </c>
      <c r="G10" s="3">
        <f t="shared" si="0"/>
        <v>0</v>
      </c>
      <c r="H10" s="3"/>
      <c r="I10" t="s">
        <v>51</v>
      </c>
    </row>
    <row r="11" spans="1:9" x14ac:dyDescent="0.25">
      <c r="A11" s="3">
        <v>7</v>
      </c>
      <c r="B11" s="3" t="s">
        <v>13</v>
      </c>
      <c r="C11" s="3">
        <v>2300</v>
      </c>
      <c r="D11" s="3"/>
      <c r="E11" s="3">
        <f t="shared" si="1"/>
        <v>2300</v>
      </c>
      <c r="F11" s="3">
        <v>2300</v>
      </c>
      <c r="G11" s="3">
        <f t="shared" si="0"/>
        <v>0</v>
      </c>
      <c r="H11" s="3"/>
      <c r="I11" t="s">
        <v>51</v>
      </c>
    </row>
    <row r="12" spans="1:9" x14ac:dyDescent="0.25">
      <c r="A12" s="3">
        <v>8</v>
      </c>
      <c r="B12" s="3" t="s">
        <v>105</v>
      </c>
      <c r="C12" s="3">
        <v>2300</v>
      </c>
      <c r="D12" s="3"/>
      <c r="E12" s="3">
        <f t="shared" si="1"/>
        <v>2300</v>
      </c>
      <c r="F12" s="3">
        <v>2300</v>
      </c>
      <c r="G12" s="3">
        <f t="shared" si="0"/>
        <v>0</v>
      </c>
      <c r="H12" s="3"/>
    </row>
    <row r="13" spans="1:9" x14ac:dyDescent="0.25">
      <c r="A13" s="3">
        <v>9</v>
      </c>
      <c r="B13" s="3" t="s">
        <v>96</v>
      </c>
      <c r="C13" s="3">
        <v>2300</v>
      </c>
      <c r="D13" s="3">
        <v>20</v>
      </c>
      <c r="E13" s="3">
        <f t="shared" si="1"/>
        <v>2320</v>
      </c>
      <c r="F13" s="3">
        <v>2300</v>
      </c>
      <c r="G13" s="3">
        <f t="shared" si="0"/>
        <v>20</v>
      </c>
      <c r="H13" s="3"/>
    </row>
    <row r="14" spans="1:9" x14ac:dyDescent="0.25">
      <c r="A14" s="3">
        <v>10</v>
      </c>
      <c r="B14" s="3" t="s">
        <v>57</v>
      </c>
      <c r="C14" s="3">
        <v>2000</v>
      </c>
      <c r="D14" s="3"/>
      <c r="E14" s="3">
        <f t="shared" si="1"/>
        <v>2000</v>
      </c>
      <c r="F14" s="3">
        <v>2000</v>
      </c>
      <c r="G14" s="3">
        <f t="shared" si="0"/>
        <v>0</v>
      </c>
      <c r="H14" s="3"/>
    </row>
    <row r="15" spans="1:9" x14ac:dyDescent="0.25">
      <c r="A15" s="3">
        <v>11</v>
      </c>
      <c r="B15" s="3" t="s">
        <v>57</v>
      </c>
      <c r="C15" s="3">
        <v>2500</v>
      </c>
      <c r="D15" s="3"/>
      <c r="E15" s="3">
        <f t="shared" si="1"/>
        <v>2500</v>
      </c>
      <c r="F15" s="3">
        <f>2250+250</f>
        <v>2500</v>
      </c>
      <c r="G15" s="3">
        <f t="shared" si="0"/>
        <v>0</v>
      </c>
      <c r="H15" s="3"/>
    </row>
    <row r="16" spans="1:9" x14ac:dyDescent="0.25">
      <c r="A16" s="3">
        <v>12</v>
      </c>
      <c r="B16" s="3" t="s">
        <v>139</v>
      </c>
      <c r="C16" s="3">
        <v>2300</v>
      </c>
      <c r="D16" s="3"/>
      <c r="E16" s="3">
        <f t="shared" si="1"/>
        <v>2300</v>
      </c>
      <c r="F16" s="3">
        <v>2300</v>
      </c>
      <c r="G16" s="3">
        <f t="shared" si="0"/>
        <v>0</v>
      </c>
      <c r="H16" s="3"/>
    </row>
    <row r="17" spans="1:9" x14ac:dyDescent="0.25">
      <c r="A17" s="3">
        <v>13</v>
      </c>
      <c r="B17" s="3" t="s">
        <v>19</v>
      </c>
      <c r="C17" s="3">
        <v>2300</v>
      </c>
      <c r="D17" s="3"/>
      <c r="E17" s="3">
        <f t="shared" si="1"/>
        <v>2300</v>
      </c>
      <c r="F17" s="3">
        <v>2300</v>
      </c>
      <c r="G17" s="3">
        <f t="shared" si="0"/>
        <v>0</v>
      </c>
      <c r="H17" s="3"/>
    </row>
    <row r="18" spans="1:9" x14ac:dyDescent="0.25">
      <c r="A18" s="3">
        <v>14</v>
      </c>
      <c r="B18" s="3" t="s">
        <v>121</v>
      </c>
      <c r="C18" s="3">
        <v>2300</v>
      </c>
      <c r="D18" s="3"/>
      <c r="E18" s="3">
        <f t="shared" si="1"/>
        <v>2300</v>
      </c>
      <c r="F18" s="3">
        <v>2300</v>
      </c>
      <c r="G18" s="3">
        <f t="shared" si="0"/>
        <v>0</v>
      </c>
      <c r="H18" s="3"/>
    </row>
    <row r="19" spans="1:9" x14ac:dyDescent="0.25">
      <c r="A19" s="3">
        <v>15</v>
      </c>
      <c r="B19" s="3" t="s">
        <v>138</v>
      </c>
      <c r="C19" s="3">
        <v>2300</v>
      </c>
      <c r="D19" s="3"/>
      <c r="E19" s="3">
        <f t="shared" si="1"/>
        <v>2300</v>
      </c>
      <c r="F19" s="3">
        <v>2300</v>
      </c>
      <c r="G19" s="3">
        <f t="shared" si="0"/>
        <v>0</v>
      </c>
      <c r="H19" s="3"/>
    </row>
    <row r="20" spans="1:9" x14ac:dyDescent="0.25">
      <c r="A20" s="3">
        <v>16</v>
      </c>
      <c r="B20" s="3" t="s">
        <v>127</v>
      </c>
      <c r="C20" s="3">
        <v>2300</v>
      </c>
      <c r="D20" s="3"/>
      <c r="E20" s="3">
        <f t="shared" si="1"/>
        <v>2300</v>
      </c>
      <c r="F20" s="3">
        <v>2300</v>
      </c>
      <c r="G20" s="3">
        <f t="shared" si="0"/>
        <v>0</v>
      </c>
      <c r="H20" s="3"/>
    </row>
    <row r="21" spans="1:9" x14ac:dyDescent="0.25">
      <c r="A21" s="3">
        <v>17</v>
      </c>
      <c r="B21" s="3" t="s">
        <v>73</v>
      </c>
      <c r="C21" s="3">
        <v>2300</v>
      </c>
      <c r="D21" s="3"/>
      <c r="E21" s="3">
        <f t="shared" si="1"/>
        <v>2300</v>
      </c>
      <c r="F21" s="3">
        <v>2300</v>
      </c>
      <c r="G21" s="3">
        <f t="shared" si="0"/>
        <v>0</v>
      </c>
      <c r="H21" s="3"/>
    </row>
    <row r="22" spans="1:9" x14ac:dyDescent="0.25">
      <c r="A22" s="2"/>
      <c r="B22" s="4" t="s">
        <v>24</v>
      </c>
      <c r="C22" s="2">
        <f>SUM(C5:C21)</f>
        <v>40900</v>
      </c>
      <c r="D22" s="2">
        <f>SUM(D5:D21)</f>
        <v>2920</v>
      </c>
      <c r="E22" s="2">
        <f>SUM(E5:E21)</f>
        <v>43820</v>
      </c>
      <c r="F22" s="2">
        <f>SUM(F5:F21)</f>
        <v>43150</v>
      </c>
      <c r="G22" s="2">
        <f>SUM(G5:G21)</f>
        <v>670</v>
      </c>
      <c r="H22" s="2"/>
      <c r="I22" s="1"/>
    </row>
    <row r="23" spans="1:9" x14ac:dyDescent="0.25">
      <c r="A23" s="3"/>
      <c r="B23" s="3"/>
      <c r="C23" s="3"/>
      <c r="D23" s="3"/>
      <c r="E23" s="3"/>
      <c r="F23" s="3"/>
      <c r="G23" s="3"/>
      <c r="H23" s="3"/>
    </row>
    <row r="24" spans="1:9" x14ac:dyDescent="0.25">
      <c r="A24" s="12"/>
    </row>
    <row r="25" spans="1:9" ht="18.75" x14ac:dyDescent="0.3">
      <c r="A25" s="12"/>
      <c r="B25" s="51" t="s">
        <v>27</v>
      </c>
      <c r="C25" s="52"/>
      <c r="D25" s="52"/>
      <c r="E25" s="52"/>
      <c r="F25" s="52"/>
      <c r="G25" s="52"/>
      <c r="H25" s="53"/>
      <c r="I25" s="53"/>
    </row>
    <row r="26" spans="1:9" ht="15.75" x14ac:dyDescent="0.25">
      <c r="A26" s="12"/>
      <c r="B26" s="54" t="s">
        <v>28</v>
      </c>
      <c r="C26" s="54" t="s">
        <v>29</v>
      </c>
      <c r="D26" s="54" t="s">
        <v>30</v>
      </c>
      <c r="E26" s="54" t="s">
        <v>62</v>
      </c>
      <c r="F26" s="54" t="s">
        <v>69</v>
      </c>
      <c r="G26" s="54" t="s">
        <v>29</v>
      </c>
      <c r="H26" s="54" t="s">
        <v>30</v>
      </c>
      <c r="I26" s="54" t="s">
        <v>62</v>
      </c>
    </row>
    <row r="27" spans="1:9" x14ac:dyDescent="0.25">
      <c r="A27" s="12"/>
      <c r="B27" s="55" t="s">
        <v>82</v>
      </c>
      <c r="C27" s="50">
        <f>C22</f>
        <v>40900</v>
      </c>
      <c r="D27" s="56">
        <v>0.1</v>
      </c>
      <c r="E27" s="50"/>
      <c r="F27" s="57" t="s">
        <v>82</v>
      </c>
      <c r="G27" s="50">
        <f>F22</f>
        <v>43150</v>
      </c>
      <c r="H27" s="56">
        <v>0.1</v>
      </c>
      <c r="I27" s="58"/>
    </row>
    <row r="28" spans="1:9" x14ac:dyDescent="0.25">
      <c r="A28" s="12"/>
      <c r="B28" s="58" t="s">
        <v>55</v>
      </c>
      <c r="C28" s="50">
        <f>'JUNE '!E36</f>
        <v>-7747</v>
      </c>
      <c r="D28" s="58"/>
      <c r="E28" s="58"/>
      <c r="F28" s="58" t="s">
        <v>55</v>
      </c>
      <c r="G28" s="50">
        <f>'JUNE '!I36</f>
        <v>-10667</v>
      </c>
      <c r="H28" s="58"/>
      <c r="I28" s="58"/>
    </row>
    <row r="29" spans="1:9" x14ac:dyDescent="0.25">
      <c r="A29" s="12"/>
      <c r="B29" s="58" t="s">
        <v>33</v>
      </c>
      <c r="C29" s="59"/>
      <c r="D29" s="58">
        <f>C27*D27</f>
        <v>4090</v>
      </c>
      <c r="E29" s="58"/>
      <c r="F29" s="58"/>
      <c r="G29" s="59"/>
      <c r="H29" s="58">
        <f>D29</f>
        <v>4090</v>
      </c>
      <c r="I29" s="58"/>
    </row>
    <row r="30" spans="1:9" x14ac:dyDescent="0.25">
      <c r="A30" s="12"/>
      <c r="B30" s="60" t="s">
        <v>34</v>
      </c>
      <c r="C30" s="58"/>
      <c r="D30" s="58"/>
      <c r="E30" s="58"/>
      <c r="F30" s="60" t="s">
        <v>34</v>
      </c>
      <c r="G30" s="58"/>
      <c r="H30" s="58"/>
      <c r="I30" s="58"/>
    </row>
    <row r="31" spans="1:9" x14ac:dyDescent="0.25">
      <c r="A31" s="12"/>
      <c r="B31" s="62" t="s">
        <v>144</v>
      </c>
      <c r="C31" s="58"/>
      <c r="D31" s="58">
        <v>6127</v>
      </c>
      <c r="E31" s="58"/>
      <c r="F31" s="62" t="s">
        <v>144</v>
      </c>
      <c r="G31" s="58"/>
      <c r="H31" s="58">
        <v>6127</v>
      </c>
      <c r="I31" s="58"/>
    </row>
    <row r="32" spans="1:9" x14ac:dyDescent="0.25">
      <c r="A32" s="12"/>
      <c r="B32" s="3" t="s">
        <v>145</v>
      </c>
      <c r="C32" s="3"/>
      <c r="D32" s="3">
        <v>10000</v>
      </c>
      <c r="E32" s="3"/>
      <c r="F32" s="3" t="s">
        <v>145</v>
      </c>
      <c r="G32" s="3"/>
      <c r="H32" s="3">
        <v>10000</v>
      </c>
      <c r="I32" s="58"/>
    </row>
    <row r="33" spans="1:9" x14ac:dyDescent="0.25">
      <c r="A33" s="12"/>
      <c r="B33" s="62" t="s">
        <v>146</v>
      </c>
      <c r="C33" s="58"/>
      <c r="D33" s="58">
        <v>12936</v>
      </c>
      <c r="E33" s="58"/>
      <c r="F33" s="62" t="s">
        <v>146</v>
      </c>
      <c r="G33" s="58"/>
      <c r="H33" s="58">
        <v>12936</v>
      </c>
      <c r="I33" s="58"/>
    </row>
    <row r="34" spans="1:9" x14ac:dyDescent="0.25">
      <c r="A34" s="12"/>
      <c r="B34" s="62" t="s">
        <v>147</v>
      </c>
      <c r="C34" s="58"/>
      <c r="D34" s="58">
        <v>4600</v>
      </c>
      <c r="E34" s="58"/>
      <c r="F34" s="62" t="s">
        <v>147</v>
      </c>
      <c r="G34" s="58"/>
      <c r="H34" s="58">
        <v>4600</v>
      </c>
      <c r="I34" s="58"/>
    </row>
    <row r="35" spans="1:9" x14ac:dyDescent="0.25">
      <c r="A35" s="12"/>
      <c r="B35" s="62"/>
      <c r="C35" s="50"/>
      <c r="D35" s="50"/>
      <c r="E35" s="50"/>
      <c r="F35" s="62"/>
      <c r="G35" s="58"/>
      <c r="H35" s="50"/>
      <c r="I35" s="58"/>
    </row>
    <row r="36" spans="1:9" x14ac:dyDescent="0.25">
      <c r="A36" s="12"/>
      <c r="B36" s="55" t="s">
        <v>24</v>
      </c>
      <c r="C36" s="63">
        <f>C27+C28-D29</f>
        <v>29063</v>
      </c>
      <c r="D36" s="55">
        <f>SUM(D31:D35)</f>
        <v>33663</v>
      </c>
      <c r="E36" s="63">
        <f>C36-D36</f>
        <v>-4600</v>
      </c>
      <c r="F36" s="57"/>
      <c r="G36" s="63">
        <f>G27+G28-H29</f>
        <v>28393</v>
      </c>
      <c r="H36" s="63">
        <f>SUM(H31:H35)</f>
        <v>33663</v>
      </c>
      <c r="I36" s="63">
        <f>G36-H36</f>
        <v>-5270</v>
      </c>
    </row>
    <row r="39" spans="1:9" x14ac:dyDescent="0.25">
      <c r="B39" s="12" t="s">
        <v>38</v>
      </c>
      <c r="D39" s="12" t="s">
        <v>36</v>
      </c>
      <c r="F39" s="12"/>
      <c r="G39" s="12" t="s">
        <v>37</v>
      </c>
    </row>
    <row r="40" spans="1:9" x14ac:dyDescent="0.25">
      <c r="D40" s="12"/>
      <c r="F40" s="12"/>
      <c r="G40" s="12"/>
    </row>
    <row r="41" spans="1:9" x14ac:dyDescent="0.25">
      <c r="B41" t="s">
        <v>65</v>
      </c>
      <c r="D41" t="s">
        <v>66</v>
      </c>
      <c r="G41" t="s">
        <v>10</v>
      </c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A4" workbookViewId="0">
      <selection activeCell="G38" sqref="G38"/>
    </sheetView>
  </sheetViews>
  <sheetFormatPr defaultRowHeight="15" x14ac:dyDescent="0.25"/>
  <cols>
    <col min="2" max="2" width="19" bestFit="1" customWidth="1"/>
  </cols>
  <sheetData>
    <row r="1" spans="1:9" ht="18.75" x14ac:dyDescent="0.25">
      <c r="C1" s="38" t="s">
        <v>59</v>
      </c>
      <c r="D1" s="39"/>
      <c r="E1" s="36"/>
      <c r="F1" s="34"/>
    </row>
    <row r="2" spans="1:9" ht="18.75" x14ac:dyDescent="0.25">
      <c r="C2" s="38" t="s">
        <v>60</v>
      </c>
      <c r="D2" s="38"/>
      <c r="E2" s="11"/>
      <c r="F2" s="11"/>
    </row>
    <row r="3" spans="1:9" ht="18.75" x14ac:dyDescent="0.25">
      <c r="C3" s="38" t="s">
        <v>150</v>
      </c>
      <c r="D3" s="38"/>
      <c r="E3" s="11"/>
      <c r="F3" s="11"/>
    </row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/>
      <c r="I4" s="1"/>
    </row>
    <row r="5" spans="1:9" x14ac:dyDescent="0.25">
      <c r="A5" s="3">
        <v>1</v>
      </c>
      <c r="B5" s="3" t="s">
        <v>91</v>
      </c>
      <c r="C5" s="3">
        <v>4000</v>
      </c>
      <c r="D5" s="3">
        <f>'JULY  '!G5:G21</f>
        <v>0</v>
      </c>
      <c r="E5" s="3">
        <f>C5+D5</f>
        <v>4000</v>
      </c>
      <c r="F5" s="3">
        <v>4000</v>
      </c>
      <c r="G5" s="3">
        <f>E5-F5</f>
        <v>0</v>
      </c>
      <c r="H5" s="3"/>
    </row>
    <row r="6" spans="1:9" x14ac:dyDescent="0.25">
      <c r="A6" s="3">
        <v>2</v>
      </c>
      <c r="B6" t="s">
        <v>126</v>
      </c>
      <c r="C6" s="3">
        <v>2300</v>
      </c>
      <c r="D6" s="3">
        <f>'JULY  '!G6:G22</f>
        <v>0</v>
      </c>
      <c r="E6" s="3">
        <f>C6+D6</f>
        <v>2300</v>
      </c>
      <c r="F6" s="3">
        <v>2300</v>
      </c>
      <c r="G6" s="3">
        <f t="shared" ref="G6:G21" si="0">E6-F6</f>
        <v>0</v>
      </c>
      <c r="H6" s="3"/>
    </row>
    <row r="7" spans="1:9" x14ac:dyDescent="0.25">
      <c r="A7" s="3">
        <v>3</v>
      </c>
      <c r="B7" s="3" t="s">
        <v>148</v>
      </c>
      <c r="C7" s="3">
        <v>2300</v>
      </c>
      <c r="D7" s="3">
        <f>'JULY  '!G7:G23</f>
        <v>0</v>
      </c>
      <c r="E7" s="3">
        <f t="shared" ref="E7:E21" si="1">C7+D7</f>
        <v>2300</v>
      </c>
      <c r="F7" s="3">
        <v>2300</v>
      </c>
      <c r="G7" s="3">
        <f t="shared" si="0"/>
        <v>0</v>
      </c>
      <c r="H7" s="3"/>
    </row>
    <row r="8" spans="1:9" x14ac:dyDescent="0.25">
      <c r="A8" s="3">
        <v>4</v>
      </c>
      <c r="B8" s="3" t="s">
        <v>74</v>
      </c>
      <c r="C8" s="3">
        <v>2300</v>
      </c>
      <c r="D8" s="3">
        <f>'JULY  '!G8:G24</f>
        <v>400</v>
      </c>
      <c r="E8" s="3">
        <f t="shared" si="1"/>
        <v>2700</v>
      </c>
      <c r="F8" s="3">
        <f>2000+400</f>
        <v>2400</v>
      </c>
      <c r="G8" s="3">
        <f t="shared" si="0"/>
        <v>300</v>
      </c>
      <c r="H8" s="3"/>
    </row>
    <row r="9" spans="1:9" x14ac:dyDescent="0.25">
      <c r="A9" s="3">
        <v>5</v>
      </c>
      <c r="B9" s="3" t="s">
        <v>86</v>
      </c>
      <c r="C9" s="3">
        <v>2500</v>
      </c>
      <c r="D9" s="3">
        <f>'JULY  '!G9:G25</f>
        <v>250</v>
      </c>
      <c r="E9" s="3">
        <f>C9+D9</f>
        <v>2750</v>
      </c>
      <c r="F9" s="3">
        <v>2500</v>
      </c>
      <c r="G9" s="3">
        <f t="shared" si="0"/>
        <v>250</v>
      </c>
      <c r="H9" s="3"/>
    </row>
    <row r="10" spans="1:9" x14ac:dyDescent="0.25">
      <c r="A10" s="3">
        <v>6</v>
      </c>
      <c r="B10" s="64" t="s">
        <v>154</v>
      </c>
      <c r="C10" s="3">
        <v>2300</v>
      </c>
      <c r="D10" s="3">
        <f>'JULY  '!G10:G26</f>
        <v>0</v>
      </c>
      <c r="E10" s="3">
        <f>C10+D10</f>
        <v>2300</v>
      </c>
      <c r="F10" s="3">
        <v>2300</v>
      </c>
      <c r="G10" s="3">
        <f t="shared" si="0"/>
        <v>0</v>
      </c>
      <c r="H10" s="3"/>
    </row>
    <row r="11" spans="1:9" x14ac:dyDescent="0.25">
      <c r="A11" s="3">
        <v>7</v>
      </c>
      <c r="B11" s="3" t="s">
        <v>13</v>
      </c>
      <c r="C11" s="3">
        <v>2300</v>
      </c>
      <c r="D11" s="3">
        <f>'JULY  '!G11:G27</f>
        <v>0</v>
      </c>
      <c r="E11" s="3">
        <f t="shared" si="1"/>
        <v>2300</v>
      </c>
      <c r="F11" s="3">
        <v>2300</v>
      </c>
      <c r="G11" s="3">
        <f t="shared" si="0"/>
        <v>0</v>
      </c>
      <c r="H11" s="3"/>
      <c r="I11" t="s">
        <v>51</v>
      </c>
    </row>
    <row r="12" spans="1:9" x14ac:dyDescent="0.25">
      <c r="A12" s="3">
        <v>8</v>
      </c>
      <c r="B12" s="3" t="s">
        <v>105</v>
      </c>
      <c r="C12" s="3">
        <v>2300</v>
      </c>
      <c r="D12" s="3">
        <f>'JULY  '!G12:G28</f>
        <v>0</v>
      </c>
      <c r="E12" s="3">
        <f t="shared" si="1"/>
        <v>2300</v>
      </c>
      <c r="F12" s="3">
        <v>2300</v>
      </c>
      <c r="G12" s="3">
        <f t="shared" si="0"/>
        <v>0</v>
      </c>
      <c r="H12" s="3"/>
      <c r="I12" t="s">
        <v>51</v>
      </c>
    </row>
    <row r="13" spans="1:9" x14ac:dyDescent="0.25">
      <c r="A13" s="3">
        <v>9</v>
      </c>
      <c r="B13" s="3" t="s">
        <v>96</v>
      </c>
      <c r="C13" s="3">
        <v>2300</v>
      </c>
      <c r="D13" s="3">
        <f>'JULY  '!G13:G29</f>
        <v>20</v>
      </c>
      <c r="E13" s="3">
        <f t="shared" si="1"/>
        <v>2320</v>
      </c>
      <c r="F13" s="3">
        <v>2300</v>
      </c>
      <c r="G13" s="3">
        <f t="shared" si="0"/>
        <v>20</v>
      </c>
      <c r="H13" s="3"/>
    </row>
    <row r="14" spans="1:9" x14ac:dyDescent="0.25">
      <c r="A14" s="3">
        <v>10</v>
      </c>
      <c r="B14" s="3" t="s">
        <v>57</v>
      </c>
      <c r="C14" s="3">
        <v>2000</v>
      </c>
      <c r="D14" s="3">
        <f>'JULY  '!G14:G30</f>
        <v>0</v>
      </c>
      <c r="E14" s="3">
        <f t="shared" si="1"/>
        <v>2000</v>
      </c>
      <c r="F14" s="3">
        <v>1800</v>
      </c>
      <c r="G14" s="3">
        <f t="shared" si="0"/>
        <v>200</v>
      </c>
      <c r="H14" s="3"/>
    </row>
    <row r="15" spans="1:9" x14ac:dyDescent="0.25">
      <c r="A15" s="3">
        <v>11</v>
      </c>
      <c r="B15" s="3" t="s">
        <v>57</v>
      </c>
      <c r="C15" s="3">
        <v>2500</v>
      </c>
      <c r="D15" s="3">
        <f>'JULY  '!G15:G31</f>
        <v>0</v>
      </c>
      <c r="E15" s="3">
        <f t="shared" si="1"/>
        <v>2500</v>
      </c>
      <c r="F15" s="3">
        <v>2500</v>
      </c>
      <c r="G15" s="3">
        <f t="shared" si="0"/>
        <v>0</v>
      </c>
      <c r="H15" s="3"/>
    </row>
    <row r="16" spans="1:9" x14ac:dyDescent="0.25">
      <c r="A16" s="3">
        <v>12</v>
      </c>
      <c r="B16" s="3" t="s">
        <v>139</v>
      </c>
      <c r="C16" s="3">
        <v>2300</v>
      </c>
      <c r="D16" s="3">
        <f>'JULY  '!G16:G32</f>
        <v>0</v>
      </c>
      <c r="E16" s="3">
        <f t="shared" si="1"/>
        <v>2300</v>
      </c>
      <c r="F16" s="3">
        <v>2300</v>
      </c>
      <c r="G16" s="3">
        <f t="shared" si="0"/>
        <v>0</v>
      </c>
      <c r="H16" s="3"/>
    </row>
    <row r="17" spans="1:9" x14ac:dyDescent="0.25">
      <c r="A17" s="3">
        <v>13</v>
      </c>
      <c r="B17" s="3" t="s">
        <v>19</v>
      </c>
      <c r="C17" s="3">
        <v>2300</v>
      </c>
      <c r="D17" s="3">
        <f>'JULY  '!G17:G33</f>
        <v>0</v>
      </c>
      <c r="E17" s="3">
        <f t="shared" si="1"/>
        <v>2300</v>
      </c>
      <c r="F17" s="3">
        <v>2300</v>
      </c>
      <c r="G17" s="3">
        <f t="shared" si="0"/>
        <v>0</v>
      </c>
      <c r="H17" s="3"/>
    </row>
    <row r="18" spans="1:9" x14ac:dyDescent="0.25">
      <c r="A18" s="3">
        <v>14</v>
      </c>
      <c r="B18" s="3" t="s">
        <v>121</v>
      </c>
      <c r="C18" s="3">
        <v>2300</v>
      </c>
      <c r="D18" s="3">
        <f>'JULY  '!G18:G34</f>
        <v>0</v>
      </c>
      <c r="E18" s="3">
        <f t="shared" si="1"/>
        <v>2300</v>
      </c>
      <c r="F18" s="3">
        <v>2300</v>
      </c>
      <c r="G18" s="3">
        <f t="shared" si="0"/>
        <v>0</v>
      </c>
      <c r="H18" s="3"/>
    </row>
    <row r="19" spans="1:9" x14ac:dyDescent="0.25">
      <c r="A19" s="3">
        <v>15</v>
      </c>
      <c r="B19" s="3" t="s">
        <v>138</v>
      </c>
      <c r="C19" s="3">
        <v>2300</v>
      </c>
      <c r="D19" s="3">
        <f>'JULY  '!G19:G35</f>
        <v>0</v>
      </c>
      <c r="E19" s="3">
        <f t="shared" si="1"/>
        <v>2300</v>
      </c>
      <c r="F19" s="3">
        <v>2300</v>
      </c>
      <c r="G19" s="3">
        <f t="shared" si="0"/>
        <v>0</v>
      </c>
      <c r="H19" s="3"/>
    </row>
    <row r="20" spans="1:9" x14ac:dyDescent="0.25">
      <c r="A20" s="3">
        <v>16</v>
      </c>
      <c r="B20" s="3" t="s">
        <v>127</v>
      </c>
      <c r="C20" s="3">
        <v>2300</v>
      </c>
      <c r="D20" s="3">
        <f>'JULY  '!G20:G36</f>
        <v>0</v>
      </c>
      <c r="E20" s="3">
        <f t="shared" si="1"/>
        <v>2300</v>
      </c>
      <c r="F20" s="3">
        <v>2300</v>
      </c>
      <c r="G20" s="3">
        <f t="shared" si="0"/>
        <v>0</v>
      </c>
      <c r="H20" s="3"/>
    </row>
    <row r="21" spans="1:9" x14ac:dyDescent="0.25">
      <c r="A21" s="3">
        <v>17</v>
      </c>
      <c r="B21" s="3" t="s">
        <v>73</v>
      </c>
      <c r="C21" s="3">
        <v>2300</v>
      </c>
      <c r="D21" s="3">
        <f>'JULY  '!G21:G37</f>
        <v>0</v>
      </c>
      <c r="E21" s="3">
        <f t="shared" si="1"/>
        <v>2300</v>
      </c>
      <c r="F21" s="3">
        <f>2070+230</f>
        <v>2300</v>
      </c>
      <c r="G21" s="3">
        <f t="shared" si="0"/>
        <v>0</v>
      </c>
      <c r="H21" s="3"/>
    </row>
    <row r="22" spans="1:9" x14ac:dyDescent="0.25">
      <c r="A22" s="2"/>
      <c r="B22" s="4" t="s">
        <v>24</v>
      </c>
      <c r="C22" s="2">
        <f>SUM(C5:C21)</f>
        <v>40900</v>
      </c>
      <c r="D22" s="3">
        <f>SUM(D5:D21)</f>
        <v>670</v>
      </c>
      <c r="E22" s="2">
        <f>SUM(E5:E21)</f>
        <v>41570</v>
      </c>
      <c r="F22" s="2">
        <f>SUM(F5:F21)</f>
        <v>40800</v>
      </c>
      <c r="G22" s="2">
        <f>SUM(G5:G21)</f>
        <v>770</v>
      </c>
      <c r="H22" s="2"/>
      <c r="I22" s="1"/>
    </row>
    <row r="23" spans="1:9" x14ac:dyDescent="0.25">
      <c r="A23" s="3"/>
      <c r="B23" s="3"/>
      <c r="C23" s="3"/>
      <c r="D23" s="3"/>
      <c r="E23" s="3"/>
      <c r="F23" s="3"/>
      <c r="G23" s="3"/>
      <c r="H23" s="3"/>
    </row>
    <row r="24" spans="1:9" x14ac:dyDescent="0.25">
      <c r="A24" s="12"/>
    </row>
    <row r="25" spans="1:9" ht="18.75" x14ac:dyDescent="0.3">
      <c r="A25" s="12"/>
      <c r="B25" s="51" t="s">
        <v>27</v>
      </c>
      <c r="C25" s="52"/>
      <c r="D25" s="52"/>
      <c r="E25" s="52"/>
      <c r="F25" s="52"/>
      <c r="G25" s="52"/>
      <c r="H25" s="53"/>
      <c r="I25" s="53"/>
    </row>
    <row r="26" spans="1:9" ht="15.75" x14ac:dyDescent="0.25">
      <c r="A26" s="12"/>
      <c r="B26" s="54" t="s">
        <v>28</v>
      </c>
      <c r="C26" s="54" t="s">
        <v>29</v>
      </c>
      <c r="D26" s="54" t="s">
        <v>30</v>
      </c>
      <c r="E26" s="54" t="s">
        <v>62</v>
      </c>
      <c r="F26" s="54" t="s">
        <v>69</v>
      </c>
      <c r="G26" s="54" t="s">
        <v>29</v>
      </c>
      <c r="H26" s="54" t="s">
        <v>30</v>
      </c>
      <c r="I26" s="54" t="s">
        <v>62</v>
      </c>
    </row>
    <row r="27" spans="1:9" x14ac:dyDescent="0.25">
      <c r="A27" s="12"/>
      <c r="B27" s="55" t="s">
        <v>151</v>
      </c>
      <c r="C27" s="50">
        <f>C22</f>
        <v>40900</v>
      </c>
      <c r="D27" s="56">
        <v>0.1</v>
      </c>
      <c r="E27" s="50"/>
      <c r="F27" s="57" t="s">
        <v>151</v>
      </c>
      <c r="G27" s="50">
        <f>F22</f>
        <v>40800</v>
      </c>
      <c r="H27" s="56">
        <v>0.1</v>
      </c>
      <c r="I27" s="58"/>
    </row>
    <row r="28" spans="1:9" x14ac:dyDescent="0.25">
      <c r="A28" s="12"/>
      <c r="B28" s="58" t="s">
        <v>55</v>
      </c>
      <c r="C28" s="50">
        <f>'JULY  '!E36</f>
        <v>-4600</v>
      </c>
      <c r="D28" s="58"/>
      <c r="E28" s="58"/>
      <c r="F28" s="58" t="s">
        <v>55</v>
      </c>
      <c r="G28" s="50">
        <f>'JULY  '!I36</f>
        <v>-5270</v>
      </c>
      <c r="H28" s="58"/>
      <c r="I28" s="58"/>
    </row>
    <row r="29" spans="1:9" x14ac:dyDescent="0.25">
      <c r="A29" s="12"/>
      <c r="B29" s="58" t="s">
        <v>153</v>
      </c>
      <c r="C29" s="50">
        <v>200</v>
      </c>
      <c r="D29" s="58"/>
      <c r="E29" s="58"/>
      <c r="F29" s="58" t="s">
        <v>153</v>
      </c>
      <c r="G29" s="50">
        <v>200</v>
      </c>
      <c r="H29" s="58"/>
      <c r="I29" s="58"/>
    </row>
    <row r="30" spans="1:9" x14ac:dyDescent="0.25">
      <c r="A30" s="12"/>
      <c r="B30" s="58" t="s">
        <v>33</v>
      </c>
      <c r="C30" s="59"/>
      <c r="D30" s="58">
        <f>C27*D27</f>
        <v>4090</v>
      </c>
      <c r="E30" s="58"/>
      <c r="F30" s="58" t="s">
        <v>33</v>
      </c>
      <c r="G30" s="59"/>
      <c r="H30" s="58">
        <f>D30</f>
        <v>4090</v>
      </c>
      <c r="I30" s="58"/>
    </row>
    <row r="31" spans="1:9" x14ac:dyDescent="0.25">
      <c r="A31" s="12"/>
      <c r="B31" s="60" t="s">
        <v>34</v>
      </c>
      <c r="C31" s="58"/>
      <c r="D31" s="58"/>
      <c r="E31" s="58"/>
      <c r="F31" s="60" t="s">
        <v>34</v>
      </c>
      <c r="G31" s="58"/>
      <c r="H31" s="58"/>
      <c r="I31" s="58"/>
    </row>
    <row r="32" spans="1:9" x14ac:dyDescent="0.25">
      <c r="A32" s="12"/>
      <c r="B32" s="62" t="s">
        <v>152</v>
      </c>
      <c r="C32" s="58"/>
      <c r="D32" s="58">
        <v>1000</v>
      </c>
      <c r="E32" s="58"/>
      <c r="F32" s="62" t="s">
        <v>152</v>
      </c>
      <c r="G32" s="58"/>
      <c r="H32" s="58">
        <v>1000</v>
      </c>
      <c r="I32" s="58"/>
    </row>
    <row r="33" spans="1:14" x14ac:dyDescent="0.25">
      <c r="A33" s="12"/>
      <c r="B33" s="3" t="s">
        <v>145</v>
      </c>
      <c r="C33" s="3"/>
      <c r="D33" s="3">
        <v>10000</v>
      </c>
      <c r="E33" s="3"/>
      <c r="F33" s="3" t="s">
        <v>145</v>
      </c>
      <c r="G33" s="3"/>
      <c r="H33" s="3">
        <v>10000</v>
      </c>
      <c r="I33" s="58"/>
      <c r="N33" s="43"/>
    </row>
    <row r="34" spans="1:14" x14ac:dyDescent="0.25">
      <c r="A34" s="12"/>
      <c r="B34" s="62" t="s">
        <v>155</v>
      </c>
      <c r="C34" s="58"/>
      <c r="D34" s="58">
        <v>21410</v>
      </c>
      <c r="E34" s="58"/>
      <c r="F34" s="62" t="s">
        <v>155</v>
      </c>
      <c r="G34" s="58"/>
      <c r="H34" s="58">
        <v>21410</v>
      </c>
      <c r="I34" s="58"/>
      <c r="N34" s="43"/>
    </row>
    <row r="35" spans="1:14" x14ac:dyDescent="0.25">
      <c r="A35" s="12"/>
      <c r="B35" s="62" t="s">
        <v>156</v>
      </c>
      <c r="C35" s="58"/>
      <c r="D35" s="58">
        <f>C11+C12</f>
        <v>4600</v>
      </c>
      <c r="E35" s="58"/>
      <c r="F35" s="62" t="s">
        <v>156</v>
      </c>
      <c r="G35" s="58"/>
      <c r="H35" s="58">
        <f>D35</f>
        <v>4600</v>
      </c>
      <c r="I35" s="58"/>
      <c r="N35" s="43"/>
    </row>
    <row r="36" spans="1:14" x14ac:dyDescent="0.25">
      <c r="A36" s="12"/>
      <c r="B36" s="62"/>
      <c r="C36" s="50"/>
      <c r="D36" s="50"/>
      <c r="E36" s="50"/>
      <c r="F36" s="62"/>
      <c r="G36" s="58"/>
      <c r="H36" s="50"/>
      <c r="I36" s="58"/>
      <c r="N36" s="43"/>
    </row>
    <row r="37" spans="1:14" x14ac:dyDescent="0.25">
      <c r="A37" s="12"/>
      <c r="B37" s="55" t="s">
        <v>24</v>
      </c>
      <c r="C37" s="63">
        <f>C27+C28+C29-D30</f>
        <v>32410</v>
      </c>
      <c r="D37" s="55">
        <f>SUM(D32:D36)</f>
        <v>37010</v>
      </c>
      <c r="E37" s="63">
        <f>C37-D37</f>
        <v>-4600</v>
      </c>
      <c r="F37" s="57"/>
      <c r="G37" s="63">
        <f>G27+G28+G29-H30</f>
        <v>31640</v>
      </c>
      <c r="H37" s="63">
        <f>SUM(H32:H36)</f>
        <v>37010</v>
      </c>
      <c r="I37" s="63">
        <f>G37-H37</f>
        <v>-5370</v>
      </c>
    </row>
    <row r="40" spans="1:14" x14ac:dyDescent="0.25">
      <c r="B40" s="12" t="s">
        <v>38</v>
      </c>
      <c r="D40" s="12" t="s">
        <v>36</v>
      </c>
      <c r="F40" s="12"/>
      <c r="G40" s="12" t="s">
        <v>37</v>
      </c>
    </row>
    <row r="41" spans="1:14" x14ac:dyDescent="0.25">
      <c r="D41" s="12"/>
      <c r="F41" s="12"/>
      <c r="G41" s="12"/>
    </row>
    <row r="42" spans="1:14" x14ac:dyDescent="0.25">
      <c r="B42" t="s">
        <v>65</v>
      </c>
      <c r="D42" t="s">
        <v>66</v>
      </c>
      <c r="G42" t="s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4" workbookViewId="0">
      <selection activeCell="J36" sqref="J36"/>
    </sheetView>
  </sheetViews>
  <sheetFormatPr defaultRowHeight="15" x14ac:dyDescent="0.25"/>
  <cols>
    <col min="2" max="2" width="19" bestFit="1" customWidth="1"/>
  </cols>
  <sheetData>
    <row r="1" spans="1:9" ht="18.75" x14ac:dyDescent="0.25">
      <c r="C1" s="38" t="s">
        <v>59</v>
      </c>
      <c r="D1" s="39"/>
      <c r="E1" s="36"/>
      <c r="F1" s="34"/>
    </row>
    <row r="2" spans="1:9" ht="18.75" x14ac:dyDescent="0.25">
      <c r="C2" s="38" t="s">
        <v>60</v>
      </c>
      <c r="D2" s="38"/>
      <c r="E2" s="11"/>
      <c r="F2" s="11"/>
    </row>
    <row r="3" spans="1:9" ht="18.75" x14ac:dyDescent="0.25">
      <c r="C3" s="38" t="s">
        <v>159</v>
      </c>
      <c r="D3" s="38"/>
      <c r="E3" s="11"/>
      <c r="F3" s="11"/>
    </row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/>
      <c r="I4" s="1"/>
    </row>
    <row r="5" spans="1:9" x14ac:dyDescent="0.25">
      <c r="A5" s="3">
        <v>1</v>
      </c>
      <c r="B5" s="3" t="s">
        <v>91</v>
      </c>
      <c r="C5" s="3">
        <v>4000</v>
      </c>
      <c r="D5" s="3">
        <f>'AUGUST 19'!G5:G22</f>
        <v>0</v>
      </c>
      <c r="E5" s="3">
        <f>C5+D5</f>
        <v>4000</v>
      </c>
      <c r="F5" s="3">
        <v>4000</v>
      </c>
      <c r="G5" s="3">
        <f>E5-F5</f>
        <v>0</v>
      </c>
      <c r="H5" s="3"/>
    </row>
    <row r="6" spans="1:9" x14ac:dyDescent="0.25">
      <c r="A6" s="3">
        <v>2</v>
      </c>
      <c r="B6" t="s">
        <v>126</v>
      </c>
      <c r="C6" s="3">
        <v>2300</v>
      </c>
      <c r="D6" s="3">
        <f>'AUGUST 19'!G6:G23</f>
        <v>0</v>
      </c>
      <c r="E6" s="3">
        <f>C6+D6</f>
        <v>2300</v>
      </c>
      <c r="F6" s="3">
        <v>2300</v>
      </c>
      <c r="G6" s="3">
        <f t="shared" ref="G6:G21" si="0">E6-F6</f>
        <v>0</v>
      </c>
      <c r="H6" s="3"/>
    </row>
    <row r="7" spans="1:9" x14ac:dyDescent="0.25">
      <c r="A7" s="3">
        <v>3</v>
      </c>
      <c r="B7" s="3" t="s">
        <v>148</v>
      </c>
      <c r="C7" s="3">
        <v>2300</v>
      </c>
      <c r="D7" s="3">
        <f>'AUGUST 19'!G7:G24</f>
        <v>0</v>
      </c>
      <c r="E7" s="3">
        <f t="shared" ref="E7:E21" si="1">C7+D7</f>
        <v>2300</v>
      </c>
      <c r="F7" s="3">
        <v>2300</v>
      </c>
      <c r="G7" s="3">
        <f t="shared" si="0"/>
        <v>0</v>
      </c>
      <c r="H7" s="3"/>
    </row>
    <row r="8" spans="1:9" x14ac:dyDescent="0.25">
      <c r="A8" s="3">
        <v>4</v>
      </c>
      <c r="B8" s="3" t="s">
        <v>74</v>
      </c>
      <c r="C8" s="3">
        <v>2300</v>
      </c>
      <c r="D8" s="3">
        <f>'AUGUST 19'!G8:G25</f>
        <v>300</v>
      </c>
      <c r="E8" s="3">
        <f t="shared" si="1"/>
        <v>2600</v>
      </c>
      <c r="F8" s="3">
        <v>2300</v>
      </c>
      <c r="G8" s="3">
        <f t="shared" si="0"/>
        <v>300</v>
      </c>
      <c r="H8" s="3"/>
    </row>
    <row r="9" spans="1:9" x14ac:dyDescent="0.25">
      <c r="A9" s="3">
        <v>5</v>
      </c>
      <c r="B9" s="3" t="s">
        <v>86</v>
      </c>
      <c r="C9" s="3">
        <v>2500</v>
      </c>
      <c r="D9" s="3">
        <f>'AUGUST 19'!G9:G26</f>
        <v>250</v>
      </c>
      <c r="E9" s="3">
        <f>C9+D9</f>
        <v>2750</v>
      </c>
      <c r="F9" s="3">
        <v>2500</v>
      </c>
      <c r="G9" s="3">
        <f t="shared" si="0"/>
        <v>250</v>
      </c>
      <c r="H9" s="3"/>
    </row>
    <row r="10" spans="1:9" x14ac:dyDescent="0.25">
      <c r="A10" s="3">
        <v>6</v>
      </c>
      <c r="B10" s="64" t="s">
        <v>154</v>
      </c>
      <c r="C10" s="3">
        <v>2300</v>
      </c>
      <c r="D10" s="3">
        <f>'AUGUST 19'!G10:G27</f>
        <v>0</v>
      </c>
      <c r="E10" s="3">
        <f>C10+D10</f>
        <v>2300</v>
      </c>
      <c r="F10" s="3">
        <v>2300</v>
      </c>
      <c r="G10" s="3">
        <f t="shared" si="0"/>
        <v>0</v>
      </c>
      <c r="H10" s="3"/>
    </row>
    <row r="11" spans="1:9" x14ac:dyDescent="0.25">
      <c r="A11" s="3">
        <v>7</v>
      </c>
      <c r="B11" s="3" t="s">
        <v>13</v>
      </c>
      <c r="C11" s="3">
        <v>2300</v>
      </c>
      <c r="D11" s="3">
        <f>'AUGUST 19'!G11:G28</f>
        <v>0</v>
      </c>
      <c r="E11" s="3">
        <f t="shared" si="1"/>
        <v>2300</v>
      </c>
      <c r="F11" s="3">
        <v>2300</v>
      </c>
      <c r="G11" s="3">
        <f t="shared" si="0"/>
        <v>0</v>
      </c>
      <c r="H11" s="3"/>
    </row>
    <row r="12" spans="1:9" x14ac:dyDescent="0.25">
      <c r="A12" s="3">
        <v>8</v>
      </c>
      <c r="B12" s="3" t="s">
        <v>105</v>
      </c>
      <c r="C12" s="3">
        <v>2300</v>
      </c>
      <c r="D12" s="3">
        <f>'AUGUST 19'!G12:G29</f>
        <v>0</v>
      </c>
      <c r="E12" s="3">
        <f t="shared" si="1"/>
        <v>2300</v>
      </c>
      <c r="F12" s="3">
        <v>2300</v>
      </c>
      <c r="G12" s="3">
        <f t="shared" si="0"/>
        <v>0</v>
      </c>
      <c r="H12" s="3"/>
      <c r="I12" t="s">
        <v>51</v>
      </c>
    </row>
    <row r="13" spans="1:9" x14ac:dyDescent="0.25">
      <c r="A13" s="3">
        <v>9</v>
      </c>
      <c r="B13" s="3" t="s">
        <v>96</v>
      </c>
      <c r="C13" s="3">
        <v>2300</v>
      </c>
      <c r="D13" s="3">
        <f>'AUGUST 19'!G13:G30</f>
        <v>20</v>
      </c>
      <c r="E13" s="3">
        <f t="shared" si="1"/>
        <v>2320</v>
      </c>
      <c r="F13" s="3">
        <v>2300</v>
      </c>
      <c r="G13" s="3">
        <f t="shared" si="0"/>
        <v>20</v>
      </c>
      <c r="H13" s="3"/>
    </row>
    <row r="14" spans="1:9" x14ac:dyDescent="0.25">
      <c r="A14" s="3">
        <v>10</v>
      </c>
      <c r="B14" s="3" t="s">
        <v>57</v>
      </c>
      <c r="C14" s="3">
        <v>2000</v>
      </c>
      <c r="D14" s="3">
        <f>'AUGUST 19'!G14:G31</f>
        <v>200</v>
      </c>
      <c r="E14" s="3">
        <f t="shared" si="1"/>
        <v>2200</v>
      </c>
      <c r="F14" s="3">
        <f>1500+700</f>
        <v>2200</v>
      </c>
      <c r="G14" s="3">
        <f t="shared" si="0"/>
        <v>0</v>
      </c>
      <c r="H14" s="3"/>
    </row>
    <row r="15" spans="1:9" x14ac:dyDescent="0.25">
      <c r="A15" s="3">
        <v>11</v>
      </c>
      <c r="B15" s="3" t="s">
        <v>57</v>
      </c>
      <c r="C15" s="3">
        <v>2500</v>
      </c>
      <c r="D15" s="3">
        <f>'AUGUST 19'!G15:G32</f>
        <v>0</v>
      </c>
      <c r="E15" s="3">
        <f t="shared" si="1"/>
        <v>2500</v>
      </c>
      <c r="F15" s="3">
        <f>1500+1000</f>
        <v>2500</v>
      </c>
      <c r="G15" s="3">
        <f t="shared" si="0"/>
        <v>0</v>
      </c>
      <c r="H15" s="3"/>
    </row>
    <row r="16" spans="1:9" x14ac:dyDescent="0.25">
      <c r="A16" s="3">
        <v>12</v>
      </c>
      <c r="B16" s="3" t="s">
        <v>165</v>
      </c>
      <c r="C16" s="3">
        <v>2300</v>
      </c>
      <c r="D16" s="3">
        <f>'AUGUST 19'!G16:G33</f>
        <v>0</v>
      </c>
      <c r="E16" s="3">
        <f t="shared" si="1"/>
        <v>2300</v>
      </c>
      <c r="F16" s="3">
        <v>2300</v>
      </c>
      <c r="G16" s="3">
        <f t="shared" si="0"/>
        <v>0</v>
      </c>
      <c r="H16" s="3"/>
    </row>
    <row r="17" spans="1:9" x14ac:dyDescent="0.25">
      <c r="A17" s="3">
        <v>13</v>
      </c>
      <c r="B17" s="3" t="s">
        <v>19</v>
      </c>
      <c r="C17" s="3">
        <v>2300</v>
      </c>
      <c r="D17" s="3">
        <f>'AUGUST 19'!G17:G34</f>
        <v>0</v>
      </c>
      <c r="E17" s="3">
        <f t="shared" si="1"/>
        <v>2300</v>
      </c>
      <c r="F17" s="3">
        <v>2300</v>
      </c>
      <c r="G17" s="3">
        <f t="shared" si="0"/>
        <v>0</v>
      </c>
      <c r="H17" s="3"/>
    </row>
    <row r="18" spans="1:9" x14ac:dyDescent="0.25">
      <c r="A18" s="3">
        <v>14</v>
      </c>
      <c r="B18" s="3" t="s">
        <v>160</v>
      </c>
      <c r="C18" s="3">
        <v>2300</v>
      </c>
      <c r="D18" s="3">
        <f>'AUGUST 19'!G18:G35</f>
        <v>0</v>
      </c>
      <c r="E18" s="3">
        <f t="shared" si="1"/>
        <v>2300</v>
      </c>
      <c r="F18" s="3">
        <v>2300</v>
      </c>
      <c r="G18" s="3">
        <f t="shared" si="0"/>
        <v>0</v>
      </c>
      <c r="H18" s="3"/>
    </row>
    <row r="19" spans="1:9" x14ac:dyDescent="0.25">
      <c r="A19" s="3">
        <v>15</v>
      </c>
      <c r="B19" s="3" t="s">
        <v>138</v>
      </c>
      <c r="C19" s="3">
        <v>2300</v>
      </c>
      <c r="D19" s="3">
        <f>'AUGUST 19'!G19:G36</f>
        <v>0</v>
      </c>
      <c r="E19" s="3">
        <f t="shared" si="1"/>
        <v>2300</v>
      </c>
      <c r="F19" s="3">
        <v>2300</v>
      </c>
      <c r="G19" s="3">
        <f t="shared" si="0"/>
        <v>0</v>
      </c>
      <c r="H19" s="3"/>
    </row>
    <row r="20" spans="1:9" x14ac:dyDescent="0.25">
      <c r="A20" s="3">
        <v>16</v>
      </c>
      <c r="B20" s="3" t="s">
        <v>127</v>
      </c>
      <c r="C20" s="3">
        <v>2300</v>
      </c>
      <c r="D20" s="3">
        <f>'AUGUST 19'!G20:G37</f>
        <v>0</v>
      </c>
      <c r="E20" s="3">
        <f t="shared" si="1"/>
        <v>2300</v>
      </c>
      <c r="F20" s="3">
        <v>2300</v>
      </c>
      <c r="G20" s="3">
        <f t="shared" si="0"/>
        <v>0</v>
      </c>
      <c r="H20" s="3"/>
    </row>
    <row r="21" spans="1:9" x14ac:dyDescent="0.25">
      <c r="A21" s="3">
        <v>17</v>
      </c>
      <c r="B21" s="3" t="s">
        <v>73</v>
      </c>
      <c r="C21" s="3">
        <v>2300</v>
      </c>
      <c r="D21" s="3">
        <f>'AUGUST 19'!G21:G38</f>
        <v>0</v>
      </c>
      <c r="E21" s="3">
        <f t="shared" si="1"/>
        <v>2300</v>
      </c>
      <c r="F21" s="62">
        <v>2300</v>
      </c>
      <c r="G21" s="58">
        <f t="shared" si="0"/>
        <v>0</v>
      </c>
      <c r="H21" s="58"/>
    </row>
    <row r="22" spans="1:9" x14ac:dyDescent="0.25">
      <c r="A22" s="2"/>
      <c r="B22" s="4" t="s">
        <v>24</v>
      </c>
      <c r="C22" s="2">
        <f>SUM(C5:C21)</f>
        <v>40900</v>
      </c>
      <c r="D22" s="3">
        <f>'AUGUST 19'!G22:G39</f>
        <v>770</v>
      </c>
      <c r="E22" s="2">
        <f>SUM(E5:E21)</f>
        <v>41670</v>
      </c>
      <c r="F22" s="2">
        <f>SUM(F5:F21)</f>
        <v>41100</v>
      </c>
      <c r="G22" s="2">
        <f>SUM(G5:G21)</f>
        <v>570</v>
      </c>
      <c r="H22" s="2"/>
      <c r="I22" s="1"/>
    </row>
    <row r="23" spans="1:9" x14ac:dyDescent="0.25">
      <c r="A23" s="3"/>
      <c r="B23" s="3"/>
      <c r="C23" s="3"/>
      <c r="D23" s="3"/>
      <c r="E23" s="3"/>
      <c r="F23" s="3"/>
      <c r="G23" s="3"/>
      <c r="H23" s="3"/>
    </row>
    <row r="24" spans="1:9" x14ac:dyDescent="0.25">
      <c r="A24" s="12"/>
    </row>
    <row r="25" spans="1:9" ht="18.75" x14ac:dyDescent="0.3">
      <c r="A25" s="12"/>
      <c r="B25" s="51" t="s">
        <v>27</v>
      </c>
      <c r="C25" s="52"/>
      <c r="D25" s="52"/>
      <c r="E25" s="52"/>
      <c r="F25" s="52"/>
      <c r="G25" s="52"/>
      <c r="H25" s="53"/>
      <c r="I25" s="53"/>
    </row>
    <row r="26" spans="1:9" ht="15.75" x14ac:dyDescent="0.25">
      <c r="A26" s="12"/>
      <c r="B26" s="54" t="s">
        <v>28</v>
      </c>
      <c r="C26" s="54" t="s">
        <v>29</v>
      </c>
      <c r="D26" s="54" t="s">
        <v>30</v>
      </c>
      <c r="E26" s="54" t="s">
        <v>62</v>
      </c>
      <c r="F26" s="54" t="s">
        <v>69</v>
      </c>
      <c r="G26" s="54" t="s">
        <v>29</v>
      </c>
      <c r="H26" s="54" t="s">
        <v>30</v>
      </c>
      <c r="I26" s="54" t="s">
        <v>62</v>
      </c>
    </row>
    <row r="27" spans="1:9" x14ac:dyDescent="0.25">
      <c r="A27" s="12"/>
      <c r="B27" s="55" t="s">
        <v>158</v>
      </c>
      <c r="C27" s="50">
        <f>C22</f>
        <v>40900</v>
      </c>
      <c r="D27" s="56">
        <v>0.1</v>
      </c>
      <c r="E27" s="50"/>
      <c r="F27" s="57" t="s">
        <v>158</v>
      </c>
      <c r="G27" s="50">
        <f>F22</f>
        <v>41100</v>
      </c>
      <c r="H27" s="56">
        <v>0.1</v>
      </c>
      <c r="I27" s="58"/>
    </row>
    <row r="28" spans="1:9" x14ac:dyDescent="0.25">
      <c r="A28" s="12"/>
      <c r="B28" s="58" t="s">
        <v>55</v>
      </c>
      <c r="C28" s="50">
        <f>'AUGUST 19'!E37</f>
        <v>-4600</v>
      </c>
      <c r="D28" s="58"/>
      <c r="E28" s="58"/>
      <c r="F28" s="58" t="s">
        <v>55</v>
      </c>
      <c r="G28" s="50">
        <f>'AUGUST 19'!I37</f>
        <v>-5370</v>
      </c>
      <c r="H28" s="58"/>
      <c r="I28" s="58"/>
    </row>
    <row r="29" spans="1:9" x14ac:dyDescent="0.25">
      <c r="A29" s="12"/>
      <c r="B29" s="58" t="s">
        <v>162</v>
      </c>
      <c r="C29" s="50">
        <v>200</v>
      </c>
      <c r="D29" s="58"/>
      <c r="E29" s="58"/>
      <c r="F29" s="58" t="s">
        <v>162</v>
      </c>
      <c r="G29" s="50">
        <v>200</v>
      </c>
      <c r="H29" s="58"/>
      <c r="I29" s="58"/>
    </row>
    <row r="30" spans="1:9" x14ac:dyDescent="0.25">
      <c r="A30" s="12"/>
      <c r="B30" s="58" t="s">
        <v>33</v>
      </c>
      <c r="C30" s="59"/>
      <c r="D30" s="58">
        <f>C27*D27</f>
        <v>4090</v>
      </c>
      <c r="E30" s="58"/>
      <c r="F30" s="58" t="s">
        <v>33</v>
      </c>
      <c r="G30" s="59"/>
      <c r="H30" s="58">
        <f>D30</f>
        <v>4090</v>
      </c>
      <c r="I30" s="58"/>
    </row>
    <row r="31" spans="1:9" x14ac:dyDescent="0.25">
      <c r="A31" s="12"/>
      <c r="B31" s="60" t="s">
        <v>34</v>
      </c>
      <c r="C31" s="58"/>
      <c r="D31" s="58"/>
      <c r="E31" s="58"/>
      <c r="F31" s="60" t="s">
        <v>34</v>
      </c>
      <c r="G31" s="58"/>
      <c r="H31" s="58"/>
      <c r="I31" s="58"/>
    </row>
    <row r="32" spans="1:9" x14ac:dyDescent="0.25">
      <c r="A32" s="12"/>
      <c r="B32" s="62" t="s">
        <v>157</v>
      </c>
      <c r="D32" s="58">
        <v>3056</v>
      </c>
      <c r="E32" s="58"/>
      <c r="F32" s="62" t="s">
        <v>157</v>
      </c>
      <c r="H32" s="58">
        <v>3056</v>
      </c>
      <c r="I32" s="58"/>
    </row>
    <row r="33" spans="1:10" x14ac:dyDescent="0.25">
      <c r="A33" s="12"/>
      <c r="B33" s="3" t="s">
        <v>161</v>
      </c>
      <c r="C33" s="3"/>
      <c r="D33" s="3">
        <v>10000</v>
      </c>
      <c r="E33" s="3"/>
      <c r="F33" s="3" t="s">
        <v>161</v>
      </c>
      <c r="G33" s="3"/>
      <c r="H33" s="3">
        <v>10000</v>
      </c>
      <c r="I33" s="58"/>
    </row>
    <row r="34" spans="1:10" x14ac:dyDescent="0.25">
      <c r="A34" s="12"/>
      <c r="B34" s="62" t="s">
        <v>164</v>
      </c>
      <c r="C34" s="58"/>
      <c r="D34" s="58">
        <v>19354</v>
      </c>
      <c r="E34" s="58"/>
      <c r="F34" s="62" t="s">
        <v>164</v>
      </c>
      <c r="G34" s="58"/>
      <c r="H34" s="58">
        <v>19354</v>
      </c>
      <c r="I34" s="58"/>
    </row>
    <row r="35" spans="1:10" x14ac:dyDescent="0.25">
      <c r="A35" s="12"/>
      <c r="B35" s="62" t="s">
        <v>52</v>
      </c>
      <c r="C35" s="58"/>
      <c r="D35" s="58">
        <f>E12</f>
        <v>2300</v>
      </c>
      <c r="E35" s="58"/>
      <c r="F35" s="62" t="s">
        <v>52</v>
      </c>
      <c r="G35" s="58"/>
      <c r="H35" s="58">
        <f>D35</f>
        <v>2300</v>
      </c>
      <c r="I35" s="58"/>
      <c r="J35" s="43">
        <f>I37+G22</f>
        <v>-3376</v>
      </c>
    </row>
    <row r="36" spans="1:10" x14ac:dyDescent="0.25">
      <c r="A36" s="12"/>
      <c r="B36" s="62" t="s">
        <v>169</v>
      </c>
      <c r="C36" s="50"/>
      <c r="D36" s="50">
        <v>1076</v>
      </c>
      <c r="E36" s="50"/>
      <c r="F36" s="62" t="s">
        <v>168</v>
      </c>
      <c r="G36" s="50"/>
      <c r="H36" s="50">
        <v>1076</v>
      </c>
      <c r="I36" s="58"/>
    </row>
    <row r="37" spans="1:10" x14ac:dyDescent="0.25">
      <c r="A37" s="12"/>
      <c r="B37" s="55" t="s">
        <v>24</v>
      </c>
      <c r="C37" s="63">
        <f>C27+C28+C29-D30</f>
        <v>32410</v>
      </c>
      <c r="D37" s="55">
        <f>SUM(D32:D36)</f>
        <v>35786</v>
      </c>
      <c r="E37" s="63">
        <f>C37-D37</f>
        <v>-3376</v>
      </c>
      <c r="F37" s="57"/>
      <c r="G37" s="63">
        <f>G27+G28+G29-H30</f>
        <v>31840</v>
      </c>
      <c r="H37" s="63">
        <f>SUM(H32:H36)</f>
        <v>35786</v>
      </c>
      <c r="I37" s="63">
        <f>G37-H37</f>
        <v>-3946</v>
      </c>
    </row>
    <row r="40" spans="1:10" x14ac:dyDescent="0.25">
      <c r="B40" s="12" t="s">
        <v>38</v>
      </c>
      <c r="D40" s="12" t="s">
        <v>36</v>
      </c>
      <c r="F40" s="12"/>
      <c r="G40" s="12" t="s">
        <v>37</v>
      </c>
    </row>
    <row r="41" spans="1:10" x14ac:dyDescent="0.25">
      <c r="D41" s="12"/>
      <c r="F41" s="12"/>
      <c r="G41" s="12"/>
    </row>
    <row r="42" spans="1:10" x14ac:dyDescent="0.25">
      <c r="B42" t="s">
        <v>163</v>
      </c>
      <c r="D42" t="s">
        <v>66</v>
      </c>
      <c r="G42" t="s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opLeftCell="A10" workbookViewId="0">
      <selection activeCell="J39" sqref="J39"/>
    </sheetView>
  </sheetViews>
  <sheetFormatPr defaultRowHeight="15" x14ac:dyDescent="0.25"/>
  <cols>
    <col min="2" max="2" width="19.42578125" customWidth="1"/>
    <col min="3" max="3" width="11.5703125" customWidth="1"/>
    <col min="4" max="4" width="8.42578125" customWidth="1"/>
    <col min="5" max="5" width="8.7109375" customWidth="1"/>
  </cols>
  <sheetData>
    <row r="1" spans="1:9" ht="18.75" x14ac:dyDescent="0.25">
      <c r="C1" s="38" t="s">
        <v>59</v>
      </c>
      <c r="D1" s="39"/>
      <c r="E1" s="36"/>
      <c r="F1" s="34"/>
    </row>
    <row r="2" spans="1:9" ht="18.75" x14ac:dyDescent="0.25">
      <c r="C2" s="38" t="s">
        <v>60</v>
      </c>
      <c r="D2" s="38"/>
      <c r="E2" s="11"/>
      <c r="F2" s="11"/>
    </row>
    <row r="3" spans="1:9" ht="18.75" x14ac:dyDescent="0.25">
      <c r="C3" s="38" t="s">
        <v>166</v>
      </c>
      <c r="D3" s="38"/>
      <c r="E3" s="11"/>
      <c r="F3" s="11"/>
    </row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/>
      <c r="I4" s="1"/>
    </row>
    <row r="5" spans="1:9" x14ac:dyDescent="0.25">
      <c r="A5" s="3">
        <v>1</v>
      </c>
      <c r="B5" s="3" t="s">
        <v>91</v>
      </c>
      <c r="C5" s="3">
        <v>4000</v>
      </c>
      <c r="D5" s="3">
        <f>'SEPTEMBER 19'!G5:G22</f>
        <v>0</v>
      </c>
      <c r="E5" s="3">
        <f>C5+D5</f>
        <v>4000</v>
      </c>
      <c r="F5" s="3">
        <v>4000</v>
      </c>
      <c r="G5" s="3">
        <f>E5-F5</f>
        <v>0</v>
      </c>
      <c r="H5" s="3"/>
    </row>
    <row r="6" spans="1:9" x14ac:dyDescent="0.25">
      <c r="A6" s="3">
        <v>2</v>
      </c>
      <c r="B6" t="s">
        <v>126</v>
      </c>
      <c r="C6" s="3">
        <v>2300</v>
      </c>
      <c r="D6" s="3">
        <f>'SEPTEMBER 19'!G6:G23</f>
        <v>0</v>
      </c>
      <c r="E6" s="3">
        <f>C6+D6</f>
        <v>2300</v>
      </c>
      <c r="F6" s="3">
        <v>2300</v>
      </c>
      <c r="G6" s="3">
        <f t="shared" ref="G6:G21" si="0">E6-F6</f>
        <v>0</v>
      </c>
      <c r="H6" s="3"/>
    </row>
    <row r="7" spans="1:9" x14ac:dyDescent="0.25">
      <c r="A7" s="3">
        <v>3</v>
      </c>
      <c r="B7" s="3" t="s">
        <v>148</v>
      </c>
      <c r="C7" s="3">
        <v>2300</v>
      </c>
      <c r="D7" s="3">
        <f>'SEPTEMBER 19'!G7:G24</f>
        <v>0</v>
      </c>
      <c r="E7" s="3">
        <f t="shared" ref="E7:E21" si="1">C7+D7</f>
        <v>2300</v>
      </c>
      <c r="F7" s="3">
        <v>2300</v>
      </c>
      <c r="G7" s="3">
        <f t="shared" si="0"/>
        <v>0</v>
      </c>
      <c r="H7" s="3"/>
    </row>
    <row r="8" spans="1:9" x14ac:dyDescent="0.25">
      <c r="A8" s="3">
        <v>4</v>
      </c>
      <c r="B8" s="3" t="s">
        <v>74</v>
      </c>
      <c r="C8" s="3">
        <v>2300</v>
      </c>
      <c r="D8" s="3">
        <f>'SEPTEMBER 19'!G8:G25</f>
        <v>300</v>
      </c>
      <c r="E8" s="3">
        <f t="shared" si="1"/>
        <v>2600</v>
      </c>
      <c r="F8" s="3">
        <v>2300</v>
      </c>
      <c r="G8" s="3">
        <f t="shared" si="0"/>
        <v>300</v>
      </c>
      <c r="H8" s="3"/>
    </row>
    <row r="9" spans="1:9" x14ac:dyDescent="0.25">
      <c r="A9" s="3">
        <v>5</v>
      </c>
      <c r="B9" s="3" t="s">
        <v>86</v>
      </c>
      <c r="C9" s="3">
        <v>2500</v>
      </c>
      <c r="D9" s="3">
        <f>'SEPTEMBER 19'!G9:G26</f>
        <v>250</v>
      </c>
      <c r="E9" s="3">
        <f>C9+D9</f>
        <v>2750</v>
      </c>
      <c r="F9" s="3">
        <v>2500</v>
      </c>
      <c r="G9" s="3">
        <f t="shared" si="0"/>
        <v>250</v>
      </c>
      <c r="H9" s="3"/>
    </row>
    <row r="10" spans="1:9" x14ac:dyDescent="0.25">
      <c r="A10" s="3">
        <v>6</v>
      </c>
      <c r="B10" s="64" t="s">
        <v>154</v>
      </c>
      <c r="C10" s="3">
        <v>2300</v>
      </c>
      <c r="D10" s="3">
        <f>'SEPTEMBER 19'!G10:G27</f>
        <v>0</v>
      </c>
      <c r="E10" s="3">
        <f>C10+D10</f>
        <v>2300</v>
      </c>
      <c r="F10" s="3">
        <v>2300</v>
      </c>
      <c r="G10" s="3">
        <f t="shared" si="0"/>
        <v>0</v>
      </c>
      <c r="H10" s="3"/>
    </row>
    <row r="11" spans="1:9" x14ac:dyDescent="0.25">
      <c r="A11" s="3">
        <v>7</v>
      </c>
      <c r="B11" s="3" t="s">
        <v>13</v>
      </c>
      <c r="C11" s="3">
        <v>2300</v>
      </c>
      <c r="D11" s="3">
        <f>'SEPTEMBER 19'!G11:G28</f>
        <v>0</v>
      </c>
      <c r="E11" s="3">
        <f t="shared" si="1"/>
        <v>2300</v>
      </c>
      <c r="F11" s="3">
        <v>2300</v>
      </c>
      <c r="G11" s="3">
        <f t="shared" si="0"/>
        <v>0</v>
      </c>
      <c r="H11" s="3"/>
    </row>
    <row r="12" spans="1:9" x14ac:dyDescent="0.25">
      <c r="A12" s="3">
        <v>8</v>
      </c>
      <c r="B12" s="3" t="s">
        <v>105</v>
      </c>
      <c r="C12" s="3">
        <v>2300</v>
      </c>
      <c r="D12" s="3">
        <f>'SEPTEMBER 19'!G12:G29</f>
        <v>0</v>
      </c>
      <c r="E12" s="3">
        <f t="shared" si="1"/>
        <v>2300</v>
      </c>
      <c r="F12" s="3">
        <v>2300</v>
      </c>
      <c r="G12" s="3">
        <f t="shared" si="0"/>
        <v>0</v>
      </c>
      <c r="H12" s="3"/>
    </row>
    <row r="13" spans="1:9" x14ac:dyDescent="0.25">
      <c r="A13" s="3">
        <v>9</v>
      </c>
      <c r="B13" s="3" t="s">
        <v>96</v>
      </c>
      <c r="C13" s="3">
        <v>2300</v>
      </c>
      <c r="D13" s="3">
        <f>'SEPTEMBER 19'!G13:G30</f>
        <v>20</v>
      </c>
      <c r="E13" s="3">
        <f t="shared" si="1"/>
        <v>2320</v>
      </c>
      <c r="F13" s="3">
        <v>2300</v>
      </c>
      <c r="G13" s="3">
        <f t="shared" si="0"/>
        <v>20</v>
      </c>
      <c r="H13" s="3"/>
    </row>
    <row r="14" spans="1:9" x14ac:dyDescent="0.25">
      <c r="A14" s="3">
        <v>10</v>
      </c>
      <c r="B14" s="3" t="s">
        <v>57</v>
      </c>
      <c r="C14" s="3">
        <v>2000</v>
      </c>
      <c r="D14" s="3">
        <f>'SEPTEMBER 19'!G14:G31</f>
        <v>0</v>
      </c>
      <c r="E14" s="3">
        <f t="shared" si="1"/>
        <v>2000</v>
      </c>
      <c r="F14" s="3">
        <f>1400+600</f>
        <v>2000</v>
      </c>
      <c r="G14" s="3">
        <f t="shared" si="0"/>
        <v>0</v>
      </c>
      <c r="H14" s="3"/>
    </row>
    <row r="15" spans="1:9" x14ac:dyDescent="0.25">
      <c r="A15" s="3">
        <v>11</v>
      </c>
      <c r="B15" s="3" t="s">
        <v>57</v>
      </c>
      <c r="C15" s="3">
        <v>2500</v>
      </c>
      <c r="D15" s="3">
        <f>'SEPTEMBER 19'!G15:G32</f>
        <v>0</v>
      </c>
      <c r="E15" s="3">
        <f t="shared" si="1"/>
        <v>2500</v>
      </c>
      <c r="F15" s="3">
        <f>1500+1000</f>
        <v>2500</v>
      </c>
      <c r="G15" s="3">
        <f t="shared" si="0"/>
        <v>0</v>
      </c>
      <c r="H15" s="3"/>
    </row>
    <row r="16" spans="1:9" x14ac:dyDescent="0.25">
      <c r="A16" s="3">
        <v>12</v>
      </c>
      <c r="B16" s="3" t="s">
        <v>165</v>
      </c>
      <c r="C16" s="3">
        <v>2300</v>
      </c>
      <c r="D16" s="3">
        <f>'SEPTEMBER 19'!G16:G33</f>
        <v>0</v>
      </c>
      <c r="E16" s="3">
        <f t="shared" si="1"/>
        <v>2300</v>
      </c>
      <c r="F16" s="3">
        <v>2300</v>
      </c>
      <c r="G16" s="3">
        <f t="shared" si="0"/>
        <v>0</v>
      </c>
      <c r="H16" s="3"/>
    </row>
    <row r="17" spans="1:9" x14ac:dyDescent="0.25">
      <c r="A17" s="3">
        <v>13</v>
      </c>
      <c r="B17" s="3" t="s">
        <v>19</v>
      </c>
      <c r="C17" s="3">
        <v>2300</v>
      </c>
      <c r="D17" s="3">
        <f>'SEPTEMBER 19'!G17:G34</f>
        <v>0</v>
      </c>
      <c r="E17" s="3">
        <f t="shared" si="1"/>
        <v>2300</v>
      </c>
      <c r="F17" s="3">
        <v>2300</v>
      </c>
      <c r="G17" s="3">
        <f t="shared" si="0"/>
        <v>0</v>
      </c>
      <c r="H17" s="3"/>
    </row>
    <row r="18" spans="1:9" x14ac:dyDescent="0.25">
      <c r="A18" s="3">
        <v>14</v>
      </c>
      <c r="B18" s="3" t="s">
        <v>160</v>
      </c>
      <c r="C18" s="3">
        <v>2300</v>
      </c>
      <c r="D18" s="3">
        <f>'SEPTEMBER 19'!G18:G35</f>
        <v>0</v>
      </c>
      <c r="E18" s="3">
        <f t="shared" si="1"/>
        <v>2300</v>
      </c>
      <c r="F18" s="3">
        <v>2300</v>
      </c>
      <c r="G18" s="3">
        <f t="shared" si="0"/>
        <v>0</v>
      </c>
      <c r="H18" s="3"/>
    </row>
    <row r="19" spans="1:9" x14ac:dyDescent="0.25">
      <c r="A19" s="3">
        <v>15</v>
      </c>
      <c r="B19" s="3" t="s">
        <v>138</v>
      </c>
      <c r="C19" s="3">
        <v>2300</v>
      </c>
      <c r="D19" s="3">
        <f>'SEPTEMBER 19'!G19:G36</f>
        <v>0</v>
      </c>
      <c r="E19" s="3">
        <f t="shared" si="1"/>
        <v>2300</v>
      </c>
      <c r="F19" s="3">
        <v>2300</v>
      </c>
      <c r="G19" s="3">
        <f t="shared" si="0"/>
        <v>0</v>
      </c>
      <c r="H19" s="3"/>
    </row>
    <row r="20" spans="1:9" x14ac:dyDescent="0.25">
      <c r="A20" s="3">
        <v>16</v>
      </c>
      <c r="B20" s="3" t="s">
        <v>127</v>
      </c>
      <c r="C20" s="3">
        <v>2300</v>
      </c>
      <c r="D20" s="3">
        <f>'SEPTEMBER 19'!G20:G37</f>
        <v>0</v>
      </c>
      <c r="E20" s="3">
        <f t="shared" si="1"/>
        <v>2300</v>
      </c>
      <c r="F20" s="3">
        <v>2300</v>
      </c>
      <c r="G20" s="3">
        <f t="shared" si="0"/>
        <v>0</v>
      </c>
      <c r="H20" s="3"/>
      <c r="I20" t="s">
        <v>171</v>
      </c>
    </row>
    <row r="21" spans="1:9" x14ac:dyDescent="0.25">
      <c r="A21" s="3">
        <v>17</v>
      </c>
      <c r="B21" s="3" t="s">
        <v>73</v>
      </c>
      <c r="C21" s="3">
        <v>2300</v>
      </c>
      <c r="D21" s="3">
        <f>'SEPTEMBER 19'!G21:G38</f>
        <v>0</v>
      </c>
      <c r="E21" s="3">
        <f t="shared" si="1"/>
        <v>2300</v>
      </c>
      <c r="F21" s="62">
        <v>2300</v>
      </c>
      <c r="G21" s="58">
        <f t="shared" si="0"/>
        <v>0</v>
      </c>
      <c r="H21" s="58"/>
    </row>
    <row r="22" spans="1:9" x14ac:dyDescent="0.25">
      <c r="A22" s="2"/>
      <c r="B22" s="4" t="s">
        <v>24</v>
      </c>
      <c r="C22" s="2">
        <f>SUM(C5:C21)</f>
        <v>40900</v>
      </c>
      <c r="D22" s="3">
        <f>'SEPTEMBER 19'!G22:G39</f>
        <v>570</v>
      </c>
      <c r="E22" s="2">
        <f>SUM(E5:E21)</f>
        <v>41470</v>
      </c>
      <c r="F22" s="2">
        <f>SUM(F5:F21)</f>
        <v>40900</v>
      </c>
      <c r="G22" s="2">
        <f>SUM(G5:G21)</f>
        <v>570</v>
      </c>
      <c r="H22" s="2"/>
      <c r="I22" s="1"/>
    </row>
    <row r="23" spans="1:9" x14ac:dyDescent="0.25">
      <c r="A23" s="3"/>
      <c r="B23" s="3"/>
      <c r="C23" s="3"/>
      <c r="D23" s="3"/>
      <c r="E23" s="3"/>
      <c r="F23" s="3"/>
      <c r="G23" s="3"/>
      <c r="H23" s="3"/>
    </row>
    <row r="24" spans="1:9" x14ac:dyDescent="0.25">
      <c r="A24" s="12"/>
    </row>
    <row r="25" spans="1:9" ht="18.75" x14ac:dyDescent="0.3">
      <c r="A25" s="12"/>
      <c r="B25" s="51" t="s">
        <v>27</v>
      </c>
      <c r="C25" s="52"/>
      <c r="D25" s="52"/>
      <c r="E25" s="52"/>
      <c r="F25" s="52"/>
      <c r="G25" s="52"/>
      <c r="H25" s="53"/>
      <c r="I25" s="53"/>
    </row>
    <row r="26" spans="1:9" ht="15.75" x14ac:dyDescent="0.25">
      <c r="A26" s="12"/>
      <c r="B26" s="54" t="s">
        <v>28</v>
      </c>
      <c r="C26" s="54" t="s">
        <v>29</v>
      </c>
      <c r="D26" s="54" t="s">
        <v>30</v>
      </c>
      <c r="E26" s="54" t="s">
        <v>62</v>
      </c>
      <c r="F26" s="54" t="s">
        <v>69</v>
      </c>
      <c r="G26" s="54" t="s">
        <v>29</v>
      </c>
      <c r="H26" s="54" t="s">
        <v>30</v>
      </c>
      <c r="I26" s="54" t="s">
        <v>62</v>
      </c>
    </row>
    <row r="27" spans="1:9" x14ac:dyDescent="0.25">
      <c r="A27" s="12"/>
      <c r="B27" s="55" t="s">
        <v>167</v>
      </c>
      <c r="C27" s="50">
        <f>C22</f>
        <v>40900</v>
      </c>
      <c r="D27" s="56">
        <v>0.1</v>
      </c>
      <c r="E27" s="50"/>
      <c r="F27" s="57" t="s">
        <v>167</v>
      </c>
      <c r="G27" s="50">
        <f>F22</f>
        <v>40900</v>
      </c>
      <c r="H27" s="56">
        <v>0.1</v>
      </c>
      <c r="I27" s="58"/>
    </row>
    <row r="28" spans="1:9" x14ac:dyDescent="0.25">
      <c r="A28" s="12"/>
      <c r="B28" s="58" t="s">
        <v>55</v>
      </c>
      <c r="C28" s="50">
        <f>'SEPTEMBER 19'!E37</f>
        <v>-3376</v>
      </c>
      <c r="D28" s="58"/>
      <c r="E28" s="58"/>
      <c r="F28" s="58" t="s">
        <v>55</v>
      </c>
      <c r="G28" s="50">
        <f>'SEPTEMBER 19'!I37</f>
        <v>-3946</v>
      </c>
      <c r="H28" s="58"/>
      <c r="I28" s="58"/>
    </row>
    <row r="29" spans="1:9" x14ac:dyDescent="0.25">
      <c r="A29" s="12"/>
      <c r="B29" s="58" t="s">
        <v>162</v>
      </c>
      <c r="C29" s="50">
        <v>200</v>
      </c>
      <c r="D29" s="58"/>
      <c r="E29" s="58"/>
      <c r="F29" s="58" t="s">
        <v>162</v>
      </c>
      <c r="G29" s="50">
        <v>200</v>
      </c>
      <c r="H29" s="58"/>
      <c r="I29" s="58"/>
    </row>
    <row r="30" spans="1:9" x14ac:dyDescent="0.25">
      <c r="A30" s="12"/>
      <c r="B30" s="58" t="s">
        <v>33</v>
      </c>
      <c r="C30" s="59"/>
      <c r="D30" s="58">
        <f>C27*D27</f>
        <v>4090</v>
      </c>
      <c r="E30" s="58"/>
      <c r="F30" s="58" t="s">
        <v>33</v>
      </c>
      <c r="G30" s="59"/>
      <c r="H30" s="58">
        <f>D30</f>
        <v>4090</v>
      </c>
      <c r="I30" s="58"/>
    </row>
    <row r="31" spans="1:9" x14ac:dyDescent="0.25">
      <c r="A31" s="12"/>
      <c r="B31" s="60" t="s">
        <v>34</v>
      </c>
      <c r="C31" s="58"/>
      <c r="D31" s="58"/>
      <c r="E31" s="58"/>
      <c r="F31" s="60" t="s">
        <v>34</v>
      </c>
      <c r="G31" s="58"/>
      <c r="H31" s="58"/>
      <c r="I31" s="58"/>
    </row>
    <row r="32" spans="1:9" x14ac:dyDescent="0.25">
      <c r="A32" s="12"/>
      <c r="B32" s="3" t="s">
        <v>161</v>
      </c>
      <c r="C32" s="3"/>
      <c r="D32" s="3">
        <v>10000</v>
      </c>
      <c r="E32" s="3"/>
      <c r="F32" s="3" t="s">
        <v>161</v>
      </c>
      <c r="G32" s="3"/>
      <c r="H32" s="3">
        <v>10000</v>
      </c>
      <c r="I32" s="58"/>
    </row>
    <row r="33" spans="1:11" x14ac:dyDescent="0.25">
      <c r="A33" s="12"/>
      <c r="B33" s="62" t="s">
        <v>170</v>
      </c>
      <c r="C33" s="58"/>
      <c r="D33" s="58">
        <f>23434+200</f>
        <v>23634</v>
      </c>
      <c r="E33" s="58"/>
      <c r="F33" s="62" t="s">
        <v>170</v>
      </c>
      <c r="G33" s="58"/>
      <c r="H33" s="58">
        <f>23434+200</f>
        <v>23634</v>
      </c>
      <c r="I33" s="58"/>
    </row>
    <row r="34" spans="1:11" x14ac:dyDescent="0.25">
      <c r="A34" s="12"/>
      <c r="B34" s="62" t="s">
        <v>174</v>
      </c>
      <c r="C34" s="58"/>
      <c r="D34" s="58">
        <v>2300</v>
      </c>
      <c r="E34" s="58"/>
      <c r="F34" s="62" t="s">
        <v>52</v>
      </c>
      <c r="G34" s="58" t="s">
        <v>175</v>
      </c>
      <c r="H34" s="58">
        <f>D34</f>
        <v>2300</v>
      </c>
      <c r="I34" s="58"/>
      <c r="K34" s="43"/>
    </row>
    <row r="35" spans="1:11" x14ac:dyDescent="0.25">
      <c r="A35" s="12"/>
      <c r="B35" s="62" t="s">
        <v>178</v>
      </c>
      <c r="C35" s="58"/>
      <c r="D35" s="58">
        <v>1076</v>
      </c>
      <c r="E35" s="58"/>
      <c r="F35" s="62" t="s">
        <v>178</v>
      </c>
      <c r="G35" s="58"/>
      <c r="H35" s="58">
        <v>1076</v>
      </c>
      <c r="I35" s="58"/>
      <c r="K35" s="43"/>
    </row>
    <row r="36" spans="1:11" x14ac:dyDescent="0.25">
      <c r="A36" s="12"/>
      <c r="B36" s="62" t="s">
        <v>176</v>
      </c>
      <c r="C36" s="50"/>
      <c r="D36" s="50">
        <v>2091</v>
      </c>
      <c r="E36" s="50"/>
      <c r="F36" s="62" t="s">
        <v>176</v>
      </c>
      <c r="G36" s="50"/>
      <c r="H36" s="50">
        <v>2091</v>
      </c>
      <c r="I36" s="58"/>
    </row>
    <row r="37" spans="1:11" x14ac:dyDescent="0.25">
      <c r="A37" s="12"/>
      <c r="B37" s="62" t="s">
        <v>177</v>
      </c>
      <c r="C37" s="50"/>
      <c r="D37" s="50">
        <v>2000</v>
      </c>
      <c r="E37" s="50"/>
      <c r="F37" s="62" t="s">
        <v>177</v>
      </c>
      <c r="G37" s="50"/>
      <c r="H37" s="50">
        <v>2000</v>
      </c>
      <c r="I37" s="58"/>
    </row>
    <row r="38" spans="1:11" x14ac:dyDescent="0.25">
      <c r="A38" s="12"/>
      <c r="B38" s="55" t="s">
        <v>24</v>
      </c>
      <c r="C38" s="63">
        <f>C27+C28+C29-D30</f>
        <v>33634</v>
      </c>
      <c r="D38" s="55">
        <f>SUM(D32:D37)</f>
        <v>41101</v>
      </c>
      <c r="E38" s="63">
        <f>C38-D38</f>
        <v>-7467</v>
      </c>
      <c r="F38" s="57"/>
      <c r="G38" s="63">
        <f>G27+G28+G29-H30</f>
        <v>33064</v>
      </c>
      <c r="H38" s="63">
        <f>SUM(H32:H37)</f>
        <v>41101</v>
      </c>
      <c r="I38" s="63">
        <f>G38-H38</f>
        <v>-8037</v>
      </c>
      <c r="J38" s="43">
        <f>G22+I38</f>
        <v>-7467</v>
      </c>
    </row>
    <row r="41" spans="1:11" x14ac:dyDescent="0.25">
      <c r="B41" s="12" t="s">
        <v>38</v>
      </c>
      <c r="D41" s="12" t="s">
        <v>36</v>
      </c>
      <c r="F41" s="12"/>
      <c r="G41" s="12" t="s">
        <v>37</v>
      </c>
    </row>
    <row r="42" spans="1:11" x14ac:dyDescent="0.25">
      <c r="D42" s="12"/>
      <c r="F42" s="12"/>
      <c r="G42" s="12"/>
    </row>
    <row r="43" spans="1:11" x14ac:dyDescent="0.25">
      <c r="B43" t="s">
        <v>163</v>
      </c>
      <c r="D43" t="s">
        <v>66</v>
      </c>
      <c r="G43" t="s">
        <v>10</v>
      </c>
    </row>
    <row r="44" spans="1:11" x14ac:dyDescent="0.25">
      <c r="J44" s="43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A13" workbookViewId="0">
      <selection activeCell="J40" sqref="J40"/>
    </sheetView>
  </sheetViews>
  <sheetFormatPr defaultRowHeight="15" x14ac:dyDescent="0.25"/>
  <cols>
    <col min="2" max="2" width="17.140625" customWidth="1"/>
  </cols>
  <sheetData>
    <row r="1" spans="1:9" ht="18.75" x14ac:dyDescent="0.25">
      <c r="C1" s="38" t="s">
        <v>59</v>
      </c>
      <c r="D1" s="39"/>
      <c r="E1" s="36"/>
      <c r="F1" s="34"/>
    </row>
    <row r="2" spans="1:9" ht="18.75" x14ac:dyDescent="0.25">
      <c r="C2" s="38" t="s">
        <v>60</v>
      </c>
      <c r="D2" s="38"/>
      <c r="E2" s="11"/>
      <c r="F2" s="11"/>
    </row>
    <row r="3" spans="1:9" ht="18.75" x14ac:dyDescent="0.25">
      <c r="C3" s="38" t="s">
        <v>173</v>
      </c>
      <c r="D3" s="38"/>
      <c r="E3" s="11"/>
      <c r="F3" s="11"/>
    </row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/>
      <c r="I4" s="1"/>
    </row>
    <row r="5" spans="1:9" x14ac:dyDescent="0.25">
      <c r="A5" s="3">
        <v>1</v>
      </c>
      <c r="B5" s="3" t="s">
        <v>91</v>
      </c>
      <c r="C5" s="3">
        <v>4000</v>
      </c>
      <c r="D5" s="3">
        <f>OCTOBER19!G5:G21</f>
        <v>0</v>
      </c>
      <c r="E5" s="3">
        <f>C5+D5</f>
        <v>4000</v>
      </c>
      <c r="F5" s="3">
        <v>4000</v>
      </c>
      <c r="G5" s="3">
        <f>E5-F5</f>
        <v>0</v>
      </c>
      <c r="H5" s="3"/>
    </row>
    <row r="6" spans="1:9" x14ac:dyDescent="0.25">
      <c r="A6" s="3">
        <v>2</v>
      </c>
      <c r="B6" t="s">
        <v>126</v>
      </c>
      <c r="C6" s="3">
        <v>2300</v>
      </c>
      <c r="D6" s="3">
        <f>OCTOBER19!G6:G22</f>
        <v>0</v>
      </c>
      <c r="E6" s="3">
        <f>C6+D6</f>
        <v>2300</v>
      </c>
      <c r="F6" s="3">
        <v>2300</v>
      </c>
      <c r="G6" s="3">
        <f t="shared" ref="G6:G21" si="0">E6-F6</f>
        <v>0</v>
      </c>
      <c r="H6" s="3"/>
    </row>
    <row r="7" spans="1:9" x14ac:dyDescent="0.25">
      <c r="A7" s="3">
        <v>3</v>
      </c>
      <c r="B7" s="3" t="s">
        <v>148</v>
      </c>
      <c r="C7" s="3">
        <v>2300</v>
      </c>
      <c r="D7" s="3">
        <f>OCTOBER19!G7:G23</f>
        <v>0</v>
      </c>
      <c r="E7" s="3">
        <f t="shared" ref="E7:E21" si="1">C7+D7</f>
        <v>2300</v>
      </c>
      <c r="F7" s="3">
        <v>2300</v>
      </c>
      <c r="G7" s="3">
        <f t="shared" si="0"/>
        <v>0</v>
      </c>
      <c r="H7" s="3"/>
    </row>
    <row r="8" spans="1:9" x14ac:dyDescent="0.25">
      <c r="A8" s="3">
        <v>4</v>
      </c>
      <c r="B8" s="3" t="s">
        <v>74</v>
      </c>
      <c r="C8" s="3">
        <v>2300</v>
      </c>
      <c r="D8" s="3">
        <f>OCTOBER19!G8:G24</f>
        <v>300</v>
      </c>
      <c r="E8" s="3">
        <f t="shared" si="1"/>
        <v>2600</v>
      </c>
      <c r="F8" s="3">
        <v>2300</v>
      </c>
      <c r="G8" s="3">
        <f t="shared" si="0"/>
        <v>300</v>
      </c>
      <c r="H8" s="3"/>
    </row>
    <row r="9" spans="1:9" x14ac:dyDescent="0.25">
      <c r="A9" s="3">
        <v>5</v>
      </c>
      <c r="B9" s="3" t="s">
        <v>86</v>
      </c>
      <c r="C9" s="3">
        <v>2500</v>
      </c>
      <c r="D9" s="3">
        <f>OCTOBER19!G9:G25</f>
        <v>250</v>
      </c>
      <c r="E9" s="3">
        <f>C9+D9</f>
        <v>2750</v>
      </c>
      <c r="F9" s="3">
        <v>2500</v>
      </c>
      <c r="G9" s="3">
        <f t="shared" si="0"/>
        <v>250</v>
      </c>
      <c r="H9" s="3"/>
    </row>
    <row r="10" spans="1:9" x14ac:dyDescent="0.25">
      <c r="A10" s="3">
        <v>6</v>
      </c>
      <c r="B10" s="64" t="s">
        <v>154</v>
      </c>
      <c r="C10" s="3">
        <v>2300</v>
      </c>
      <c r="D10" s="3">
        <f>OCTOBER19!G10:G26</f>
        <v>0</v>
      </c>
      <c r="E10" s="3">
        <f>C10+D10</f>
        <v>2300</v>
      </c>
      <c r="F10" s="3">
        <v>2300</v>
      </c>
      <c r="G10" s="3">
        <f t="shared" si="0"/>
        <v>0</v>
      </c>
      <c r="H10" s="3"/>
    </row>
    <row r="11" spans="1:9" x14ac:dyDescent="0.25">
      <c r="A11" s="3">
        <v>7</v>
      </c>
      <c r="B11" s="3" t="s">
        <v>13</v>
      </c>
      <c r="C11" s="3">
        <v>2300</v>
      </c>
      <c r="D11" s="3">
        <f>OCTOBER19!G11:G27</f>
        <v>0</v>
      </c>
      <c r="E11" s="3">
        <f t="shared" si="1"/>
        <v>2300</v>
      </c>
      <c r="F11" s="3">
        <v>2300</v>
      </c>
      <c r="G11" s="3">
        <f t="shared" si="0"/>
        <v>0</v>
      </c>
      <c r="H11" s="3"/>
      <c r="I11" t="s">
        <v>51</v>
      </c>
    </row>
    <row r="12" spans="1:9" x14ac:dyDescent="0.25">
      <c r="A12" s="3">
        <v>8</v>
      </c>
      <c r="B12" s="3" t="s">
        <v>105</v>
      </c>
      <c r="C12" s="3">
        <v>2300</v>
      </c>
      <c r="D12" s="3">
        <f>OCTOBER19!G12:G28</f>
        <v>0</v>
      </c>
      <c r="E12" s="3">
        <f t="shared" si="1"/>
        <v>2300</v>
      </c>
      <c r="F12" s="3">
        <v>2300</v>
      </c>
      <c r="G12" s="3">
        <f t="shared" si="0"/>
        <v>0</v>
      </c>
      <c r="H12" s="3"/>
    </row>
    <row r="13" spans="1:9" x14ac:dyDescent="0.25">
      <c r="A13" s="3">
        <v>9</v>
      </c>
      <c r="B13" s="3" t="s">
        <v>96</v>
      </c>
      <c r="C13" s="3">
        <v>2300</v>
      </c>
      <c r="D13" s="3">
        <f>OCTOBER19!G13:G29</f>
        <v>20</v>
      </c>
      <c r="E13" s="3">
        <f t="shared" si="1"/>
        <v>2320</v>
      </c>
      <c r="F13" s="3">
        <v>2300</v>
      </c>
      <c r="G13" s="3">
        <f t="shared" si="0"/>
        <v>20</v>
      </c>
      <c r="H13" s="3"/>
    </row>
    <row r="14" spans="1:9" x14ac:dyDescent="0.25">
      <c r="A14" s="3">
        <v>10</v>
      </c>
      <c r="B14" s="3" t="s">
        <v>57</v>
      </c>
      <c r="C14" s="3">
        <v>2000</v>
      </c>
      <c r="D14" s="3">
        <f>OCTOBER19!G14:G30</f>
        <v>0</v>
      </c>
      <c r="E14" s="3">
        <f t="shared" si="1"/>
        <v>2000</v>
      </c>
      <c r="F14" s="3">
        <v>2000</v>
      </c>
      <c r="G14" s="3">
        <f t="shared" si="0"/>
        <v>0</v>
      </c>
      <c r="H14" s="3"/>
    </row>
    <row r="15" spans="1:9" x14ac:dyDescent="0.25">
      <c r="A15" s="3">
        <v>11</v>
      </c>
      <c r="B15" s="3" t="s">
        <v>57</v>
      </c>
      <c r="C15" s="3">
        <v>2500</v>
      </c>
      <c r="D15" s="3">
        <f>OCTOBER19!G15:G31</f>
        <v>0</v>
      </c>
      <c r="E15" s="3">
        <f t="shared" si="1"/>
        <v>2500</v>
      </c>
      <c r="F15" s="3">
        <v>2500</v>
      </c>
      <c r="G15" s="3">
        <f t="shared" si="0"/>
        <v>0</v>
      </c>
      <c r="H15" s="3"/>
    </row>
    <row r="16" spans="1:9" x14ac:dyDescent="0.25">
      <c r="A16" s="3">
        <v>12</v>
      </c>
      <c r="B16" s="3" t="s">
        <v>165</v>
      </c>
      <c r="C16" s="3">
        <v>2300</v>
      </c>
      <c r="D16" s="3">
        <f>OCTOBER19!G16:G32</f>
        <v>0</v>
      </c>
      <c r="E16" s="3">
        <f t="shared" si="1"/>
        <v>2300</v>
      </c>
      <c r="F16" s="3">
        <v>2300</v>
      </c>
      <c r="G16" s="3">
        <f t="shared" si="0"/>
        <v>0</v>
      </c>
      <c r="H16" s="3"/>
    </row>
    <row r="17" spans="1:11" x14ac:dyDescent="0.25">
      <c r="A17" s="3">
        <v>13</v>
      </c>
      <c r="B17" s="3" t="s">
        <v>19</v>
      </c>
      <c r="C17" s="3">
        <v>2300</v>
      </c>
      <c r="D17" s="3">
        <f>OCTOBER19!G17:G33</f>
        <v>0</v>
      </c>
      <c r="E17" s="3">
        <f t="shared" si="1"/>
        <v>2300</v>
      </c>
      <c r="F17" s="3">
        <v>2300</v>
      </c>
      <c r="G17" s="3">
        <f t="shared" si="0"/>
        <v>0</v>
      </c>
      <c r="H17" s="3"/>
    </row>
    <row r="18" spans="1:11" x14ac:dyDescent="0.25">
      <c r="A18" s="3">
        <v>14</v>
      </c>
      <c r="B18" s="3" t="s">
        <v>160</v>
      </c>
      <c r="C18" s="3">
        <v>2300</v>
      </c>
      <c r="D18" s="3">
        <f>OCTOBER19!G18:G36</f>
        <v>0</v>
      </c>
      <c r="E18" s="3">
        <f t="shared" si="1"/>
        <v>2300</v>
      </c>
      <c r="F18" s="3">
        <v>2300</v>
      </c>
      <c r="G18" s="3">
        <f t="shared" si="0"/>
        <v>0</v>
      </c>
      <c r="H18" s="3"/>
      <c r="J18" s="43">
        <f>D36+D35</f>
        <v>2121</v>
      </c>
    </row>
    <row r="19" spans="1:11" x14ac:dyDescent="0.25">
      <c r="A19" s="3">
        <v>15</v>
      </c>
      <c r="B19" s="3"/>
      <c r="C19" s="3"/>
      <c r="D19" s="3">
        <f>OCTOBER19!G19:G37</f>
        <v>0</v>
      </c>
      <c r="E19" s="3">
        <f t="shared" si="1"/>
        <v>0</v>
      </c>
      <c r="F19" s="3"/>
      <c r="G19" s="3">
        <f t="shared" si="0"/>
        <v>0</v>
      </c>
      <c r="H19" s="3"/>
    </row>
    <row r="20" spans="1:11" x14ac:dyDescent="0.25">
      <c r="A20" s="3">
        <v>16</v>
      </c>
      <c r="B20" s="3" t="s">
        <v>127</v>
      </c>
      <c r="C20" s="3">
        <v>2300</v>
      </c>
      <c r="D20" s="3">
        <f>OCTOBER19!G20:G37</f>
        <v>0</v>
      </c>
      <c r="E20" s="3">
        <f t="shared" si="1"/>
        <v>2300</v>
      </c>
      <c r="F20" s="3">
        <v>2300</v>
      </c>
      <c r="G20" s="3">
        <f t="shared" si="0"/>
        <v>0</v>
      </c>
      <c r="H20" s="3"/>
      <c r="I20" t="s">
        <v>51</v>
      </c>
    </row>
    <row r="21" spans="1:11" x14ac:dyDescent="0.25">
      <c r="A21" s="3">
        <v>17</v>
      </c>
      <c r="B21" s="3" t="s">
        <v>73</v>
      </c>
      <c r="C21" s="3">
        <v>2300</v>
      </c>
      <c r="D21" s="3">
        <f>OCTOBER19!G21:G38</f>
        <v>0</v>
      </c>
      <c r="E21" s="3">
        <f t="shared" si="1"/>
        <v>2300</v>
      </c>
      <c r="F21" s="62">
        <v>2300</v>
      </c>
      <c r="G21" s="58">
        <f t="shared" si="0"/>
        <v>0</v>
      </c>
      <c r="H21" s="58"/>
    </row>
    <row r="22" spans="1:11" x14ac:dyDescent="0.25">
      <c r="A22" s="2"/>
      <c r="B22" s="4" t="s">
        <v>24</v>
      </c>
      <c r="C22" s="2">
        <f>SUM(C5:C21)</f>
        <v>38600</v>
      </c>
      <c r="D22" s="3">
        <f>SUM(D5:D21)</f>
        <v>570</v>
      </c>
      <c r="E22" s="2">
        <f>SUM(E5:E21)</f>
        <v>39170</v>
      </c>
      <c r="F22" s="2">
        <f>SUM(F5:F21)</f>
        <v>38600</v>
      </c>
      <c r="G22" s="2">
        <f>SUM(G5:G21)</f>
        <v>570</v>
      </c>
      <c r="H22" s="2"/>
      <c r="I22" s="1"/>
    </row>
    <row r="23" spans="1:11" x14ac:dyDescent="0.25">
      <c r="A23" s="3"/>
      <c r="B23" s="3"/>
      <c r="C23" s="3"/>
      <c r="D23" s="3"/>
      <c r="E23" s="3"/>
      <c r="F23" s="3"/>
      <c r="G23" s="3"/>
      <c r="H23" s="3"/>
    </row>
    <row r="24" spans="1:11" x14ac:dyDescent="0.25">
      <c r="A24" s="12"/>
    </row>
    <row r="25" spans="1:11" ht="18.75" x14ac:dyDescent="0.3">
      <c r="A25" s="12"/>
      <c r="B25" s="51" t="s">
        <v>27</v>
      </c>
      <c r="C25" s="52"/>
      <c r="D25" s="52"/>
      <c r="E25" s="52"/>
      <c r="F25" s="52"/>
      <c r="G25" s="52"/>
      <c r="H25" s="53"/>
      <c r="I25" s="53"/>
    </row>
    <row r="26" spans="1:11" ht="15.75" x14ac:dyDescent="0.25">
      <c r="A26" s="12"/>
      <c r="B26" s="54" t="s">
        <v>28</v>
      </c>
      <c r="C26" s="54" t="s">
        <v>29</v>
      </c>
      <c r="D26" s="54" t="s">
        <v>30</v>
      </c>
      <c r="E26" s="54" t="s">
        <v>62</v>
      </c>
      <c r="F26" s="54" t="s">
        <v>69</v>
      </c>
      <c r="G26" s="54" t="s">
        <v>29</v>
      </c>
      <c r="H26" s="54" t="s">
        <v>30</v>
      </c>
      <c r="I26" s="54" t="s">
        <v>62</v>
      </c>
    </row>
    <row r="27" spans="1:11" x14ac:dyDescent="0.25">
      <c r="A27" s="12"/>
      <c r="B27" s="55" t="s">
        <v>172</v>
      </c>
      <c r="C27" s="50">
        <f>C22</f>
        <v>38600</v>
      </c>
      <c r="D27" s="56">
        <v>0.1</v>
      </c>
      <c r="E27" s="50"/>
      <c r="F27" s="57" t="s">
        <v>172</v>
      </c>
      <c r="G27" s="50">
        <f>F22</f>
        <v>38600</v>
      </c>
      <c r="H27" s="56">
        <v>0.1</v>
      </c>
      <c r="I27" s="58"/>
    </row>
    <row r="28" spans="1:11" x14ac:dyDescent="0.25">
      <c r="A28" s="12"/>
      <c r="B28" s="58" t="s">
        <v>55</v>
      </c>
      <c r="C28" s="50">
        <f>OCTOBER19!E38</f>
        <v>-7467</v>
      </c>
      <c r="D28" s="58"/>
      <c r="E28" s="58"/>
      <c r="F28" s="58" t="s">
        <v>55</v>
      </c>
      <c r="G28" s="50">
        <f>OCTOBER19!I38</f>
        <v>-8037</v>
      </c>
      <c r="H28" s="58"/>
      <c r="I28" s="58"/>
    </row>
    <row r="29" spans="1:11" x14ac:dyDescent="0.25">
      <c r="A29" s="12"/>
      <c r="B29" s="58"/>
      <c r="C29" s="50"/>
      <c r="D29" s="58"/>
      <c r="E29" s="58"/>
      <c r="F29" s="58"/>
      <c r="G29" s="50"/>
      <c r="H29" s="58"/>
      <c r="I29" s="58"/>
      <c r="J29" s="43"/>
      <c r="K29" s="43"/>
    </row>
    <row r="30" spans="1:11" x14ac:dyDescent="0.25">
      <c r="A30" s="12"/>
      <c r="B30" s="58" t="s">
        <v>33</v>
      </c>
      <c r="C30" s="59"/>
      <c r="D30" s="58">
        <f>C27*D27</f>
        <v>3860</v>
      </c>
      <c r="E30" s="58"/>
      <c r="F30" s="58" t="s">
        <v>33</v>
      </c>
      <c r="G30" s="59"/>
      <c r="H30" s="58">
        <f>D30</f>
        <v>3860</v>
      </c>
      <c r="I30" s="58"/>
      <c r="J30" s="43"/>
      <c r="K30" s="43"/>
    </row>
    <row r="31" spans="1:11" x14ac:dyDescent="0.25">
      <c r="A31" s="12"/>
      <c r="B31" s="60" t="s">
        <v>34</v>
      </c>
      <c r="C31" s="58"/>
      <c r="D31" s="58"/>
      <c r="E31" s="58"/>
      <c r="F31" s="60" t="s">
        <v>34</v>
      </c>
      <c r="G31" s="58"/>
      <c r="H31" s="58"/>
      <c r="I31" s="58"/>
      <c r="J31" s="43"/>
      <c r="K31" s="43"/>
    </row>
    <row r="32" spans="1:11" x14ac:dyDescent="0.25">
      <c r="A32" s="12"/>
      <c r="B32" s="3" t="s">
        <v>161</v>
      </c>
      <c r="C32" s="3"/>
      <c r="D32" s="3">
        <v>10000</v>
      </c>
      <c r="E32" s="3"/>
      <c r="F32" s="3" t="s">
        <v>161</v>
      </c>
      <c r="G32" s="3"/>
      <c r="H32" s="3">
        <v>10000</v>
      </c>
      <c r="I32" s="58"/>
      <c r="K32" s="43" t="s">
        <v>186</v>
      </c>
    </row>
    <row r="33" spans="1:13" x14ac:dyDescent="0.25">
      <c r="A33" s="12"/>
      <c r="B33" s="62" t="s">
        <v>180</v>
      </c>
      <c r="C33" s="58"/>
      <c r="D33" s="58">
        <f>2300+2300</f>
        <v>4600</v>
      </c>
      <c r="E33" s="58"/>
      <c r="F33" s="62" t="s">
        <v>179</v>
      </c>
      <c r="G33" s="58"/>
      <c r="H33" s="58">
        <f>2300+2300</f>
        <v>4600</v>
      </c>
      <c r="I33" s="58"/>
      <c r="J33" s="43"/>
      <c r="L33" s="43">
        <f>H35+H36</f>
        <v>2121</v>
      </c>
    </row>
    <row r="34" spans="1:13" x14ac:dyDescent="0.25">
      <c r="A34" s="12"/>
      <c r="B34" s="62" t="s">
        <v>181</v>
      </c>
      <c r="C34" s="58"/>
      <c r="D34" s="58">
        <v>12670</v>
      </c>
      <c r="E34" s="58"/>
      <c r="F34" s="62" t="s">
        <v>181</v>
      </c>
      <c r="G34" s="58"/>
      <c r="H34" s="58">
        <v>12670</v>
      </c>
      <c r="I34" s="58"/>
      <c r="K34">
        <f>H3</f>
        <v>0</v>
      </c>
      <c r="M34" s="43">
        <f>L33+500</f>
        <v>2621</v>
      </c>
    </row>
    <row r="35" spans="1:13" x14ac:dyDescent="0.25">
      <c r="A35" s="12"/>
      <c r="B35" s="62" t="s">
        <v>184</v>
      </c>
      <c r="C35" s="50"/>
      <c r="D35" s="50">
        <v>1121</v>
      </c>
      <c r="E35" s="50"/>
      <c r="F35" s="62" t="s">
        <v>184</v>
      </c>
      <c r="G35" s="50"/>
      <c r="H35" s="50">
        <v>1121</v>
      </c>
      <c r="I35" s="58"/>
      <c r="K35">
        <v>1621</v>
      </c>
      <c r="M35" s="43">
        <f>M34-2000</f>
        <v>621</v>
      </c>
    </row>
    <row r="36" spans="1:13" x14ac:dyDescent="0.25">
      <c r="A36" s="12"/>
      <c r="B36" s="62" t="s">
        <v>185</v>
      </c>
      <c r="C36" s="50"/>
      <c r="D36" s="50">
        <v>1000</v>
      </c>
      <c r="E36" s="50"/>
      <c r="F36" s="62" t="s">
        <v>185</v>
      </c>
      <c r="G36" s="50"/>
      <c r="H36" s="50">
        <v>1000</v>
      </c>
      <c r="I36" s="58"/>
      <c r="K36" s="43">
        <f>K35-1580</f>
        <v>41</v>
      </c>
      <c r="L36">
        <v>1500</v>
      </c>
    </row>
    <row r="37" spans="1:13" x14ac:dyDescent="0.25">
      <c r="A37" s="12"/>
      <c r="B37" s="55" t="s">
        <v>24</v>
      </c>
      <c r="C37" s="63">
        <f>C27+C28+C29-D30</f>
        <v>27273</v>
      </c>
      <c r="D37" s="55">
        <f>SUM(D32:D36)</f>
        <v>29391</v>
      </c>
      <c r="E37" s="63">
        <f>C37-D37</f>
        <v>-2118</v>
      </c>
      <c r="F37" s="57"/>
      <c r="G37" s="63">
        <f>G27+G28-H30</f>
        <v>26703</v>
      </c>
      <c r="H37" s="63">
        <f>SUM(H32:H36)</f>
        <v>29391</v>
      </c>
      <c r="I37" s="63">
        <f>G37-H37</f>
        <v>-2688</v>
      </c>
    </row>
    <row r="38" spans="1:13" x14ac:dyDescent="0.25">
      <c r="K38">
        <f>K35-L36</f>
        <v>121</v>
      </c>
    </row>
    <row r="39" spans="1:13" x14ac:dyDescent="0.25">
      <c r="J39" s="43">
        <f>G22+I37</f>
        <v>-2118</v>
      </c>
    </row>
    <row r="40" spans="1:13" x14ac:dyDescent="0.25">
      <c r="B40" s="12" t="s">
        <v>38</v>
      </c>
      <c r="D40" s="12" t="s">
        <v>36</v>
      </c>
      <c r="F40" s="12"/>
      <c r="G40" s="12" t="s">
        <v>37</v>
      </c>
      <c r="L40" s="43">
        <f>K35-D35</f>
        <v>500</v>
      </c>
    </row>
    <row r="41" spans="1:13" x14ac:dyDescent="0.25">
      <c r="D41" s="12"/>
      <c r="F41" s="12"/>
      <c r="G41" s="12"/>
    </row>
    <row r="42" spans="1:13" x14ac:dyDescent="0.25">
      <c r="B42" t="s">
        <v>163</v>
      </c>
      <c r="D42" t="s">
        <v>66</v>
      </c>
      <c r="G42" t="s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opLeftCell="A10" workbookViewId="0">
      <selection activeCell="J37" sqref="J37:J38"/>
    </sheetView>
  </sheetViews>
  <sheetFormatPr defaultRowHeight="15" x14ac:dyDescent="0.25"/>
  <cols>
    <col min="2" max="2" width="19" bestFit="1" customWidth="1"/>
  </cols>
  <sheetData>
    <row r="1" spans="1:9" ht="18.75" x14ac:dyDescent="0.25">
      <c r="C1" s="38" t="s">
        <v>59</v>
      </c>
      <c r="D1" s="39"/>
      <c r="E1" s="36"/>
      <c r="F1" s="34"/>
    </row>
    <row r="2" spans="1:9" ht="18.75" x14ac:dyDescent="0.25">
      <c r="C2" s="38" t="s">
        <v>60</v>
      </c>
      <c r="D2" s="38"/>
      <c r="E2" s="11"/>
      <c r="F2" s="11"/>
    </row>
    <row r="3" spans="1:9" ht="18.75" x14ac:dyDescent="0.25">
      <c r="C3" s="38" t="s">
        <v>182</v>
      </c>
      <c r="D3" s="38"/>
      <c r="E3" s="11"/>
      <c r="F3" s="11"/>
    </row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/>
      <c r="I4" s="1"/>
    </row>
    <row r="5" spans="1:9" x14ac:dyDescent="0.25">
      <c r="A5" s="3">
        <v>1</v>
      </c>
      <c r="B5" s="3" t="s">
        <v>91</v>
      </c>
      <c r="C5" s="3">
        <v>4000</v>
      </c>
      <c r="D5" s="3">
        <f>NOVEMBER19!G5:G21</f>
        <v>0</v>
      </c>
      <c r="E5" s="3">
        <f>C5+D5</f>
        <v>4000</v>
      </c>
      <c r="F5" s="3">
        <v>4000</v>
      </c>
      <c r="G5" s="3">
        <f>E5-F5</f>
        <v>0</v>
      </c>
      <c r="H5" s="3"/>
    </row>
    <row r="6" spans="1:9" x14ac:dyDescent="0.25">
      <c r="A6" s="3">
        <v>2</v>
      </c>
      <c r="B6" t="s">
        <v>126</v>
      </c>
      <c r="C6" s="3">
        <v>2300</v>
      </c>
      <c r="D6" s="3">
        <f>NOVEMBER19!G6:G22</f>
        <v>0</v>
      </c>
      <c r="E6" s="3">
        <f>C6+D6</f>
        <v>2300</v>
      </c>
      <c r="F6" s="3">
        <v>2300</v>
      </c>
      <c r="G6" s="3">
        <f t="shared" ref="G6:G21" si="0">E6-F6</f>
        <v>0</v>
      </c>
      <c r="H6" s="3"/>
    </row>
    <row r="7" spans="1:9" x14ac:dyDescent="0.25">
      <c r="A7" s="3">
        <v>3</v>
      </c>
      <c r="B7" s="3" t="s">
        <v>189</v>
      </c>
      <c r="C7" s="3">
        <v>2300</v>
      </c>
      <c r="D7" s="3"/>
      <c r="E7" s="3">
        <f t="shared" ref="E7:E21" si="1">C7+D7</f>
        <v>2300</v>
      </c>
      <c r="F7" s="3">
        <v>2300</v>
      </c>
      <c r="G7" s="3">
        <f t="shared" si="0"/>
        <v>0</v>
      </c>
      <c r="H7" s="3"/>
      <c r="I7" t="s">
        <v>51</v>
      </c>
    </row>
    <row r="8" spans="1:9" x14ac:dyDescent="0.25">
      <c r="A8" s="3">
        <v>4</v>
      </c>
      <c r="B8" s="3" t="s">
        <v>74</v>
      </c>
      <c r="C8" s="3">
        <v>2300</v>
      </c>
      <c r="D8" s="3">
        <f>NOVEMBER19!G8:G24</f>
        <v>300</v>
      </c>
      <c r="E8" s="3">
        <f t="shared" si="1"/>
        <v>2600</v>
      </c>
      <c r="F8" s="3">
        <v>2300</v>
      </c>
      <c r="G8" s="3">
        <f t="shared" si="0"/>
        <v>300</v>
      </c>
      <c r="H8" s="3"/>
    </row>
    <row r="9" spans="1:9" x14ac:dyDescent="0.25">
      <c r="A9" s="3">
        <v>5</v>
      </c>
      <c r="B9" s="3" t="s">
        <v>86</v>
      </c>
      <c r="C9" s="3">
        <v>2500</v>
      </c>
      <c r="D9" s="3">
        <f>NOVEMBER19!G9:G25</f>
        <v>250</v>
      </c>
      <c r="E9" s="3">
        <f>C9+D9</f>
        <v>2750</v>
      </c>
      <c r="F9" s="3">
        <v>2500</v>
      </c>
      <c r="G9" s="3">
        <f t="shared" si="0"/>
        <v>250</v>
      </c>
      <c r="H9" s="3"/>
    </row>
    <row r="10" spans="1:9" x14ac:dyDescent="0.25">
      <c r="A10" s="3">
        <v>6</v>
      </c>
      <c r="B10" s="64" t="s">
        <v>154</v>
      </c>
      <c r="C10" s="3">
        <v>2300</v>
      </c>
      <c r="D10" s="3">
        <f>NOVEMBER19!G10:G26</f>
        <v>0</v>
      </c>
      <c r="E10" s="3">
        <f>C10+D10</f>
        <v>2300</v>
      </c>
      <c r="F10" s="3">
        <v>2300</v>
      </c>
      <c r="G10" s="3">
        <f t="shared" si="0"/>
        <v>0</v>
      </c>
      <c r="H10" s="3"/>
    </row>
    <row r="11" spans="1:9" x14ac:dyDescent="0.25">
      <c r="A11" s="3">
        <v>7</v>
      </c>
      <c r="B11" s="3" t="s">
        <v>13</v>
      </c>
      <c r="C11" s="3">
        <v>2300</v>
      </c>
      <c r="D11" s="3">
        <f>NOVEMBER19!G11:G27</f>
        <v>0</v>
      </c>
      <c r="E11" s="3">
        <f t="shared" si="1"/>
        <v>2300</v>
      </c>
      <c r="F11" s="3">
        <v>2300</v>
      </c>
      <c r="G11" s="3">
        <f t="shared" si="0"/>
        <v>0</v>
      </c>
      <c r="H11" s="3"/>
      <c r="I11" t="s">
        <v>51</v>
      </c>
    </row>
    <row r="12" spans="1:9" x14ac:dyDescent="0.25">
      <c r="A12" s="3">
        <v>8</v>
      </c>
      <c r="B12" s="3" t="s">
        <v>105</v>
      </c>
      <c r="C12" s="3">
        <v>2300</v>
      </c>
      <c r="D12" s="3">
        <f>NOVEMBER19!G12:G28</f>
        <v>0</v>
      </c>
      <c r="E12" s="3">
        <f t="shared" si="1"/>
        <v>2300</v>
      </c>
      <c r="F12" s="3">
        <v>2300</v>
      </c>
      <c r="G12" s="3">
        <f t="shared" si="0"/>
        <v>0</v>
      </c>
      <c r="H12" s="3"/>
      <c r="I12" t="s">
        <v>51</v>
      </c>
    </row>
    <row r="13" spans="1:9" x14ac:dyDescent="0.25">
      <c r="A13" s="3">
        <v>9</v>
      </c>
      <c r="B13" s="3" t="s">
        <v>96</v>
      </c>
      <c r="C13" s="3">
        <v>2300</v>
      </c>
      <c r="D13" s="3">
        <f>NOVEMBER19!G13:G29</f>
        <v>20</v>
      </c>
      <c r="E13" s="3">
        <f t="shared" si="1"/>
        <v>2320</v>
      </c>
      <c r="F13" s="3">
        <v>2300</v>
      </c>
      <c r="G13" s="3">
        <f t="shared" si="0"/>
        <v>20</v>
      </c>
      <c r="H13" s="3"/>
    </row>
    <row r="14" spans="1:9" x14ac:dyDescent="0.25">
      <c r="A14" s="3">
        <v>10</v>
      </c>
      <c r="B14" s="3" t="s">
        <v>57</v>
      </c>
      <c r="C14" s="3">
        <v>2000</v>
      </c>
      <c r="D14" s="3">
        <f>NOVEMBER19!G14:G30</f>
        <v>0</v>
      </c>
      <c r="E14" s="3">
        <f t="shared" si="1"/>
        <v>2000</v>
      </c>
      <c r="F14" s="3">
        <v>2000</v>
      </c>
      <c r="G14" s="3">
        <f t="shared" si="0"/>
        <v>0</v>
      </c>
      <c r="H14" s="3"/>
    </row>
    <row r="15" spans="1:9" x14ac:dyDescent="0.25">
      <c r="A15" s="3">
        <v>11</v>
      </c>
      <c r="B15" s="3" t="s">
        <v>57</v>
      </c>
      <c r="C15" s="3">
        <v>2500</v>
      </c>
      <c r="D15" s="3">
        <f>NOVEMBER19!G15:G31</f>
        <v>0</v>
      </c>
      <c r="E15" s="3">
        <f t="shared" si="1"/>
        <v>2500</v>
      </c>
      <c r="F15" s="3">
        <v>2500</v>
      </c>
      <c r="G15" s="3">
        <f t="shared" si="0"/>
        <v>0</v>
      </c>
      <c r="H15" s="3"/>
    </row>
    <row r="16" spans="1:9" x14ac:dyDescent="0.25">
      <c r="A16" s="3">
        <v>12</v>
      </c>
      <c r="B16" s="3" t="s">
        <v>165</v>
      </c>
      <c r="C16" s="3">
        <v>2300</v>
      </c>
      <c r="D16" s="3">
        <f>NOVEMBER19!G16:G32</f>
        <v>0</v>
      </c>
      <c r="E16" s="3">
        <f t="shared" si="1"/>
        <v>2300</v>
      </c>
      <c r="F16" s="3">
        <v>2300</v>
      </c>
      <c r="G16" s="3">
        <f t="shared" si="0"/>
        <v>0</v>
      </c>
      <c r="H16" s="3"/>
    </row>
    <row r="17" spans="1:11" x14ac:dyDescent="0.25">
      <c r="A17" s="3">
        <v>13</v>
      </c>
      <c r="B17" s="3" t="s">
        <v>19</v>
      </c>
      <c r="C17" s="3">
        <v>2300</v>
      </c>
      <c r="D17" s="3">
        <f>NOVEMBER19!G17:G33</f>
        <v>0</v>
      </c>
      <c r="E17" s="3">
        <f t="shared" si="1"/>
        <v>2300</v>
      </c>
      <c r="F17" s="3">
        <v>2300</v>
      </c>
      <c r="G17" s="3">
        <f t="shared" si="0"/>
        <v>0</v>
      </c>
      <c r="H17" s="3"/>
    </row>
    <row r="18" spans="1:11" x14ac:dyDescent="0.25">
      <c r="A18" s="3">
        <v>14</v>
      </c>
      <c r="B18" s="3" t="s">
        <v>160</v>
      </c>
      <c r="C18" s="3">
        <v>2300</v>
      </c>
      <c r="D18" s="3">
        <f>NOVEMBER19!G18:G34</f>
        <v>0</v>
      </c>
      <c r="E18" s="3">
        <f t="shared" si="1"/>
        <v>2300</v>
      </c>
      <c r="F18" s="3"/>
      <c r="G18" s="3">
        <f t="shared" si="0"/>
        <v>2300</v>
      </c>
      <c r="H18" s="3"/>
    </row>
    <row r="19" spans="1:11" x14ac:dyDescent="0.25">
      <c r="A19" s="3">
        <v>15</v>
      </c>
      <c r="B19" s="3" t="s">
        <v>190</v>
      </c>
      <c r="C19" s="3">
        <v>2300</v>
      </c>
      <c r="D19" s="3">
        <f>NOVEMBER19!G19:G35</f>
        <v>0</v>
      </c>
      <c r="E19" s="3">
        <f t="shared" si="1"/>
        <v>2300</v>
      </c>
      <c r="F19" s="3">
        <v>2300</v>
      </c>
      <c r="G19" s="3">
        <f t="shared" si="0"/>
        <v>0</v>
      </c>
      <c r="H19" s="3"/>
      <c r="I19" t="s">
        <v>51</v>
      </c>
    </row>
    <row r="20" spans="1:11" x14ac:dyDescent="0.25">
      <c r="A20" s="3">
        <v>16</v>
      </c>
      <c r="B20" s="3" t="s">
        <v>127</v>
      </c>
      <c r="C20" s="3">
        <v>2300</v>
      </c>
      <c r="D20" s="3">
        <f>NOVEMBER19!G20:G36</f>
        <v>0</v>
      </c>
      <c r="E20" s="3">
        <f t="shared" si="1"/>
        <v>2300</v>
      </c>
      <c r="F20" s="3">
        <v>2300</v>
      </c>
      <c r="G20" s="3">
        <f t="shared" si="0"/>
        <v>0</v>
      </c>
      <c r="H20" s="3"/>
    </row>
    <row r="21" spans="1:11" x14ac:dyDescent="0.25">
      <c r="A21" s="3">
        <v>17</v>
      </c>
      <c r="B21" s="3" t="s">
        <v>73</v>
      </c>
      <c r="C21" s="3">
        <v>2300</v>
      </c>
      <c r="D21" s="3">
        <f>NOVEMBER19!G21:G37</f>
        <v>0</v>
      </c>
      <c r="E21" s="3">
        <f t="shared" si="1"/>
        <v>2300</v>
      </c>
      <c r="F21" s="62">
        <v>2300</v>
      </c>
      <c r="G21" s="58">
        <f t="shared" si="0"/>
        <v>0</v>
      </c>
      <c r="H21" s="58"/>
    </row>
    <row r="22" spans="1:11" x14ac:dyDescent="0.25">
      <c r="A22" s="2"/>
      <c r="B22" s="4" t="s">
        <v>24</v>
      </c>
      <c r="C22" s="2">
        <f>SUM(C5:C21)</f>
        <v>40900</v>
      </c>
      <c r="D22" s="3">
        <f>SUM(D5:D21)</f>
        <v>570</v>
      </c>
      <c r="E22" s="2">
        <f>SUM(E5:E21)</f>
        <v>41470</v>
      </c>
      <c r="F22" s="2">
        <f>SUM(F5:F21)</f>
        <v>38600</v>
      </c>
      <c r="G22" s="2">
        <f>SUM(G5:G21)</f>
        <v>2870</v>
      </c>
      <c r="H22" s="2"/>
      <c r="I22" s="1"/>
    </row>
    <row r="23" spans="1:11" x14ac:dyDescent="0.25">
      <c r="A23" s="3"/>
      <c r="B23" s="3"/>
      <c r="C23" s="3"/>
      <c r="D23" s="3"/>
      <c r="E23" s="3"/>
      <c r="F23" s="3"/>
      <c r="G23" s="3"/>
      <c r="H23" s="3"/>
    </row>
    <row r="24" spans="1:11" x14ac:dyDescent="0.25">
      <c r="A24" s="12"/>
    </row>
    <row r="25" spans="1:11" ht="18.75" x14ac:dyDescent="0.3">
      <c r="A25" s="12"/>
      <c r="B25" s="51" t="s">
        <v>27</v>
      </c>
      <c r="C25" s="52"/>
      <c r="D25" s="52"/>
      <c r="E25" s="52"/>
      <c r="F25" s="52"/>
      <c r="G25" s="52"/>
      <c r="H25" s="53"/>
      <c r="I25" s="53"/>
    </row>
    <row r="26" spans="1:11" ht="15.75" x14ac:dyDescent="0.25">
      <c r="A26" s="12"/>
      <c r="B26" s="54" t="s">
        <v>28</v>
      </c>
      <c r="C26" s="54" t="s">
        <v>29</v>
      </c>
      <c r="D26" s="54" t="s">
        <v>30</v>
      </c>
      <c r="E26" s="54" t="s">
        <v>62</v>
      </c>
      <c r="F26" s="54" t="s">
        <v>69</v>
      </c>
      <c r="G26" s="54" t="s">
        <v>29</v>
      </c>
      <c r="H26" s="54" t="s">
        <v>30</v>
      </c>
      <c r="I26" s="54" t="s">
        <v>62</v>
      </c>
    </row>
    <row r="27" spans="1:11" x14ac:dyDescent="0.25">
      <c r="A27" s="12"/>
      <c r="B27" s="55" t="s">
        <v>183</v>
      </c>
      <c r="C27" s="50">
        <f>C22</f>
        <v>40900</v>
      </c>
      <c r="D27" s="56">
        <v>0.1</v>
      </c>
      <c r="E27" s="50"/>
      <c r="F27" s="57" t="s">
        <v>183</v>
      </c>
      <c r="G27" s="50">
        <f>F22</f>
        <v>38600</v>
      </c>
      <c r="H27" s="56">
        <v>0.1</v>
      </c>
      <c r="I27" s="58"/>
    </row>
    <row r="28" spans="1:11" x14ac:dyDescent="0.25">
      <c r="A28" s="12"/>
      <c r="B28" s="58" t="s">
        <v>55</v>
      </c>
      <c r="C28" s="50">
        <f>NOVEMBER19!E37</f>
        <v>-2118</v>
      </c>
      <c r="D28" s="58"/>
      <c r="E28" s="58"/>
      <c r="F28" s="58" t="s">
        <v>55</v>
      </c>
      <c r="G28" s="50">
        <f>NOVEMBER19!I37</f>
        <v>-2688</v>
      </c>
      <c r="H28" s="58"/>
      <c r="I28" s="58"/>
    </row>
    <row r="29" spans="1:11" x14ac:dyDescent="0.25">
      <c r="A29" s="12"/>
      <c r="B29" s="58"/>
      <c r="C29" s="50"/>
      <c r="D29" s="58"/>
      <c r="E29" s="58"/>
      <c r="F29" s="58"/>
      <c r="G29" s="50"/>
      <c r="H29" s="58"/>
      <c r="I29" s="58"/>
      <c r="J29" s="43"/>
      <c r="K29" s="43"/>
    </row>
    <row r="30" spans="1:11" x14ac:dyDescent="0.25">
      <c r="A30" s="12"/>
      <c r="B30" s="58" t="s">
        <v>33</v>
      </c>
      <c r="C30" s="59"/>
      <c r="D30" s="58">
        <f>C27*D27</f>
        <v>4090</v>
      </c>
      <c r="E30" s="58"/>
      <c r="F30" s="58" t="s">
        <v>33</v>
      </c>
      <c r="G30" s="59"/>
      <c r="H30" s="58">
        <f>D30</f>
        <v>4090</v>
      </c>
      <c r="I30" s="58"/>
      <c r="J30" s="43"/>
      <c r="K30" s="43" t="s">
        <v>187</v>
      </c>
    </row>
    <row r="31" spans="1:11" x14ac:dyDescent="0.25">
      <c r="A31" s="12"/>
      <c r="B31" s="60" t="s">
        <v>34</v>
      </c>
      <c r="C31" s="58"/>
      <c r="D31" s="58"/>
      <c r="E31" s="58"/>
      <c r="F31" s="60" t="s">
        <v>34</v>
      </c>
      <c r="G31" s="58"/>
      <c r="H31" s="58"/>
      <c r="I31" s="58"/>
      <c r="J31" s="43"/>
      <c r="K31" s="43"/>
    </row>
    <row r="32" spans="1:11" x14ac:dyDescent="0.25">
      <c r="A32" s="12"/>
      <c r="B32" s="3" t="s">
        <v>161</v>
      </c>
      <c r="C32" s="3"/>
      <c r="D32" s="3">
        <v>10000</v>
      </c>
      <c r="E32" s="3"/>
      <c r="F32" s="3" t="s">
        <v>161</v>
      </c>
      <c r="G32" s="3"/>
      <c r="H32" s="3">
        <v>10000</v>
      </c>
      <c r="I32" s="58"/>
      <c r="K32" s="43"/>
    </row>
    <row r="33" spans="1:11" x14ac:dyDescent="0.25">
      <c r="A33" s="12"/>
      <c r="B33" s="62" t="s">
        <v>252</v>
      </c>
      <c r="C33" s="58"/>
      <c r="D33" s="58">
        <v>2300</v>
      </c>
      <c r="E33" s="58"/>
      <c r="F33" s="62" t="s">
        <v>252</v>
      </c>
      <c r="G33" s="58"/>
      <c r="H33" s="58">
        <v>2300</v>
      </c>
      <c r="I33" s="58"/>
      <c r="J33" s="43"/>
    </row>
    <row r="34" spans="1:11" x14ac:dyDescent="0.25">
      <c r="A34" s="12"/>
      <c r="B34" s="62" t="s">
        <v>188</v>
      </c>
      <c r="D34" s="58">
        <v>22392</v>
      </c>
      <c r="E34" s="58"/>
      <c r="F34" s="62" t="s">
        <v>188</v>
      </c>
      <c r="G34" s="58"/>
      <c r="H34" s="58">
        <v>22392</v>
      </c>
      <c r="I34" s="58"/>
    </row>
    <row r="35" spans="1:11" x14ac:dyDescent="0.25">
      <c r="A35" s="12"/>
      <c r="B35" s="62" t="s">
        <v>253</v>
      </c>
      <c r="C35" s="50"/>
      <c r="D35" s="50">
        <f>C6+C11</f>
        <v>4600</v>
      </c>
      <c r="E35" s="50"/>
      <c r="F35" s="62" t="s">
        <v>254</v>
      </c>
      <c r="G35" s="50"/>
      <c r="H35" s="50">
        <f>C6+C11</f>
        <v>4600</v>
      </c>
      <c r="I35" s="58"/>
    </row>
    <row r="36" spans="1:11" x14ac:dyDescent="0.25">
      <c r="A36" s="12"/>
      <c r="B36" s="62" t="s">
        <v>193</v>
      </c>
      <c r="C36" s="50"/>
      <c r="D36" s="50">
        <v>2000</v>
      </c>
      <c r="E36" s="50"/>
      <c r="F36" s="62" t="s">
        <v>193</v>
      </c>
      <c r="G36" s="50"/>
      <c r="H36" s="50">
        <v>2000</v>
      </c>
      <c r="I36" s="58"/>
      <c r="K36" s="43"/>
    </row>
    <row r="37" spans="1:11" x14ac:dyDescent="0.25">
      <c r="A37" s="12"/>
      <c r="B37" s="55" t="s">
        <v>24</v>
      </c>
      <c r="C37" s="63">
        <f>C27+C28+C29-D30</f>
        <v>34692</v>
      </c>
      <c r="D37" s="55">
        <f>SUM(D32:D36)</f>
        <v>41292</v>
      </c>
      <c r="E37" s="63">
        <f>C37-D37</f>
        <v>-6600</v>
      </c>
      <c r="F37" s="57"/>
      <c r="G37" s="63">
        <f>G27+G28-H30</f>
        <v>31822</v>
      </c>
      <c r="H37" s="63">
        <f>SUM(H32:H36)</f>
        <v>41292</v>
      </c>
      <c r="I37" s="63">
        <f>G37-H37</f>
        <v>-9470</v>
      </c>
      <c r="K37" s="43"/>
    </row>
    <row r="40" spans="1:11" x14ac:dyDescent="0.25">
      <c r="B40" s="12" t="s">
        <v>38</v>
      </c>
      <c r="D40" s="12" t="s">
        <v>36</v>
      </c>
      <c r="F40" s="12"/>
      <c r="G40" s="12" t="s">
        <v>37</v>
      </c>
    </row>
    <row r="41" spans="1:11" x14ac:dyDescent="0.25">
      <c r="D41" s="12"/>
      <c r="F41" s="12"/>
      <c r="G41" s="12"/>
    </row>
    <row r="42" spans="1:11" x14ac:dyDescent="0.25">
      <c r="B42" t="s">
        <v>163</v>
      </c>
      <c r="D42" t="s">
        <v>66</v>
      </c>
      <c r="G42" t="s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opLeftCell="A7" workbookViewId="0">
      <selection activeCell="J37" sqref="J37"/>
    </sheetView>
  </sheetViews>
  <sheetFormatPr defaultRowHeight="15" x14ac:dyDescent="0.25"/>
  <cols>
    <col min="2" max="2" width="20.7109375" bestFit="1" customWidth="1"/>
  </cols>
  <sheetData>
    <row r="1" spans="1:9" ht="18.75" x14ac:dyDescent="0.25">
      <c r="C1" s="38" t="s">
        <v>59</v>
      </c>
      <c r="D1" s="39"/>
      <c r="E1" s="36"/>
      <c r="F1" s="34"/>
    </row>
    <row r="2" spans="1:9" ht="18.75" x14ac:dyDescent="0.25">
      <c r="C2" s="38" t="s">
        <v>60</v>
      </c>
      <c r="D2" s="38"/>
      <c r="E2" s="11"/>
      <c r="F2" s="11"/>
    </row>
    <row r="3" spans="1:9" ht="18.75" x14ac:dyDescent="0.25">
      <c r="C3" s="38" t="s">
        <v>192</v>
      </c>
      <c r="D3" s="38"/>
      <c r="E3" s="11"/>
      <c r="F3" s="11"/>
    </row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201</v>
      </c>
      <c r="I4" s="1"/>
    </row>
    <row r="5" spans="1:9" x14ac:dyDescent="0.25">
      <c r="A5" s="3">
        <v>1</v>
      </c>
      <c r="B5" s="3" t="s">
        <v>91</v>
      </c>
      <c r="C5" s="3">
        <v>4000</v>
      </c>
      <c r="D5" s="3">
        <f>'DECEMBER 19'!G5:G21</f>
        <v>0</v>
      </c>
      <c r="E5" s="3">
        <f>C5+D5</f>
        <v>4000</v>
      </c>
      <c r="F5" s="3">
        <v>4000</v>
      </c>
      <c r="G5" s="3">
        <f>E5-F5</f>
        <v>0</v>
      </c>
      <c r="H5" s="3"/>
      <c r="I5" t="s">
        <v>51</v>
      </c>
    </row>
    <row r="6" spans="1:9" x14ac:dyDescent="0.25">
      <c r="A6" s="3">
        <v>2</v>
      </c>
      <c r="B6" t="s">
        <v>126</v>
      </c>
      <c r="C6" s="3">
        <v>2500</v>
      </c>
      <c r="D6" s="3">
        <f>'DECEMBER 19'!G6:G22</f>
        <v>0</v>
      </c>
      <c r="E6" s="3">
        <f>C6+D6</f>
        <v>2500</v>
      </c>
      <c r="F6" s="3">
        <v>2500</v>
      </c>
      <c r="G6" s="3">
        <f t="shared" ref="G6:G21" si="0">E6-F6</f>
        <v>0</v>
      </c>
      <c r="H6" s="3"/>
    </row>
    <row r="7" spans="1:9" x14ac:dyDescent="0.25">
      <c r="A7" s="3">
        <v>3</v>
      </c>
      <c r="B7" s="3" t="s">
        <v>195</v>
      </c>
      <c r="C7" s="3">
        <v>2500</v>
      </c>
      <c r="D7" s="3">
        <f>'DECEMBER 19'!G7:G23</f>
        <v>0</v>
      </c>
      <c r="E7" s="3">
        <f t="shared" ref="E7:E21" si="1">C7+D7</f>
        <v>2500</v>
      </c>
      <c r="F7" s="3">
        <v>2500</v>
      </c>
      <c r="G7" s="3">
        <f t="shared" si="0"/>
        <v>0</v>
      </c>
      <c r="H7" s="3"/>
    </row>
    <row r="8" spans="1:9" x14ac:dyDescent="0.25">
      <c r="A8" s="3">
        <v>4</v>
      </c>
      <c r="B8" s="3" t="s">
        <v>74</v>
      </c>
      <c r="C8" s="3">
        <v>2500</v>
      </c>
      <c r="D8" s="3">
        <f>'DECEMBER 19'!G8:G24</f>
        <v>300</v>
      </c>
      <c r="E8" s="3">
        <f t="shared" si="1"/>
        <v>2800</v>
      </c>
      <c r="F8" s="3">
        <v>2300</v>
      </c>
      <c r="G8" s="3">
        <f t="shared" si="0"/>
        <v>500</v>
      </c>
      <c r="H8" s="3"/>
    </row>
    <row r="9" spans="1:9" x14ac:dyDescent="0.25">
      <c r="A9" s="3">
        <v>5</v>
      </c>
      <c r="B9" s="3" t="s">
        <v>86</v>
      </c>
      <c r="C9" s="3">
        <v>2500</v>
      </c>
      <c r="D9" s="3">
        <f>'DECEMBER 19'!G9:G25</f>
        <v>250</v>
      </c>
      <c r="E9" s="3">
        <f>C9+D9</f>
        <v>2750</v>
      </c>
      <c r="F9" s="3">
        <v>2500</v>
      </c>
      <c r="G9" s="3">
        <f t="shared" si="0"/>
        <v>250</v>
      </c>
      <c r="H9" s="3"/>
    </row>
    <row r="10" spans="1:9" x14ac:dyDescent="0.25">
      <c r="A10" s="3">
        <v>6</v>
      </c>
      <c r="B10" s="64" t="s">
        <v>154</v>
      </c>
      <c r="C10" s="3">
        <v>2500</v>
      </c>
      <c r="D10" s="3">
        <f>'DECEMBER 19'!G10:G26</f>
        <v>0</v>
      </c>
      <c r="E10" s="3">
        <f>C10+D10</f>
        <v>2500</v>
      </c>
      <c r="F10" s="3">
        <v>2500</v>
      </c>
      <c r="G10" s="3">
        <f t="shared" si="0"/>
        <v>0</v>
      </c>
      <c r="H10" s="3"/>
    </row>
    <row r="11" spans="1:9" x14ac:dyDescent="0.25">
      <c r="A11" s="3">
        <v>7</v>
      </c>
      <c r="B11" s="3" t="s">
        <v>13</v>
      </c>
      <c r="C11" s="3">
        <v>2500</v>
      </c>
      <c r="D11" s="3">
        <f>'DECEMBER 19'!G11:G27</f>
        <v>0</v>
      </c>
      <c r="E11" s="3">
        <f t="shared" si="1"/>
        <v>2500</v>
      </c>
      <c r="F11" s="3">
        <v>2500</v>
      </c>
      <c r="G11" s="3">
        <f t="shared" si="0"/>
        <v>0</v>
      </c>
      <c r="H11" s="3"/>
    </row>
    <row r="12" spans="1:9" x14ac:dyDescent="0.25">
      <c r="A12" s="3">
        <v>8</v>
      </c>
      <c r="B12" s="3" t="s">
        <v>105</v>
      </c>
      <c r="C12" s="3">
        <v>2500</v>
      </c>
      <c r="D12" s="3">
        <f>'DECEMBER 19'!G12:G28</f>
        <v>0</v>
      </c>
      <c r="E12" s="3">
        <f t="shared" si="1"/>
        <v>2500</v>
      </c>
      <c r="F12" s="3">
        <v>2500</v>
      </c>
      <c r="G12" s="3">
        <f t="shared" si="0"/>
        <v>0</v>
      </c>
      <c r="H12" s="3"/>
      <c r="I12" t="s">
        <v>51</v>
      </c>
    </row>
    <row r="13" spans="1:9" x14ac:dyDescent="0.25">
      <c r="A13" s="3">
        <v>9</v>
      </c>
      <c r="B13" s="3" t="s">
        <v>96</v>
      </c>
      <c r="C13" s="3">
        <v>2500</v>
      </c>
      <c r="D13" s="3">
        <f>'DECEMBER 19'!G13:G29</f>
        <v>20</v>
      </c>
      <c r="E13" s="3">
        <f t="shared" si="1"/>
        <v>2520</v>
      </c>
      <c r="F13" s="3">
        <v>2000</v>
      </c>
      <c r="G13" s="3">
        <f t="shared" si="0"/>
        <v>520</v>
      </c>
      <c r="H13" s="3"/>
    </row>
    <row r="14" spans="1:9" x14ac:dyDescent="0.25">
      <c r="A14" s="3">
        <v>10</v>
      </c>
      <c r="B14" s="3" t="s">
        <v>57</v>
      </c>
      <c r="C14" s="3">
        <v>2000</v>
      </c>
      <c r="D14" s="3">
        <f>'DECEMBER 19'!G14:G30</f>
        <v>0</v>
      </c>
      <c r="E14" s="3">
        <f t="shared" si="1"/>
        <v>2000</v>
      </c>
      <c r="F14" s="3">
        <v>2000</v>
      </c>
      <c r="G14" s="3">
        <f t="shared" si="0"/>
        <v>0</v>
      </c>
      <c r="H14" s="3"/>
    </row>
    <row r="15" spans="1:9" x14ac:dyDescent="0.25">
      <c r="A15" s="3">
        <v>11</v>
      </c>
      <c r="B15" s="3" t="s">
        <v>57</v>
      </c>
      <c r="C15" s="3">
        <v>2500</v>
      </c>
      <c r="D15" s="3">
        <f>'DECEMBER 19'!G15:G31</f>
        <v>0</v>
      </c>
      <c r="E15" s="3">
        <f t="shared" si="1"/>
        <v>2500</v>
      </c>
      <c r="F15" s="3">
        <v>2500</v>
      </c>
      <c r="G15" s="3">
        <f t="shared" si="0"/>
        <v>0</v>
      </c>
      <c r="H15" s="3"/>
    </row>
    <row r="16" spans="1:9" x14ac:dyDescent="0.25">
      <c r="A16" s="3">
        <v>12</v>
      </c>
      <c r="B16" s="3" t="s">
        <v>165</v>
      </c>
      <c r="C16" s="3">
        <v>2500</v>
      </c>
      <c r="D16" s="3">
        <f>'DECEMBER 19'!G16:G32</f>
        <v>0</v>
      </c>
      <c r="E16" s="3">
        <f t="shared" si="1"/>
        <v>2500</v>
      </c>
      <c r="F16" s="3">
        <v>2500</v>
      </c>
      <c r="G16" s="3">
        <f t="shared" si="0"/>
        <v>0</v>
      </c>
      <c r="H16" s="3"/>
    </row>
    <row r="17" spans="1:11" x14ac:dyDescent="0.25">
      <c r="A17" s="3">
        <v>13</v>
      </c>
      <c r="B17" s="3" t="s">
        <v>19</v>
      </c>
      <c r="C17" s="3">
        <v>2500</v>
      </c>
      <c r="D17" s="3">
        <f>'DECEMBER 19'!G17:G33</f>
        <v>0</v>
      </c>
      <c r="E17" s="3">
        <f t="shared" si="1"/>
        <v>2500</v>
      </c>
      <c r="F17" s="3">
        <v>2500</v>
      </c>
      <c r="G17" s="3">
        <f t="shared" si="0"/>
        <v>0</v>
      </c>
      <c r="H17" s="3"/>
    </row>
    <row r="18" spans="1:11" x14ac:dyDescent="0.25">
      <c r="A18" s="3">
        <v>14</v>
      </c>
      <c r="B18" s="3" t="s">
        <v>160</v>
      </c>
      <c r="C18" s="3">
        <v>2500</v>
      </c>
      <c r="D18" s="3">
        <f>'DECEMBER 19'!G18:G34</f>
        <v>2300</v>
      </c>
      <c r="E18" s="3">
        <f t="shared" si="1"/>
        <v>4800</v>
      </c>
      <c r="F18" s="3">
        <f>2300+2500</f>
        <v>4800</v>
      </c>
      <c r="G18" s="3">
        <f t="shared" si="0"/>
        <v>0</v>
      </c>
      <c r="H18" s="3"/>
    </row>
    <row r="19" spans="1:11" x14ac:dyDescent="0.25">
      <c r="A19" s="3">
        <v>15</v>
      </c>
      <c r="B19" s="3" t="s">
        <v>190</v>
      </c>
      <c r="C19" s="3">
        <v>2500</v>
      </c>
      <c r="D19" s="3">
        <f>'DECEMBER 19'!G19:G35</f>
        <v>0</v>
      </c>
      <c r="E19" s="3">
        <f t="shared" si="1"/>
        <v>2500</v>
      </c>
      <c r="F19" s="3">
        <v>2500</v>
      </c>
      <c r="G19" s="3">
        <f t="shared" si="0"/>
        <v>0</v>
      </c>
      <c r="H19" s="3"/>
      <c r="I19" t="s">
        <v>197</v>
      </c>
    </row>
    <row r="20" spans="1:11" x14ac:dyDescent="0.25">
      <c r="A20" s="3">
        <v>16</v>
      </c>
      <c r="B20" s="3" t="s">
        <v>127</v>
      </c>
      <c r="C20" s="3">
        <v>2500</v>
      </c>
      <c r="D20" s="3">
        <f>'DECEMBER 19'!G20:G36</f>
        <v>0</v>
      </c>
      <c r="E20" s="3">
        <f t="shared" si="1"/>
        <v>2500</v>
      </c>
      <c r="F20" s="3">
        <v>1300</v>
      </c>
      <c r="G20" s="3">
        <f t="shared" si="0"/>
        <v>1200</v>
      </c>
      <c r="H20" s="3"/>
      <c r="I20" t="s">
        <v>202</v>
      </c>
    </row>
    <row r="21" spans="1:11" x14ac:dyDescent="0.25">
      <c r="A21" s="3">
        <v>17</v>
      </c>
      <c r="B21" s="3" t="s">
        <v>73</v>
      </c>
      <c r="C21" s="3">
        <v>2500</v>
      </c>
      <c r="D21" s="3">
        <f>'DECEMBER 19'!G21:G37</f>
        <v>0</v>
      </c>
      <c r="E21" s="3">
        <f t="shared" si="1"/>
        <v>2500</v>
      </c>
      <c r="F21" s="62">
        <v>2300</v>
      </c>
      <c r="G21" s="58">
        <f t="shared" si="0"/>
        <v>200</v>
      </c>
      <c r="H21" s="58"/>
    </row>
    <row r="22" spans="1:11" x14ac:dyDescent="0.25">
      <c r="A22" s="2"/>
      <c r="B22" s="4" t="s">
        <v>24</v>
      </c>
      <c r="C22" s="2">
        <f t="shared" ref="C22:H22" si="2">SUM(C5:C21)</f>
        <v>43500</v>
      </c>
      <c r="D22" s="3">
        <f t="shared" si="2"/>
        <v>2870</v>
      </c>
      <c r="E22" s="2">
        <f t="shared" si="2"/>
        <v>46370</v>
      </c>
      <c r="F22" s="2">
        <f t="shared" si="2"/>
        <v>43700</v>
      </c>
      <c r="G22" s="2">
        <f t="shared" si="2"/>
        <v>2670</v>
      </c>
      <c r="H22" s="2">
        <f t="shared" si="2"/>
        <v>0</v>
      </c>
      <c r="I22" s="1"/>
    </row>
    <row r="23" spans="1:11" x14ac:dyDescent="0.25">
      <c r="A23" s="3"/>
      <c r="B23" s="3"/>
      <c r="C23" s="3"/>
      <c r="D23" s="3"/>
      <c r="E23" s="3"/>
      <c r="F23" s="3"/>
      <c r="G23" s="3"/>
      <c r="H23" s="3"/>
    </row>
    <row r="24" spans="1:11" x14ac:dyDescent="0.25">
      <c r="A24" s="12"/>
    </row>
    <row r="25" spans="1:11" ht="18.75" x14ac:dyDescent="0.3">
      <c r="A25" s="12"/>
      <c r="B25" s="51" t="s">
        <v>27</v>
      </c>
      <c r="C25" s="52"/>
      <c r="D25" s="52"/>
      <c r="E25" s="52"/>
      <c r="F25" s="52"/>
      <c r="G25" s="52"/>
      <c r="H25" s="53"/>
      <c r="I25" s="53"/>
    </row>
    <row r="26" spans="1:11" ht="15.75" x14ac:dyDescent="0.25">
      <c r="A26" s="12"/>
      <c r="B26" s="54" t="s">
        <v>28</v>
      </c>
      <c r="C26" s="54" t="s">
        <v>29</v>
      </c>
      <c r="D26" s="54" t="s">
        <v>30</v>
      </c>
      <c r="E26" s="54" t="s">
        <v>62</v>
      </c>
      <c r="F26" s="54" t="s">
        <v>69</v>
      </c>
      <c r="G26" s="54" t="s">
        <v>29</v>
      </c>
      <c r="H26" s="54" t="s">
        <v>30</v>
      </c>
      <c r="I26" s="54" t="s">
        <v>62</v>
      </c>
    </row>
    <row r="27" spans="1:11" x14ac:dyDescent="0.25">
      <c r="A27" s="12"/>
      <c r="B27" s="55" t="s">
        <v>191</v>
      </c>
      <c r="C27" s="50">
        <f>C22</f>
        <v>43500</v>
      </c>
      <c r="D27" s="56">
        <v>0.1</v>
      </c>
      <c r="E27" s="50"/>
      <c r="F27" s="57" t="s">
        <v>191</v>
      </c>
      <c r="G27" s="50">
        <f>F22</f>
        <v>43700</v>
      </c>
      <c r="H27" s="56">
        <v>0.1</v>
      </c>
      <c r="I27" s="58"/>
    </row>
    <row r="28" spans="1:11" x14ac:dyDescent="0.25">
      <c r="A28" s="12"/>
      <c r="B28" s="58" t="s">
        <v>55</v>
      </c>
      <c r="C28" s="50">
        <f>'DECEMBER 19'!E37</f>
        <v>-6600</v>
      </c>
      <c r="D28" s="58"/>
      <c r="E28" s="58"/>
      <c r="F28" s="58" t="s">
        <v>55</v>
      </c>
      <c r="G28" s="50">
        <f>'DECEMBER 19'!I37</f>
        <v>-9470</v>
      </c>
      <c r="H28" s="58"/>
      <c r="I28" s="58"/>
    </row>
    <row r="29" spans="1:11" x14ac:dyDescent="0.25">
      <c r="A29" s="12"/>
      <c r="B29" s="58"/>
      <c r="C29" s="50"/>
      <c r="D29" s="58"/>
      <c r="E29" s="58"/>
      <c r="F29" s="58"/>
      <c r="G29" s="50"/>
      <c r="H29" s="58"/>
      <c r="I29" s="58"/>
      <c r="J29" s="43"/>
      <c r="K29" s="43"/>
    </row>
    <row r="30" spans="1:11" x14ac:dyDescent="0.25">
      <c r="A30" s="12"/>
      <c r="B30" s="58" t="s">
        <v>33</v>
      </c>
      <c r="C30" s="59"/>
      <c r="D30" s="58">
        <f>C27*D27</f>
        <v>4350</v>
      </c>
      <c r="E30" s="58"/>
      <c r="F30" s="58" t="s">
        <v>33</v>
      </c>
      <c r="G30" s="59"/>
      <c r="H30" s="58">
        <f>D30</f>
        <v>4350</v>
      </c>
      <c r="I30" s="58"/>
      <c r="J30" s="43"/>
      <c r="K30" s="43"/>
    </row>
    <row r="31" spans="1:11" x14ac:dyDescent="0.25">
      <c r="A31" s="12"/>
      <c r="B31" s="60" t="s">
        <v>34</v>
      </c>
      <c r="C31" s="58"/>
      <c r="D31" s="58"/>
      <c r="E31" s="58"/>
      <c r="F31" s="60" t="s">
        <v>34</v>
      </c>
      <c r="G31" s="58"/>
      <c r="H31" s="58"/>
      <c r="I31" s="58"/>
      <c r="J31" s="43"/>
      <c r="K31" s="43"/>
    </row>
    <row r="32" spans="1:11" x14ac:dyDescent="0.25">
      <c r="A32" s="12"/>
      <c r="B32" s="3" t="s">
        <v>161</v>
      </c>
      <c r="C32" s="3"/>
      <c r="D32" s="3">
        <v>10000</v>
      </c>
      <c r="E32" s="3"/>
      <c r="F32" s="3" t="s">
        <v>161</v>
      </c>
      <c r="G32" s="3"/>
      <c r="H32" s="3">
        <v>10000</v>
      </c>
      <c r="I32" s="58"/>
      <c r="K32" s="43"/>
    </row>
    <row r="33" spans="1:11" x14ac:dyDescent="0.25">
      <c r="A33" s="12"/>
      <c r="B33" s="62">
        <v>43835</v>
      </c>
      <c r="C33" s="58"/>
      <c r="D33" s="58">
        <v>5061</v>
      </c>
      <c r="E33" s="58"/>
      <c r="F33" s="62">
        <v>43835</v>
      </c>
      <c r="G33" s="58"/>
      <c r="H33" s="58">
        <v>5061</v>
      </c>
      <c r="I33" s="58"/>
      <c r="J33" s="43"/>
    </row>
    <row r="34" spans="1:11" x14ac:dyDescent="0.25">
      <c r="A34" s="12"/>
      <c r="B34" s="62" t="s">
        <v>194</v>
      </c>
      <c r="D34" s="58">
        <v>1600</v>
      </c>
      <c r="E34" s="58"/>
      <c r="F34" s="62" t="s">
        <v>194</v>
      </c>
      <c r="H34" s="58">
        <v>1600</v>
      </c>
      <c r="I34" s="58"/>
    </row>
    <row r="35" spans="1:11" x14ac:dyDescent="0.25">
      <c r="A35" s="12"/>
      <c r="B35" s="62" t="s">
        <v>196</v>
      </c>
      <c r="C35" s="50"/>
      <c r="D35" s="50">
        <v>15880</v>
      </c>
      <c r="E35" s="50"/>
      <c r="F35" s="62" t="s">
        <v>196</v>
      </c>
      <c r="G35" s="50"/>
      <c r="H35" s="50">
        <v>15880</v>
      </c>
      <c r="I35" s="58"/>
    </row>
    <row r="36" spans="1:11" x14ac:dyDescent="0.25">
      <c r="A36" s="12"/>
      <c r="B36" s="62" t="s">
        <v>200</v>
      </c>
      <c r="C36" s="50"/>
      <c r="D36" s="50">
        <f>C5+C12+C19+F20</f>
        <v>10300</v>
      </c>
      <c r="E36" s="50"/>
      <c r="F36" s="62" t="s">
        <v>200</v>
      </c>
      <c r="G36" s="50"/>
      <c r="H36" s="50">
        <f>D36</f>
        <v>10300</v>
      </c>
      <c r="I36" s="58"/>
      <c r="J36" s="43">
        <f>G22+I37</f>
        <v>-10291</v>
      </c>
      <c r="K36" s="43"/>
    </row>
    <row r="37" spans="1:11" x14ac:dyDescent="0.25">
      <c r="A37" s="12"/>
      <c r="B37" s="55" t="s">
        <v>24</v>
      </c>
      <c r="C37" s="63">
        <f>C27+C28+C29-D30</f>
        <v>32550</v>
      </c>
      <c r="D37" s="55">
        <f>SUM(D32:D36)</f>
        <v>42841</v>
      </c>
      <c r="E37" s="63">
        <f>C37-D37</f>
        <v>-10291</v>
      </c>
      <c r="F37" s="57"/>
      <c r="G37" s="63">
        <f>G27+G28-H30</f>
        <v>29880</v>
      </c>
      <c r="H37" s="63">
        <f>SUM(H32:H36)</f>
        <v>42841</v>
      </c>
      <c r="I37" s="63">
        <f>G37-H37</f>
        <v>-12961</v>
      </c>
    </row>
    <row r="40" spans="1:11" x14ac:dyDescent="0.25">
      <c r="B40" s="12" t="s">
        <v>38</v>
      </c>
      <c r="D40" s="12" t="s">
        <v>36</v>
      </c>
      <c r="F40" s="12"/>
      <c r="G40" s="12" t="s">
        <v>37</v>
      </c>
    </row>
    <row r="41" spans="1:11" x14ac:dyDescent="0.25">
      <c r="D41" s="12"/>
      <c r="F41" s="12"/>
      <c r="G41" s="12"/>
    </row>
    <row r="42" spans="1:11" x14ac:dyDescent="0.25">
      <c r="B42" t="s">
        <v>163</v>
      </c>
      <c r="D42" t="s">
        <v>66</v>
      </c>
      <c r="G42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opLeftCell="A10" workbookViewId="0">
      <selection activeCell="E10" sqref="E10"/>
    </sheetView>
  </sheetViews>
  <sheetFormatPr defaultRowHeight="15" x14ac:dyDescent="0.25"/>
  <cols>
    <col min="1" max="1" width="5.42578125" customWidth="1"/>
    <col min="2" max="2" width="21.7109375" customWidth="1"/>
    <col min="5" max="5" width="12.42578125" customWidth="1"/>
    <col min="9" max="9" width="10.85546875" customWidth="1"/>
  </cols>
  <sheetData>
    <row r="1" spans="1:17" ht="33.75" x14ac:dyDescent="0.25">
      <c r="B1" s="6"/>
      <c r="C1" s="7"/>
      <c r="D1" s="8" t="s">
        <v>25</v>
      </c>
      <c r="E1" s="7"/>
    </row>
    <row r="2" spans="1:17" ht="18.75" x14ac:dyDescent="0.25">
      <c r="A2" s="9" t="s">
        <v>26</v>
      </c>
      <c r="B2" s="10"/>
      <c r="C2" s="10"/>
      <c r="D2" s="11"/>
      <c r="E2" s="11"/>
      <c r="F2" s="11"/>
      <c r="G2" s="11"/>
    </row>
    <row r="3" spans="1:17" s="1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/>
    </row>
    <row r="4" spans="1:17" x14ac:dyDescent="0.25">
      <c r="A4" s="3">
        <v>1</v>
      </c>
      <c r="B4" s="3" t="s">
        <v>7</v>
      </c>
      <c r="C4" s="3">
        <v>4000</v>
      </c>
      <c r="D4" s="3">
        <v>4000</v>
      </c>
      <c r="E4" s="3">
        <f>C4+D4</f>
        <v>8000</v>
      </c>
      <c r="F4" s="3"/>
      <c r="G4" s="3">
        <f>E4-F4</f>
        <v>8000</v>
      </c>
      <c r="H4" s="3"/>
    </row>
    <row r="5" spans="1:17" x14ac:dyDescent="0.25">
      <c r="A5" s="3">
        <v>2</v>
      </c>
      <c r="B5" s="3" t="s">
        <v>8</v>
      </c>
      <c r="C5" s="3">
        <v>2000</v>
      </c>
      <c r="D5" s="3">
        <v>2000</v>
      </c>
      <c r="E5" s="3">
        <f t="shared" ref="E5:E20" si="0">C5+D5</f>
        <v>4000</v>
      </c>
      <c r="F5" s="3"/>
      <c r="G5" s="3">
        <f t="shared" ref="G5:G20" si="1">E5-F5</f>
        <v>4000</v>
      </c>
      <c r="H5" s="3"/>
    </row>
    <row r="6" spans="1:17" x14ac:dyDescent="0.25">
      <c r="A6" s="3">
        <v>3</v>
      </c>
      <c r="B6" s="3" t="s">
        <v>9</v>
      </c>
      <c r="C6" s="3">
        <v>2000</v>
      </c>
      <c r="D6" s="3">
        <v>4000</v>
      </c>
      <c r="E6" s="3">
        <f t="shared" si="0"/>
        <v>6000</v>
      </c>
      <c r="F6" s="3">
        <v>2000</v>
      </c>
      <c r="G6" s="3">
        <f t="shared" si="1"/>
        <v>4000</v>
      </c>
      <c r="H6" s="3"/>
    </row>
    <row r="7" spans="1:17" x14ac:dyDescent="0.25">
      <c r="A7" s="3">
        <v>4</v>
      </c>
      <c r="B7" s="3" t="s">
        <v>10</v>
      </c>
      <c r="C7" s="3">
        <v>2000</v>
      </c>
      <c r="D7" s="3">
        <v>2000</v>
      </c>
      <c r="E7" s="3">
        <f t="shared" si="0"/>
        <v>4000</v>
      </c>
      <c r="F7" s="3">
        <v>2000</v>
      </c>
      <c r="G7" s="3">
        <f t="shared" si="1"/>
        <v>2000</v>
      </c>
      <c r="H7" s="3"/>
    </row>
    <row r="8" spans="1:17" x14ac:dyDescent="0.25">
      <c r="A8" s="3">
        <v>5</v>
      </c>
      <c r="B8" s="3" t="s">
        <v>11</v>
      </c>
      <c r="C8" s="3">
        <v>2200</v>
      </c>
      <c r="D8" s="3">
        <v>1600</v>
      </c>
      <c r="E8" s="3">
        <f t="shared" si="0"/>
        <v>3800</v>
      </c>
      <c r="F8" s="3">
        <v>2000</v>
      </c>
      <c r="G8" s="3">
        <f t="shared" si="1"/>
        <v>1800</v>
      </c>
      <c r="H8" s="3"/>
    </row>
    <row r="9" spans="1:17" x14ac:dyDescent="0.25">
      <c r="A9" s="3">
        <v>6</v>
      </c>
      <c r="B9" s="3" t="s">
        <v>12</v>
      </c>
      <c r="C9" s="3">
        <v>2500</v>
      </c>
      <c r="D9" s="3">
        <v>500</v>
      </c>
      <c r="E9" s="3">
        <f t="shared" si="0"/>
        <v>3000</v>
      </c>
      <c r="F9" s="3"/>
      <c r="G9" s="3">
        <f t="shared" si="1"/>
        <v>3000</v>
      </c>
      <c r="H9" s="3"/>
    </row>
    <row r="10" spans="1:17" x14ac:dyDescent="0.25">
      <c r="A10" s="3">
        <v>7</v>
      </c>
      <c r="B10" s="3" t="s">
        <v>13</v>
      </c>
      <c r="C10" s="3">
        <v>2000</v>
      </c>
      <c r="D10" s="3">
        <v>4000</v>
      </c>
      <c r="E10" s="3">
        <f t="shared" si="0"/>
        <v>6000</v>
      </c>
      <c r="F10" s="3">
        <v>2000</v>
      </c>
      <c r="G10" s="3">
        <f t="shared" si="1"/>
        <v>4000</v>
      </c>
      <c r="H10" s="3"/>
      <c r="K10" s="12"/>
      <c r="L10" s="12"/>
      <c r="M10" s="12"/>
      <c r="N10" s="12"/>
      <c r="O10" s="12"/>
      <c r="P10" s="12"/>
      <c r="Q10" s="12"/>
    </row>
    <row r="11" spans="1:17" x14ac:dyDescent="0.25">
      <c r="A11" s="3">
        <v>8</v>
      </c>
      <c r="B11" s="3" t="s">
        <v>14</v>
      </c>
      <c r="C11" s="3">
        <v>2000</v>
      </c>
      <c r="D11" s="3">
        <v>0</v>
      </c>
      <c r="E11" s="3">
        <f t="shared" si="0"/>
        <v>2000</v>
      </c>
      <c r="F11" s="3">
        <v>2000</v>
      </c>
      <c r="G11" s="3">
        <f t="shared" si="1"/>
        <v>0</v>
      </c>
      <c r="H11" s="3"/>
      <c r="K11" s="12"/>
      <c r="L11" s="12"/>
      <c r="M11" s="12"/>
      <c r="N11" s="12"/>
      <c r="O11" s="12"/>
      <c r="P11" s="12"/>
      <c r="Q11" s="12"/>
    </row>
    <row r="12" spans="1:17" x14ac:dyDescent="0.25">
      <c r="A12" s="3">
        <v>9</v>
      </c>
      <c r="B12" s="3" t="s">
        <v>15</v>
      </c>
      <c r="C12" s="3">
        <v>2000</v>
      </c>
      <c r="D12" s="3">
        <v>2000</v>
      </c>
      <c r="E12" s="3">
        <f t="shared" si="0"/>
        <v>4000</v>
      </c>
      <c r="F12" s="3">
        <v>2000</v>
      </c>
      <c r="G12" s="3">
        <f t="shared" si="1"/>
        <v>2000</v>
      </c>
      <c r="H12" s="3"/>
      <c r="K12" s="12"/>
      <c r="L12" s="12"/>
      <c r="M12" s="12"/>
      <c r="N12" s="12"/>
      <c r="O12" s="12"/>
      <c r="P12" s="12"/>
      <c r="Q12" s="13"/>
    </row>
    <row r="13" spans="1:17" x14ac:dyDescent="0.25">
      <c r="A13" s="3">
        <v>10</v>
      </c>
      <c r="B13" s="3" t="s">
        <v>16</v>
      </c>
      <c r="C13" s="3">
        <v>2000</v>
      </c>
      <c r="D13" s="3">
        <v>2000</v>
      </c>
      <c r="E13" s="3">
        <f t="shared" si="0"/>
        <v>4000</v>
      </c>
      <c r="F13" s="3">
        <v>2000</v>
      </c>
      <c r="G13" s="3">
        <f t="shared" si="1"/>
        <v>2000</v>
      </c>
      <c r="H13" s="3"/>
      <c r="K13" s="12"/>
      <c r="L13" s="12"/>
      <c r="M13" s="12"/>
      <c r="N13" s="12"/>
      <c r="O13" s="12"/>
      <c r="P13" s="12"/>
      <c r="Q13" s="12"/>
    </row>
    <row r="14" spans="1:17" x14ac:dyDescent="0.25">
      <c r="A14" s="3">
        <v>11</v>
      </c>
      <c r="B14" s="3" t="s">
        <v>17</v>
      </c>
      <c r="C14" s="3">
        <v>2300</v>
      </c>
      <c r="D14" s="3">
        <v>-200</v>
      </c>
      <c r="E14" s="3">
        <f t="shared" si="0"/>
        <v>2100</v>
      </c>
      <c r="F14" s="3">
        <v>2400</v>
      </c>
      <c r="G14" s="3">
        <f t="shared" si="1"/>
        <v>-300</v>
      </c>
      <c r="H14" s="3"/>
      <c r="K14" s="14"/>
      <c r="L14" s="12"/>
      <c r="M14" s="12"/>
      <c r="N14" s="12"/>
      <c r="O14" s="12"/>
      <c r="P14" s="12"/>
      <c r="Q14" s="12"/>
    </row>
    <row r="15" spans="1:17" x14ac:dyDescent="0.25">
      <c r="A15" s="3">
        <v>12</v>
      </c>
      <c r="B15" s="3" t="s">
        <v>18</v>
      </c>
      <c r="C15" s="3">
        <v>2000</v>
      </c>
      <c r="D15" s="3">
        <v>0</v>
      </c>
      <c r="E15" s="3">
        <f t="shared" si="0"/>
        <v>2000</v>
      </c>
      <c r="F15" s="3">
        <v>1800</v>
      </c>
      <c r="G15" s="3">
        <f t="shared" si="1"/>
        <v>200</v>
      </c>
      <c r="H15" s="3"/>
      <c r="K15" s="12"/>
      <c r="L15" s="12"/>
      <c r="M15" s="12"/>
      <c r="N15" s="12"/>
      <c r="O15" s="12"/>
      <c r="P15" s="12"/>
      <c r="Q15" s="12"/>
    </row>
    <row r="16" spans="1:17" x14ac:dyDescent="0.25">
      <c r="A16" s="3">
        <v>13</v>
      </c>
      <c r="B16" s="3" t="s">
        <v>19</v>
      </c>
      <c r="C16" s="3">
        <v>2000</v>
      </c>
      <c r="D16" s="3">
        <v>0</v>
      </c>
      <c r="E16" s="3">
        <f t="shared" si="0"/>
        <v>2000</v>
      </c>
      <c r="F16" s="3">
        <v>2000</v>
      </c>
      <c r="G16" s="3">
        <f t="shared" si="1"/>
        <v>0</v>
      </c>
      <c r="H16" s="3"/>
      <c r="K16" s="12"/>
      <c r="L16" s="12"/>
      <c r="M16" s="12"/>
      <c r="N16" s="12"/>
      <c r="O16" s="12"/>
      <c r="P16" s="12"/>
      <c r="Q16" s="12"/>
    </row>
    <row r="17" spans="1:17" x14ac:dyDescent="0.25">
      <c r="A17" s="3">
        <v>14</v>
      </c>
      <c r="B17" s="3" t="s">
        <v>20</v>
      </c>
      <c r="C17" s="3">
        <v>2000</v>
      </c>
      <c r="D17" s="3">
        <v>0</v>
      </c>
      <c r="E17" s="3">
        <f t="shared" si="0"/>
        <v>2000</v>
      </c>
      <c r="F17" s="3">
        <v>2000</v>
      </c>
      <c r="G17" s="3">
        <f t="shared" si="1"/>
        <v>0</v>
      </c>
      <c r="H17" s="3"/>
      <c r="K17" s="12"/>
      <c r="L17" s="12"/>
      <c r="M17" s="12"/>
      <c r="N17" s="12"/>
      <c r="O17" s="12"/>
      <c r="P17" s="12"/>
      <c r="Q17" s="12"/>
    </row>
    <row r="18" spans="1:17" x14ac:dyDescent="0.25">
      <c r="A18" s="3">
        <v>15</v>
      </c>
      <c r="B18" s="3" t="s">
        <v>21</v>
      </c>
      <c r="C18" s="3">
        <v>0</v>
      </c>
      <c r="D18" s="3">
        <v>0</v>
      </c>
      <c r="E18" s="3">
        <f t="shared" si="0"/>
        <v>0</v>
      </c>
      <c r="F18" s="3"/>
      <c r="G18" s="3">
        <f t="shared" si="1"/>
        <v>0</v>
      </c>
      <c r="H18" s="3"/>
      <c r="K18" s="12"/>
      <c r="L18" s="12"/>
      <c r="M18" s="12"/>
      <c r="N18" s="12"/>
      <c r="O18" s="12"/>
      <c r="P18" s="12"/>
      <c r="Q18" s="12"/>
    </row>
    <row r="19" spans="1:17" x14ac:dyDescent="0.25">
      <c r="A19" s="3">
        <v>16</v>
      </c>
      <c r="B19" s="3" t="s">
        <v>22</v>
      </c>
      <c r="C19" s="3">
        <v>2000</v>
      </c>
      <c r="D19" s="3">
        <v>0</v>
      </c>
      <c r="E19" s="3">
        <f t="shared" si="0"/>
        <v>2000</v>
      </c>
      <c r="F19" s="3">
        <v>2000</v>
      </c>
      <c r="G19" s="3">
        <f t="shared" si="1"/>
        <v>0</v>
      </c>
      <c r="H19" s="3"/>
      <c r="K19" s="12"/>
      <c r="L19" s="12"/>
      <c r="M19" s="12"/>
      <c r="N19" s="12"/>
      <c r="O19" s="12"/>
      <c r="P19" s="12"/>
      <c r="Q19" s="12"/>
    </row>
    <row r="20" spans="1:17" x14ac:dyDescent="0.25">
      <c r="A20" s="3">
        <v>17</v>
      </c>
      <c r="B20" s="3" t="s">
        <v>23</v>
      </c>
      <c r="C20" s="3">
        <v>2000</v>
      </c>
      <c r="D20" s="3">
        <v>0</v>
      </c>
      <c r="E20" s="3">
        <f t="shared" si="0"/>
        <v>2000</v>
      </c>
      <c r="F20" s="3"/>
      <c r="G20" s="3">
        <f t="shared" si="1"/>
        <v>2000</v>
      </c>
      <c r="H20" s="3"/>
    </row>
    <row r="21" spans="1:17" s="1" customFormat="1" x14ac:dyDescent="0.25">
      <c r="A21" s="2"/>
      <c r="B21" s="4" t="s">
        <v>24</v>
      </c>
      <c r="C21" s="2">
        <f>SUM(C4:C20)</f>
        <v>35000</v>
      </c>
      <c r="D21" s="2">
        <f>SUM(D4:D20)</f>
        <v>21900</v>
      </c>
      <c r="E21" s="2">
        <f>SUM(E4:E20)</f>
        <v>56900</v>
      </c>
      <c r="F21" s="2">
        <f>SUM(F4:F20)</f>
        <v>24200</v>
      </c>
      <c r="G21" s="2">
        <f>E21-F21</f>
        <v>32700</v>
      </c>
      <c r="H21" s="2"/>
    </row>
    <row r="22" spans="1:17" x14ac:dyDescent="0.25">
      <c r="A22" s="3"/>
      <c r="B22" s="3"/>
      <c r="C22" s="3"/>
      <c r="D22" s="3"/>
      <c r="E22" s="3"/>
      <c r="F22" s="3"/>
      <c r="G22" s="3"/>
      <c r="H22" s="3"/>
    </row>
    <row r="23" spans="1:17" x14ac:dyDescent="0.25">
      <c r="A23" s="12"/>
    </row>
    <row r="24" spans="1:17" ht="23.25" x14ac:dyDescent="0.35">
      <c r="A24" s="12"/>
      <c r="B24" s="15" t="s">
        <v>27</v>
      </c>
      <c r="C24" s="3"/>
      <c r="D24" s="3"/>
      <c r="E24" s="3"/>
    </row>
    <row r="25" spans="1:17" ht="23.25" x14ac:dyDescent="0.35">
      <c r="A25" s="12"/>
      <c r="B25" s="16" t="s">
        <v>28</v>
      </c>
      <c r="C25" s="16" t="s">
        <v>29</v>
      </c>
      <c r="D25" s="16" t="s">
        <v>30</v>
      </c>
      <c r="E25" s="16" t="s">
        <v>31</v>
      </c>
      <c r="G25" s="16" t="s">
        <v>29</v>
      </c>
      <c r="H25" s="16" t="s">
        <v>30</v>
      </c>
      <c r="I25" s="16" t="s">
        <v>31</v>
      </c>
    </row>
    <row r="26" spans="1:17" x14ac:dyDescent="0.25">
      <c r="A26" s="12"/>
      <c r="B26" s="3" t="s">
        <v>46</v>
      </c>
      <c r="C26" s="17">
        <f>C21</f>
        <v>35000</v>
      </c>
      <c r="D26" s="5">
        <v>0.1</v>
      </c>
      <c r="E26" s="17">
        <f>C26-C27</f>
        <v>35000</v>
      </c>
      <c r="G26" s="17">
        <f>F21</f>
        <v>24200</v>
      </c>
      <c r="H26" s="5">
        <v>0.1</v>
      </c>
      <c r="I26" s="3"/>
    </row>
    <row r="27" spans="1:17" x14ac:dyDescent="0.25">
      <c r="A27" s="12"/>
      <c r="B27" s="3" t="s">
        <v>32</v>
      </c>
      <c r="C27" s="18"/>
      <c r="D27" s="3"/>
      <c r="E27" s="3"/>
      <c r="G27" s="18"/>
      <c r="H27" s="3"/>
      <c r="I27" s="3"/>
    </row>
    <row r="28" spans="1:17" x14ac:dyDescent="0.25">
      <c r="A28" s="12"/>
      <c r="B28" s="3" t="s">
        <v>33</v>
      </c>
      <c r="C28" s="19"/>
      <c r="D28" s="20">
        <f>C26*D26</f>
        <v>3500</v>
      </c>
      <c r="E28" s="3"/>
      <c r="G28" s="19"/>
      <c r="H28" s="20">
        <f>G26*H26</f>
        <v>2420</v>
      </c>
      <c r="I28" s="3"/>
    </row>
    <row r="29" spans="1:17" x14ac:dyDescent="0.25">
      <c r="A29" s="12"/>
      <c r="B29" s="21"/>
      <c r="C29" s="17">
        <f>C26</f>
        <v>35000</v>
      </c>
      <c r="D29" s="3"/>
      <c r="E29" s="3"/>
      <c r="G29" s="17">
        <f>SUM(G26:G28)</f>
        <v>24200</v>
      </c>
      <c r="H29" s="3"/>
      <c r="I29" s="3"/>
    </row>
    <row r="30" spans="1:17" x14ac:dyDescent="0.25">
      <c r="A30" s="12"/>
      <c r="B30" s="21" t="s">
        <v>34</v>
      </c>
      <c r="C30" s="3"/>
      <c r="E30" s="3"/>
      <c r="G30" s="3"/>
      <c r="I30" s="3"/>
    </row>
    <row r="31" spans="1:17" x14ac:dyDescent="0.25">
      <c r="A31" s="12"/>
      <c r="B31" s="22" t="s">
        <v>35</v>
      </c>
      <c r="C31" s="3"/>
      <c r="D31" s="23">
        <v>29100</v>
      </c>
      <c r="E31" s="20"/>
      <c r="G31" t="s">
        <v>5</v>
      </c>
      <c r="H31" s="3">
        <v>29100</v>
      </c>
      <c r="I31" s="20"/>
    </row>
    <row r="32" spans="1:17" x14ac:dyDescent="0.25">
      <c r="A32" s="12"/>
      <c r="B32" s="24"/>
      <c r="C32" s="3"/>
      <c r="D32" s="23"/>
      <c r="E32" s="3"/>
      <c r="G32" s="3"/>
      <c r="H32" s="23"/>
      <c r="I32" s="3"/>
    </row>
    <row r="33" spans="1:10" x14ac:dyDescent="0.25">
      <c r="A33" s="12"/>
      <c r="B33" s="3"/>
      <c r="C33" s="3"/>
      <c r="E33" s="3"/>
      <c r="G33" s="3"/>
      <c r="I33" s="3"/>
    </row>
    <row r="34" spans="1:10" x14ac:dyDescent="0.25">
      <c r="A34" s="12"/>
      <c r="B34" s="3"/>
      <c r="C34" s="25">
        <f>C29-C31</f>
        <v>35000</v>
      </c>
      <c r="D34" s="26">
        <f>SUM(D28:D33)</f>
        <v>32600</v>
      </c>
      <c r="E34" s="25">
        <f>C34-D34</f>
        <v>2400</v>
      </c>
      <c r="F34" s="12"/>
      <c r="G34" s="25">
        <f>G29</f>
        <v>24200</v>
      </c>
      <c r="H34" s="26">
        <f>SUM(H28:H33)</f>
        <v>31520</v>
      </c>
      <c r="I34" s="25">
        <f>G34-H34</f>
        <v>-7320</v>
      </c>
      <c r="J34" s="12"/>
    </row>
    <row r="35" spans="1:10" x14ac:dyDescent="0.25">
      <c r="A35" s="12"/>
      <c r="B35" s="27" t="s">
        <v>24</v>
      </c>
      <c r="C35" s="12" t="s">
        <v>36</v>
      </c>
      <c r="D35" s="12"/>
      <c r="E35" s="12" t="s">
        <v>37</v>
      </c>
      <c r="F35" s="12"/>
    </row>
    <row r="36" spans="1:10" x14ac:dyDescent="0.25">
      <c r="B36" s="12" t="s">
        <v>38</v>
      </c>
      <c r="C36" s="12" t="s">
        <v>39</v>
      </c>
      <c r="D36" s="12"/>
      <c r="E36" s="12"/>
      <c r="F36" s="12"/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opLeftCell="A7" workbookViewId="0">
      <selection activeCell="G46" sqref="G46"/>
    </sheetView>
  </sheetViews>
  <sheetFormatPr defaultRowHeight="15" x14ac:dyDescent="0.25"/>
  <cols>
    <col min="2" max="2" width="19" bestFit="1" customWidth="1"/>
  </cols>
  <sheetData>
    <row r="1" spans="1:9" ht="18.75" x14ac:dyDescent="0.25">
      <c r="C1" s="38" t="s">
        <v>59</v>
      </c>
      <c r="D1" s="39"/>
      <c r="E1" s="36"/>
      <c r="F1" s="34"/>
    </row>
    <row r="2" spans="1:9" ht="18.75" x14ac:dyDescent="0.25">
      <c r="C2" s="38" t="s">
        <v>60</v>
      </c>
      <c r="D2" s="38"/>
      <c r="E2" s="11"/>
      <c r="F2" s="11"/>
    </row>
    <row r="3" spans="1:9" ht="18.75" x14ac:dyDescent="0.25">
      <c r="C3" s="38" t="s">
        <v>199</v>
      </c>
      <c r="D3" s="38"/>
      <c r="E3" s="11"/>
      <c r="F3" s="11"/>
    </row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/>
      <c r="I4" s="1"/>
    </row>
    <row r="5" spans="1:9" x14ac:dyDescent="0.25">
      <c r="A5" s="3">
        <v>1</v>
      </c>
      <c r="B5" s="3" t="s">
        <v>91</v>
      </c>
      <c r="C5" s="3">
        <v>4000</v>
      </c>
      <c r="D5" s="3">
        <f>'JANUARY 20'!G5:G21</f>
        <v>0</v>
      </c>
      <c r="E5" s="3">
        <f>C5+D5</f>
        <v>4000</v>
      </c>
      <c r="F5" s="3">
        <v>4000</v>
      </c>
      <c r="G5" s="3">
        <f>E5-F5</f>
        <v>0</v>
      </c>
      <c r="H5" s="3"/>
      <c r="I5" t="s">
        <v>51</v>
      </c>
    </row>
    <row r="6" spans="1:9" x14ac:dyDescent="0.25">
      <c r="A6" s="3">
        <v>2</v>
      </c>
      <c r="B6" t="s">
        <v>126</v>
      </c>
      <c r="C6" s="3">
        <v>2500</v>
      </c>
      <c r="D6" s="3">
        <f>'JANUARY 20'!G6:G22</f>
        <v>0</v>
      </c>
      <c r="E6" s="3">
        <f>C6+D6</f>
        <v>2500</v>
      </c>
      <c r="F6" s="3">
        <v>2500</v>
      </c>
      <c r="G6" s="3">
        <f t="shared" ref="G6:G21" si="0">E6-F6</f>
        <v>0</v>
      </c>
      <c r="H6" s="3"/>
    </row>
    <row r="7" spans="1:9" x14ac:dyDescent="0.25">
      <c r="A7" s="3">
        <v>3</v>
      </c>
      <c r="B7" s="3" t="s">
        <v>195</v>
      </c>
      <c r="C7" s="3">
        <v>2500</v>
      </c>
      <c r="D7" s="3">
        <f>'JANUARY 20'!G7:G23</f>
        <v>0</v>
      </c>
      <c r="E7" s="3">
        <f t="shared" ref="E7:E21" si="1">C7+D7</f>
        <v>2500</v>
      </c>
      <c r="F7" s="3">
        <v>2500</v>
      </c>
      <c r="G7" s="3">
        <f t="shared" si="0"/>
        <v>0</v>
      </c>
      <c r="H7" s="3"/>
    </row>
    <row r="8" spans="1:9" x14ac:dyDescent="0.25">
      <c r="A8" s="3">
        <v>4</v>
      </c>
      <c r="B8" s="3" t="s">
        <v>74</v>
      </c>
      <c r="C8" s="3">
        <v>2500</v>
      </c>
      <c r="D8" s="3">
        <f>'JANUARY 20'!G8:G24</f>
        <v>500</v>
      </c>
      <c r="E8" s="3">
        <f t="shared" si="1"/>
        <v>3000</v>
      </c>
      <c r="F8" s="3">
        <v>2500</v>
      </c>
      <c r="G8" s="3">
        <f t="shared" si="0"/>
        <v>500</v>
      </c>
      <c r="H8" s="3"/>
    </row>
    <row r="9" spans="1:9" x14ac:dyDescent="0.25">
      <c r="A9" s="3">
        <v>5</v>
      </c>
      <c r="B9" s="3" t="s">
        <v>86</v>
      </c>
      <c r="C9" s="3">
        <v>2500</v>
      </c>
      <c r="D9" s="3">
        <f>'JANUARY 20'!G9:G25</f>
        <v>250</v>
      </c>
      <c r="E9" s="3">
        <f>C9+D9</f>
        <v>2750</v>
      </c>
      <c r="F9" s="3">
        <v>2500</v>
      </c>
      <c r="G9" s="3">
        <f t="shared" si="0"/>
        <v>250</v>
      </c>
      <c r="H9" s="3"/>
    </row>
    <row r="10" spans="1:9" x14ac:dyDescent="0.25">
      <c r="A10" s="3">
        <v>6</v>
      </c>
      <c r="B10" s="64" t="s">
        <v>154</v>
      </c>
      <c r="C10" s="3">
        <v>2500</v>
      </c>
      <c r="D10" s="3">
        <f>'JANUARY 20'!G10:G26</f>
        <v>0</v>
      </c>
      <c r="E10" s="3">
        <f>C10+D10</f>
        <v>2500</v>
      </c>
      <c r="F10" s="3">
        <v>2500</v>
      </c>
      <c r="G10" s="3">
        <f t="shared" si="0"/>
        <v>0</v>
      </c>
      <c r="H10" s="3"/>
    </row>
    <row r="11" spans="1:9" x14ac:dyDescent="0.25">
      <c r="A11" s="3">
        <v>7</v>
      </c>
      <c r="B11" s="3" t="s">
        <v>13</v>
      </c>
      <c r="C11" s="3">
        <v>2500</v>
      </c>
      <c r="D11" s="3">
        <f>'JANUARY 20'!G11:G27</f>
        <v>0</v>
      </c>
      <c r="E11" s="3">
        <f t="shared" si="1"/>
        <v>2500</v>
      </c>
      <c r="F11" s="3">
        <v>2500</v>
      </c>
      <c r="G11" s="3">
        <f t="shared" si="0"/>
        <v>0</v>
      </c>
      <c r="H11" s="3"/>
    </row>
    <row r="12" spans="1:9" x14ac:dyDescent="0.25">
      <c r="A12" s="3">
        <v>8</v>
      </c>
      <c r="B12" s="3" t="s">
        <v>105</v>
      </c>
      <c r="C12" s="3">
        <v>2500</v>
      </c>
      <c r="D12" s="3">
        <f>'JANUARY 20'!G12:G28</f>
        <v>0</v>
      </c>
      <c r="E12" s="3">
        <f t="shared" si="1"/>
        <v>2500</v>
      </c>
      <c r="F12" s="3">
        <v>2500</v>
      </c>
      <c r="G12" s="3">
        <f t="shared" si="0"/>
        <v>0</v>
      </c>
      <c r="H12" s="3"/>
    </row>
    <row r="13" spans="1:9" x14ac:dyDescent="0.25">
      <c r="A13" s="3">
        <v>9</v>
      </c>
      <c r="B13" s="3" t="s">
        <v>96</v>
      </c>
      <c r="C13" s="3">
        <v>2500</v>
      </c>
      <c r="D13" s="3">
        <f>'JANUARY 20'!G13:G29</f>
        <v>520</v>
      </c>
      <c r="E13" s="3">
        <f t="shared" si="1"/>
        <v>3020</v>
      </c>
      <c r="F13" s="3">
        <v>2700</v>
      </c>
      <c r="G13" s="3">
        <f t="shared" si="0"/>
        <v>320</v>
      </c>
      <c r="H13" s="3"/>
    </row>
    <row r="14" spans="1:9" x14ac:dyDescent="0.25">
      <c r="A14" s="3">
        <v>10</v>
      </c>
      <c r="B14" s="3" t="s">
        <v>57</v>
      </c>
      <c r="C14" s="3">
        <v>2000</v>
      </c>
      <c r="D14" s="3">
        <f>'JANUARY 20'!G14:G30</f>
        <v>0</v>
      </c>
      <c r="E14" s="3">
        <f t="shared" si="1"/>
        <v>2000</v>
      </c>
      <c r="F14" s="3">
        <v>2000</v>
      </c>
      <c r="G14" s="3">
        <f t="shared" si="0"/>
        <v>0</v>
      </c>
      <c r="H14" s="3"/>
    </row>
    <row r="15" spans="1:9" x14ac:dyDescent="0.25">
      <c r="A15" s="3">
        <v>11</v>
      </c>
      <c r="B15" s="3" t="s">
        <v>57</v>
      </c>
      <c r="C15" s="3">
        <v>2500</v>
      </c>
      <c r="D15" s="3">
        <f>'JANUARY 20'!G15:G31</f>
        <v>0</v>
      </c>
      <c r="E15" s="3">
        <f t="shared" si="1"/>
        <v>2500</v>
      </c>
      <c r="F15" s="3">
        <v>2500</v>
      </c>
      <c r="G15" s="3">
        <f t="shared" si="0"/>
        <v>0</v>
      </c>
      <c r="H15" s="3"/>
    </row>
    <row r="16" spans="1:9" x14ac:dyDescent="0.25">
      <c r="A16" s="3">
        <v>12</v>
      </c>
      <c r="B16" s="3" t="s">
        <v>165</v>
      </c>
      <c r="C16" s="3">
        <v>2500</v>
      </c>
      <c r="D16" s="3">
        <f>'JANUARY 20'!G16:G32</f>
        <v>0</v>
      </c>
      <c r="E16" s="3">
        <f t="shared" si="1"/>
        <v>2500</v>
      </c>
      <c r="F16" s="3">
        <v>2500</v>
      </c>
      <c r="G16" s="3">
        <f t="shared" si="0"/>
        <v>0</v>
      </c>
      <c r="H16" s="3"/>
    </row>
    <row r="17" spans="1:11" x14ac:dyDescent="0.25">
      <c r="A17" s="3">
        <v>13</v>
      </c>
      <c r="B17" s="3" t="s">
        <v>19</v>
      </c>
      <c r="C17" s="3">
        <v>2500</v>
      </c>
      <c r="D17" s="3">
        <f>'JANUARY 20'!G17:G33</f>
        <v>0</v>
      </c>
      <c r="E17" s="3">
        <f t="shared" si="1"/>
        <v>2500</v>
      </c>
      <c r="F17" s="3">
        <v>2500</v>
      </c>
      <c r="G17" s="3">
        <f t="shared" si="0"/>
        <v>0</v>
      </c>
      <c r="H17" s="3"/>
    </row>
    <row r="18" spans="1:11" x14ac:dyDescent="0.25">
      <c r="A18" s="3">
        <v>14</v>
      </c>
      <c r="B18" s="3" t="s">
        <v>160</v>
      </c>
      <c r="C18" s="3">
        <v>2500</v>
      </c>
      <c r="D18" s="3">
        <f>'JANUARY 20'!G18:G34</f>
        <v>0</v>
      </c>
      <c r="E18" s="3">
        <f t="shared" si="1"/>
        <v>2500</v>
      </c>
      <c r="F18" s="3">
        <v>2500</v>
      </c>
      <c r="G18" s="3">
        <f t="shared" si="0"/>
        <v>0</v>
      </c>
      <c r="H18" s="3"/>
    </row>
    <row r="19" spans="1:11" x14ac:dyDescent="0.25">
      <c r="A19" s="3">
        <v>15</v>
      </c>
      <c r="B19" s="3" t="s">
        <v>190</v>
      </c>
      <c r="C19" s="3">
        <v>2500</v>
      </c>
      <c r="D19" s="3">
        <f>'JANUARY 20'!G19:G35</f>
        <v>0</v>
      </c>
      <c r="E19" s="3">
        <f t="shared" si="1"/>
        <v>2500</v>
      </c>
      <c r="F19" s="3">
        <v>2500</v>
      </c>
      <c r="G19" s="3">
        <f t="shared" si="0"/>
        <v>0</v>
      </c>
      <c r="H19" s="3"/>
    </row>
    <row r="20" spans="1:11" x14ac:dyDescent="0.25">
      <c r="A20" s="3">
        <v>16</v>
      </c>
      <c r="B20" s="3" t="s">
        <v>127</v>
      </c>
      <c r="C20" s="3">
        <v>2500</v>
      </c>
      <c r="D20" s="3">
        <f>'JANUARY 20'!G20:G36</f>
        <v>1200</v>
      </c>
      <c r="E20" s="3">
        <f t="shared" si="1"/>
        <v>3700</v>
      </c>
      <c r="F20" s="3">
        <v>2500</v>
      </c>
      <c r="G20" s="3">
        <f t="shared" si="0"/>
        <v>1200</v>
      </c>
      <c r="H20" s="3"/>
    </row>
    <row r="21" spans="1:11" x14ac:dyDescent="0.25">
      <c r="A21" s="3">
        <v>17</v>
      </c>
      <c r="B21" s="3" t="s">
        <v>73</v>
      </c>
      <c r="C21" s="3">
        <v>2500</v>
      </c>
      <c r="D21" s="3">
        <f>'JANUARY 20'!G21:G37</f>
        <v>200</v>
      </c>
      <c r="E21" s="3">
        <f t="shared" si="1"/>
        <v>2700</v>
      </c>
      <c r="F21" s="62">
        <v>2700</v>
      </c>
      <c r="G21" s="58">
        <f t="shared" si="0"/>
        <v>0</v>
      </c>
      <c r="H21" s="58"/>
    </row>
    <row r="22" spans="1:11" x14ac:dyDescent="0.25">
      <c r="A22" s="2"/>
      <c r="B22" s="4" t="s">
        <v>24</v>
      </c>
      <c r="C22" s="2">
        <f>SUM(C5:C21)</f>
        <v>43500</v>
      </c>
      <c r="D22" s="3">
        <f>SUM(D5:D21)</f>
        <v>2670</v>
      </c>
      <c r="E22" s="2">
        <f>SUM(E5:E21)</f>
        <v>46170</v>
      </c>
      <c r="F22" s="2">
        <f>SUM(F5:F21)</f>
        <v>43900</v>
      </c>
      <c r="G22" s="2">
        <f>SUM(G5:G21)</f>
        <v>2270</v>
      </c>
      <c r="H22" s="2"/>
      <c r="I22" s="1"/>
    </row>
    <row r="23" spans="1:11" x14ac:dyDescent="0.25">
      <c r="A23" s="3"/>
      <c r="B23" s="3"/>
      <c r="C23" s="3"/>
      <c r="D23" s="3"/>
      <c r="E23" s="3"/>
      <c r="F23" s="3"/>
      <c r="G23" s="3"/>
      <c r="H23" s="3"/>
    </row>
    <row r="24" spans="1:11" x14ac:dyDescent="0.25">
      <c r="A24" s="12"/>
    </row>
    <row r="25" spans="1:11" ht="18.75" x14ac:dyDescent="0.3">
      <c r="A25" s="12"/>
      <c r="B25" s="51" t="s">
        <v>27</v>
      </c>
      <c r="C25" s="52"/>
      <c r="D25" s="52"/>
      <c r="E25" s="52"/>
      <c r="F25" s="52"/>
      <c r="G25" s="52"/>
      <c r="H25" s="53"/>
      <c r="I25" s="53"/>
    </row>
    <row r="26" spans="1:11" ht="15.75" x14ac:dyDescent="0.25">
      <c r="A26" s="12"/>
      <c r="B26" s="54" t="s">
        <v>28</v>
      </c>
      <c r="C26" s="54" t="s">
        <v>29</v>
      </c>
      <c r="D26" s="54" t="s">
        <v>30</v>
      </c>
      <c r="E26" s="54" t="s">
        <v>62</v>
      </c>
      <c r="F26" s="54" t="s">
        <v>69</v>
      </c>
      <c r="G26" s="54" t="s">
        <v>29</v>
      </c>
      <c r="H26" s="54" t="s">
        <v>30</v>
      </c>
      <c r="I26" s="54" t="s">
        <v>62</v>
      </c>
    </row>
    <row r="27" spans="1:11" x14ac:dyDescent="0.25">
      <c r="A27" s="12"/>
      <c r="B27" s="55" t="s">
        <v>198</v>
      </c>
      <c r="C27" s="50">
        <f>C22</f>
        <v>43500</v>
      </c>
      <c r="D27" s="56">
        <v>0.1</v>
      </c>
      <c r="E27" s="50"/>
      <c r="F27" s="57" t="s">
        <v>198</v>
      </c>
      <c r="G27" s="50">
        <f>F22</f>
        <v>43900</v>
      </c>
      <c r="H27" s="56">
        <v>0.1</v>
      </c>
      <c r="I27" s="58"/>
    </row>
    <row r="28" spans="1:11" x14ac:dyDescent="0.25">
      <c r="A28" s="12"/>
      <c r="B28" s="58" t="s">
        <v>55</v>
      </c>
      <c r="C28" s="50">
        <f>'JANUARY 20'!E37</f>
        <v>-10291</v>
      </c>
      <c r="D28" s="58"/>
      <c r="E28" s="58"/>
      <c r="F28" s="58" t="s">
        <v>55</v>
      </c>
      <c r="G28" s="50">
        <f>'JANUARY 20'!I37</f>
        <v>-12961</v>
      </c>
      <c r="H28" s="58"/>
      <c r="I28" s="58"/>
    </row>
    <row r="29" spans="1:11" x14ac:dyDescent="0.25">
      <c r="A29" s="12"/>
      <c r="B29" s="58"/>
      <c r="C29" s="50"/>
      <c r="D29" s="58"/>
      <c r="E29" s="58"/>
      <c r="F29" s="58"/>
      <c r="G29" s="50"/>
      <c r="H29" s="58"/>
      <c r="I29" s="58"/>
      <c r="J29" s="43"/>
      <c r="K29" s="43"/>
    </row>
    <row r="30" spans="1:11" x14ac:dyDescent="0.25">
      <c r="A30" s="12"/>
      <c r="B30" s="58" t="s">
        <v>33</v>
      </c>
      <c r="C30" s="59"/>
      <c r="D30" s="58">
        <f>C27*D27</f>
        <v>4350</v>
      </c>
      <c r="E30" s="58"/>
      <c r="F30" s="58" t="s">
        <v>33</v>
      </c>
      <c r="G30" s="59"/>
      <c r="H30" s="58">
        <f>D30</f>
        <v>4350</v>
      </c>
      <c r="I30" s="58"/>
      <c r="J30" s="43"/>
      <c r="K30" s="43"/>
    </row>
    <row r="31" spans="1:11" x14ac:dyDescent="0.25">
      <c r="A31" s="12"/>
      <c r="B31" s="60" t="s">
        <v>34</v>
      </c>
      <c r="C31" s="58"/>
      <c r="D31" s="58"/>
      <c r="E31" s="58"/>
      <c r="F31" s="60" t="s">
        <v>34</v>
      </c>
      <c r="G31" s="58"/>
      <c r="H31" s="58"/>
      <c r="I31" s="58"/>
      <c r="J31" s="43"/>
      <c r="K31" s="43"/>
    </row>
    <row r="32" spans="1:11" x14ac:dyDescent="0.25">
      <c r="A32" s="12"/>
      <c r="B32" s="3" t="s">
        <v>161</v>
      </c>
      <c r="C32" s="3"/>
      <c r="D32" s="3">
        <v>10000</v>
      </c>
      <c r="E32" s="3"/>
      <c r="F32" s="3" t="s">
        <v>161</v>
      </c>
      <c r="G32" s="3"/>
      <c r="H32" s="3">
        <v>10000</v>
      </c>
      <c r="I32" s="58"/>
      <c r="K32" s="43"/>
    </row>
    <row r="33" spans="1:11" x14ac:dyDescent="0.25">
      <c r="A33" s="12"/>
      <c r="B33" s="62" t="s">
        <v>203</v>
      </c>
      <c r="C33" s="58"/>
      <c r="D33" s="58">
        <v>18850</v>
      </c>
      <c r="E33" s="58"/>
      <c r="F33" s="62" t="s">
        <v>203</v>
      </c>
      <c r="G33" s="58"/>
      <c r="H33" s="58">
        <v>18850</v>
      </c>
      <c r="I33" s="58"/>
      <c r="J33" s="43"/>
    </row>
    <row r="34" spans="1:11" x14ac:dyDescent="0.25">
      <c r="A34" s="12"/>
      <c r="B34" s="62" t="s">
        <v>250</v>
      </c>
      <c r="D34" s="58">
        <f>C5</f>
        <v>4000</v>
      </c>
      <c r="E34" s="58"/>
      <c r="F34" s="62" t="s">
        <v>251</v>
      </c>
      <c r="H34" s="58">
        <v>4000</v>
      </c>
      <c r="I34" s="58"/>
    </row>
    <row r="35" spans="1:11" x14ac:dyDescent="0.25">
      <c r="A35" s="12"/>
      <c r="B35" s="62"/>
      <c r="C35" s="50"/>
      <c r="D35" s="50"/>
      <c r="E35" s="50"/>
      <c r="F35" s="62"/>
      <c r="G35" s="50"/>
      <c r="H35" s="50"/>
      <c r="I35" s="58"/>
    </row>
    <row r="36" spans="1:11" x14ac:dyDescent="0.25">
      <c r="A36" s="12"/>
      <c r="B36" s="62"/>
      <c r="C36" s="50"/>
      <c r="D36" s="50"/>
      <c r="E36" s="50"/>
      <c r="F36" s="62"/>
      <c r="G36" s="50"/>
      <c r="H36" s="50"/>
      <c r="I36" s="58"/>
      <c r="K36" s="43"/>
    </row>
    <row r="37" spans="1:11" x14ac:dyDescent="0.25">
      <c r="A37" s="12"/>
      <c r="B37" s="55" t="s">
        <v>24</v>
      </c>
      <c r="C37" s="63">
        <f>C27+C28+C29-D30</f>
        <v>28859</v>
      </c>
      <c r="D37" s="55">
        <f>SUM(D32:D36)</f>
        <v>32850</v>
      </c>
      <c r="E37" s="63">
        <f>C37-D37</f>
        <v>-3991</v>
      </c>
      <c r="F37" s="57"/>
      <c r="G37" s="63">
        <f>G27+G28-H30</f>
        <v>26589</v>
      </c>
      <c r="H37" s="63">
        <f>SUM(H32:H36)</f>
        <v>32850</v>
      </c>
      <c r="I37" s="63">
        <f>G37-H37</f>
        <v>-6261</v>
      </c>
    </row>
    <row r="38" spans="1:11" x14ac:dyDescent="0.25">
      <c r="K38" s="43">
        <f>I37-E37</f>
        <v>-2270</v>
      </c>
    </row>
    <row r="40" spans="1:11" x14ac:dyDescent="0.25">
      <c r="B40" s="12" t="s">
        <v>38</v>
      </c>
      <c r="D40" s="12" t="s">
        <v>36</v>
      </c>
      <c r="F40" s="12"/>
      <c r="G40" s="12" t="s">
        <v>37</v>
      </c>
    </row>
    <row r="41" spans="1:11" x14ac:dyDescent="0.25">
      <c r="D41" s="12"/>
      <c r="F41" s="12"/>
      <c r="G41" s="12"/>
    </row>
    <row r="42" spans="1:11" x14ac:dyDescent="0.25">
      <c r="B42" t="s">
        <v>163</v>
      </c>
      <c r="D42" t="s">
        <v>66</v>
      </c>
      <c r="G42" t="s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opLeftCell="B7" workbookViewId="0">
      <selection activeCell="E45" sqref="E45"/>
    </sheetView>
  </sheetViews>
  <sheetFormatPr defaultRowHeight="15" x14ac:dyDescent="0.25"/>
  <cols>
    <col min="1" max="1" width="3.7109375" customWidth="1"/>
    <col min="2" max="2" width="17.28515625" customWidth="1"/>
    <col min="6" max="6" width="9.7109375" bestFit="1" customWidth="1"/>
  </cols>
  <sheetData>
    <row r="1" spans="1:9" ht="18.75" x14ac:dyDescent="0.25">
      <c r="C1" s="38" t="s">
        <v>59</v>
      </c>
      <c r="D1" s="39"/>
      <c r="E1" s="36"/>
      <c r="F1" s="34"/>
    </row>
    <row r="2" spans="1:9" ht="18.75" x14ac:dyDescent="0.25">
      <c r="C2" s="38" t="s">
        <v>60</v>
      </c>
      <c r="D2" s="38"/>
      <c r="E2" s="11"/>
      <c r="F2" s="11"/>
    </row>
    <row r="3" spans="1:9" ht="18.75" x14ac:dyDescent="0.25">
      <c r="C3" s="38" t="s">
        <v>204</v>
      </c>
      <c r="D3" s="38"/>
      <c r="E3" s="11"/>
      <c r="F3" s="11"/>
    </row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/>
      <c r="I4" s="1"/>
    </row>
    <row r="5" spans="1:9" x14ac:dyDescent="0.25">
      <c r="A5" s="3">
        <v>1</v>
      </c>
      <c r="B5" s="3" t="s">
        <v>91</v>
      </c>
      <c r="C5" s="3">
        <v>4000</v>
      </c>
      <c r="D5" s="3">
        <f>'FEBRUARY 20'!G5:G21</f>
        <v>0</v>
      </c>
      <c r="E5" s="3">
        <f>C5+D5</f>
        <v>4000</v>
      </c>
      <c r="F5" s="3">
        <v>4000</v>
      </c>
      <c r="G5" s="3">
        <f>E5-F5</f>
        <v>0</v>
      </c>
      <c r="H5" s="3"/>
      <c r="I5" t="s">
        <v>51</v>
      </c>
    </row>
    <row r="6" spans="1:9" x14ac:dyDescent="0.25">
      <c r="A6" s="3">
        <v>2</v>
      </c>
      <c r="B6" t="s">
        <v>126</v>
      </c>
      <c r="C6" s="3">
        <v>2500</v>
      </c>
      <c r="D6" s="3">
        <f>'FEBRUARY 20'!G6:G22</f>
        <v>0</v>
      </c>
      <c r="E6" s="3">
        <f>C6+D6</f>
        <v>2500</v>
      </c>
      <c r="F6" s="3">
        <v>2500</v>
      </c>
      <c r="G6" s="3">
        <f t="shared" ref="G6:G21" si="0">E6-F6</f>
        <v>0</v>
      </c>
      <c r="H6" s="3"/>
    </row>
    <row r="7" spans="1:9" x14ac:dyDescent="0.25">
      <c r="A7" s="3">
        <v>3</v>
      </c>
      <c r="B7" s="3" t="s">
        <v>195</v>
      </c>
      <c r="C7" s="3">
        <v>2500</v>
      </c>
      <c r="D7" s="3">
        <f>'FEBRUARY 20'!G7:G23</f>
        <v>0</v>
      </c>
      <c r="E7" s="3">
        <f t="shared" ref="E7:E21" si="1">C7+D7</f>
        <v>2500</v>
      </c>
      <c r="F7" s="3">
        <f>1000+1000</f>
        <v>2000</v>
      </c>
      <c r="G7" s="3">
        <f t="shared" si="0"/>
        <v>500</v>
      </c>
      <c r="H7" s="3"/>
    </row>
    <row r="8" spans="1:9" x14ac:dyDescent="0.25">
      <c r="A8" s="3">
        <v>4</v>
      </c>
      <c r="B8" s="3" t="s">
        <v>74</v>
      </c>
      <c r="C8" s="3">
        <v>2500</v>
      </c>
      <c r="D8" s="3">
        <f>'FEBRUARY 20'!G8:G24</f>
        <v>500</v>
      </c>
      <c r="E8" s="3">
        <f t="shared" si="1"/>
        <v>3000</v>
      </c>
      <c r="F8" s="3">
        <v>2500</v>
      </c>
      <c r="G8" s="3">
        <f t="shared" si="0"/>
        <v>500</v>
      </c>
      <c r="H8" s="3"/>
      <c r="I8" t="s">
        <v>51</v>
      </c>
    </row>
    <row r="9" spans="1:9" x14ac:dyDescent="0.25">
      <c r="A9" s="3">
        <v>5</v>
      </c>
      <c r="B9" s="3" t="s">
        <v>86</v>
      </c>
      <c r="C9" s="3">
        <v>2500</v>
      </c>
      <c r="D9" s="3">
        <f>'FEBRUARY 20'!G9:G25</f>
        <v>250</v>
      </c>
      <c r="E9" s="3">
        <f>C9+D9</f>
        <v>2750</v>
      </c>
      <c r="F9" s="3">
        <v>2500</v>
      </c>
      <c r="G9" s="3">
        <f t="shared" si="0"/>
        <v>250</v>
      </c>
      <c r="H9" s="3"/>
    </row>
    <row r="10" spans="1:9" x14ac:dyDescent="0.25">
      <c r="A10" s="3">
        <v>6</v>
      </c>
      <c r="B10" s="64" t="s">
        <v>154</v>
      </c>
      <c r="C10" s="3">
        <v>2500</v>
      </c>
      <c r="D10" s="3">
        <f>'FEBRUARY 20'!G10:G26</f>
        <v>0</v>
      </c>
      <c r="E10" s="3">
        <f>C10+D10</f>
        <v>2500</v>
      </c>
      <c r="F10" s="3">
        <v>2500</v>
      </c>
      <c r="G10" s="3">
        <f t="shared" si="0"/>
        <v>0</v>
      </c>
      <c r="H10" s="3"/>
    </row>
    <row r="11" spans="1:9" x14ac:dyDescent="0.25">
      <c r="A11" s="3">
        <v>7</v>
      </c>
      <c r="B11" s="3" t="s">
        <v>13</v>
      </c>
      <c r="C11" s="3">
        <v>2500</v>
      </c>
      <c r="D11" s="3">
        <f>'FEBRUARY 20'!G11:G27</f>
        <v>0</v>
      </c>
      <c r="E11" s="3">
        <f t="shared" si="1"/>
        <v>2500</v>
      </c>
      <c r="F11" s="3">
        <v>2500</v>
      </c>
      <c r="G11" s="3">
        <f t="shared" si="0"/>
        <v>0</v>
      </c>
      <c r="H11" s="3"/>
      <c r="I11" t="s">
        <v>51</v>
      </c>
    </row>
    <row r="12" spans="1:9" x14ac:dyDescent="0.25">
      <c r="A12" s="3">
        <v>8</v>
      </c>
      <c r="B12" s="3" t="s">
        <v>105</v>
      </c>
      <c r="C12" s="3">
        <v>2500</v>
      </c>
      <c r="D12" s="3">
        <f>'FEBRUARY 20'!G12:G28</f>
        <v>0</v>
      </c>
      <c r="E12" s="3">
        <f t="shared" si="1"/>
        <v>2500</v>
      </c>
      <c r="F12" s="3">
        <v>2500</v>
      </c>
      <c r="G12" s="3">
        <f t="shared" si="0"/>
        <v>0</v>
      </c>
      <c r="H12" s="3"/>
    </row>
    <row r="13" spans="1:9" x14ac:dyDescent="0.25">
      <c r="A13" s="3">
        <v>9</v>
      </c>
      <c r="B13" s="3" t="s">
        <v>96</v>
      </c>
      <c r="C13" s="3">
        <v>2500</v>
      </c>
      <c r="D13" s="3">
        <f>'FEBRUARY 20'!G13:G29</f>
        <v>320</v>
      </c>
      <c r="E13" s="3">
        <f t="shared" si="1"/>
        <v>2820</v>
      </c>
      <c r="F13" s="3">
        <v>2500</v>
      </c>
      <c r="G13" s="3">
        <f t="shared" si="0"/>
        <v>320</v>
      </c>
      <c r="H13" s="3"/>
    </row>
    <row r="14" spans="1:9" x14ac:dyDescent="0.25">
      <c r="A14" s="3">
        <v>10</v>
      </c>
      <c r="B14" s="3" t="s">
        <v>57</v>
      </c>
      <c r="C14" s="3">
        <v>2000</v>
      </c>
      <c r="D14" s="3">
        <f>'FEBRUARY 20'!G14:G30</f>
        <v>0</v>
      </c>
      <c r="E14" s="3">
        <f t="shared" si="1"/>
        <v>2000</v>
      </c>
      <c r="F14" s="3">
        <v>2000</v>
      </c>
      <c r="G14" s="3">
        <f t="shared" si="0"/>
        <v>0</v>
      </c>
      <c r="H14" s="3"/>
    </row>
    <row r="15" spans="1:9" x14ac:dyDescent="0.25">
      <c r="A15" s="3">
        <v>11</v>
      </c>
      <c r="B15" s="3" t="s">
        <v>57</v>
      </c>
      <c r="C15" s="3">
        <v>2500</v>
      </c>
      <c r="D15" s="3">
        <f>'FEBRUARY 20'!G15:G31</f>
        <v>0</v>
      </c>
      <c r="E15" s="3">
        <f t="shared" si="1"/>
        <v>2500</v>
      </c>
      <c r="F15" s="3">
        <f>1500+700</f>
        <v>2200</v>
      </c>
      <c r="G15" s="3">
        <f t="shared" si="0"/>
        <v>300</v>
      </c>
      <c r="H15" s="3"/>
    </row>
    <row r="16" spans="1:9" x14ac:dyDescent="0.25">
      <c r="A16" s="3">
        <v>12</v>
      </c>
      <c r="B16" s="3" t="s">
        <v>165</v>
      </c>
      <c r="C16" s="3">
        <v>2500</v>
      </c>
      <c r="D16" s="3">
        <f>'FEBRUARY 20'!G16:G32</f>
        <v>0</v>
      </c>
      <c r="E16" s="3">
        <f t="shared" si="1"/>
        <v>2500</v>
      </c>
      <c r="F16" s="3">
        <v>2500</v>
      </c>
      <c r="G16" s="3">
        <f t="shared" si="0"/>
        <v>0</v>
      </c>
      <c r="H16" s="3"/>
    </row>
    <row r="17" spans="1:10" x14ac:dyDescent="0.25">
      <c r="A17" s="3">
        <v>13</v>
      </c>
      <c r="B17" s="3" t="s">
        <v>19</v>
      </c>
      <c r="C17" s="3">
        <v>2500</v>
      </c>
      <c r="D17" s="3">
        <f>'FEBRUARY 20'!G17:G33</f>
        <v>0</v>
      </c>
      <c r="E17" s="3">
        <f t="shared" si="1"/>
        <v>2500</v>
      </c>
      <c r="F17" s="3">
        <v>2500</v>
      </c>
      <c r="G17" s="3">
        <f t="shared" si="0"/>
        <v>0</v>
      </c>
      <c r="H17" s="3"/>
    </row>
    <row r="18" spans="1:10" x14ac:dyDescent="0.25">
      <c r="A18" s="3">
        <v>14</v>
      </c>
      <c r="B18" s="3" t="s">
        <v>160</v>
      </c>
      <c r="C18" s="3">
        <v>2500</v>
      </c>
      <c r="D18" s="3">
        <f>'FEBRUARY 20'!G18:G34</f>
        <v>0</v>
      </c>
      <c r="E18" s="3">
        <f t="shared" si="1"/>
        <v>2500</v>
      </c>
      <c r="F18" s="3">
        <v>2500</v>
      </c>
      <c r="G18" s="3">
        <f t="shared" si="0"/>
        <v>0</v>
      </c>
      <c r="H18" s="3"/>
    </row>
    <row r="19" spans="1:10" x14ac:dyDescent="0.25">
      <c r="A19" s="3">
        <v>15</v>
      </c>
      <c r="B19" s="3"/>
      <c r="C19" s="3"/>
      <c r="D19" s="3">
        <f>'FEBRUARY 20'!G19:G35</f>
        <v>0</v>
      </c>
      <c r="E19" s="3">
        <f t="shared" si="1"/>
        <v>0</v>
      </c>
      <c r="F19" s="3"/>
      <c r="G19" s="3">
        <f t="shared" si="0"/>
        <v>0</v>
      </c>
      <c r="H19" s="3"/>
    </row>
    <row r="20" spans="1:10" x14ac:dyDescent="0.25">
      <c r="A20" s="3">
        <v>16</v>
      </c>
      <c r="B20" s="3" t="s">
        <v>127</v>
      </c>
      <c r="C20" s="3">
        <v>2500</v>
      </c>
      <c r="D20" s="3">
        <f>'FEBRUARY 20'!G20:G36</f>
        <v>1200</v>
      </c>
      <c r="E20" s="3">
        <f t="shared" si="1"/>
        <v>3700</v>
      </c>
      <c r="F20" s="3">
        <f>1700+2000</f>
        <v>3700</v>
      </c>
      <c r="G20" s="3">
        <f t="shared" si="0"/>
        <v>0</v>
      </c>
      <c r="H20" s="3"/>
    </row>
    <row r="21" spans="1:10" x14ac:dyDescent="0.25">
      <c r="A21" s="3">
        <v>17</v>
      </c>
      <c r="B21" s="3" t="s">
        <v>73</v>
      </c>
      <c r="C21" s="3">
        <v>2500</v>
      </c>
      <c r="D21" s="3">
        <f>'FEBRUARY 20'!G21:G37</f>
        <v>0</v>
      </c>
      <c r="E21" s="3">
        <f t="shared" si="1"/>
        <v>2500</v>
      </c>
      <c r="F21" s="62">
        <v>2500</v>
      </c>
      <c r="G21" s="58">
        <f t="shared" si="0"/>
        <v>0</v>
      </c>
      <c r="H21" s="58"/>
    </row>
    <row r="22" spans="1:10" x14ac:dyDescent="0.25">
      <c r="A22" s="2"/>
      <c r="B22" s="4" t="s">
        <v>24</v>
      </c>
      <c r="C22" s="2">
        <f>SUM(C5:C21)</f>
        <v>41000</v>
      </c>
      <c r="D22" s="3">
        <f>SUM(D5:D21)</f>
        <v>2270</v>
      </c>
      <c r="E22" s="2">
        <f>SUM(E5:E21)</f>
        <v>43270</v>
      </c>
      <c r="F22" s="2">
        <f>SUM(F5:F21)</f>
        <v>41400</v>
      </c>
      <c r="G22" s="2">
        <f>SUM(G5:G21)</f>
        <v>1870</v>
      </c>
      <c r="H22" s="2"/>
      <c r="I22" s="1"/>
    </row>
    <row r="23" spans="1:10" x14ac:dyDescent="0.25">
      <c r="A23" s="3"/>
      <c r="B23" s="3"/>
      <c r="C23" s="3"/>
      <c r="D23" s="3"/>
      <c r="E23" s="3"/>
      <c r="F23" s="3"/>
      <c r="G23" s="3"/>
      <c r="H23" s="3"/>
    </row>
    <row r="24" spans="1:10" x14ac:dyDescent="0.25">
      <c r="A24" s="12"/>
    </row>
    <row r="25" spans="1:10" ht="18.75" x14ac:dyDescent="0.3">
      <c r="A25" s="12"/>
      <c r="B25" s="51" t="s">
        <v>27</v>
      </c>
      <c r="C25" s="52"/>
      <c r="D25" s="52"/>
      <c r="E25" s="52"/>
      <c r="F25" s="52"/>
      <c r="G25" s="52"/>
      <c r="H25" s="53"/>
      <c r="I25" s="53"/>
    </row>
    <row r="26" spans="1:10" ht="15.75" x14ac:dyDescent="0.25">
      <c r="A26" s="12"/>
      <c r="B26" s="54" t="s">
        <v>28</v>
      </c>
      <c r="C26" s="54" t="s">
        <v>29</v>
      </c>
      <c r="D26" s="54" t="s">
        <v>30</v>
      </c>
      <c r="E26" s="54" t="s">
        <v>62</v>
      </c>
      <c r="F26" s="54" t="s">
        <v>69</v>
      </c>
      <c r="G26" s="54" t="s">
        <v>29</v>
      </c>
      <c r="H26" s="54" t="s">
        <v>30</v>
      </c>
      <c r="I26" s="54" t="s">
        <v>62</v>
      </c>
    </row>
    <row r="27" spans="1:10" x14ac:dyDescent="0.25">
      <c r="A27" s="12"/>
      <c r="B27" s="55" t="s">
        <v>68</v>
      </c>
      <c r="C27" s="50">
        <f>C22</f>
        <v>41000</v>
      </c>
      <c r="D27" s="56">
        <v>0.1</v>
      </c>
      <c r="E27" s="50"/>
      <c r="F27" s="57" t="s">
        <v>68</v>
      </c>
      <c r="G27" s="50">
        <f>F22</f>
        <v>41400</v>
      </c>
      <c r="H27" s="56">
        <v>0.1</v>
      </c>
      <c r="I27" s="58"/>
    </row>
    <row r="28" spans="1:10" x14ac:dyDescent="0.25">
      <c r="A28" s="12"/>
      <c r="B28" s="58" t="s">
        <v>55</v>
      </c>
      <c r="C28" s="50">
        <f>'FEBRUARY 20'!E37</f>
        <v>-3991</v>
      </c>
      <c r="D28" s="58"/>
      <c r="E28" s="58"/>
      <c r="F28" s="58" t="s">
        <v>55</v>
      </c>
      <c r="G28" s="50">
        <f>'FEBRUARY 20'!I37</f>
        <v>-6261</v>
      </c>
      <c r="H28" s="58"/>
      <c r="I28" s="58"/>
    </row>
    <row r="29" spans="1:10" x14ac:dyDescent="0.25">
      <c r="A29" s="12"/>
      <c r="B29" s="58"/>
      <c r="C29" s="50"/>
      <c r="D29" s="58"/>
      <c r="E29" s="58"/>
      <c r="F29" s="58"/>
      <c r="G29" s="50"/>
      <c r="H29" s="58"/>
      <c r="I29" s="58"/>
      <c r="J29" s="43"/>
    </row>
    <row r="30" spans="1:10" x14ac:dyDescent="0.25">
      <c r="A30" s="12"/>
      <c r="B30" s="58" t="s">
        <v>33</v>
      </c>
      <c r="C30" s="59"/>
      <c r="D30" s="58">
        <f>C27*D27</f>
        <v>4100</v>
      </c>
      <c r="E30" s="58"/>
      <c r="F30" s="58" t="s">
        <v>33</v>
      </c>
      <c r="G30" s="59"/>
      <c r="H30" s="58">
        <f>D30</f>
        <v>4100</v>
      </c>
      <c r="I30" s="58"/>
      <c r="J30" s="43"/>
    </row>
    <row r="31" spans="1:10" x14ac:dyDescent="0.25">
      <c r="A31" s="12"/>
      <c r="B31" s="60" t="s">
        <v>34</v>
      </c>
      <c r="C31" s="58"/>
      <c r="D31" s="58"/>
      <c r="E31" s="58"/>
      <c r="F31" s="60" t="s">
        <v>34</v>
      </c>
      <c r="G31" s="58"/>
      <c r="H31" s="58"/>
      <c r="I31" s="58"/>
      <c r="J31" s="43"/>
    </row>
    <row r="32" spans="1:10" x14ac:dyDescent="0.25">
      <c r="A32" s="12"/>
      <c r="B32" s="3" t="s">
        <v>161</v>
      </c>
      <c r="C32" s="3"/>
      <c r="D32" s="3">
        <v>10000</v>
      </c>
      <c r="E32" s="3"/>
      <c r="F32" s="3" t="s">
        <v>161</v>
      </c>
      <c r="G32" s="3"/>
      <c r="H32" s="3">
        <v>10000</v>
      </c>
      <c r="I32" s="58"/>
    </row>
    <row r="33" spans="1:12" x14ac:dyDescent="0.25">
      <c r="A33" s="12"/>
      <c r="B33" s="62" t="s">
        <v>249</v>
      </c>
      <c r="C33" s="58"/>
      <c r="D33" s="58">
        <v>4000</v>
      </c>
      <c r="E33" s="58"/>
      <c r="F33" s="62" t="s">
        <v>205</v>
      </c>
      <c r="G33" s="58" t="s">
        <v>244</v>
      </c>
      <c r="H33" s="58">
        <v>4000</v>
      </c>
      <c r="I33" s="58"/>
      <c r="J33" s="43"/>
    </row>
    <row r="34" spans="1:12" x14ac:dyDescent="0.25">
      <c r="A34" s="12"/>
      <c r="B34" s="62" t="s">
        <v>206</v>
      </c>
      <c r="D34" s="58">
        <v>12350</v>
      </c>
      <c r="E34" s="58"/>
      <c r="F34" s="62" t="s">
        <v>206</v>
      </c>
      <c r="H34" s="58">
        <v>12350</v>
      </c>
      <c r="I34" s="58"/>
    </row>
    <row r="35" spans="1:12" x14ac:dyDescent="0.25">
      <c r="A35" s="12"/>
      <c r="B35" s="62" t="s">
        <v>207</v>
      </c>
      <c r="C35" s="50"/>
      <c r="D35" s="50">
        <v>5000</v>
      </c>
      <c r="E35" s="50"/>
      <c r="F35" s="62" t="s">
        <v>208</v>
      </c>
      <c r="G35" s="50"/>
      <c r="H35" s="50">
        <f>C8+C11</f>
        <v>5000</v>
      </c>
      <c r="I35" s="58"/>
    </row>
    <row r="36" spans="1:12" x14ac:dyDescent="0.25">
      <c r="A36" s="12"/>
      <c r="B36" s="62"/>
      <c r="C36" s="50"/>
      <c r="D36" s="50"/>
      <c r="E36" s="50"/>
      <c r="F36" s="62"/>
      <c r="G36" s="50"/>
      <c r="H36" s="50"/>
      <c r="I36" s="58"/>
    </row>
    <row r="37" spans="1:12" x14ac:dyDescent="0.25">
      <c r="A37" s="12"/>
      <c r="B37" s="62" t="s">
        <v>209</v>
      </c>
      <c r="C37" s="50"/>
      <c r="D37" s="50">
        <v>5067</v>
      </c>
      <c r="E37" s="50"/>
      <c r="F37" s="62" t="s">
        <v>209</v>
      </c>
      <c r="G37" s="50"/>
      <c r="H37" s="50">
        <v>5067</v>
      </c>
      <c r="I37" s="58"/>
      <c r="K37" s="43"/>
      <c r="L37" s="43"/>
    </row>
    <row r="38" spans="1:12" x14ac:dyDescent="0.25">
      <c r="A38" s="12"/>
      <c r="B38" s="55" t="s">
        <v>24</v>
      </c>
      <c r="C38" s="63">
        <f>C27+C28+C29-D30</f>
        <v>32909</v>
      </c>
      <c r="D38" s="55">
        <f>SUM(D32:D37)</f>
        <v>36417</v>
      </c>
      <c r="E38" s="63">
        <f>C38-D38</f>
        <v>-3508</v>
      </c>
      <c r="F38" s="57"/>
      <c r="G38" s="63">
        <f>G27+G28-H30</f>
        <v>31039</v>
      </c>
      <c r="H38" s="63">
        <f>SUM(H32:H37)</f>
        <v>36417</v>
      </c>
      <c r="I38" s="63">
        <f>G38-H38</f>
        <v>-5378</v>
      </c>
      <c r="K38" s="43">
        <f>G22+I38</f>
        <v>-3508</v>
      </c>
    </row>
    <row r="41" spans="1:12" x14ac:dyDescent="0.25">
      <c r="B41" s="12" t="s">
        <v>38</v>
      </c>
      <c r="D41" s="12" t="s">
        <v>36</v>
      </c>
      <c r="F41" s="12"/>
      <c r="G41" s="12" t="s">
        <v>37</v>
      </c>
    </row>
    <row r="42" spans="1:12" x14ac:dyDescent="0.25">
      <c r="D42" s="12"/>
      <c r="F42" s="12"/>
      <c r="G42" s="12"/>
    </row>
    <row r="43" spans="1:12" x14ac:dyDescent="0.25">
      <c r="B43" t="s">
        <v>163</v>
      </c>
      <c r="D43" t="s">
        <v>66</v>
      </c>
      <c r="G43" t="s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opLeftCell="A10" workbookViewId="0">
      <selection activeCell="K43" sqref="K43"/>
    </sheetView>
  </sheetViews>
  <sheetFormatPr defaultRowHeight="15" x14ac:dyDescent="0.25"/>
  <cols>
    <col min="1" max="1" width="4.5703125" customWidth="1"/>
    <col min="2" max="2" width="24" customWidth="1"/>
    <col min="6" max="6" width="9.7109375" bestFit="1" customWidth="1"/>
  </cols>
  <sheetData>
    <row r="1" spans="1:9" ht="18.75" x14ac:dyDescent="0.25">
      <c r="C1" s="38" t="s">
        <v>59</v>
      </c>
      <c r="D1" s="39"/>
      <c r="E1" s="36"/>
      <c r="F1" s="34"/>
    </row>
    <row r="2" spans="1:9" ht="18.75" x14ac:dyDescent="0.25">
      <c r="C2" s="38" t="s">
        <v>60</v>
      </c>
      <c r="D2" s="38"/>
      <c r="E2" s="11"/>
      <c r="F2" s="11"/>
    </row>
    <row r="3" spans="1:9" ht="18.75" x14ac:dyDescent="0.25">
      <c r="C3" s="38" t="s">
        <v>210</v>
      </c>
      <c r="D3" s="38"/>
      <c r="E3" s="11"/>
      <c r="F3" s="11"/>
    </row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/>
      <c r="I4" s="1"/>
    </row>
    <row r="5" spans="1:9" x14ac:dyDescent="0.25">
      <c r="A5" s="3">
        <v>1</v>
      </c>
      <c r="B5" s="3" t="s">
        <v>91</v>
      </c>
      <c r="C5" s="3">
        <v>4000</v>
      </c>
      <c r="D5" s="3">
        <f>'MARCH 20'!G5:G21</f>
        <v>0</v>
      </c>
      <c r="E5" s="3">
        <f>C5+D5</f>
        <v>4000</v>
      </c>
      <c r="F5" s="3">
        <v>4000</v>
      </c>
      <c r="G5" s="3">
        <f>E5-F5</f>
        <v>0</v>
      </c>
      <c r="H5" s="3"/>
      <c r="I5" t="s">
        <v>51</v>
      </c>
    </row>
    <row r="6" spans="1:9" x14ac:dyDescent="0.25">
      <c r="A6" s="3">
        <v>2</v>
      </c>
      <c r="B6" t="s">
        <v>126</v>
      </c>
      <c r="C6" s="3">
        <v>2500</v>
      </c>
      <c r="D6" s="3">
        <f>'MARCH 20'!G6:G22</f>
        <v>0</v>
      </c>
      <c r="E6" s="3">
        <f>C6+D6</f>
        <v>2500</v>
      </c>
      <c r="F6" s="3">
        <v>2500</v>
      </c>
      <c r="G6" s="3">
        <f t="shared" ref="G6:G21" si="0">E6-F6</f>
        <v>0</v>
      </c>
      <c r="H6" s="3"/>
    </row>
    <row r="7" spans="1:9" x14ac:dyDescent="0.25">
      <c r="A7" s="3">
        <v>3</v>
      </c>
      <c r="B7" s="3" t="s">
        <v>195</v>
      </c>
      <c r="C7" s="3">
        <v>2500</v>
      </c>
      <c r="D7" s="3">
        <f>'MARCH 20'!G7:G23</f>
        <v>500</v>
      </c>
      <c r="E7" s="3">
        <f t="shared" ref="E7:E21" si="1">C7+D7</f>
        <v>3000</v>
      </c>
      <c r="F7" s="3">
        <f>2500+500</f>
        <v>3000</v>
      </c>
      <c r="G7" s="3">
        <f t="shared" si="0"/>
        <v>0</v>
      </c>
      <c r="H7" s="3"/>
      <c r="I7" s="67" t="s">
        <v>231</v>
      </c>
    </row>
    <row r="8" spans="1:9" x14ac:dyDescent="0.25">
      <c r="A8" s="3">
        <v>4</v>
      </c>
      <c r="B8" s="3" t="s">
        <v>74</v>
      </c>
      <c r="C8" s="3">
        <v>2500</v>
      </c>
      <c r="D8" s="3">
        <f>'MARCH 20'!G8:G24</f>
        <v>500</v>
      </c>
      <c r="E8" s="3">
        <f t="shared" si="1"/>
        <v>3000</v>
      </c>
      <c r="F8" s="3">
        <f>2500+500</f>
        <v>3000</v>
      </c>
      <c r="G8" s="3">
        <f t="shared" si="0"/>
        <v>0</v>
      </c>
      <c r="H8" s="3"/>
      <c r="I8" t="s">
        <v>51</v>
      </c>
    </row>
    <row r="9" spans="1:9" x14ac:dyDescent="0.25">
      <c r="A9" s="3">
        <v>5</v>
      </c>
      <c r="B9" s="3" t="s">
        <v>86</v>
      </c>
      <c r="C9" s="3">
        <v>2500</v>
      </c>
      <c r="D9" s="3">
        <f>'MARCH 20'!G9:G25</f>
        <v>250</v>
      </c>
      <c r="E9" s="3">
        <f>C9+D9</f>
        <v>2750</v>
      </c>
      <c r="F9" s="3">
        <v>2500</v>
      </c>
      <c r="G9" s="3">
        <f t="shared" si="0"/>
        <v>250</v>
      </c>
      <c r="H9" s="3"/>
    </row>
    <row r="10" spans="1:9" x14ac:dyDescent="0.25">
      <c r="A10" s="3">
        <v>6</v>
      </c>
      <c r="B10" s="64" t="s">
        <v>154</v>
      </c>
      <c r="C10" s="3">
        <v>2500</v>
      </c>
      <c r="D10" s="3">
        <f>'MARCH 20'!G10:G26</f>
        <v>0</v>
      </c>
      <c r="E10" s="3">
        <f>C10+D10</f>
        <v>2500</v>
      </c>
      <c r="F10" s="3">
        <v>2500</v>
      </c>
      <c r="G10" s="3">
        <f t="shared" si="0"/>
        <v>0</v>
      </c>
      <c r="H10" s="3"/>
    </row>
    <row r="11" spans="1:9" x14ac:dyDescent="0.25">
      <c r="A11" s="3">
        <v>7</v>
      </c>
      <c r="B11" s="3" t="s">
        <v>13</v>
      </c>
      <c r="C11" s="3">
        <v>2500</v>
      </c>
      <c r="D11" s="3">
        <f>'MARCH 20'!G11:G27</f>
        <v>0</v>
      </c>
      <c r="E11" s="3">
        <f t="shared" si="1"/>
        <v>2500</v>
      </c>
      <c r="F11" s="3">
        <v>2500</v>
      </c>
      <c r="G11" s="3">
        <f t="shared" si="0"/>
        <v>0</v>
      </c>
      <c r="H11" s="3"/>
      <c r="I11" t="s">
        <v>51</v>
      </c>
    </row>
    <row r="12" spans="1:9" x14ac:dyDescent="0.25">
      <c r="A12" s="3">
        <v>8</v>
      </c>
      <c r="B12" s="3" t="s">
        <v>105</v>
      </c>
      <c r="C12" s="3">
        <v>2500</v>
      </c>
      <c r="D12" s="3">
        <f>'MARCH 20'!G12:G28</f>
        <v>0</v>
      </c>
      <c r="E12" s="3">
        <f t="shared" si="1"/>
        <v>2500</v>
      </c>
      <c r="F12" s="3">
        <v>2500</v>
      </c>
      <c r="G12" s="3">
        <f>E12-F12</f>
        <v>0</v>
      </c>
      <c r="H12" s="3"/>
      <c r="I12" t="s">
        <v>230</v>
      </c>
    </row>
    <row r="13" spans="1:9" x14ac:dyDescent="0.25">
      <c r="A13" s="3">
        <v>9</v>
      </c>
      <c r="B13" s="3" t="s">
        <v>96</v>
      </c>
      <c r="C13" s="3">
        <v>2500</v>
      </c>
      <c r="D13" s="3">
        <f>'MARCH 20'!G13:G29</f>
        <v>320</v>
      </c>
      <c r="E13" s="3">
        <f t="shared" si="1"/>
        <v>2820</v>
      </c>
      <c r="F13" s="3">
        <v>2500</v>
      </c>
      <c r="G13" s="3">
        <f t="shared" si="0"/>
        <v>320</v>
      </c>
      <c r="H13" s="3"/>
    </row>
    <row r="14" spans="1:9" x14ac:dyDescent="0.25">
      <c r="A14" s="3">
        <v>10</v>
      </c>
      <c r="B14" s="3" t="s">
        <v>56</v>
      </c>
      <c r="C14" s="3"/>
      <c r="D14" s="3">
        <f>'MARCH 20'!G14:G30</f>
        <v>0</v>
      </c>
      <c r="E14" s="3">
        <f t="shared" si="1"/>
        <v>0</v>
      </c>
      <c r="F14" s="3"/>
      <c r="G14" s="3">
        <f t="shared" si="0"/>
        <v>0</v>
      </c>
      <c r="H14" s="3"/>
    </row>
    <row r="15" spans="1:9" x14ac:dyDescent="0.25">
      <c r="A15" s="3">
        <v>11</v>
      </c>
      <c r="B15" s="3" t="s">
        <v>57</v>
      </c>
      <c r="C15" s="3">
        <v>2500</v>
      </c>
      <c r="D15" s="3">
        <f>'MARCH 20'!G15:G31</f>
        <v>300</v>
      </c>
      <c r="E15" s="3">
        <f t="shared" si="1"/>
        <v>2800</v>
      </c>
      <c r="F15" s="3">
        <v>2800</v>
      </c>
      <c r="G15" s="3">
        <f t="shared" si="0"/>
        <v>0</v>
      </c>
      <c r="H15" s="3"/>
      <c r="I15" s="67" t="s">
        <v>219</v>
      </c>
    </row>
    <row r="16" spans="1:9" x14ac:dyDescent="0.25">
      <c r="A16" s="3">
        <v>12</v>
      </c>
      <c r="B16" s="3" t="s">
        <v>165</v>
      </c>
      <c r="C16" s="3">
        <v>2500</v>
      </c>
      <c r="D16" s="3">
        <f>'MARCH 20'!G16:G32</f>
        <v>0</v>
      </c>
      <c r="E16" s="3">
        <f t="shared" si="1"/>
        <v>2500</v>
      </c>
      <c r="F16" s="3">
        <f>1500+1000</f>
        <v>2500</v>
      </c>
      <c r="G16" s="3">
        <f t="shared" si="0"/>
        <v>0</v>
      </c>
      <c r="H16" s="3"/>
      <c r="I16" s="67" t="s">
        <v>218</v>
      </c>
    </row>
    <row r="17" spans="1:14" x14ac:dyDescent="0.25">
      <c r="A17" s="3">
        <v>13</v>
      </c>
      <c r="B17" s="3" t="s">
        <v>19</v>
      </c>
      <c r="C17" s="3">
        <v>2500</v>
      </c>
      <c r="D17" s="3">
        <f>'MARCH 20'!G17:G33</f>
        <v>0</v>
      </c>
      <c r="E17" s="3">
        <f t="shared" si="1"/>
        <v>2500</v>
      </c>
      <c r="F17" s="3">
        <v>2500</v>
      </c>
      <c r="G17" s="3">
        <f t="shared" si="0"/>
        <v>0</v>
      </c>
      <c r="H17" s="3"/>
      <c r="I17" t="s">
        <v>51</v>
      </c>
    </row>
    <row r="18" spans="1:14" x14ac:dyDescent="0.25">
      <c r="A18" s="3">
        <v>14</v>
      </c>
      <c r="B18" s="3" t="s">
        <v>160</v>
      </c>
      <c r="C18" s="3">
        <v>2500</v>
      </c>
      <c r="D18" s="3">
        <f>'MARCH 20'!G18:G34</f>
        <v>0</v>
      </c>
      <c r="E18" s="3">
        <f t="shared" si="1"/>
        <v>2500</v>
      </c>
      <c r="F18" s="3">
        <v>2500</v>
      </c>
      <c r="G18" s="3">
        <f t="shared" si="0"/>
        <v>0</v>
      </c>
      <c r="H18" s="3"/>
      <c r="I18" t="s">
        <v>229</v>
      </c>
    </row>
    <row r="19" spans="1:14" x14ac:dyDescent="0.25">
      <c r="A19" s="3">
        <v>15</v>
      </c>
      <c r="B19" s="3" t="s">
        <v>56</v>
      </c>
      <c r="C19" s="3"/>
      <c r="D19" s="3">
        <f>'MARCH 20'!G19:G35</f>
        <v>0</v>
      </c>
      <c r="E19" s="3">
        <f t="shared" si="1"/>
        <v>0</v>
      </c>
      <c r="F19" s="3"/>
      <c r="G19" s="3">
        <f t="shared" si="0"/>
        <v>0</v>
      </c>
      <c r="H19" s="3"/>
    </row>
    <row r="20" spans="1:14" x14ac:dyDescent="0.25">
      <c r="A20" s="3">
        <v>16</v>
      </c>
      <c r="B20" s="3" t="s">
        <v>127</v>
      </c>
      <c r="C20" s="3">
        <v>2500</v>
      </c>
      <c r="D20" s="3">
        <f>'MARCH 20'!G20:G36</f>
        <v>0</v>
      </c>
      <c r="E20" s="3">
        <f t="shared" si="1"/>
        <v>2500</v>
      </c>
      <c r="F20" s="3">
        <v>2500</v>
      </c>
      <c r="G20" s="3">
        <f t="shared" si="0"/>
        <v>0</v>
      </c>
      <c r="H20" s="3"/>
    </row>
    <row r="21" spans="1:14" x14ac:dyDescent="0.25">
      <c r="A21" s="3">
        <v>17</v>
      </c>
      <c r="B21" s="3" t="s">
        <v>73</v>
      </c>
      <c r="C21" s="3">
        <v>2500</v>
      </c>
      <c r="D21" s="3">
        <f>'MARCH 20'!G21:G37</f>
        <v>0</v>
      </c>
      <c r="E21" s="3">
        <f t="shared" si="1"/>
        <v>2500</v>
      </c>
      <c r="F21" s="62">
        <v>2500</v>
      </c>
      <c r="G21" s="58">
        <f t="shared" si="0"/>
        <v>0</v>
      </c>
      <c r="H21" s="58"/>
    </row>
    <row r="22" spans="1:14" x14ac:dyDescent="0.25">
      <c r="A22" s="2"/>
      <c r="B22" s="4" t="s">
        <v>24</v>
      </c>
      <c r="C22" s="2">
        <f>SUM(C5:C21)</f>
        <v>39000</v>
      </c>
      <c r="D22" s="3">
        <f>SUM(D5:D21)</f>
        <v>1870</v>
      </c>
      <c r="E22" s="2">
        <f>SUM(E5:E21)</f>
        <v>40870</v>
      </c>
      <c r="F22" s="2">
        <f>SUM(F5:F21)</f>
        <v>40300</v>
      </c>
      <c r="G22" s="2">
        <f>SUM(G5:G21)</f>
        <v>570</v>
      </c>
      <c r="H22" s="2"/>
      <c r="I22" s="1"/>
    </row>
    <row r="23" spans="1:14" x14ac:dyDescent="0.25">
      <c r="A23" s="3"/>
      <c r="B23" s="3"/>
      <c r="C23" s="3"/>
      <c r="D23" s="3"/>
      <c r="E23" s="3"/>
      <c r="F23" s="3"/>
      <c r="G23" s="3"/>
      <c r="H23" s="3"/>
    </row>
    <row r="24" spans="1:14" x14ac:dyDescent="0.25">
      <c r="A24" s="12"/>
    </row>
    <row r="25" spans="1:14" ht="18.75" x14ac:dyDescent="0.3">
      <c r="A25" s="12"/>
      <c r="B25" s="51" t="s">
        <v>27</v>
      </c>
      <c r="C25" s="52"/>
      <c r="D25" s="52"/>
      <c r="E25" s="52"/>
      <c r="F25" s="52"/>
      <c r="G25" s="52"/>
      <c r="H25" s="53"/>
      <c r="I25" s="53"/>
      <c r="J25" s="1" t="s">
        <v>212</v>
      </c>
      <c r="K25" s="1">
        <f>F22</f>
        <v>40300</v>
      </c>
      <c r="L25" s="1"/>
    </row>
    <row r="26" spans="1:14" ht="15.75" x14ac:dyDescent="0.25">
      <c r="A26" s="12"/>
      <c r="B26" s="54" t="s">
        <v>28</v>
      </c>
      <c r="C26" s="54" t="s">
        <v>29</v>
      </c>
      <c r="D26" s="54" t="s">
        <v>30</v>
      </c>
      <c r="E26" s="54" t="s">
        <v>62</v>
      </c>
      <c r="F26" s="54" t="s">
        <v>69</v>
      </c>
      <c r="G26" s="54" t="s">
        <v>29</v>
      </c>
      <c r="H26" s="54" t="s">
        <v>30</v>
      </c>
      <c r="I26" s="54" t="s">
        <v>62</v>
      </c>
      <c r="J26" s="65" t="s">
        <v>213</v>
      </c>
      <c r="K26" s="1">
        <f>H27*G27</f>
        <v>4030</v>
      </c>
      <c r="L26" s="1"/>
    </row>
    <row r="27" spans="1:14" x14ac:dyDescent="0.25">
      <c r="A27" s="12"/>
      <c r="B27" s="55" t="s">
        <v>71</v>
      </c>
      <c r="C27" s="50">
        <f>C22</f>
        <v>39000</v>
      </c>
      <c r="D27" s="56">
        <v>0.1</v>
      </c>
      <c r="E27" s="50"/>
      <c r="F27" s="57" t="s">
        <v>71</v>
      </c>
      <c r="G27" s="50">
        <f>F22</f>
        <v>40300</v>
      </c>
      <c r="H27" s="56">
        <v>0.1</v>
      </c>
      <c r="I27" s="58"/>
      <c r="J27" s="1" t="s">
        <v>3</v>
      </c>
      <c r="K27" s="66">
        <v>5378</v>
      </c>
      <c r="L27" s="1"/>
    </row>
    <row r="28" spans="1:14" x14ac:dyDescent="0.25">
      <c r="A28" s="12"/>
      <c r="B28" s="58" t="s">
        <v>55</v>
      </c>
      <c r="C28" s="50">
        <f>'MARCH 20'!E38</f>
        <v>-3508</v>
      </c>
      <c r="D28" s="58"/>
      <c r="E28" s="58"/>
      <c r="F28" s="58" t="s">
        <v>55</v>
      </c>
      <c r="G28" s="50">
        <f>'MARCH 20'!I38</f>
        <v>-5378</v>
      </c>
      <c r="H28" s="58"/>
      <c r="I28" s="58"/>
      <c r="J28" s="1" t="s">
        <v>51</v>
      </c>
      <c r="K28" s="1">
        <f>D33</f>
        <v>6500</v>
      </c>
      <c r="L28" s="1"/>
    </row>
    <row r="29" spans="1:14" x14ac:dyDescent="0.25">
      <c r="A29" s="12"/>
      <c r="B29" s="58"/>
      <c r="C29" s="50"/>
      <c r="D29" s="58"/>
      <c r="E29" s="58"/>
      <c r="F29" s="58"/>
      <c r="G29" s="50"/>
      <c r="H29" s="58"/>
      <c r="I29" s="58"/>
      <c r="J29" s="66"/>
      <c r="K29" s="1"/>
      <c r="L29" s="1"/>
      <c r="M29" s="43">
        <f>G27-H30</f>
        <v>36400</v>
      </c>
    </row>
    <row r="30" spans="1:14" x14ac:dyDescent="0.25">
      <c r="A30" s="12"/>
      <c r="B30" s="58" t="s">
        <v>33</v>
      </c>
      <c r="C30" s="59"/>
      <c r="D30" s="58">
        <f>C27*D27</f>
        <v>3900</v>
      </c>
      <c r="E30" s="58"/>
      <c r="F30" s="58" t="s">
        <v>33</v>
      </c>
      <c r="G30" s="59"/>
      <c r="H30" s="58">
        <f>H27*C27</f>
        <v>3900</v>
      </c>
      <c r="I30" s="58"/>
      <c r="J30" s="66" t="s">
        <v>62</v>
      </c>
      <c r="K30" s="66">
        <f>K25-K26-K27-K28</f>
        <v>24392</v>
      </c>
      <c r="L30" s="1"/>
      <c r="M30" s="43">
        <f>M29-5000</f>
        <v>31400</v>
      </c>
    </row>
    <row r="31" spans="1:14" x14ac:dyDescent="0.25">
      <c r="A31" s="12"/>
      <c r="B31" s="60" t="s">
        <v>34</v>
      </c>
      <c r="C31" s="58"/>
      <c r="D31" s="58"/>
      <c r="E31" s="58"/>
      <c r="F31" s="60" t="s">
        <v>34</v>
      </c>
      <c r="G31" s="58"/>
      <c r="H31" s="58"/>
      <c r="I31" s="58"/>
      <c r="J31" s="66" t="s">
        <v>212</v>
      </c>
      <c r="K31" s="1">
        <v>5000</v>
      </c>
      <c r="L31" s="1"/>
      <c r="M31" s="43">
        <f>M30-H35</f>
        <v>30344</v>
      </c>
      <c r="N31" s="43">
        <f>M30-5067</f>
        <v>26333</v>
      </c>
    </row>
    <row r="32" spans="1:14" x14ac:dyDescent="0.25">
      <c r="A32" s="12"/>
      <c r="B32" s="3" t="s">
        <v>161</v>
      </c>
      <c r="C32" s="3"/>
      <c r="D32" s="3"/>
      <c r="E32" s="3"/>
      <c r="F32" s="3" t="s">
        <v>161</v>
      </c>
      <c r="G32" s="3"/>
      <c r="H32" s="3"/>
      <c r="I32" s="58"/>
      <c r="K32" s="43">
        <f>K30-K31</f>
        <v>19392</v>
      </c>
      <c r="M32" s="43">
        <f>M31-6500</f>
        <v>23844</v>
      </c>
      <c r="N32" s="43">
        <f>N31-H35</f>
        <v>25277</v>
      </c>
    </row>
    <row r="33" spans="1:13" x14ac:dyDescent="0.25">
      <c r="A33" s="12"/>
      <c r="B33" s="62" t="s">
        <v>211</v>
      </c>
      <c r="C33" s="58"/>
      <c r="D33" s="58">
        <f>C5+C11</f>
        <v>6500</v>
      </c>
      <c r="E33" s="58"/>
      <c r="F33" s="62" t="s">
        <v>52</v>
      </c>
      <c r="G33" s="58"/>
      <c r="H33" s="58">
        <f>C5+C11</f>
        <v>6500</v>
      </c>
      <c r="I33" s="58"/>
      <c r="J33" s="66" t="s">
        <v>5</v>
      </c>
      <c r="K33" s="1">
        <v>1056</v>
      </c>
      <c r="M33" s="43">
        <f>M32-5067</f>
        <v>18777</v>
      </c>
    </row>
    <row r="34" spans="1:13" x14ac:dyDescent="0.25">
      <c r="A34" s="12"/>
      <c r="B34" s="62" t="s">
        <v>214</v>
      </c>
      <c r="D34" s="58">
        <v>5000</v>
      </c>
      <c r="E34" s="58"/>
      <c r="F34" s="62" t="s">
        <v>214</v>
      </c>
      <c r="H34" s="58">
        <v>5000</v>
      </c>
      <c r="I34" s="58"/>
      <c r="K34" s="43">
        <f>K32-K33</f>
        <v>18336</v>
      </c>
    </row>
    <row r="35" spans="1:13" x14ac:dyDescent="0.25">
      <c r="A35" s="12"/>
      <c r="B35" s="62" t="s">
        <v>215</v>
      </c>
      <c r="C35" s="50"/>
      <c r="D35" s="50">
        <v>1056</v>
      </c>
      <c r="E35" s="50"/>
      <c r="F35" s="62" t="s">
        <v>215</v>
      </c>
      <c r="G35" s="50"/>
      <c r="H35" s="50">
        <v>1056</v>
      </c>
      <c r="I35" s="58"/>
    </row>
    <row r="36" spans="1:13" x14ac:dyDescent="0.25">
      <c r="A36" s="12"/>
      <c r="B36" s="62" t="s">
        <v>216</v>
      </c>
      <c r="C36" s="50"/>
      <c r="D36" s="50">
        <v>2600</v>
      </c>
      <c r="E36" s="50"/>
      <c r="F36" s="62" t="s">
        <v>216</v>
      </c>
      <c r="G36" s="50"/>
      <c r="H36" s="50">
        <v>2600</v>
      </c>
      <c r="I36" s="58"/>
    </row>
    <row r="37" spans="1:13" x14ac:dyDescent="0.25">
      <c r="A37" s="12"/>
      <c r="B37" s="62" t="s">
        <v>247</v>
      </c>
      <c r="C37" s="50"/>
      <c r="D37" s="50">
        <f>C7+C8+500</f>
        <v>5500</v>
      </c>
      <c r="E37" s="50"/>
      <c r="F37" s="62" t="s">
        <v>217</v>
      </c>
      <c r="G37" s="50" t="s">
        <v>244</v>
      </c>
      <c r="H37" s="50">
        <f>C7+C16+500</f>
        <v>5500</v>
      </c>
      <c r="I37" s="58"/>
    </row>
    <row r="38" spans="1:13" x14ac:dyDescent="0.25">
      <c r="A38" s="12"/>
      <c r="B38" s="62" t="s">
        <v>220</v>
      </c>
      <c r="C38" s="50" t="s">
        <v>244</v>
      </c>
      <c r="D38" s="50">
        <f>C7+E15+1000</f>
        <v>6300</v>
      </c>
      <c r="E38" s="50"/>
      <c r="F38" s="62" t="s">
        <v>220</v>
      </c>
      <c r="G38" s="50" t="s">
        <v>244</v>
      </c>
      <c r="H38" s="50">
        <f>D38</f>
        <v>6300</v>
      </c>
      <c r="I38" s="58"/>
    </row>
    <row r="39" spans="1:13" x14ac:dyDescent="0.25">
      <c r="A39" s="12"/>
      <c r="B39" s="62" t="s">
        <v>248</v>
      </c>
      <c r="C39" s="50"/>
      <c r="D39" s="50">
        <f>C12+C18+500</f>
        <v>5500</v>
      </c>
      <c r="E39" s="50"/>
      <c r="F39" s="62" t="s">
        <v>232</v>
      </c>
      <c r="G39" s="50" t="s">
        <v>244</v>
      </c>
      <c r="H39" s="50">
        <f>D39</f>
        <v>5500</v>
      </c>
      <c r="I39" s="58"/>
      <c r="J39" s="43"/>
    </row>
    <row r="40" spans="1:13" x14ac:dyDescent="0.25">
      <c r="A40" s="12"/>
      <c r="B40" s="55" t="s">
        <v>24</v>
      </c>
      <c r="C40" s="63">
        <f>C27+C28+C29-D30</f>
        <v>31592</v>
      </c>
      <c r="D40" s="55">
        <f>SUM(D32:D39)</f>
        <v>32456</v>
      </c>
      <c r="E40" s="63">
        <f>C40-D40</f>
        <v>-864</v>
      </c>
      <c r="F40" s="57"/>
      <c r="G40" s="63">
        <f>G27+G28-H30</f>
        <v>31022</v>
      </c>
      <c r="H40" s="63">
        <f>SUM(H32:H39)</f>
        <v>32456</v>
      </c>
      <c r="I40" s="63">
        <f>G40-H40</f>
        <v>-1434</v>
      </c>
    </row>
    <row r="41" spans="1:13" x14ac:dyDescent="0.25">
      <c r="J41" s="43"/>
    </row>
    <row r="43" spans="1:13" x14ac:dyDescent="0.25">
      <c r="B43" s="12" t="s">
        <v>38</v>
      </c>
      <c r="D43" s="12" t="s">
        <v>36</v>
      </c>
      <c r="F43" s="12"/>
      <c r="G43" s="12" t="s">
        <v>37</v>
      </c>
      <c r="H43">
        <f>934-570</f>
        <v>364</v>
      </c>
      <c r="I43" s="43"/>
      <c r="K43" s="43"/>
      <c r="L43" s="43"/>
    </row>
    <row r="44" spans="1:13" x14ac:dyDescent="0.25">
      <c r="D44" s="12"/>
      <c r="F44" s="12"/>
      <c r="G44" s="12"/>
    </row>
    <row r="45" spans="1:13" x14ac:dyDescent="0.25">
      <c r="B45" t="s">
        <v>163</v>
      </c>
      <c r="D45" t="s">
        <v>66</v>
      </c>
      <c r="G45" t="s">
        <v>10</v>
      </c>
    </row>
  </sheetData>
  <pageMargins left="0.7" right="0.7" top="0.75" bottom="0.75" header="0.3" footer="0.3"/>
  <pageSetup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opLeftCell="A16" workbookViewId="0">
      <selection activeCell="J47" sqref="J47"/>
    </sheetView>
  </sheetViews>
  <sheetFormatPr defaultRowHeight="15" x14ac:dyDescent="0.25"/>
  <cols>
    <col min="1" max="1" width="3.85546875" customWidth="1"/>
    <col min="2" max="2" width="18.42578125" customWidth="1"/>
  </cols>
  <sheetData>
    <row r="1" spans="1:11" ht="18.75" x14ac:dyDescent="0.25">
      <c r="C1" s="38" t="s">
        <v>59</v>
      </c>
      <c r="D1" s="39"/>
      <c r="E1" s="36"/>
      <c r="F1" s="34"/>
    </row>
    <row r="2" spans="1:11" ht="18.75" x14ac:dyDescent="0.25">
      <c r="C2" s="38" t="s">
        <v>60</v>
      </c>
      <c r="D2" s="38"/>
      <c r="E2" s="11"/>
      <c r="F2" s="11"/>
    </row>
    <row r="3" spans="1:11" ht="18.75" x14ac:dyDescent="0.25">
      <c r="C3" s="38" t="s">
        <v>221</v>
      </c>
      <c r="D3" s="38"/>
      <c r="E3" s="11"/>
      <c r="F3" s="11"/>
    </row>
    <row r="4" spans="1:11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/>
      <c r="I4" s="1"/>
    </row>
    <row r="5" spans="1:11" x14ac:dyDescent="0.25">
      <c r="A5" s="3">
        <v>1</v>
      </c>
      <c r="B5" s="3" t="s">
        <v>91</v>
      </c>
      <c r="C5" s="3">
        <v>4000</v>
      </c>
      <c r="D5" s="3">
        <f>'APRIL 20'!G5:G21</f>
        <v>0</v>
      </c>
      <c r="E5" s="3">
        <f>C5+D5</f>
        <v>4000</v>
      </c>
      <c r="F5" s="3">
        <v>4000</v>
      </c>
      <c r="G5" s="3">
        <f>E5-F5</f>
        <v>0</v>
      </c>
      <c r="H5" s="3"/>
      <c r="I5" t="s">
        <v>51</v>
      </c>
    </row>
    <row r="6" spans="1:11" x14ac:dyDescent="0.25">
      <c r="A6" s="3">
        <v>2</v>
      </c>
      <c r="B6" t="s">
        <v>126</v>
      </c>
      <c r="C6" s="3">
        <v>2500</v>
      </c>
      <c r="D6" s="3">
        <f>'APRIL 20'!G6:G22</f>
        <v>0</v>
      </c>
      <c r="E6" s="3">
        <f>C6+D6</f>
        <v>2500</v>
      </c>
      <c r="F6" s="3">
        <v>2500</v>
      </c>
      <c r="G6" s="3">
        <f t="shared" ref="G6:G21" si="0">E6-F6</f>
        <v>0</v>
      </c>
      <c r="H6" s="3"/>
    </row>
    <row r="7" spans="1:11" x14ac:dyDescent="0.25">
      <c r="A7" s="3">
        <v>3</v>
      </c>
      <c r="B7" s="3" t="s">
        <v>195</v>
      </c>
      <c r="C7" s="3">
        <v>2500</v>
      </c>
      <c r="D7" s="3">
        <f>'APRIL 20'!G7:G23</f>
        <v>0</v>
      </c>
      <c r="E7" s="3">
        <f t="shared" ref="E7:E21" si="1">C7+D7</f>
        <v>2500</v>
      </c>
      <c r="F7" s="3">
        <v>2500</v>
      </c>
      <c r="G7" s="3">
        <f t="shared" si="0"/>
        <v>0</v>
      </c>
      <c r="H7" s="3"/>
      <c r="I7" t="s">
        <v>236</v>
      </c>
    </row>
    <row r="8" spans="1:11" x14ac:dyDescent="0.25">
      <c r="A8" s="3">
        <v>4</v>
      </c>
      <c r="B8" s="3" t="s">
        <v>74</v>
      </c>
      <c r="C8" s="3">
        <v>2500</v>
      </c>
      <c r="D8" s="3">
        <f>'APRIL 20'!G8:G24</f>
        <v>0</v>
      </c>
      <c r="E8" s="3">
        <f t="shared" si="1"/>
        <v>2500</v>
      </c>
      <c r="F8" s="3">
        <f>500+2000</f>
        <v>2500</v>
      </c>
      <c r="G8" s="3">
        <f t="shared" si="0"/>
        <v>0</v>
      </c>
      <c r="H8" s="3"/>
      <c r="I8" t="s">
        <v>225</v>
      </c>
    </row>
    <row r="9" spans="1:11" x14ac:dyDescent="0.25">
      <c r="A9" s="3">
        <v>5</v>
      </c>
      <c r="B9" s="3" t="s">
        <v>86</v>
      </c>
      <c r="C9" s="3">
        <v>2500</v>
      </c>
      <c r="D9" s="3">
        <f>'APRIL 20'!G9:G25</f>
        <v>250</v>
      </c>
      <c r="E9" s="3">
        <f>C9+D9</f>
        <v>2750</v>
      </c>
      <c r="F9" s="3">
        <v>2500</v>
      </c>
      <c r="G9" s="3">
        <f t="shared" si="0"/>
        <v>250</v>
      </c>
      <c r="H9" s="3"/>
    </row>
    <row r="10" spans="1:11" x14ac:dyDescent="0.25">
      <c r="A10" s="3">
        <v>6</v>
      </c>
      <c r="B10" s="64" t="s">
        <v>154</v>
      </c>
      <c r="C10" s="3">
        <v>2500</v>
      </c>
      <c r="D10" s="3">
        <f>'APRIL 20'!G10:G26</f>
        <v>0</v>
      </c>
      <c r="E10" s="3">
        <f>C10+D10</f>
        <v>2500</v>
      </c>
      <c r="F10" s="3">
        <v>2500</v>
      </c>
      <c r="G10" s="3">
        <f t="shared" si="0"/>
        <v>0</v>
      </c>
      <c r="H10" s="3"/>
    </row>
    <row r="11" spans="1:11" x14ac:dyDescent="0.25">
      <c r="A11" s="3">
        <v>7</v>
      </c>
      <c r="B11" s="3" t="s">
        <v>13</v>
      </c>
      <c r="C11" s="3">
        <v>2500</v>
      </c>
      <c r="D11" s="3">
        <f>'APRIL 20'!G11:G27</f>
        <v>0</v>
      </c>
      <c r="E11" s="3">
        <f t="shared" si="1"/>
        <v>2500</v>
      </c>
      <c r="F11" s="3">
        <v>2500</v>
      </c>
      <c r="G11" s="3">
        <f t="shared" si="0"/>
        <v>0</v>
      </c>
      <c r="H11" s="3"/>
      <c r="I11" t="s">
        <v>51</v>
      </c>
      <c r="K11">
        <f>F5+F11+F15+F16+F17</f>
        <v>14000</v>
      </c>
    </row>
    <row r="12" spans="1:11" x14ac:dyDescent="0.25">
      <c r="A12" s="3">
        <v>8</v>
      </c>
      <c r="B12" s="3" t="s">
        <v>105</v>
      </c>
      <c r="C12" s="3">
        <v>2500</v>
      </c>
      <c r="D12" s="3">
        <f>'APRIL 20'!G12:G28</f>
        <v>0</v>
      </c>
      <c r="E12" s="3">
        <f t="shared" si="1"/>
        <v>2500</v>
      </c>
      <c r="F12" s="3">
        <v>2500</v>
      </c>
      <c r="G12" s="3">
        <f t="shared" si="0"/>
        <v>0</v>
      </c>
      <c r="H12" s="3"/>
      <c r="I12" t="s">
        <v>51</v>
      </c>
    </row>
    <row r="13" spans="1:11" x14ac:dyDescent="0.25">
      <c r="A13" s="3">
        <v>9</v>
      </c>
      <c r="B13" s="3" t="s">
        <v>96</v>
      </c>
      <c r="C13" s="3">
        <v>2500</v>
      </c>
      <c r="D13" s="3">
        <f>'APRIL 20'!G13:G29</f>
        <v>320</v>
      </c>
      <c r="E13" s="3">
        <f t="shared" si="1"/>
        <v>2820</v>
      </c>
      <c r="F13" s="3">
        <v>2500</v>
      </c>
      <c r="G13" s="3">
        <f t="shared" si="0"/>
        <v>320</v>
      </c>
      <c r="H13" s="3"/>
      <c r="I13" t="s">
        <v>51</v>
      </c>
    </row>
    <row r="14" spans="1:11" x14ac:dyDescent="0.25">
      <c r="A14" s="3">
        <v>10</v>
      </c>
      <c r="B14" s="3" t="s">
        <v>56</v>
      </c>
      <c r="C14" s="3"/>
      <c r="D14" s="3">
        <f>'APRIL 20'!G14:G30</f>
        <v>0</v>
      </c>
      <c r="E14" s="3">
        <f t="shared" si="1"/>
        <v>0</v>
      </c>
      <c r="F14" s="3"/>
      <c r="G14" s="3">
        <f t="shared" si="0"/>
        <v>0</v>
      </c>
      <c r="H14" s="3"/>
    </row>
    <row r="15" spans="1:11" x14ac:dyDescent="0.25">
      <c r="A15" s="3">
        <v>11</v>
      </c>
      <c r="B15" s="3" t="s">
        <v>57</v>
      </c>
      <c r="C15" s="3">
        <v>2500</v>
      </c>
      <c r="D15" s="3">
        <f>'APRIL 20'!G15:G31</f>
        <v>0</v>
      </c>
      <c r="E15" s="3">
        <f t="shared" si="1"/>
        <v>2500</v>
      </c>
      <c r="F15" s="3">
        <v>2500</v>
      </c>
      <c r="G15" s="3">
        <f t="shared" si="0"/>
        <v>0</v>
      </c>
      <c r="H15" s="3"/>
      <c r="I15" t="s">
        <v>227</v>
      </c>
    </row>
    <row r="16" spans="1:11" x14ac:dyDescent="0.25">
      <c r="A16" s="3">
        <v>12</v>
      </c>
      <c r="B16" s="3" t="s">
        <v>165</v>
      </c>
      <c r="C16" s="3">
        <v>2500</v>
      </c>
      <c r="D16" s="3">
        <f>'APRIL 20'!G16:G32</f>
        <v>0</v>
      </c>
      <c r="E16" s="3">
        <f t="shared" si="1"/>
        <v>2500</v>
      </c>
      <c r="F16" s="3">
        <v>2500</v>
      </c>
      <c r="G16" s="3">
        <f t="shared" si="0"/>
        <v>0</v>
      </c>
      <c r="H16" s="3"/>
      <c r="I16" t="s">
        <v>51</v>
      </c>
    </row>
    <row r="17" spans="1:12" x14ac:dyDescent="0.25">
      <c r="A17" s="3">
        <v>13</v>
      </c>
      <c r="B17" s="3" t="s">
        <v>19</v>
      </c>
      <c r="C17" s="3">
        <v>2500</v>
      </c>
      <c r="D17" s="3">
        <f>'APRIL 20'!G17:G33</f>
        <v>0</v>
      </c>
      <c r="E17" s="3">
        <f t="shared" si="1"/>
        <v>2500</v>
      </c>
      <c r="F17" s="3">
        <v>2500</v>
      </c>
      <c r="G17" s="3">
        <f t="shared" si="0"/>
        <v>0</v>
      </c>
      <c r="H17" s="3"/>
      <c r="I17" t="s">
        <v>51</v>
      </c>
    </row>
    <row r="18" spans="1:12" x14ac:dyDescent="0.25">
      <c r="A18" s="3">
        <v>14</v>
      </c>
      <c r="B18" s="3" t="s">
        <v>160</v>
      </c>
      <c r="C18" s="3">
        <v>2500</v>
      </c>
      <c r="D18" s="3">
        <f>'APRIL 20'!G18:G34</f>
        <v>0</v>
      </c>
      <c r="E18" s="3">
        <f t="shared" si="1"/>
        <v>2500</v>
      </c>
      <c r="F18" s="3">
        <v>2500</v>
      </c>
      <c r="G18" s="3">
        <f t="shared" si="0"/>
        <v>0</v>
      </c>
      <c r="H18" s="3"/>
      <c r="I18" t="s">
        <v>51</v>
      </c>
    </row>
    <row r="19" spans="1:12" x14ac:dyDescent="0.25">
      <c r="A19" s="3">
        <v>15</v>
      </c>
      <c r="B19" s="3" t="s">
        <v>56</v>
      </c>
      <c r="C19" s="3"/>
      <c r="D19" s="3">
        <f>'APRIL 20'!G19:G35</f>
        <v>0</v>
      </c>
      <c r="E19" s="3">
        <f t="shared" si="1"/>
        <v>0</v>
      </c>
      <c r="F19" s="3"/>
      <c r="G19" s="3">
        <f t="shared" si="0"/>
        <v>0</v>
      </c>
      <c r="H19" s="3"/>
    </row>
    <row r="20" spans="1:12" x14ac:dyDescent="0.25">
      <c r="A20" s="3">
        <v>16</v>
      </c>
      <c r="B20" s="3" t="s">
        <v>56</v>
      </c>
      <c r="C20" s="3"/>
      <c r="D20" s="3">
        <f>'APRIL 20'!G20:G36</f>
        <v>0</v>
      </c>
      <c r="E20" s="3">
        <f t="shared" si="1"/>
        <v>0</v>
      </c>
      <c r="F20" s="3"/>
      <c r="G20" s="3">
        <f t="shared" si="0"/>
        <v>0</v>
      </c>
      <c r="H20" s="3"/>
    </row>
    <row r="21" spans="1:12" x14ac:dyDescent="0.25">
      <c r="A21" s="3">
        <v>17</v>
      </c>
      <c r="B21" s="3" t="s">
        <v>73</v>
      </c>
      <c r="C21" s="3">
        <v>2500</v>
      </c>
      <c r="D21" s="3">
        <f>'APRIL 20'!G21:G37</f>
        <v>0</v>
      </c>
      <c r="E21" s="3">
        <f t="shared" si="1"/>
        <v>2500</v>
      </c>
      <c r="F21" s="62">
        <v>2500</v>
      </c>
      <c r="G21" s="58">
        <f t="shared" si="0"/>
        <v>0</v>
      </c>
      <c r="H21" s="58"/>
    </row>
    <row r="22" spans="1:12" x14ac:dyDescent="0.25">
      <c r="A22" s="2"/>
      <c r="B22" s="4" t="s">
        <v>24</v>
      </c>
      <c r="C22" s="2">
        <f>SUM(C5:C21)</f>
        <v>36500</v>
      </c>
      <c r="D22" s="3">
        <f>SUM(D5:D21)</f>
        <v>570</v>
      </c>
      <c r="E22" s="2">
        <f>SUM(E5:E21)</f>
        <v>37070</v>
      </c>
      <c r="F22" s="2">
        <f>SUM(F5:F21)</f>
        <v>36500</v>
      </c>
      <c r="G22" s="2">
        <f>SUM(G5:G21)</f>
        <v>570</v>
      </c>
      <c r="H22" s="2"/>
      <c r="I22" s="1"/>
    </row>
    <row r="23" spans="1:12" x14ac:dyDescent="0.25">
      <c r="A23" s="3"/>
      <c r="B23" s="3"/>
      <c r="C23" s="3"/>
      <c r="D23" s="3"/>
      <c r="E23" s="3"/>
      <c r="F23" s="3"/>
      <c r="G23" s="3"/>
      <c r="H23" s="3"/>
    </row>
    <row r="24" spans="1:12" x14ac:dyDescent="0.25">
      <c r="A24" s="12"/>
    </row>
    <row r="25" spans="1:12" ht="18.75" x14ac:dyDescent="0.3">
      <c r="A25" s="12"/>
      <c r="B25" s="51" t="s">
        <v>27</v>
      </c>
      <c r="C25" s="52"/>
      <c r="D25" s="52"/>
      <c r="E25" s="52"/>
      <c r="F25" s="52"/>
      <c r="G25" s="52"/>
      <c r="H25" s="53"/>
      <c r="I25" s="53"/>
      <c r="J25" s="1" t="s">
        <v>212</v>
      </c>
      <c r="K25" s="1"/>
      <c r="L25" s="1"/>
    </row>
    <row r="26" spans="1:12" ht="15.75" x14ac:dyDescent="0.25">
      <c r="A26" s="12"/>
      <c r="B26" s="54" t="s">
        <v>28</v>
      </c>
      <c r="C26" s="54" t="s">
        <v>29</v>
      </c>
      <c r="D26" s="54" t="s">
        <v>30</v>
      </c>
      <c r="E26" s="54" t="s">
        <v>62</v>
      </c>
      <c r="F26" s="54" t="s">
        <v>69</v>
      </c>
      <c r="G26" s="54" t="s">
        <v>29</v>
      </c>
      <c r="H26" s="54" t="s">
        <v>30</v>
      </c>
      <c r="I26" s="54" t="s">
        <v>62</v>
      </c>
      <c r="J26" s="65" t="s">
        <v>213</v>
      </c>
      <c r="K26" s="1"/>
      <c r="L26" s="1"/>
    </row>
    <row r="27" spans="1:12" x14ac:dyDescent="0.25">
      <c r="A27" s="12"/>
      <c r="B27" s="55" t="s">
        <v>77</v>
      </c>
      <c r="C27" s="50">
        <f>C22</f>
        <v>36500</v>
      </c>
      <c r="D27" s="56">
        <v>0.1</v>
      </c>
      <c r="E27" s="50"/>
      <c r="F27" s="57" t="s">
        <v>77</v>
      </c>
      <c r="G27" s="50">
        <f>F22</f>
        <v>36500</v>
      </c>
      <c r="H27" s="56">
        <v>0.1</v>
      </c>
      <c r="I27" s="58"/>
      <c r="J27" s="1" t="s">
        <v>3</v>
      </c>
      <c r="K27" s="66"/>
      <c r="L27" s="1"/>
    </row>
    <row r="28" spans="1:12" x14ac:dyDescent="0.25">
      <c r="A28" s="12"/>
      <c r="B28" s="58" t="s">
        <v>55</v>
      </c>
      <c r="C28" s="50">
        <f>'APRIL 20'!E40</f>
        <v>-864</v>
      </c>
      <c r="D28" s="58"/>
      <c r="E28" s="58"/>
      <c r="F28" s="58" t="s">
        <v>55</v>
      </c>
      <c r="G28" s="50">
        <f>'APRIL 20'!I40</f>
        <v>-1434</v>
      </c>
      <c r="H28" s="58"/>
      <c r="I28" s="58"/>
      <c r="J28" s="1" t="s">
        <v>51</v>
      </c>
      <c r="K28" s="1"/>
      <c r="L28" s="1"/>
    </row>
    <row r="29" spans="1:12" x14ac:dyDescent="0.25">
      <c r="A29" s="12"/>
      <c r="B29" s="58"/>
      <c r="C29" s="50"/>
      <c r="D29" s="58"/>
      <c r="E29" s="58"/>
      <c r="F29" s="58"/>
      <c r="G29" s="50"/>
      <c r="H29" s="58"/>
      <c r="I29" s="58"/>
      <c r="J29" s="66"/>
      <c r="K29" s="1"/>
      <c r="L29" s="1"/>
    </row>
    <row r="30" spans="1:12" x14ac:dyDescent="0.25">
      <c r="A30" s="12"/>
      <c r="B30" s="58" t="s">
        <v>33</v>
      </c>
      <c r="C30" s="59"/>
      <c r="D30" s="58">
        <f>C27*D27</f>
        <v>3650</v>
      </c>
      <c r="E30" s="58"/>
      <c r="F30" s="58" t="s">
        <v>33</v>
      </c>
      <c r="G30" s="59"/>
      <c r="H30" s="58">
        <f>H27*C27</f>
        <v>3650</v>
      </c>
      <c r="I30" s="58"/>
      <c r="J30" s="66" t="s">
        <v>62</v>
      </c>
      <c r="K30" s="66"/>
      <c r="L30" s="1"/>
    </row>
    <row r="31" spans="1:12" x14ac:dyDescent="0.25">
      <c r="A31" s="12"/>
      <c r="B31" s="60" t="s">
        <v>34</v>
      </c>
      <c r="C31" s="58"/>
      <c r="D31" s="58"/>
      <c r="E31" s="58"/>
      <c r="F31" s="60" t="s">
        <v>34</v>
      </c>
      <c r="G31" s="58"/>
      <c r="H31" s="58"/>
      <c r="I31" s="58"/>
      <c r="J31" s="66" t="s">
        <v>212</v>
      </c>
      <c r="K31" s="1"/>
      <c r="L31" s="1"/>
    </row>
    <row r="32" spans="1:12" x14ac:dyDescent="0.25">
      <c r="A32" s="12"/>
      <c r="B32" s="3" t="s">
        <v>161</v>
      </c>
      <c r="C32" s="3"/>
      <c r="D32" s="3"/>
      <c r="E32" s="3"/>
      <c r="F32" s="3" t="s">
        <v>161</v>
      </c>
      <c r="G32" s="3"/>
      <c r="H32" s="3"/>
      <c r="I32" s="58"/>
      <c r="K32" s="43"/>
    </row>
    <row r="33" spans="1:12" x14ac:dyDescent="0.25">
      <c r="A33" s="12"/>
      <c r="B33" s="62" t="s">
        <v>211</v>
      </c>
      <c r="C33" s="58"/>
      <c r="D33" s="58"/>
      <c r="E33" s="58"/>
      <c r="F33" s="62" t="s">
        <v>52</v>
      </c>
      <c r="G33" s="58"/>
      <c r="H33" s="58"/>
      <c r="I33" s="58"/>
      <c r="J33" s="66" t="s">
        <v>5</v>
      </c>
      <c r="K33" s="1"/>
    </row>
    <row r="34" spans="1:12" x14ac:dyDescent="0.25">
      <c r="A34" s="12"/>
      <c r="B34" s="62" t="s">
        <v>222</v>
      </c>
      <c r="D34" s="58">
        <v>1300</v>
      </c>
      <c r="E34" s="58"/>
      <c r="F34" s="62" t="s">
        <v>222</v>
      </c>
      <c r="H34" s="58">
        <v>1300</v>
      </c>
      <c r="I34" s="58"/>
      <c r="K34" s="43"/>
    </row>
    <row r="35" spans="1:12" x14ac:dyDescent="0.25">
      <c r="A35" s="12"/>
      <c r="B35" s="62" t="s">
        <v>223</v>
      </c>
      <c r="C35" s="50"/>
      <c r="D35" s="50">
        <v>2250</v>
      </c>
      <c r="E35" s="50"/>
      <c r="F35" s="62" t="s">
        <v>223</v>
      </c>
      <c r="G35" s="50"/>
      <c r="H35" s="50">
        <v>2250</v>
      </c>
      <c r="I35" s="58"/>
    </row>
    <row r="36" spans="1:12" x14ac:dyDescent="0.25">
      <c r="A36" s="12"/>
      <c r="B36" s="62" t="s">
        <v>224</v>
      </c>
      <c r="C36" s="50"/>
      <c r="D36" s="50">
        <v>4500</v>
      </c>
      <c r="E36" s="50"/>
      <c r="F36" s="62" t="s">
        <v>224</v>
      </c>
      <c r="G36" s="50"/>
      <c r="H36" s="50">
        <v>4500</v>
      </c>
      <c r="I36" s="58"/>
    </row>
    <row r="37" spans="1:12" x14ac:dyDescent="0.25">
      <c r="A37" s="12"/>
      <c r="B37" s="62" t="s">
        <v>245</v>
      </c>
      <c r="C37" s="50"/>
      <c r="D37" s="50">
        <f>C5+C11</f>
        <v>6500</v>
      </c>
      <c r="E37" s="50"/>
      <c r="F37" s="62" t="s">
        <v>226</v>
      </c>
      <c r="G37" s="50" t="s">
        <v>244</v>
      </c>
      <c r="H37" s="50">
        <f>D37</f>
        <v>6500</v>
      </c>
      <c r="I37" s="58"/>
    </row>
    <row r="38" spans="1:12" x14ac:dyDescent="0.25">
      <c r="A38" s="12"/>
      <c r="B38" s="62" t="s">
        <v>228</v>
      </c>
      <c r="C38" s="50" t="s">
        <v>244</v>
      </c>
      <c r="D38" s="50">
        <f>C15+C16</f>
        <v>5000</v>
      </c>
      <c r="E38" s="50"/>
      <c r="F38" s="62" t="s">
        <v>228</v>
      </c>
      <c r="G38" s="50" t="s">
        <v>244</v>
      </c>
      <c r="H38" s="50">
        <f>D38</f>
        <v>5000</v>
      </c>
      <c r="I38" s="58"/>
    </row>
    <row r="39" spans="1:12" x14ac:dyDescent="0.25">
      <c r="A39" s="12"/>
      <c r="B39" s="62" t="s">
        <v>243</v>
      </c>
      <c r="C39" s="50"/>
      <c r="D39" s="50">
        <f>C17+500+2000</f>
        <v>5000</v>
      </c>
      <c r="E39" s="50"/>
      <c r="F39" s="62" t="s">
        <v>246</v>
      </c>
      <c r="G39" s="50"/>
      <c r="H39" s="50">
        <f>D39</f>
        <v>5000</v>
      </c>
      <c r="I39" s="58"/>
    </row>
    <row r="40" spans="1:12" x14ac:dyDescent="0.25">
      <c r="A40" s="12"/>
      <c r="B40" s="62" t="s">
        <v>241</v>
      </c>
      <c r="C40" s="50"/>
      <c r="D40" s="50">
        <f>C13</f>
        <v>2500</v>
      </c>
      <c r="E40" s="50"/>
      <c r="F40" s="62" t="s">
        <v>234</v>
      </c>
      <c r="G40" s="50" t="s">
        <v>244</v>
      </c>
      <c r="H40" s="50">
        <f>C13</f>
        <v>2500</v>
      </c>
      <c r="I40" s="58"/>
    </row>
    <row r="41" spans="1:12" x14ac:dyDescent="0.25">
      <c r="A41" s="12"/>
      <c r="B41" s="62" t="s">
        <v>242</v>
      </c>
      <c r="C41" s="50"/>
      <c r="D41" s="50">
        <v>2500</v>
      </c>
      <c r="E41" s="50"/>
      <c r="F41" s="62" t="s">
        <v>160</v>
      </c>
      <c r="G41" s="50" t="s">
        <v>244</v>
      </c>
      <c r="H41" s="50">
        <v>2500</v>
      </c>
      <c r="I41" s="58"/>
    </row>
    <row r="42" spans="1:12" x14ac:dyDescent="0.25">
      <c r="A42" s="12"/>
      <c r="B42" s="62" t="s">
        <v>256</v>
      </c>
      <c r="C42" s="50"/>
      <c r="D42" s="50">
        <f>2500+2500</f>
        <v>5000</v>
      </c>
      <c r="E42" s="50"/>
      <c r="F42" s="62" t="s">
        <v>256</v>
      </c>
      <c r="G42" s="50" t="s">
        <v>244</v>
      </c>
      <c r="H42" s="50">
        <f>2500+2500</f>
        <v>5000</v>
      </c>
      <c r="I42" s="58"/>
    </row>
    <row r="43" spans="1:12" x14ac:dyDescent="0.25">
      <c r="A43" s="12"/>
      <c r="B43" s="55" t="s">
        <v>24</v>
      </c>
      <c r="C43" s="63">
        <f>C27+C28+C29-D30</f>
        <v>31986</v>
      </c>
      <c r="D43" s="55">
        <f>SUM(D32:D42)</f>
        <v>34550</v>
      </c>
      <c r="E43" s="63">
        <f>C43-D43</f>
        <v>-2564</v>
      </c>
      <c r="F43" s="57"/>
      <c r="G43" s="63">
        <f>G27+G28-H30</f>
        <v>31416</v>
      </c>
      <c r="H43" s="63">
        <f>SUM(H32:H42)</f>
        <v>34550</v>
      </c>
      <c r="I43" s="63">
        <f>G43-H43</f>
        <v>-3134</v>
      </c>
      <c r="J43" s="43">
        <f>G22+I43</f>
        <v>-2564</v>
      </c>
    </row>
    <row r="46" spans="1:12" x14ac:dyDescent="0.25">
      <c r="B46" s="12" t="s">
        <v>38</v>
      </c>
      <c r="D46" s="12" t="s">
        <v>36</v>
      </c>
      <c r="F46" s="12"/>
      <c r="G46" s="12" t="s">
        <v>37</v>
      </c>
      <c r="I46" s="43">
        <f>D42+D40+D39+D38+D37</f>
        <v>24000</v>
      </c>
      <c r="J46" s="43">
        <f>G22+I43</f>
        <v>-2564</v>
      </c>
      <c r="L46" s="43"/>
    </row>
    <row r="47" spans="1:12" x14ac:dyDescent="0.25">
      <c r="D47" s="12"/>
      <c r="F47" s="68">
        <f>D37+D38+D39</f>
        <v>16500</v>
      </c>
      <c r="G47" s="12"/>
    </row>
    <row r="48" spans="1:12" x14ac:dyDescent="0.25">
      <c r="B48" t="s">
        <v>163</v>
      </c>
      <c r="D48" t="s">
        <v>66</v>
      </c>
      <c r="G48" t="s">
        <v>10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opLeftCell="A10" workbookViewId="0">
      <selection activeCell="K43" sqref="K42:K43"/>
    </sheetView>
  </sheetViews>
  <sheetFormatPr defaultRowHeight="15" x14ac:dyDescent="0.25"/>
  <cols>
    <col min="1" max="1" width="4.28515625" customWidth="1"/>
    <col min="2" max="2" width="20.42578125" customWidth="1"/>
    <col min="9" max="10" width="10" bestFit="1" customWidth="1"/>
  </cols>
  <sheetData>
    <row r="1" spans="1:9" ht="18.75" x14ac:dyDescent="0.25">
      <c r="C1" s="38" t="s">
        <v>59</v>
      </c>
      <c r="D1" s="39"/>
      <c r="E1" s="36"/>
      <c r="F1" s="34"/>
    </row>
    <row r="2" spans="1:9" ht="18.75" x14ac:dyDescent="0.25">
      <c r="C2" s="38" t="s">
        <v>60</v>
      </c>
      <c r="D2" s="38"/>
      <c r="E2" s="11"/>
      <c r="F2" s="11"/>
    </row>
    <row r="3" spans="1:9" ht="18.75" x14ac:dyDescent="0.25">
      <c r="C3" s="38" t="s">
        <v>233</v>
      </c>
      <c r="D3" s="38"/>
      <c r="E3" s="11"/>
      <c r="F3" s="11"/>
    </row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/>
      <c r="I4" s="1"/>
    </row>
    <row r="5" spans="1:9" x14ac:dyDescent="0.25">
      <c r="A5" s="3">
        <v>1</v>
      </c>
      <c r="B5" s="3" t="s">
        <v>91</v>
      </c>
      <c r="C5" s="3">
        <v>4000</v>
      </c>
      <c r="D5" s="3">
        <f>'MAY 20'!G5:G21</f>
        <v>0</v>
      </c>
      <c r="E5" s="3">
        <f>C5+D5</f>
        <v>4000</v>
      </c>
      <c r="F5" s="3">
        <v>4000</v>
      </c>
      <c r="G5" s="3">
        <f>E5-F5</f>
        <v>0</v>
      </c>
      <c r="H5" s="3"/>
      <c r="I5" t="s">
        <v>255</v>
      </c>
    </row>
    <row r="6" spans="1:9" x14ac:dyDescent="0.25">
      <c r="A6" s="3">
        <v>2</v>
      </c>
      <c r="B6" t="s">
        <v>126</v>
      </c>
      <c r="C6" s="3">
        <v>2500</v>
      </c>
      <c r="D6" s="3">
        <f>'MAY 20'!G6:G22</f>
        <v>0</v>
      </c>
      <c r="E6" s="3">
        <f>C6+D6</f>
        <v>2500</v>
      </c>
      <c r="F6" s="3">
        <v>2500</v>
      </c>
      <c r="G6" s="3">
        <f t="shared" ref="G6:G21" si="0">E6-F6</f>
        <v>0</v>
      </c>
      <c r="H6" s="3"/>
    </row>
    <row r="7" spans="1:9" x14ac:dyDescent="0.25">
      <c r="A7" s="3">
        <v>3</v>
      </c>
      <c r="B7" s="3" t="s">
        <v>56</v>
      </c>
      <c r="C7" s="3"/>
      <c r="D7" s="3">
        <f>'MAY 20'!G7:G23</f>
        <v>0</v>
      </c>
      <c r="E7" s="3">
        <f t="shared" ref="E7:E21" si="1">C7+D7</f>
        <v>0</v>
      </c>
      <c r="F7" s="3"/>
      <c r="G7" s="3">
        <f t="shared" si="0"/>
        <v>0</v>
      </c>
      <c r="H7" s="3"/>
    </row>
    <row r="8" spans="1:9" x14ac:dyDescent="0.25">
      <c r="A8" s="3">
        <v>4</v>
      </c>
      <c r="B8" s="3" t="s">
        <v>74</v>
      </c>
      <c r="C8" s="3">
        <v>2500</v>
      </c>
      <c r="D8" s="3">
        <f>'MAY 20'!G8:G24</f>
        <v>0</v>
      </c>
      <c r="E8" s="3">
        <f t="shared" si="1"/>
        <v>2500</v>
      </c>
      <c r="F8" s="3">
        <f>1000+1000+500</f>
        <v>2500</v>
      </c>
      <c r="G8" s="3">
        <f t="shared" si="0"/>
        <v>0</v>
      </c>
      <c r="H8" s="3"/>
    </row>
    <row r="9" spans="1:9" x14ac:dyDescent="0.25">
      <c r="A9" s="3">
        <v>5</v>
      </c>
      <c r="B9" s="3" t="s">
        <v>86</v>
      </c>
      <c r="C9" s="3">
        <v>2500</v>
      </c>
      <c r="D9" s="3">
        <f>'MAY 20'!G9:G25</f>
        <v>250</v>
      </c>
      <c r="E9" s="3">
        <f>C9+D9</f>
        <v>2750</v>
      </c>
      <c r="F9" s="3">
        <v>2500</v>
      </c>
      <c r="G9" s="3">
        <f t="shared" si="0"/>
        <v>250</v>
      </c>
      <c r="H9" s="3"/>
    </row>
    <row r="10" spans="1:9" x14ac:dyDescent="0.25">
      <c r="A10" s="3">
        <v>6</v>
      </c>
      <c r="B10" s="64" t="s">
        <v>154</v>
      </c>
      <c r="C10" s="3">
        <v>2500</v>
      </c>
      <c r="D10" s="3">
        <f>'MAY 20'!G10:G26</f>
        <v>0</v>
      </c>
      <c r="E10" s="3">
        <f>C10+D10</f>
        <v>2500</v>
      </c>
      <c r="F10" s="3">
        <v>2500</v>
      </c>
      <c r="G10" s="3">
        <f t="shared" si="0"/>
        <v>0</v>
      </c>
      <c r="H10" s="3"/>
    </row>
    <row r="11" spans="1:9" x14ac:dyDescent="0.25">
      <c r="A11" s="3">
        <v>7</v>
      </c>
      <c r="B11" s="3" t="s">
        <v>13</v>
      </c>
      <c r="C11" s="3">
        <v>2500</v>
      </c>
      <c r="D11" s="3">
        <f>'MAY 20'!G11:G27</f>
        <v>0</v>
      </c>
      <c r="E11" s="3">
        <f t="shared" si="1"/>
        <v>2500</v>
      </c>
      <c r="F11" s="3">
        <f>2000+500</f>
        <v>2500</v>
      </c>
      <c r="G11" s="3">
        <f t="shared" si="0"/>
        <v>0</v>
      </c>
      <c r="H11" s="3"/>
    </row>
    <row r="12" spans="1:9" x14ac:dyDescent="0.25">
      <c r="A12" s="3">
        <v>8</v>
      </c>
      <c r="B12" s="3" t="s">
        <v>105</v>
      </c>
      <c r="C12" s="3">
        <v>500</v>
      </c>
      <c r="D12" s="3">
        <f>'MAY 20'!G12:G28</f>
        <v>0</v>
      </c>
      <c r="E12" s="3">
        <f t="shared" si="1"/>
        <v>500</v>
      </c>
      <c r="F12" s="3">
        <f>500</f>
        <v>500</v>
      </c>
      <c r="G12" s="3">
        <f t="shared" si="0"/>
        <v>0</v>
      </c>
      <c r="H12" s="3"/>
      <c r="I12" t="s">
        <v>236</v>
      </c>
    </row>
    <row r="13" spans="1:9" x14ac:dyDescent="0.25">
      <c r="A13" s="3">
        <v>9</v>
      </c>
      <c r="B13" s="3" t="s">
        <v>96</v>
      </c>
      <c r="C13" s="3">
        <v>2500</v>
      </c>
      <c r="D13" s="3">
        <f>'MAY 20'!G13:G29</f>
        <v>320</v>
      </c>
      <c r="E13" s="3">
        <f t="shared" si="1"/>
        <v>2820</v>
      </c>
      <c r="F13" s="3">
        <f>500+1000+1000</f>
        <v>2500</v>
      </c>
      <c r="G13" s="3">
        <f t="shared" si="0"/>
        <v>320</v>
      </c>
      <c r="H13" s="3"/>
    </row>
    <row r="14" spans="1:9" x14ac:dyDescent="0.25">
      <c r="A14" s="3">
        <v>10</v>
      </c>
      <c r="B14" s="3" t="s">
        <v>238</v>
      </c>
      <c r="C14" s="3">
        <v>2000</v>
      </c>
      <c r="D14" s="3">
        <f>'MAY 20'!G14:G30</f>
        <v>0</v>
      </c>
      <c r="E14" s="3">
        <f t="shared" si="1"/>
        <v>2000</v>
      </c>
      <c r="F14" s="3">
        <f>1200+500+300</f>
        <v>2000</v>
      </c>
      <c r="G14" s="3">
        <f t="shared" si="0"/>
        <v>0</v>
      </c>
      <c r="H14" s="3"/>
      <c r="I14">
        <v>780903011</v>
      </c>
    </row>
    <row r="15" spans="1:9" x14ac:dyDescent="0.25">
      <c r="A15" s="3">
        <v>11</v>
      </c>
      <c r="B15" s="3" t="s">
        <v>57</v>
      </c>
      <c r="C15" s="3">
        <v>2500</v>
      </c>
      <c r="D15" s="3">
        <f>'MAY 20'!G15:G31</f>
        <v>0</v>
      </c>
      <c r="E15" s="3">
        <f t="shared" si="1"/>
        <v>2500</v>
      </c>
      <c r="F15" s="3">
        <v>2500</v>
      </c>
      <c r="G15" s="3">
        <f t="shared" si="0"/>
        <v>0</v>
      </c>
      <c r="H15" s="3"/>
      <c r="I15" t="s">
        <v>51</v>
      </c>
    </row>
    <row r="16" spans="1:9" x14ac:dyDescent="0.25">
      <c r="A16" s="3">
        <v>12</v>
      </c>
      <c r="B16" s="3" t="s">
        <v>165</v>
      </c>
      <c r="C16" s="3">
        <v>2500</v>
      </c>
      <c r="D16" s="3">
        <f>'MAY 20'!G16:G32</f>
        <v>0</v>
      </c>
      <c r="E16" s="3">
        <f t="shared" si="1"/>
        <v>2500</v>
      </c>
      <c r="F16" s="3">
        <f>1500+500+500</f>
        <v>2500</v>
      </c>
      <c r="G16" s="3">
        <f t="shared" si="0"/>
        <v>0</v>
      </c>
      <c r="H16" s="3"/>
    </row>
    <row r="17" spans="1:12" x14ac:dyDescent="0.25">
      <c r="A17" s="3">
        <v>13</v>
      </c>
      <c r="B17" s="3" t="s">
        <v>19</v>
      </c>
      <c r="C17" s="3">
        <v>2500</v>
      </c>
      <c r="D17" s="3">
        <f>'MAY 20'!G17:G33</f>
        <v>0</v>
      </c>
      <c r="E17" s="3">
        <f t="shared" si="1"/>
        <v>2500</v>
      </c>
      <c r="F17" s="3">
        <v>2500</v>
      </c>
      <c r="G17" s="3">
        <f t="shared" si="0"/>
        <v>0</v>
      </c>
      <c r="H17" s="3"/>
    </row>
    <row r="18" spans="1:12" x14ac:dyDescent="0.25">
      <c r="A18" s="3">
        <v>14</v>
      </c>
      <c r="B18" s="3" t="s">
        <v>160</v>
      </c>
      <c r="C18" s="3">
        <v>2500</v>
      </c>
      <c r="D18" s="3">
        <f>'MAY 20'!G18:G34</f>
        <v>0</v>
      </c>
      <c r="E18" s="3">
        <f t="shared" si="1"/>
        <v>2500</v>
      </c>
      <c r="F18" s="3">
        <v>2500</v>
      </c>
      <c r="G18" s="3">
        <f t="shared" si="0"/>
        <v>0</v>
      </c>
      <c r="H18" s="3"/>
    </row>
    <row r="19" spans="1:12" x14ac:dyDescent="0.25">
      <c r="A19" s="3">
        <v>15</v>
      </c>
      <c r="B19" s="3" t="s">
        <v>56</v>
      </c>
      <c r="C19" s="3"/>
      <c r="D19" s="3">
        <f>'MAY 20'!G19:G35</f>
        <v>0</v>
      </c>
      <c r="E19" s="3">
        <f t="shared" si="1"/>
        <v>0</v>
      </c>
      <c r="F19" s="3"/>
      <c r="G19" s="3">
        <f t="shared" si="0"/>
        <v>0</v>
      </c>
      <c r="H19" s="3"/>
    </row>
    <row r="20" spans="1:12" x14ac:dyDescent="0.25">
      <c r="A20" s="3">
        <v>16</v>
      </c>
      <c r="B20" s="3" t="s">
        <v>237</v>
      </c>
      <c r="C20" s="3">
        <v>2500</v>
      </c>
      <c r="D20" s="3">
        <f>'MAY 20'!G20:G36</f>
        <v>0</v>
      </c>
      <c r="E20" s="3">
        <f t="shared" si="1"/>
        <v>2500</v>
      </c>
      <c r="F20" s="3">
        <v>2500</v>
      </c>
      <c r="G20" s="3">
        <f t="shared" si="0"/>
        <v>0</v>
      </c>
      <c r="H20" s="3"/>
      <c r="I20" t="s">
        <v>236</v>
      </c>
      <c r="J20">
        <v>794960612</v>
      </c>
    </row>
    <row r="21" spans="1:12" x14ac:dyDescent="0.25">
      <c r="A21" s="3">
        <v>17</v>
      </c>
      <c r="B21" s="3" t="s">
        <v>73</v>
      </c>
      <c r="C21" s="3">
        <v>2500</v>
      </c>
      <c r="D21" s="3">
        <f>'MAY 20'!G21:G37</f>
        <v>0</v>
      </c>
      <c r="E21" s="3">
        <f t="shared" si="1"/>
        <v>2500</v>
      </c>
      <c r="F21" s="62">
        <v>2500</v>
      </c>
      <c r="G21" s="58">
        <f t="shared" si="0"/>
        <v>0</v>
      </c>
      <c r="H21" s="58"/>
    </row>
    <row r="22" spans="1:12" x14ac:dyDescent="0.25">
      <c r="A22" s="2"/>
      <c r="B22" s="4" t="s">
        <v>24</v>
      </c>
      <c r="C22" s="2">
        <f>SUM(C5:C21)</f>
        <v>36500</v>
      </c>
      <c r="D22" s="3">
        <f>SUM(D5:D21)</f>
        <v>570</v>
      </c>
      <c r="E22" s="2">
        <f>SUM(E5:E21)</f>
        <v>37070</v>
      </c>
      <c r="F22" s="2">
        <f>SUM(F5:F21)</f>
        <v>36500</v>
      </c>
      <c r="G22" s="2">
        <f>SUM(G5:G21)</f>
        <v>570</v>
      </c>
      <c r="H22" s="2"/>
      <c r="I22" s="1"/>
    </row>
    <row r="23" spans="1:12" x14ac:dyDescent="0.25">
      <c r="A23" s="3"/>
      <c r="B23" s="3"/>
      <c r="C23" s="3"/>
      <c r="D23" s="3"/>
      <c r="E23" s="3"/>
      <c r="F23" s="3"/>
      <c r="G23" s="3"/>
      <c r="H23" s="3"/>
    </row>
    <row r="24" spans="1:12" x14ac:dyDescent="0.25">
      <c r="A24" s="12"/>
    </row>
    <row r="25" spans="1:12" ht="18.75" x14ac:dyDescent="0.3">
      <c r="A25" s="12"/>
      <c r="B25" s="51" t="s">
        <v>27</v>
      </c>
      <c r="C25" s="52"/>
      <c r="D25" s="52"/>
      <c r="E25" s="52"/>
      <c r="F25" s="52"/>
      <c r="G25" s="52"/>
      <c r="H25" s="53"/>
      <c r="I25" s="53"/>
      <c r="J25" s="1"/>
    </row>
    <row r="26" spans="1:12" ht="15.75" x14ac:dyDescent="0.25">
      <c r="A26" s="12"/>
      <c r="B26" s="54" t="s">
        <v>28</v>
      </c>
      <c r="C26" s="54" t="s">
        <v>29</v>
      </c>
      <c r="D26" s="54" t="s">
        <v>30</v>
      </c>
      <c r="E26" s="54" t="s">
        <v>62</v>
      </c>
      <c r="F26" s="54" t="s">
        <v>69</v>
      </c>
      <c r="G26" s="54" t="s">
        <v>29</v>
      </c>
      <c r="H26" s="54" t="s">
        <v>30</v>
      </c>
      <c r="I26" s="54" t="s">
        <v>62</v>
      </c>
      <c r="J26" s="65"/>
    </row>
    <row r="27" spans="1:12" x14ac:dyDescent="0.25">
      <c r="A27" s="12"/>
      <c r="B27" s="55" t="s">
        <v>79</v>
      </c>
      <c r="C27" s="50">
        <f>C22</f>
        <v>36500</v>
      </c>
      <c r="D27" s="56">
        <v>0.1</v>
      </c>
      <c r="E27" s="50"/>
      <c r="F27" s="57" t="s">
        <v>79</v>
      </c>
      <c r="G27" s="50">
        <f>F22</f>
        <v>36500</v>
      </c>
      <c r="H27" s="56">
        <v>0.1</v>
      </c>
      <c r="I27" s="58"/>
      <c r="J27" s="1"/>
    </row>
    <row r="28" spans="1:12" x14ac:dyDescent="0.25">
      <c r="A28" s="12"/>
      <c r="B28" s="58" t="s">
        <v>55</v>
      </c>
      <c r="C28" s="50">
        <f>'MAY 20'!E43</f>
        <v>-2564</v>
      </c>
      <c r="D28" s="58"/>
      <c r="E28" s="58"/>
      <c r="F28" s="58" t="s">
        <v>55</v>
      </c>
      <c r="G28" s="50">
        <f>'MAY 20'!I43</f>
        <v>-3134</v>
      </c>
      <c r="H28" s="58"/>
      <c r="I28" s="58"/>
      <c r="J28" s="1"/>
    </row>
    <row r="29" spans="1:12" x14ac:dyDescent="0.25">
      <c r="A29" s="12"/>
      <c r="B29" s="58"/>
      <c r="C29" s="50"/>
      <c r="D29" s="58"/>
      <c r="E29" s="58"/>
      <c r="F29" s="58"/>
      <c r="G29" s="50"/>
      <c r="H29" s="58"/>
      <c r="I29" s="58"/>
      <c r="J29" s="66"/>
    </row>
    <row r="30" spans="1:12" x14ac:dyDescent="0.25">
      <c r="A30" s="12"/>
      <c r="B30" s="58" t="s">
        <v>33</v>
      </c>
      <c r="C30" s="59"/>
      <c r="D30" s="58">
        <f>C27*D27</f>
        <v>3650</v>
      </c>
      <c r="E30" s="58"/>
      <c r="F30" s="58" t="s">
        <v>33</v>
      </c>
      <c r="G30" s="59"/>
      <c r="H30" s="58">
        <f>H27*C27</f>
        <v>3650</v>
      </c>
      <c r="I30" s="58"/>
      <c r="J30" s="66"/>
    </row>
    <row r="31" spans="1:12" x14ac:dyDescent="0.25">
      <c r="A31" s="12"/>
      <c r="B31" s="60" t="s">
        <v>34</v>
      </c>
      <c r="C31" s="58"/>
      <c r="D31" s="58"/>
      <c r="E31" s="58"/>
      <c r="F31" s="60" t="s">
        <v>34</v>
      </c>
      <c r="G31" s="58"/>
      <c r="H31" s="58"/>
      <c r="I31" s="58"/>
      <c r="J31" s="66"/>
      <c r="K31" s="43">
        <f>D36+D37+D38</f>
        <v>7000</v>
      </c>
    </row>
    <row r="32" spans="1:12" x14ac:dyDescent="0.25">
      <c r="A32" s="12"/>
      <c r="B32" s="3" t="s">
        <v>161</v>
      </c>
      <c r="C32" s="3"/>
      <c r="D32" s="3"/>
      <c r="E32" s="3"/>
      <c r="F32" s="3" t="s">
        <v>161</v>
      </c>
      <c r="G32" s="3"/>
      <c r="H32" s="3"/>
      <c r="I32" s="58"/>
      <c r="K32" s="43">
        <v>2266</v>
      </c>
      <c r="L32" s="43">
        <f>K31-K32</f>
        <v>4734</v>
      </c>
    </row>
    <row r="33" spans="1:10" x14ac:dyDescent="0.25">
      <c r="A33" s="12"/>
      <c r="B33" s="62" t="s">
        <v>235</v>
      </c>
      <c r="C33" s="58"/>
      <c r="D33" s="58">
        <v>5000</v>
      </c>
      <c r="E33" s="58"/>
      <c r="F33" s="62" t="s">
        <v>235</v>
      </c>
      <c r="G33" s="58"/>
      <c r="H33" s="58">
        <v>5000</v>
      </c>
      <c r="I33" s="58"/>
      <c r="J33" s="66"/>
    </row>
    <row r="34" spans="1:10" x14ac:dyDescent="0.25">
      <c r="A34" s="12"/>
      <c r="B34" s="62" t="s">
        <v>240</v>
      </c>
      <c r="D34" s="58">
        <v>2500</v>
      </c>
      <c r="E34" s="58"/>
      <c r="F34" s="62" t="s">
        <v>240</v>
      </c>
      <c r="H34" s="58">
        <v>2500</v>
      </c>
      <c r="I34" s="58"/>
    </row>
    <row r="35" spans="1:10" x14ac:dyDescent="0.25">
      <c r="A35" s="12"/>
      <c r="B35" s="62" t="s">
        <v>239</v>
      </c>
      <c r="C35" s="50"/>
      <c r="D35" s="50">
        <v>20450</v>
      </c>
      <c r="E35" s="50"/>
      <c r="F35" s="62" t="s">
        <v>239</v>
      </c>
      <c r="G35" s="50"/>
      <c r="H35" s="50">
        <v>20450</v>
      </c>
      <c r="I35" s="58"/>
    </row>
    <row r="36" spans="1:10" x14ac:dyDescent="0.25">
      <c r="A36" s="12"/>
      <c r="B36" s="62" t="s">
        <v>258</v>
      </c>
      <c r="C36" s="50"/>
      <c r="D36" s="50">
        <v>4000</v>
      </c>
      <c r="E36" s="50"/>
      <c r="F36" s="62" t="s">
        <v>258</v>
      </c>
      <c r="G36" s="50"/>
      <c r="H36" s="50">
        <v>4000</v>
      </c>
      <c r="I36" s="58"/>
    </row>
    <row r="37" spans="1:10" x14ac:dyDescent="0.25">
      <c r="A37" s="12"/>
      <c r="B37" s="62" t="s">
        <v>259</v>
      </c>
      <c r="C37" s="50"/>
      <c r="D37" s="50">
        <v>2500</v>
      </c>
      <c r="E37" s="50"/>
      <c r="F37" s="62" t="s">
        <v>259</v>
      </c>
      <c r="G37" s="50"/>
      <c r="H37" s="50">
        <f>E15</f>
        <v>2500</v>
      </c>
      <c r="I37" s="58"/>
    </row>
    <row r="38" spans="1:10" x14ac:dyDescent="0.25">
      <c r="A38" s="12"/>
      <c r="B38" s="62" t="s">
        <v>74</v>
      </c>
      <c r="C38" s="50"/>
      <c r="D38" s="50">
        <v>500</v>
      </c>
      <c r="E38" s="50"/>
      <c r="F38" s="62" t="s">
        <v>74</v>
      </c>
      <c r="G38" s="50"/>
      <c r="H38" s="50">
        <v>500</v>
      </c>
      <c r="I38" s="58"/>
    </row>
    <row r="39" spans="1:10" x14ac:dyDescent="0.25">
      <c r="A39" s="12"/>
      <c r="B39" s="62"/>
      <c r="C39" s="50"/>
      <c r="D39" s="50"/>
      <c r="E39" s="50"/>
      <c r="F39" s="62"/>
      <c r="G39" s="50"/>
      <c r="H39" s="50"/>
      <c r="I39" s="58"/>
    </row>
    <row r="40" spans="1:10" x14ac:dyDescent="0.25">
      <c r="A40" s="12"/>
      <c r="B40" s="62"/>
      <c r="C40" s="50"/>
      <c r="D40" s="50"/>
      <c r="E40" s="50"/>
      <c r="F40" s="62"/>
      <c r="G40" s="50"/>
      <c r="H40" s="50"/>
      <c r="I40" s="58"/>
    </row>
    <row r="41" spans="1:10" x14ac:dyDescent="0.25">
      <c r="A41" s="12"/>
      <c r="B41" s="62"/>
      <c r="C41" s="50"/>
      <c r="D41" s="50"/>
      <c r="E41" s="50"/>
      <c r="F41" s="62"/>
      <c r="G41" s="50"/>
      <c r="H41" s="50"/>
      <c r="I41" s="58"/>
    </row>
    <row r="42" spans="1:10" x14ac:dyDescent="0.25">
      <c r="A42" s="12"/>
      <c r="B42" s="55" t="s">
        <v>24</v>
      </c>
      <c r="C42" s="63">
        <f>C27+C28+C29-D30</f>
        <v>30286</v>
      </c>
      <c r="D42" s="55">
        <f>SUM(D32:D41)</f>
        <v>34950</v>
      </c>
      <c r="E42" s="63">
        <f>C42-D42</f>
        <v>-4664</v>
      </c>
      <c r="F42" s="57"/>
      <c r="G42" s="63">
        <f>G27+G28-H30</f>
        <v>29716</v>
      </c>
      <c r="H42" s="63">
        <f>SUM(H32:H41)</f>
        <v>34950</v>
      </c>
      <c r="I42" s="63">
        <f>G42-H42</f>
        <v>-5234</v>
      </c>
    </row>
    <row r="45" spans="1:10" x14ac:dyDescent="0.25">
      <c r="B45" s="12" t="s">
        <v>38</v>
      </c>
      <c r="D45" s="12" t="s">
        <v>36</v>
      </c>
      <c r="F45" s="12"/>
      <c r="G45" s="12" t="s">
        <v>37</v>
      </c>
      <c r="I45" s="43">
        <f>G22+I42</f>
        <v>-4664</v>
      </c>
    </row>
    <row r="46" spans="1:10" x14ac:dyDescent="0.25">
      <c r="D46" s="12"/>
      <c r="F46" s="68">
        <f>D37+D38+D39</f>
        <v>3000</v>
      </c>
      <c r="G46" s="12"/>
    </row>
    <row r="47" spans="1:10" x14ac:dyDescent="0.25">
      <c r="B47" t="s">
        <v>163</v>
      </c>
      <c r="D47" t="s">
        <v>66</v>
      </c>
      <c r="G47" t="s">
        <v>10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opLeftCell="A11" workbookViewId="0">
      <selection activeCell="I45" sqref="I45"/>
    </sheetView>
  </sheetViews>
  <sheetFormatPr defaultRowHeight="15" x14ac:dyDescent="0.25"/>
  <cols>
    <col min="1" max="1" width="5.140625" customWidth="1"/>
    <col min="2" max="2" width="20.85546875" customWidth="1"/>
    <col min="9" max="11" width="10" bestFit="1" customWidth="1"/>
  </cols>
  <sheetData>
    <row r="1" spans="1:11" ht="18.75" x14ac:dyDescent="0.25">
      <c r="C1" s="38" t="s">
        <v>59</v>
      </c>
      <c r="D1" s="39"/>
      <c r="E1" s="36"/>
      <c r="F1" s="34"/>
    </row>
    <row r="2" spans="1:11" ht="18.75" x14ac:dyDescent="0.25">
      <c r="C2" s="38" t="s">
        <v>60</v>
      </c>
      <c r="D2" s="38"/>
      <c r="E2" s="11"/>
      <c r="F2" s="11"/>
    </row>
    <row r="3" spans="1:11" ht="18.75" x14ac:dyDescent="0.25">
      <c r="C3" s="38" t="s">
        <v>257</v>
      </c>
      <c r="D3" s="38"/>
      <c r="E3" s="11"/>
      <c r="F3" s="11"/>
    </row>
    <row r="4" spans="1:11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/>
      <c r="I4" s="1"/>
    </row>
    <row r="5" spans="1:11" x14ac:dyDescent="0.25">
      <c r="A5" s="3">
        <v>1</v>
      </c>
      <c r="B5" s="3" t="s">
        <v>91</v>
      </c>
      <c r="C5" s="3">
        <v>4000</v>
      </c>
      <c r="D5" s="3">
        <f>'JUNE 20'!G5:G21</f>
        <v>0</v>
      </c>
      <c r="E5" s="3">
        <f>C5+D5</f>
        <v>4000</v>
      </c>
      <c r="F5" s="3">
        <v>4000</v>
      </c>
      <c r="G5" s="3">
        <f>E5-F5</f>
        <v>0</v>
      </c>
      <c r="H5" s="3" t="s">
        <v>51</v>
      </c>
    </row>
    <row r="6" spans="1:11" x14ac:dyDescent="0.25">
      <c r="A6" s="3">
        <v>2</v>
      </c>
      <c r="B6" t="s">
        <v>126</v>
      </c>
      <c r="C6" s="3">
        <v>2500</v>
      </c>
      <c r="D6" s="3">
        <f>'JUNE 20'!G6:G22</f>
        <v>0</v>
      </c>
      <c r="E6" s="3">
        <f>C6+D6</f>
        <v>2500</v>
      </c>
      <c r="F6" s="3">
        <v>2500</v>
      </c>
      <c r="G6" s="3">
        <f t="shared" ref="G6:G21" si="0">E6-F6</f>
        <v>0</v>
      </c>
      <c r="H6" s="3"/>
    </row>
    <row r="7" spans="1:11" x14ac:dyDescent="0.25">
      <c r="A7" s="3">
        <v>3</v>
      </c>
      <c r="B7" s="3" t="s">
        <v>56</v>
      </c>
      <c r="C7" s="3"/>
      <c r="D7" s="3">
        <f>'JUNE 20'!G7:G23</f>
        <v>0</v>
      </c>
      <c r="E7" s="3">
        <f t="shared" ref="E7:E21" si="1">C7+D7</f>
        <v>0</v>
      </c>
      <c r="F7" s="3"/>
      <c r="G7" s="3">
        <f t="shared" si="0"/>
        <v>0</v>
      </c>
      <c r="H7" s="3"/>
    </row>
    <row r="8" spans="1:11" x14ac:dyDescent="0.25">
      <c r="A8" s="3">
        <v>4</v>
      </c>
      <c r="B8" s="3" t="s">
        <v>74</v>
      </c>
      <c r="C8" s="3">
        <v>2500</v>
      </c>
      <c r="D8" s="3">
        <f>'JUNE 20'!G8:G24</f>
        <v>0</v>
      </c>
      <c r="E8" s="3">
        <f t="shared" si="1"/>
        <v>2500</v>
      </c>
      <c r="F8" s="3">
        <v>2500</v>
      </c>
      <c r="G8" s="3">
        <f t="shared" si="0"/>
        <v>0</v>
      </c>
      <c r="H8" s="3" t="s">
        <v>51</v>
      </c>
    </row>
    <row r="9" spans="1:11" x14ac:dyDescent="0.25">
      <c r="A9" s="3">
        <v>5</v>
      </c>
      <c r="B9" s="3" t="s">
        <v>86</v>
      </c>
      <c r="C9" s="3">
        <v>2500</v>
      </c>
      <c r="D9" s="3">
        <f>'JUNE 20'!G9:G25</f>
        <v>250</v>
      </c>
      <c r="E9" s="3">
        <f>C9+D9</f>
        <v>2750</v>
      </c>
      <c r="F9" s="3">
        <f>2500</f>
        <v>2500</v>
      </c>
      <c r="G9" s="3">
        <f t="shared" si="0"/>
        <v>250</v>
      </c>
      <c r="H9" s="3"/>
    </row>
    <row r="10" spans="1:11" x14ac:dyDescent="0.25">
      <c r="A10" s="3">
        <v>6</v>
      </c>
      <c r="B10" s="64" t="s">
        <v>154</v>
      </c>
      <c r="C10" s="3">
        <v>2500</v>
      </c>
      <c r="D10" s="3">
        <f>'JUNE 20'!G10:G26</f>
        <v>0</v>
      </c>
      <c r="E10" s="3">
        <f>C10+D10</f>
        <v>2500</v>
      </c>
      <c r="F10" s="3">
        <v>2500</v>
      </c>
      <c r="G10" s="3">
        <f t="shared" si="0"/>
        <v>0</v>
      </c>
      <c r="H10" s="3"/>
    </row>
    <row r="11" spans="1:11" x14ac:dyDescent="0.25">
      <c r="A11" s="3">
        <v>7</v>
      </c>
      <c r="B11" s="3" t="s">
        <v>13</v>
      </c>
      <c r="C11" s="3">
        <v>2500</v>
      </c>
      <c r="D11" s="3">
        <f>'JUNE 20'!G11:G27</f>
        <v>0</v>
      </c>
      <c r="E11" s="3">
        <f t="shared" si="1"/>
        <v>2500</v>
      </c>
      <c r="F11" s="3">
        <v>2500</v>
      </c>
      <c r="G11" s="3">
        <f t="shared" si="0"/>
        <v>0</v>
      </c>
      <c r="H11" s="3"/>
      <c r="I11" t="s">
        <v>51</v>
      </c>
    </row>
    <row r="12" spans="1:11" x14ac:dyDescent="0.25">
      <c r="A12" s="3">
        <v>8</v>
      </c>
      <c r="B12" s="3" t="s">
        <v>105</v>
      </c>
      <c r="C12" s="3">
        <f>2000+2500</f>
        <v>4500</v>
      </c>
      <c r="D12" s="3">
        <f>'JUNE 20'!G12:G28</f>
        <v>0</v>
      </c>
      <c r="E12" s="3">
        <f t="shared" si="1"/>
        <v>4500</v>
      </c>
      <c r="F12" s="3">
        <f>1000+1500+1500+500</f>
        <v>4500</v>
      </c>
      <c r="G12" s="3">
        <f t="shared" si="0"/>
        <v>0</v>
      </c>
      <c r="H12" s="3"/>
      <c r="I12" t="s">
        <v>51</v>
      </c>
    </row>
    <row r="13" spans="1:11" x14ac:dyDescent="0.25">
      <c r="A13" s="3">
        <v>9</v>
      </c>
      <c r="B13" s="3" t="s">
        <v>96</v>
      </c>
      <c r="C13" s="3">
        <v>2500</v>
      </c>
      <c r="D13" s="3">
        <f>'JUNE 20'!G13:G29</f>
        <v>320</v>
      </c>
      <c r="E13" s="3">
        <f t="shared" si="1"/>
        <v>2820</v>
      </c>
      <c r="F13" s="3">
        <v>2000</v>
      </c>
      <c r="G13" s="3">
        <f t="shared" si="0"/>
        <v>820</v>
      </c>
      <c r="H13" s="3"/>
    </row>
    <row r="14" spans="1:11" x14ac:dyDescent="0.25">
      <c r="A14" s="3">
        <v>10</v>
      </c>
      <c r="B14" s="3" t="s">
        <v>238</v>
      </c>
      <c r="C14" s="3">
        <v>2000</v>
      </c>
      <c r="D14" s="3">
        <f>'JUNE 20'!G14:G30</f>
        <v>0</v>
      </c>
      <c r="E14" s="3">
        <f t="shared" si="1"/>
        <v>2000</v>
      </c>
      <c r="F14" s="3">
        <f>500+500+500+500</f>
        <v>2000</v>
      </c>
      <c r="G14" s="3">
        <f>E14-F14</f>
        <v>0</v>
      </c>
      <c r="H14" s="3"/>
      <c r="I14" t="s">
        <v>225</v>
      </c>
      <c r="K14">
        <v>780903011</v>
      </c>
    </row>
    <row r="15" spans="1:11" x14ac:dyDescent="0.25">
      <c r="A15" s="3">
        <v>11</v>
      </c>
      <c r="B15" s="3" t="s">
        <v>57</v>
      </c>
      <c r="C15" s="3">
        <v>2500</v>
      </c>
      <c r="D15" s="3">
        <f>'JUNE 20'!G15:G31</f>
        <v>0</v>
      </c>
      <c r="E15" s="3">
        <f t="shared" si="1"/>
        <v>2500</v>
      </c>
      <c r="F15" s="3">
        <v>2500</v>
      </c>
      <c r="G15" s="3">
        <f t="shared" si="0"/>
        <v>0</v>
      </c>
      <c r="H15" s="3" t="s">
        <v>51</v>
      </c>
    </row>
    <row r="16" spans="1:11" x14ac:dyDescent="0.25">
      <c r="A16" s="3">
        <v>12</v>
      </c>
      <c r="B16" s="3" t="s">
        <v>165</v>
      </c>
      <c r="C16" s="3">
        <v>2500</v>
      </c>
      <c r="D16" s="3">
        <f>'JUNE 20'!G16:G32</f>
        <v>0</v>
      </c>
      <c r="E16" s="3">
        <f t="shared" si="1"/>
        <v>2500</v>
      </c>
      <c r="F16" s="3">
        <f>1500+1000</f>
        <v>2500</v>
      </c>
      <c r="G16" s="3">
        <f t="shared" si="0"/>
        <v>0</v>
      </c>
      <c r="H16" s="3"/>
      <c r="I16" t="s">
        <v>218</v>
      </c>
    </row>
    <row r="17" spans="1:11" x14ac:dyDescent="0.25">
      <c r="A17" s="3">
        <v>13</v>
      </c>
      <c r="B17" s="3" t="s">
        <v>19</v>
      </c>
      <c r="C17" s="3">
        <v>2500</v>
      </c>
      <c r="D17" s="3">
        <f>'JUNE 20'!G17:G33</f>
        <v>0</v>
      </c>
      <c r="E17" s="3">
        <f t="shared" si="1"/>
        <v>2500</v>
      </c>
      <c r="F17" s="3">
        <v>2500</v>
      </c>
      <c r="G17" s="3">
        <f t="shared" si="0"/>
        <v>0</v>
      </c>
      <c r="H17" s="3"/>
    </row>
    <row r="18" spans="1:11" x14ac:dyDescent="0.25">
      <c r="A18" s="3">
        <v>14</v>
      </c>
      <c r="B18" s="3" t="s">
        <v>160</v>
      </c>
      <c r="C18" s="3">
        <v>2500</v>
      </c>
      <c r="D18" s="3">
        <f>'JUNE 20'!G18:G34</f>
        <v>0</v>
      </c>
      <c r="E18" s="3">
        <f t="shared" si="1"/>
        <v>2500</v>
      </c>
      <c r="F18" s="3">
        <v>2500</v>
      </c>
      <c r="G18" s="3">
        <f t="shared" si="0"/>
        <v>0</v>
      </c>
      <c r="H18" s="3"/>
      <c r="I18" t="s">
        <v>51</v>
      </c>
    </row>
    <row r="19" spans="1:11" x14ac:dyDescent="0.25">
      <c r="A19" s="3">
        <v>15</v>
      </c>
      <c r="B19" s="3" t="s">
        <v>56</v>
      </c>
      <c r="C19" s="3"/>
      <c r="D19" s="3">
        <f>'JUNE 20'!G19:G35</f>
        <v>0</v>
      </c>
      <c r="E19" s="3">
        <f t="shared" si="1"/>
        <v>0</v>
      </c>
      <c r="F19" s="3"/>
      <c r="G19" s="3">
        <f t="shared" si="0"/>
        <v>0</v>
      </c>
      <c r="H19" s="3"/>
    </row>
    <row r="20" spans="1:11" x14ac:dyDescent="0.25">
      <c r="A20" s="3">
        <v>16</v>
      </c>
      <c r="B20" s="3" t="s">
        <v>237</v>
      </c>
      <c r="C20" s="3">
        <v>2500</v>
      </c>
      <c r="D20" s="3">
        <f>'JUNE 20'!G20:G36</f>
        <v>0</v>
      </c>
      <c r="E20" s="3">
        <f t="shared" si="1"/>
        <v>2500</v>
      </c>
      <c r="F20" s="3">
        <v>2500</v>
      </c>
      <c r="G20" s="3">
        <f t="shared" si="0"/>
        <v>0</v>
      </c>
      <c r="H20" s="3" t="s">
        <v>51</v>
      </c>
      <c r="J20">
        <v>794960612</v>
      </c>
    </row>
    <row r="21" spans="1:11" x14ac:dyDescent="0.25">
      <c r="A21" s="3">
        <v>17</v>
      </c>
      <c r="B21" s="3" t="s">
        <v>73</v>
      </c>
      <c r="C21" s="3">
        <v>2500</v>
      </c>
      <c r="D21" s="3">
        <f>'JUNE 20'!G21:G37</f>
        <v>0</v>
      </c>
      <c r="E21" s="3">
        <f t="shared" si="1"/>
        <v>2500</v>
      </c>
      <c r="F21" s="62">
        <v>2500</v>
      </c>
      <c r="G21" s="58">
        <f t="shared" si="0"/>
        <v>0</v>
      </c>
      <c r="H21" s="58"/>
    </row>
    <row r="22" spans="1:11" x14ac:dyDescent="0.25">
      <c r="A22" s="2"/>
      <c r="B22" s="4" t="s">
        <v>24</v>
      </c>
      <c r="C22" s="2">
        <f>SUM(C5:C21)</f>
        <v>40500</v>
      </c>
      <c r="D22" s="3">
        <f>SUM(D5:D21)</f>
        <v>570</v>
      </c>
      <c r="E22" s="2">
        <f>SUM(E5:E21)</f>
        <v>41070</v>
      </c>
      <c r="F22" s="2">
        <f>SUM(F5:F21)</f>
        <v>40000</v>
      </c>
      <c r="G22" s="2">
        <f>SUM(G5:G21)</f>
        <v>1070</v>
      </c>
      <c r="H22" s="2"/>
      <c r="I22" s="1"/>
    </row>
    <row r="23" spans="1:11" x14ac:dyDescent="0.25">
      <c r="A23" s="3"/>
      <c r="B23" s="3"/>
      <c r="C23" s="3"/>
      <c r="D23" s="3"/>
      <c r="E23" s="3"/>
      <c r="F23" s="3"/>
      <c r="G23" s="3"/>
      <c r="H23" s="3"/>
    </row>
    <row r="24" spans="1:11" x14ac:dyDescent="0.25">
      <c r="A24" s="12"/>
    </row>
    <row r="25" spans="1:11" ht="18.75" x14ac:dyDescent="0.3">
      <c r="A25" s="12"/>
      <c r="B25" s="51" t="s">
        <v>27</v>
      </c>
      <c r="C25" s="52"/>
      <c r="D25" s="52"/>
      <c r="E25" s="52"/>
      <c r="F25" s="52"/>
      <c r="G25" s="52"/>
      <c r="H25" s="53"/>
      <c r="I25" s="53"/>
      <c r="J25" s="1"/>
    </row>
    <row r="26" spans="1:11" ht="15.75" x14ac:dyDescent="0.25">
      <c r="A26" s="12"/>
      <c r="B26" s="54" t="s">
        <v>28</v>
      </c>
      <c r="C26" s="54" t="s">
        <v>29</v>
      </c>
      <c r="D26" s="54" t="s">
        <v>30</v>
      </c>
      <c r="E26" s="54" t="s">
        <v>62</v>
      </c>
      <c r="F26" s="54" t="s">
        <v>69</v>
      </c>
      <c r="G26" s="54" t="s">
        <v>29</v>
      </c>
      <c r="H26" s="54" t="s">
        <v>30</v>
      </c>
      <c r="I26" s="54" t="s">
        <v>62</v>
      </c>
      <c r="J26" s="65"/>
    </row>
    <row r="27" spans="1:11" x14ac:dyDescent="0.25">
      <c r="A27" s="12"/>
      <c r="B27" s="55" t="s">
        <v>82</v>
      </c>
      <c r="C27" s="50">
        <f>C22</f>
        <v>40500</v>
      </c>
      <c r="D27" s="56">
        <v>0.1</v>
      </c>
      <c r="E27" s="50"/>
      <c r="F27" s="57" t="s">
        <v>82</v>
      </c>
      <c r="G27" s="50">
        <f>F22</f>
        <v>40000</v>
      </c>
      <c r="H27" s="56">
        <v>0.1</v>
      </c>
      <c r="I27" s="58"/>
      <c r="J27" s="1"/>
    </row>
    <row r="28" spans="1:11" x14ac:dyDescent="0.25">
      <c r="A28" s="12"/>
      <c r="B28" s="58" t="s">
        <v>55</v>
      </c>
      <c r="C28" s="50">
        <f>'JUNE 20'!E42</f>
        <v>-4664</v>
      </c>
      <c r="D28" s="58"/>
      <c r="E28" s="58"/>
      <c r="F28" s="58" t="s">
        <v>55</v>
      </c>
      <c r="G28" s="50">
        <f>'JUNE 20'!I42</f>
        <v>-5234</v>
      </c>
      <c r="H28" s="58"/>
      <c r="I28" s="58"/>
      <c r="J28" s="1"/>
    </row>
    <row r="29" spans="1:11" x14ac:dyDescent="0.25">
      <c r="A29" s="12"/>
      <c r="B29" s="58"/>
      <c r="C29" s="50"/>
      <c r="D29" s="58"/>
      <c r="E29" s="58"/>
      <c r="F29" s="58"/>
      <c r="G29" s="50"/>
      <c r="H29" s="58"/>
      <c r="I29" s="58"/>
      <c r="J29" s="66"/>
    </row>
    <row r="30" spans="1:11" x14ac:dyDescent="0.25">
      <c r="A30" s="12"/>
      <c r="B30" s="58" t="s">
        <v>33</v>
      </c>
      <c r="C30" s="59"/>
      <c r="D30" s="58">
        <f>C27*D27</f>
        <v>4050</v>
      </c>
      <c r="E30" s="58"/>
      <c r="F30" s="58" t="s">
        <v>33</v>
      </c>
      <c r="G30" s="59"/>
      <c r="H30" s="58">
        <f>H27*C27</f>
        <v>4050</v>
      </c>
      <c r="I30" s="58"/>
      <c r="J30" s="66"/>
    </row>
    <row r="31" spans="1:11" x14ac:dyDescent="0.25">
      <c r="A31" s="12"/>
      <c r="B31" s="60" t="s">
        <v>34</v>
      </c>
      <c r="C31" s="58"/>
      <c r="D31" s="58"/>
      <c r="E31" s="58"/>
      <c r="F31" s="60" t="s">
        <v>34</v>
      </c>
      <c r="G31" s="58"/>
      <c r="H31" s="58"/>
      <c r="I31" s="58"/>
      <c r="J31" s="66"/>
      <c r="K31" s="43">
        <f>G27+G28</f>
        <v>34766</v>
      </c>
    </row>
    <row r="32" spans="1:11" x14ac:dyDescent="0.25">
      <c r="A32" s="12"/>
      <c r="B32" s="3" t="s">
        <v>161</v>
      </c>
      <c r="C32" s="3"/>
      <c r="D32" s="3">
        <v>5000</v>
      </c>
      <c r="E32" s="3"/>
      <c r="F32" s="3" t="s">
        <v>161</v>
      </c>
      <c r="G32" s="3"/>
      <c r="H32" s="3">
        <v>5000</v>
      </c>
      <c r="I32" s="58"/>
    </row>
    <row r="33" spans="1:11" x14ac:dyDescent="0.25">
      <c r="A33" s="12"/>
      <c r="B33" s="62" t="s">
        <v>260</v>
      </c>
      <c r="C33" s="58"/>
      <c r="D33" s="58">
        <f>C5</f>
        <v>4000</v>
      </c>
      <c r="E33" s="58"/>
      <c r="F33" s="62" t="s">
        <v>260</v>
      </c>
      <c r="G33" s="58"/>
      <c r="H33" s="58">
        <f>D33</f>
        <v>4000</v>
      </c>
      <c r="I33" s="58"/>
      <c r="J33" s="66"/>
    </row>
    <row r="34" spans="1:11" x14ac:dyDescent="0.25">
      <c r="A34" s="12"/>
      <c r="B34" s="62" t="s">
        <v>261</v>
      </c>
      <c r="D34" s="58">
        <f>C8</f>
        <v>2500</v>
      </c>
      <c r="E34" s="58"/>
      <c r="F34" s="62" t="s">
        <v>261</v>
      </c>
      <c r="H34" s="58">
        <f>D34</f>
        <v>2500</v>
      </c>
      <c r="I34" s="58"/>
    </row>
    <row r="35" spans="1:11" x14ac:dyDescent="0.25">
      <c r="A35" s="12"/>
      <c r="B35" s="62" t="s">
        <v>262</v>
      </c>
      <c r="C35" s="50"/>
      <c r="D35" s="50">
        <f>C15</f>
        <v>2500</v>
      </c>
      <c r="E35" s="50"/>
      <c r="F35" s="62" t="s">
        <v>262</v>
      </c>
      <c r="G35" s="50"/>
      <c r="H35" s="50">
        <f>D35</f>
        <v>2500</v>
      </c>
      <c r="I35" s="58"/>
    </row>
    <row r="36" spans="1:11" x14ac:dyDescent="0.25">
      <c r="A36" s="12"/>
      <c r="B36" s="62" t="s">
        <v>263</v>
      </c>
      <c r="C36" s="50"/>
      <c r="D36" s="50">
        <f>C20</f>
        <v>2500</v>
      </c>
      <c r="E36" s="50"/>
      <c r="F36" s="62" t="s">
        <v>263</v>
      </c>
      <c r="G36" s="50"/>
      <c r="H36" s="50">
        <f>D36</f>
        <v>2500</v>
      </c>
      <c r="I36" s="58"/>
    </row>
    <row r="37" spans="1:11" x14ac:dyDescent="0.25">
      <c r="A37" s="12"/>
      <c r="B37" s="62" t="s">
        <v>264</v>
      </c>
      <c r="C37" s="50"/>
      <c r="D37" s="50">
        <f>C11</f>
        <v>2500</v>
      </c>
      <c r="E37" s="50"/>
      <c r="F37" s="62" t="s">
        <v>264</v>
      </c>
      <c r="G37" s="50"/>
      <c r="H37" s="50">
        <f>D37</f>
        <v>2500</v>
      </c>
      <c r="I37" s="58"/>
    </row>
    <row r="38" spans="1:11" x14ac:dyDescent="0.25">
      <c r="A38" s="12"/>
      <c r="B38" s="62" t="s">
        <v>265</v>
      </c>
      <c r="C38" s="50"/>
      <c r="D38" s="50">
        <v>1000</v>
      </c>
      <c r="E38" s="50"/>
      <c r="F38" s="62" t="s">
        <v>265</v>
      </c>
      <c r="G38" s="50"/>
      <c r="H38" s="50">
        <v>1000</v>
      </c>
      <c r="I38" s="58"/>
      <c r="K38" s="43">
        <f>H33+H34+H35+H36+H37+H38+H39+H41</f>
        <v>23500</v>
      </c>
    </row>
    <row r="39" spans="1:11" x14ac:dyDescent="0.25">
      <c r="A39" s="12"/>
      <c r="B39" s="62" t="s">
        <v>266</v>
      </c>
      <c r="C39" s="50"/>
      <c r="D39" s="50">
        <f>1000+1500+1500+500</f>
        <v>4500</v>
      </c>
      <c r="E39" s="50"/>
      <c r="F39" s="62" t="s">
        <v>266</v>
      </c>
      <c r="G39" s="50"/>
      <c r="H39" s="50">
        <f>1000+1500+1500+500</f>
        <v>4500</v>
      </c>
      <c r="I39" s="58"/>
    </row>
    <row r="40" spans="1:11" x14ac:dyDescent="0.25">
      <c r="A40" s="12"/>
      <c r="B40" s="62" t="s">
        <v>267</v>
      </c>
      <c r="C40" s="50"/>
      <c r="D40" s="50">
        <v>2700</v>
      </c>
      <c r="E40" s="50"/>
      <c r="F40" s="62" t="s">
        <v>267</v>
      </c>
      <c r="G40" s="50"/>
      <c r="H40" s="50">
        <v>2700</v>
      </c>
      <c r="I40" s="58"/>
    </row>
    <row r="41" spans="1:11" x14ac:dyDescent="0.25">
      <c r="A41" s="12"/>
      <c r="B41" s="62" t="s">
        <v>268</v>
      </c>
      <c r="C41" s="50"/>
      <c r="D41" s="50">
        <f>2500+500+500+500</f>
        <v>4000</v>
      </c>
      <c r="E41" s="50"/>
      <c r="F41" s="62" t="s">
        <v>269</v>
      </c>
      <c r="G41" s="50"/>
      <c r="H41" s="50">
        <f>2500+500+500+500</f>
        <v>4000</v>
      </c>
      <c r="I41" s="58"/>
    </row>
    <row r="42" spans="1:11" x14ac:dyDescent="0.25">
      <c r="A42" s="12"/>
      <c r="B42" s="55" t="s">
        <v>24</v>
      </c>
      <c r="C42" s="63">
        <f>C27+C28+C29-D30</f>
        <v>31786</v>
      </c>
      <c r="D42" s="55">
        <f>SUM(D32:D41)</f>
        <v>31200</v>
      </c>
      <c r="E42" s="63">
        <f>C42-D42</f>
        <v>586</v>
      </c>
      <c r="F42" s="57"/>
      <c r="G42" s="63">
        <f>G27+G28-H30</f>
        <v>30716</v>
      </c>
      <c r="H42" s="63">
        <f>SUM(H32:H41)</f>
        <v>31200</v>
      </c>
      <c r="I42" s="63">
        <f>G42-H42</f>
        <v>-484</v>
      </c>
    </row>
    <row r="45" spans="1:11" x14ac:dyDescent="0.25">
      <c r="B45" s="12" t="s">
        <v>38</v>
      </c>
      <c r="D45" s="12" t="s">
        <v>36</v>
      </c>
      <c r="F45" s="12"/>
      <c r="G45" s="12" t="s">
        <v>37</v>
      </c>
      <c r="I45" s="43"/>
      <c r="J45" s="43"/>
    </row>
    <row r="46" spans="1:11" x14ac:dyDescent="0.25">
      <c r="D46" s="12"/>
      <c r="F46" s="68">
        <f>D37+D38+D39</f>
        <v>8000</v>
      </c>
      <c r="G46" s="12"/>
    </row>
    <row r="47" spans="1:11" x14ac:dyDescent="0.25">
      <c r="B47" t="s">
        <v>163</v>
      </c>
      <c r="D47" t="s">
        <v>66</v>
      </c>
      <c r="G47" t="s">
        <v>10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opLeftCell="A4" workbookViewId="0">
      <selection activeCell="F12" sqref="F12"/>
    </sheetView>
  </sheetViews>
  <sheetFormatPr defaultRowHeight="15" x14ac:dyDescent="0.25"/>
  <cols>
    <col min="1" max="1" width="4.85546875" customWidth="1"/>
    <col min="2" max="2" width="20.7109375" customWidth="1"/>
    <col min="5" max="5" width="11" customWidth="1"/>
    <col min="6" max="6" width="9.7109375" bestFit="1" customWidth="1"/>
    <col min="10" max="10" width="10" bestFit="1" customWidth="1"/>
  </cols>
  <sheetData>
    <row r="1" spans="1:9" ht="18.75" x14ac:dyDescent="0.25">
      <c r="C1" s="38" t="s">
        <v>59</v>
      </c>
      <c r="D1" s="39"/>
      <c r="E1" s="36"/>
      <c r="F1" s="34"/>
    </row>
    <row r="2" spans="1:9" ht="18.75" x14ac:dyDescent="0.25">
      <c r="C2" s="38" t="s">
        <v>60</v>
      </c>
      <c r="D2" s="38"/>
      <c r="E2" s="11"/>
      <c r="F2" s="11"/>
    </row>
    <row r="3" spans="1:9" ht="18.75" x14ac:dyDescent="0.25">
      <c r="C3" s="38" t="s">
        <v>271</v>
      </c>
      <c r="D3" s="38"/>
      <c r="E3" s="11"/>
      <c r="F3" s="11"/>
    </row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/>
      <c r="I4" s="1"/>
    </row>
    <row r="5" spans="1:9" x14ac:dyDescent="0.25">
      <c r="A5" s="3">
        <v>1</v>
      </c>
      <c r="B5" s="3" t="s">
        <v>91</v>
      </c>
      <c r="C5" s="3">
        <v>4000</v>
      </c>
      <c r="D5" s="3">
        <f>'JULY 20'!G5:G21</f>
        <v>0</v>
      </c>
      <c r="E5" s="3">
        <f>C5+D5</f>
        <v>4000</v>
      </c>
      <c r="F5" s="3">
        <v>4000</v>
      </c>
      <c r="G5" s="3">
        <f>E5-F5</f>
        <v>0</v>
      </c>
      <c r="H5" s="3"/>
    </row>
    <row r="6" spans="1:9" x14ac:dyDescent="0.25">
      <c r="A6" s="3">
        <v>2</v>
      </c>
      <c r="B6" t="s">
        <v>126</v>
      </c>
      <c r="C6" s="3">
        <v>2500</v>
      </c>
      <c r="D6" s="3">
        <f>'JULY 20'!G6:G22</f>
        <v>0</v>
      </c>
      <c r="E6" s="3">
        <f>C6+D6</f>
        <v>2500</v>
      </c>
      <c r="F6" s="3">
        <v>2500</v>
      </c>
      <c r="G6" s="3">
        <f t="shared" ref="G6:G18" si="0">E6-F6</f>
        <v>0</v>
      </c>
      <c r="H6" s="3"/>
    </row>
    <row r="7" spans="1:9" x14ac:dyDescent="0.25">
      <c r="A7" s="3">
        <v>3</v>
      </c>
      <c r="B7" s="3" t="s">
        <v>56</v>
      </c>
      <c r="C7" s="3"/>
      <c r="D7" s="3">
        <f>'JULY 20'!G7:G23</f>
        <v>0</v>
      </c>
      <c r="E7" s="3">
        <f t="shared" ref="E7:E21" si="1">C7+D7</f>
        <v>0</v>
      </c>
      <c r="F7" s="3"/>
      <c r="G7" s="3">
        <f t="shared" si="0"/>
        <v>0</v>
      </c>
      <c r="H7" s="3"/>
    </row>
    <row r="8" spans="1:9" x14ac:dyDescent="0.25">
      <c r="A8" s="3">
        <v>4</v>
      </c>
      <c r="B8" s="3" t="s">
        <v>74</v>
      </c>
      <c r="C8" s="3">
        <v>2500</v>
      </c>
      <c r="D8" s="3">
        <f>'JULY 20'!G8:G24</f>
        <v>0</v>
      </c>
      <c r="E8" s="3">
        <f t="shared" si="1"/>
        <v>2500</v>
      </c>
      <c r="F8" s="3">
        <f>2500</f>
        <v>2500</v>
      </c>
      <c r="G8" s="3">
        <f t="shared" si="0"/>
        <v>0</v>
      </c>
      <c r="H8" s="3"/>
    </row>
    <row r="9" spans="1:9" x14ac:dyDescent="0.25">
      <c r="A9" s="3">
        <v>5</v>
      </c>
      <c r="B9" s="3" t="s">
        <v>86</v>
      </c>
      <c r="C9" s="3">
        <v>2500</v>
      </c>
      <c r="D9" s="3">
        <f>'JULY 20'!G9:G25</f>
        <v>250</v>
      </c>
      <c r="E9" s="3">
        <f>C9+D9</f>
        <v>2750</v>
      </c>
      <c r="F9" s="3">
        <v>2500</v>
      </c>
      <c r="G9" s="3">
        <f t="shared" si="0"/>
        <v>250</v>
      </c>
      <c r="H9" s="3"/>
    </row>
    <row r="10" spans="1:9" x14ac:dyDescent="0.25">
      <c r="A10" s="3">
        <v>6</v>
      </c>
      <c r="B10" s="64" t="s">
        <v>154</v>
      </c>
      <c r="C10" s="3">
        <v>2500</v>
      </c>
      <c r="D10" s="3">
        <f>'JULY 20'!G10:G26</f>
        <v>0</v>
      </c>
      <c r="E10" s="3">
        <f>C10+D10</f>
        <v>2500</v>
      </c>
      <c r="F10" s="3">
        <v>2500</v>
      </c>
      <c r="G10" s="3">
        <f t="shared" si="0"/>
        <v>0</v>
      </c>
      <c r="H10" s="3"/>
    </row>
    <row r="11" spans="1:9" x14ac:dyDescent="0.25">
      <c r="A11" s="3">
        <v>7</v>
      </c>
      <c r="B11" s="3" t="s">
        <v>13</v>
      </c>
      <c r="C11" s="3">
        <v>2500</v>
      </c>
      <c r="D11" s="3">
        <f>'JULY 20'!G11:G27</f>
        <v>0</v>
      </c>
      <c r="E11" s="3">
        <f t="shared" si="1"/>
        <v>2500</v>
      </c>
      <c r="F11" s="3">
        <f>2000+500</f>
        <v>2500</v>
      </c>
      <c r="G11" s="3">
        <f t="shared" si="0"/>
        <v>0</v>
      </c>
      <c r="H11" s="3"/>
    </row>
    <row r="12" spans="1:9" x14ac:dyDescent="0.25">
      <c r="A12" s="3">
        <v>8</v>
      </c>
      <c r="B12" s="3" t="s">
        <v>105</v>
      </c>
      <c r="C12" s="3">
        <v>2500</v>
      </c>
      <c r="D12" s="3">
        <f>'JULY 20'!G12:G28</f>
        <v>0</v>
      </c>
      <c r="E12" s="3">
        <f t="shared" si="1"/>
        <v>2500</v>
      </c>
      <c r="F12" s="3">
        <v>1900</v>
      </c>
      <c r="G12" s="3">
        <f t="shared" si="0"/>
        <v>600</v>
      </c>
      <c r="H12" s="3"/>
    </row>
    <row r="13" spans="1:9" x14ac:dyDescent="0.25">
      <c r="A13" s="3">
        <v>9</v>
      </c>
      <c r="B13" s="3" t="s">
        <v>96</v>
      </c>
      <c r="C13" s="3">
        <v>2500</v>
      </c>
      <c r="D13" s="3">
        <f>'JULY 20'!G13:G29</f>
        <v>820</v>
      </c>
      <c r="E13" s="3">
        <f t="shared" si="1"/>
        <v>3320</v>
      </c>
      <c r="F13" s="3">
        <v>3000</v>
      </c>
      <c r="G13" s="3">
        <f t="shared" si="0"/>
        <v>320</v>
      </c>
      <c r="H13" s="3"/>
    </row>
    <row r="14" spans="1:9" x14ac:dyDescent="0.25">
      <c r="A14" s="3">
        <v>10</v>
      </c>
      <c r="B14" s="3" t="s">
        <v>238</v>
      </c>
      <c r="C14" s="3">
        <v>2000</v>
      </c>
      <c r="D14" s="3">
        <f>'JULY 20'!G14:G30</f>
        <v>0</v>
      </c>
      <c r="E14" s="3">
        <f t="shared" si="1"/>
        <v>2000</v>
      </c>
      <c r="F14" s="3">
        <f>1000+500</f>
        <v>1500</v>
      </c>
      <c r="G14" s="3">
        <f>E14-F14</f>
        <v>500</v>
      </c>
      <c r="H14" s="3"/>
    </row>
    <row r="15" spans="1:9" x14ac:dyDescent="0.25">
      <c r="A15" s="3">
        <v>11</v>
      </c>
      <c r="B15" s="3" t="s">
        <v>57</v>
      </c>
      <c r="C15" s="3">
        <v>2500</v>
      </c>
      <c r="D15" s="3">
        <f>'JULY 20'!G15:G31</f>
        <v>0</v>
      </c>
      <c r="E15" s="3">
        <f t="shared" si="1"/>
        <v>2500</v>
      </c>
      <c r="F15" s="3"/>
      <c r="G15" s="3">
        <f t="shared" si="0"/>
        <v>2500</v>
      </c>
      <c r="H15" s="3"/>
    </row>
    <row r="16" spans="1:9" x14ac:dyDescent="0.25">
      <c r="A16" s="3">
        <v>12</v>
      </c>
      <c r="B16" s="3" t="s">
        <v>165</v>
      </c>
      <c r="C16" s="3">
        <v>2500</v>
      </c>
      <c r="D16" s="3">
        <f>'JULY 20'!G16:G32</f>
        <v>0</v>
      </c>
      <c r="E16" s="3">
        <f t="shared" si="1"/>
        <v>2500</v>
      </c>
      <c r="F16" s="3">
        <f>2000+500</f>
        <v>2500</v>
      </c>
      <c r="G16" s="3">
        <f t="shared" si="0"/>
        <v>0</v>
      </c>
      <c r="H16" s="3"/>
    </row>
    <row r="17" spans="1:11" x14ac:dyDescent="0.25">
      <c r="A17" s="3">
        <v>13</v>
      </c>
      <c r="B17" s="3" t="s">
        <v>19</v>
      </c>
      <c r="C17" s="3">
        <v>2500</v>
      </c>
      <c r="D17" s="3">
        <f>'JULY 20'!G17:G33</f>
        <v>0</v>
      </c>
      <c r="E17" s="3">
        <f t="shared" si="1"/>
        <v>2500</v>
      </c>
      <c r="F17" s="3">
        <f>1000+1500</f>
        <v>2500</v>
      </c>
      <c r="G17" s="3">
        <f t="shared" si="0"/>
        <v>0</v>
      </c>
      <c r="H17" s="3"/>
    </row>
    <row r="18" spans="1:11" x14ac:dyDescent="0.25">
      <c r="A18" s="3">
        <v>14</v>
      </c>
      <c r="B18" s="3" t="s">
        <v>160</v>
      </c>
      <c r="C18" s="3">
        <v>2500</v>
      </c>
      <c r="D18" s="3">
        <f>'JULY 20'!G18:G34</f>
        <v>0</v>
      </c>
      <c r="E18" s="3">
        <f t="shared" si="1"/>
        <v>2500</v>
      </c>
      <c r="F18" s="3">
        <f>2500</f>
        <v>2500</v>
      </c>
      <c r="G18" s="3">
        <f t="shared" si="0"/>
        <v>0</v>
      </c>
      <c r="H18" s="3"/>
    </row>
    <row r="19" spans="1:11" x14ac:dyDescent="0.25">
      <c r="A19" s="3">
        <v>15</v>
      </c>
      <c r="B19" s="3" t="s">
        <v>56</v>
      </c>
      <c r="C19" s="3"/>
      <c r="D19" s="3">
        <f>'JULY 20'!G19:G35</f>
        <v>0</v>
      </c>
      <c r="E19" s="3">
        <f t="shared" si="1"/>
        <v>0</v>
      </c>
      <c r="F19" s="3"/>
      <c r="G19" s="3">
        <f>E19-F19</f>
        <v>0</v>
      </c>
      <c r="H19" s="3"/>
    </row>
    <row r="20" spans="1:11" x14ac:dyDescent="0.25">
      <c r="A20" s="3">
        <v>16</v>
      </c>
      <c r="B20" s="3" t="s">
        <v>237</v>
      </c>
      <c r="C20" s="3">
        <v>2500</v>
      </c>
      <c r="D20" s="3">
        <f>'JULY 20'!G20:G36</f>
        <v>0</v>
      </c>
      <c r="E20" s="3">
        <f t="shared" si="1"/>
        <v>2500</v>
      </c>
      <c r="F20" s="3">
        <v>2500</v>
      </c>
      <c r="G20" s="3">
        <f>E20-F20</f>
        <v>0</v>
      </c>
      <c r="H20" s="3"/>
      <c r="I20" t="s">
        <v>51</v>
      </c>
      <c r="J20">
        <v>794960612</v>
      </c>
    </row>
    <row r="21" spans="1:11" x14ac:dyDescent="0.25">
      <c r="A21" s="3">
        <v>17</v>
      </c>
      <c r="B21" s="3" t="s">
        <v>73</v>
      </c>
      <c r="C21" s="3">
        <v>2500</v>
      </c>
      <c r="D21" s="3">
        <f>'JULY 20'!G21:G37</f>
        <v>0</v>
      </c>
      <c r="E21" s="3">
        <f t="shared" si="1"/>
        <v>2500</v>
      </c>
      <c r="F21" s="62">
        <f>2500</f>
        <v>2500</v>
      </c>
      <c r="G21" s="58">
        <f>E21-F21</f>
        <v>0</v>
      </c>
      <c r="H21" s="58"/>
    </row>
    <row r="22" spans="1:11" x14ac:dyDescent="0.25">
      <c r="A22" s="2"/>
      <c r="B22" s="4" t="s">
        <v>24</v>
      </c>
      <c r="C22" s="2">
        <f>SUM(C5:C21)</f>
        <v>38500</v>
      </c>
      <c r="D22" s="3">
        <f>SUM(D5:D21)</f>
        <v>1070</v>
      </c>
      <c r="E22" s="2">
        <f>SUM(E5:E21)</f>
        <v>39570</v>
      </c>
      <c r="F22" s="2">
        <f>SUM(F5:F21)</f>
        <v>35400</v>
      </c>
      <c r="G22" s="2">
        <f>SUM(G5:G21)</f>
        <v>4170</v>
      </c>
      <c r="H22" s="2"/>
      <c r="I22" s="1"/>
    </row>
    <row r="23" spans="1:11" x14ac:dyDescent="0.25">
      <c r="A23" s="3"/>
      <c r="B23" s="3"/>
      <c r="C23" s="3"/>
      <c r="D23" s="3"/>
      <c r="E23" s="3"/>
      <c r="F23" s="3"/>
      <c r="G23" s="3"/>
      <c r="H23" s="3"/>
    </row>
    <row r="24" spans="1:11" x14ac:dyDescent="0.25">
      <c r="A24" s="12"/>
      <c r="G24">
        <f>G18+G15+G12+G11+G14+G16</f>
        <v>3600</v>
      </c>
    </row>
    <row r="25" spans="1:11" ht="18.75" x14ac:dyDescent="0.3">
      <c r="A25" s="12"/>
      <c r="B25" s="51" t="s">
        <v>27</v>
      </c>
      <c r="C25" s="52"/>
      <c r="D25" s="52"/>
      <c r="E25" s="52"/>
      <c r="F25" s="52"/>
      <c r="G25" s="52"/>
      <c r="H25" s="53"/>
      <c r="I25" s="53"/>
      <c r="J25" s="1"/>
    </row>
    <row r="26" spans="1:11" ht="15.75" x14ac:dyDescent="0.25">
      <c r="A26" s="12"/>
      <c r="B26" s="54" t="s">
        <v>28</v>
      </c>
      <c r="C26" s="54" t="s">
        <v>29</v>
      </c>
      <c r="D26" s="54" t="s">
        <v>30</v>
      </c>
      <c r="E26" s="54" t="s">
        <v>62</v>
      </c>
      <c r="F26" s="54" t="s">
        <v>69</v>
      </c>
      <c r="G26" s="54" t="s">
        <v>29</v>
      </c>
      <c r="H26" s="54" t="s">
        <v>30</v>
      </c>
      <c r="I26" s="54" t="s">
        <v>62</v>
      </c>
      <c r="J26" s="65"/>
    </row>
    <row r="27" spans="1:11" x14ac:dyDescent="0.25">
      <c r="A27" s="12"/>
      <c r="B27" s="55" t="s">
        <v>270</v>
      </c>
      <c r="C27" s="50">
        <f>C22</f>
        <v>38500</v>
      </c>
      <c r="D27" s="56">
        <v>0.1</v>
      </c>
      <c r="E27" s="50"/>
      <c r="F27" s="57" t="s">
        <v>151</v>
      </c>
      <c r="G27" s="50">
        <f>F22</f>
        <v>35400</v>
      </c>
      <c r="H27" s="56">
        <v>0.1</v>
      </c>
      <c r="I27" s="58"/>
      <c r="J27" s="1"/>
    </row>
    <row r="28" spans="1:11" x14ac:dyDescent="0.25">
      <c r="A28" s="12"/>
      <c r="B28" s="58" t="s">
        <v>55</v>
      </c>
      <c r="C28" s="50">
        <f>'JULY 20'!E42</f>
        <v>586</v>
      </c>
      <c r="D28" s="58"/>
      <c r="E28" s="58"/>
      <c r="F28" s="58" t="s">
        <v>55</v>
      </c>
      <c r="G28" s="50">
        <f>'JULY 20'!I42</f>
        <v>-484</v>
      </c>
      <c r="H28" s="58"/>
      <c r="I28" s="58"/>
      <c r="J28" s="1"/>
    </row>
    <row r="29" spans="1:11" x14ac:dyDescent="0.25">
      <c r="A29" s="12"/>
      <c r="B29" s="58"/>
      <c r="C29" s="50"/>
      <c r="D29" s="58"/>
      <c r="E29" s="58"/>
      <c r="F29" s="58"/>
      <c r="G29" s="50"/>
      <c r="H29" s="58"/>
      <c r="I29" s="58"/>
      <c r="J29" s="66"/>
    </row>
    <row r="30" spans="1:11" x14ac:dyDescent="0.25">
      <c r="A30" s="12"/>
      <c r="B30" s="58" t="s">
        <v>33</v>
      </c>
      <c r="C30" s="59"/>
      <c r="D30" s="58">
        <f>C27*D27</f>
        <v>3850</v>
      </c>
      <c r="E30" s="58"/>
      <c r="F30" s="58" t="s">
        <v>33</v>
      </c>
      <c r="G30" s="59"/>
      <c r="H30" s="58">
        <f>H27*C27</f>
        <v>3850</v>
      </c>
      <c r="I30" s="58"/>
      <c r="J30" s="66"/>
    </row>
    <row r="31" spans="1:11" x14ac:dyDescent="0.25">
      <c r="A31" s="12"/>
      <c r="B31" s="60" t="s">
        <v>34</v>
      </c>
      <c r="C31" s="58"/>
      <c r="D31" s="58"/>
      <c r="E31" s="58"/>
      <c r="F31" s="60" t="s">
        <v>34</v>
      </c>
      <c r="G31" s="58"/>
      <c r="H31" s="58"/>
      <c r="I31" s="58"/>
      <c r="J31" s="66"/>
      <c r="K31" s="43">
        <f>G27+G28</f>
        <v>34916</v>
      </c>
    </row>
    <row r="32" spans="1:11" x14ac:dyDescent="0.25">
      <c r="A32" s="12"/>
      <c r="B32" s="3" t="s">
        <v>161</v>
      </c>
      <c r="C32" s="3"/>
      <c r="D32" s="3">
        <v>10000</v>
      </c>
      <c r="E32" s="3"/>
      <c r="F32" s="3" t="s">
        <v>161</v>
      </c>
      <c r="G32" s="3"/>
      <c r="H32" s="3">
        <v>10000</v>
      </c>
      <c r="I32" s="58"/>
    </row>
    <row r="33" spans="1:10" x14ac:dyDescent="0.25">
      <c r="A33" s="12"/>
      <c r="B33" s="62" t="s">
        <v>272</v>
      </c>
      <c r="C33" s="58"/>
      <c r="D33" s="58">
        <v>500</v>
      </c>
      <c r="E33" s="58"/>
      <c r="F33" s="62" t="s">
        <v>272</v>
      </c>
      <c r="G33" s="58"/>
      <c r="H33" s="58">
        <v>500</v>
      </c>
      <c r="I33" s="58"/>
      <c r="J33" s="66"/>
    </row>
    <row r="34" spans="1:10" x14ac:dyDescent="0.25">
      <c r="A34" s="12"/>
      <c r="B34" s="62" t="s">
        <v>273</v>
      </c>
      <c r="D34" s="58">
        <f>C20</f>
        <v>2500</v>
      </c>
      <c r="E34" s="58"/>
      <c r="F34" s="62" t="s">
        <v>273</v>
      </c>
      <c r="H34" s="58">
        <v>2500</v>
      </c>
      <c r="I34" s="58"/>
    </row>
    <row r="35" spans="1:10" x14ac:dyDescent="0.25">
      <c r="A35" s="12"/>
      <c r="B35" s="62" t="s">
        <v>274</v>
      </c>
      <c r="C35" s="50"/>
      <c r="D35" s="50">
        <v>19000</v>
      </c>
      <c r="E35" s="50"/>
      <c r="F35" s="62" t="s">
        <v>274</v>
      </c>
      <c r="G35" s="50"/>
      <c r="H35" s="50">
        <v>19000</v>
      </c>
      <c r="I35" s="58"/>
    </row>
    <row r="36" spans="1:10" x14ac:dyDescent="0.25">
      <c r="A36" s="12"/>
      <c r="B36" s="62" t="s">
        <v>274</v>
      </c>
      <c r="C36" s="50"/>
      <c r="D36" s="50">
        <f>2600</f>
        <v>2600</v>
      </c>
      <c r="E36" s="50"/>
      <c r="F36" s="62" t="s">
        <v>274</v>
      </c>
      <c r="G36" s="50"/>
      <c r="H36" s="50">
        <f>2600</f>
        <v>2600</v>
      </c>
      <c r="I36" s="58"/>
    </row>
    <row r="37" spans="1:10" x14ac:dyDescent="0.25">
      <c r="A37" s="12"/>
      <c r="B37" s="62" t="s">
        <v>277</v>
      </c>
      <c r="C37" s="50"/>
      <c r="D37" s="50">
        <v>500</v>
      </c>
      <c r="E37" s="50"/>
      <c r="F37" s="62" t="s">
        <v>277</v>
      </c>
      <c r="G37" s="50"/>
      <c r="H37" s="50">
        <v>500</v>
      </c>
      <c r="I37" s="58"/>
    </row>
    <row r="38" spans="1:10" x14ac:dyDescent="0.25">
      <c r="A38" s="12"/>
      <c r="B38" s="62"/>
      <c r="C38" s="50"/>
      <c r="D38" s="50"/>
      <c r="E38" s="50"/>
      <c r="F38" s="62"/>
      <c r="G38" s="50"/>
      <c r="H38" s="50"/>
      <c r="I38" s="58"/>
    </row>
    <row r="39" spans="1:10" x14ac:dyDescent="0.25">
      <c r="A39" s="12"/>
      <c r="B39" s="62"/>
      <c r="C39" s="50"/>
      <c r="D39" s="50"/>
      <c r="E39" s="50"/>
      <c r="F39" s="62"/>
      <c r="G39" s="50"/>
      <c r="H39" s="50"/>
      <c r="I39" s="58"/>
    </row>
    <row r="40" spans="1:10" x14ac:dyDescent="0.25">
      <c r="A40" s="12"/>
      <c r="B40" s="62"/>
      <c r="C40" s="50"/>
      <c r="D40" s="50"/>
      <c r="E40" s="50"/>
      <c r="F40" s="62"/>
      <c r="G40" s="50"/>
      <c r="H40" s="50"/>
      <c r="I40" s="58"/>
    </row>
    <row r="41" spans="1:10" x14ac:dyDescent="0.25">
      <c r="A41" s="12"/>
      <c r="B41" s="62"/>
      <c r="C41" s="50"/>
      <c r="D41" s="50"/>
      <c r="E41" s="50"/>
      <c r="F41" s="62"/>
      <c r="G41" s="50"/>
      <c r="H41" s="50"/>
      <c r="I41" s="58"/>
      <c r="J41" s="43"/>
    </row>
    <row r="42" spans="1:10" x14ac:dyDescent="0.25">
      <c r="A42" s="12"/>
      <c r="B42" s="55" t="s">
        <v>24</v>
      </c>
      <c r="C42" s="63">
        <f>C27+C28+C29-D30</f>
        <v>35236</v>
      </c>
      <c r="D42" s="55">
        <f>SUM(D32:D41)</f>
        <v>35100</v>
      </c>
      <c r="E42" s="63">
        <f>C42-D42</f>
        <v>136</v>
      </c>
      <c r="F42" s="57"/>
      <c r="G42" s="63">
        <f>G27+G28-H30</f>
        <v>31066</v>
      </c>
      <c r="H42" s="63">
        <f>SUM(H32:H41)</f>
        <v>35100</v>
      </c>
      <c r="I42" s="63">
        <f>G42-H42</f>
        <v>-4034</v>
      </c>
    </row>
    <row r="45" spans="1:10" x14ac:dyDescent="0.25">
      <c r="B45" s="12" t="s">
        <v>38</v>
      </c>
      <c r="D45" s="12" t="s">
        <v>36</v>
      </c>
      <c r="F45" s="12"/>
      <c r="G45" s="12" t="s">
        <v>37</v>
      </c>
      <c r="I45" s="43">
        <f>G22+I42</f>
        <v>136</v>
      </c>
    </row>
    <row r="46" spans="1:10" x14ac:dyDescent="0.25">
      <c r="D46" s="12"/>
      <c r="F46" s="68"/>
      <c r="G46" s="12"/>
    </row>
    <row r="47" spans="1:10" x14ac:dyDescent="0.25">
      <c r="B47" t="s">
        <v>163</v>
      </c>
      <c r="D47" t="s">
        <v>66</v>
      </c>
      <c r="G47" t="s">
        <v>10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opLeftCell="A10" workbookViewId="0">
      <selection activeCell="H42" sqref="H42"/>
    </sheetView>
  </sheetViews>
  <sheetFormatPr defaultRowHeight="15" x14ac:dyDescent="0.25"/>
  <cols>
    <col min="1" max="1" width="4.140625" customWidth="1"/>
    <col min="2" max="2" width="19.42578125" customWidth="1"/>
    <col min="6" max="6" width="9.7109375" bestFit="1" customWidth="1"/>
    <col min="7" max="7" width="10.7109375" customWidth="1"/>
    <col min="10" max="10" width="10" bestFit="1" customWidth="1"/>
  </cols>
  <sheetData>
    <row r="1" spans="1:10" ht="18.75" x14ac:dyDescent="0.25">
      <c r="C1" s="38" t="s">
        <v>59</v>
      </c>
      <c r="D1" s="39"/>
      <c r="E1" s="36"/>
      <c r="F1" s="34"/>
    </row>
    <row r="2" spans="1:10" ht="18.75" x14ac:dyDescent="0.25">
      <c r="C2" s="38" t="s">
        <v>60</v>
      </c>
      <c r="D2" s="38"/>
      <c r="E2" s="11"/>
      <c r="F2" s="11"/>
    </row>
    <row r="3" spans="1:10" ht="18.75" x14ac:dyDescent="0.25">
      <c r="C3" s="38" t="s">
        <v>276</v>
      </c>
      <c r="D3" s="38"/>
      <c r="E3" s="11"/>
      <c r="F3" s="11"/>
    </row>
    <row r="4" spans="1:10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/>
      <c r="I4" s="1"/>
    </row>
    <row r="5" spans="1:10" x14ac:dyDescent="0.25">
      <c r="A5" s="3">
        <v>1</v>
      </c>
      <c r="B5" s="3" t="s">
        <v>91</v>
      </c>
      <c r="C5" s="3">
        <v>4000</v>
      </c>
      <c r="D5" s="3">
        <f>'AUGUST 20'!G5:G21</f>
        <v>0</v>
      </c>
      <c r="E5" s="3">
        <f>C5+D5</f>
        <v>4000</v>
      </c>
      <c r="F5" s="3">
        <f>4000</f>
        <v>4000</v>
      </c>
      <c r="G5" s="3">
        <f>E5-F5</f>
        <v>0</v>
      </c>
      <c r="H5" s="3"/>
    </row>
    <row r="6" spans="1:10" x14ac:dyDescent="0.25">
      <c r="A6" s="3">
        <v>2</v>
      </c>
      <c r="B6" t="s">
        <v>126</v>
      </c>
      <c r="C6" s="3">
        <v>2500</v>
      </c>
      <c r="D6" s="3">
        <f>'AUGUST 20'!G6:G22</f>
        <v>0</v>
      </c>
      <c r="E6" s="3">
        <f>C6+D6</f>
        <v>2500</v>
      </c>
      <c r="F6" s="3">
        <v>2500</v>
      </c>
      <c r="G6" s="3">
        <f t="shared" ref="G6:G18" si="0">E6-F6</f>
        <v>0</v>
      </c>
      <c r="H6" s="3"/>
    </row>
    <row r="7" spans="1:10" x14ac:dyDescent="0.25">
      <c r="A7" s="3">
        <v>3</v>
      </c>
      <c r="B7" s="3" t="s">
        <v>56</v>
      </c>
      <c r="C7" s="3"/>
      <c r="D7" s="3">
        <f>'AUGUST 20'!G7:G23</f>
        <v>0</v>
      </c>
      <c r="E7" s="3">
        <f t="shared" ref="E7:E21" si="1">C7+D7</f>
        <v>0</v>
      </c>
      <c r="F7" s="3"/>
      <c r="G7" s="3">
        <f t="shared" si="0"/>
        <v>0</v>
      </c>
      <c r="H7" s="3"/>
    </row>
    <row r="8" spans="1:10" x14ac:dyDescent="0.25">
      <c r="A8" s="3">
        <v>4</v>
      </c>
      <c r="B8" s="3" t="s">
        <v>74</v>
      </c>
      <c r="C8" s="3">
        <v>2500</v>
      </c>
      <c r="D8" s="3">
        <f>'AUGUST 20'!G8:G24</f>
        <v>0</v>
      </c>
      <c r="E8" s="3">
        <f t="shared" si="1"/>
        <v>2500</v>
      </c>
      <c r="F8" s="3">
        <f>2000</f>
        <v>2000</v>
      </c>
      <c r="G8" s="3">
        <f t="shared" si="0"/>
        <v>500</v>
      </c>
      <c r="H8" s="3"/>
    </row>
    <row r="9" spans="1:10" x14ac:dyDescent="0.25">
      <c r="A9" s="3">
        <v>5</v>
      </c>
      <c r="B9" s="3" t="s">
        <v>86</v>
      </c>
      <c r="C9" s="3">
        <v>2500</v>
      </c>
      <c r="D9" s="3">
        <f>'AUGUST 20'!G9:G25</f>
        <v>250</v>
      </c>
      <c r="E9" s="3">
        <f>C9+D9</f>
        <v>2750</v>
      </c>
      <c r="F9" s="3"/>
      <c r="G9" s="3">
        <f t="shared" si="0"/>
        <v>2750</v>
      </c>
      <c r="H9" s="3"/>
      <c r="I9" t="s">
        <v>282</v>
      </c>
    </row>
    <row r="10" spans="1:10" x14ac:dyDescent="0.25">
      <c r="A10" s="3">
        <v>6</v>
      </c>
      <c r="B10" s="64" t="s">
        <v>154</v>
      </c>
      <c r="C10" s="3">
        <v>2500</v>
      </c>
      <c r="D10" s="3">
        <f>'AUGUST 20'!G10:G26</f>
        <v>0</v>
      </c>
      <c r="E10" s="3">
        <f>C10+D10</f>
        <v>2500</v>
      </c>
      <c r="F10" s="3">
        <v>2500</v>
      </c>
      <c r="G10" s="3">
        <f t="shared" si="0"/>
        <v>0</v>
      </c>
      <c r="H10" s="3"/>
    </row>
    <row r="11" spans="1:10" x14ac:dyDescent="0.25">
      <c r="A11" s="3">
        <v>7</v>
      </c>
      <c r="B11" s="3" t="s">
        <v>13</v>
      </c>
      <c r="C11" s="3">
        <v>2500</v>
      </c>
      <c r="D11" s="3">
        <f>'AUGUST 20'!G11:G27</f>
        <v>0</v>
      </c>
      <c r="E11" s="3">
        <f t="shared" si="1"/>
        <v>2500</v>
      </c>
      <c r="F11" s="3">
        <f>1500+1000</f>
        <v>2500</v>
      </c>
      <c r="G11" s="3">
        <f t="shared" si="0"/>
        <v>0</v>
      </c>
      <c r="H11" s="3"/>
      <c r="I11" t="s">
        <v>218</v>
      </c>
    </row>
    <row r="12" spans="1:10" x14ac:dyDescent="0.25">
      <c r="A12" s="3">
        <v>8</v>
      </c>
      <c r="B12" s="3" t="s">
        <v>105</v>
      </c>
      <c r="C12" s="3">
        <v>2500</v>
      </c>
      <c r="D12" s="3">
        <f>'AUGUST 20'!G12:G28</f>
        <v>600</v>
      </c>
      <c r="E12" s="3">
        <f t="shared" si="1"/>
        <v>3100</v>
      </c>
      <c r="F12" s="3">
        <f>1000+1700</f>
        <v>2700</v>
      </c>
      <c r="G12" s="3">
        <f t="shared" si="0"/>
        <v>400</v>
      </c>
      <c r="H12" s="3"/>
      <c r="I12">
        <f>200+1500</f>
        <v>1700</v>
      </c>
      <c r="J12" t="s">
        <v>51</v>
      </c>
    </row>
    <row r="13" spans="1:10" x14ac:dyDescent="0.25">
      <c r="A13" s="3">
        <v>9</v>
      </c>
      <c r="B13" s="3" t="s">
        <v>96</v>
      </c>
      <c r="C13" s="3">
        <v>2500</v>
      </c>
      <c r="D13" s="3">
        <f>'AUGUST 20'!G13:G29</f>
        <v>320</v>
      </c>
      <c r="E13" s="3">
        <f t="shared" si="1"/>
        <v>2820</v>
      </c>
      <c r="F13" s="3">
        <f>1700</f>
        <v>1700</v>
      </c>
      <c r="G13" s="3">
        <f t="shared" si="0"/>
        <v>1120</v>
      </c>
      <c r="H13" s="3"/>
    </row>
    <row r="14" spans="1:10" x14ac:dyDescent="0.25">
      <c r="A14" s="3">
        <v>10</v>
      </c>
      <c r="B14" s="3" t="s">
        <v>238</v>
      </c>
      <c r="C14" s="3">
        <v>2000</v>
      </c>
      <c r="D14" s="3">
        <f>'AUGUST 20'!G14:G30</f>
        <v>500</v>
      </c>
      <c r="E14" s="3">
        <f t="shared" si="1"/>
        <v>2500</v>
      </c>
      <c r="F14" s="3">
        <f>500+500</f>
        <v>1000</v>
      </c>
      <c r="G14" s="3">
        <f>E14-F14</f>
        <v>1500</v>
      </c>
      <c r="H14" s="3"/>
    </row>
    <row r="15" spans="1:10" x14ac:dyDescent="0.25">
      <c r="A15" s="3">
        <v>11</v>
      </c>
      <c r="B15" s="3" t="s">
        <v>57</v>
      </c>
      <c r="C15" s="3">
        <v>2500</v>
      </c>
      <c r="D15" s="3">
        <f>'AUGUST 20'!G15:G31</f>
        <v>2500</v>
      </c>
      <c r="E15" s="3">
        <f t="shared" si="1"/>
        <v>5000</v>
      </c>
      <c r="F15" s="3">
        <f>3100+400</f>
        <v>3500</v>
      </c>
      <c r="G15" s="3">
        <f t="shared" si="0"/>
        <v>1500</v>
      </c>
      <c r="H15" s="3"/>
      <c r="I15" t="s">
        <v>288</v>
      </c>
    </row>
    <row r="16" spans="1:10" x14ac:dyDescent="0.25">
      <c r="A16" s="3">
        <v>12</v>
      </c>
      <c r="B16" s="3" t="s">
        <v>165</v>
      </c>
      <c r="C16" s="3">
        <v>2500</v>
      </c>
      <c r="D16" s="3">
        <f>'AUGUST 20'!G16:G32</f>
        <v>0</v>
      </c>
      <c r="E16" s="3">
        <f t="shared" si="1"/>
        <v>2500</v>
      </c>
      <c r="F16" s="3">
        <f>1500+500+500</f>
        <v>2500</v>
      </c>
      <c r="G16" s="3">
        <f t="shared" si="0"/>
        <v>0</v>
      </c>
      <c r="H16" s="3"/>
      <c r="I16" t="s">
        <v>287</v>
      </c>
    </row>
    <row r="17" spans="1:11" x14ac:dyDescent="0.25">
      <c r="A17" s="3">
        <v>13</v>
      </c>
      <c r="B17" s="3" t="s">
        <v>19</v>
      </c>
      <c r="C17" s="3">
        <v>2500</v>
      </c>
      <c r="D17" s="3">
        <f>'AUGUST 20'!G17:G33</f>
        <v>0</v>
      </c>
      <c r="E17" s="3">
        <f t="shared" si="1"/>
        <v>2500</v>
      </c>
      <c r="F17" s="3">
        <f>1500+1000</f>
        <v>2500</v>
      </c>
      <c r="G17" s="3">
        <f t="shared" si="0"/>
        <v>0</v>
      </c>
      <c r="H17" s="3"/>
    </row>
    <row r="18" spans="1:11" x14ac:dyDescent="0.25">
      <c r="A18" s="3">
        <v>14</v>
      </c>
      <c r="B18" s="3" t="s">
        <v>160</v>
      </c>
      <c r="C18" s="3">
        <v>2500</v>
      </c>
      <c r="D18" s="3">
        <f>'AUGUST 20'!G18:G34</f>
        <v>0</v>
      </c>
      <c r="E18" s="3">
        <f t="shared" si="1"/>
        <v>2500</v>
      </c>
      <c r="F18" s="3">
        <v>2500</v>
      </c>
      <c r="G18" s="3">
        <f t="shared" si="0"/>
        <v>0</v>
      </c>
      <c r="H18" s="3"/>
    </row>
    <row r="19" spans="1:11" x14ac:dyDescent="0.25">
      <c r="A19" s="3">
        <v>15</v>
      </c>
      <c r="B19" s="3" t="s">
        <v>56</v>
      </c>
      <c r="C19" s="3"/>
      <c r="D19" s="3">
        <f>'AUGUST 20'!G19:G35</f>
        <v>0</v>
      </c>
      <c r="E19" s="3">
        <f t="shared" si="1"/>
        <v>0</v>
      </c>
      <c r="F19" s="3"/>
      <c r="G19" s="3">
        <f>E19-F19</f>
        <v>0</v>
      </c>
      <c r="H19" s="3"/>
    </row>
    <row r="20" spans="1:11" x14ac:dyDescent="0.25">
      <c r="A20" s="3">
        <v>16</v>
      </c>
      <c r="B20" s="3" t="s">
        <v>237</v>
      </c>
      <c r="C20" s="3">
        <v>2500</v>
      </c>
      <c r="D20" s="3">
        <f>'AUGUST 20'!G20:G36</f>
        <v>0</v>
      </c>
      <c r="E20" s="3">
        <f t="shared" si="1"/>
        <v>2500</v>
      </c>
      <c r="F20" s="3">
        <v>2500</v>
      </c>
      <c r="G20" s="3">
        <f>E20-F20</f>
        <v>0</v>
      </c>
      <c r="H20" s="3"/>
      <c r="I20" t="s">
        <v>51</v>
      </c>
      <c r="J20">
        <v>794960612</v>
      </c>
    </row>
    <row r="21" spans="1:11" x14ac:dyDescent="0.25">
      <c r="A21" s="3">
        <v>17</v>
      </c>
      <c r="B21" s="3" t="s">
        <v>73</v>
      </c>
      <c r="C21" s="3">
        <v>2500</v>
      </c>
      <c r="D21" s="3">
        <f>'AUGUST 20'!G21:G37</f>
        <v>0</v>
      </c>
      <c r="E21" s="3">
        <f t="shared" si="1"/>
        <v>2500</v>
      </c>
      <c r="F21" s="62">
        <f>2500</f>
        <v>2500</v>
      </c>
      <c r="G21" s="58"/>
      <c r="H21" s="58"/>
    </row>
    <row r="22" spans="1:11" x14ac:dyDescent="0.25">
      <c r="A22" s="2"/>
      <c r="B22" s="4" t="s">
        <v>24</v>
      </c>
      <c r="C22" s="2">
        <f>SUM(C5:C21)</f>
        <v>38500</v>
      </c>
      <c r="D22" s="3">
        <f>SUM(D5:D21)</f>
        <v>4170</v>
      </c>
      <c r="E22" s="2">
        <f>SUM(E5:E21)</f>
        <v>42670</v>
      </c>
      <c r="F22" s="2">
        <f>SUM(F5:F21)</f>
        <v>34900</v>
      </c>
      <c r="G22" s="2">
        <f>SUM(G5:G21)</f>
        <v>7770</v>
      </c>
      <c r="H22" s="2"/>
      <c r="I22" s="1"/>
    </row>
    <row r="23" spans="1:11" x14ac:dyDescent="0.25">
      <c r="A23" s="3"/>
      <c r="B23" s="3"/>
      <c r="C23" s="3"/>
      <c r="D23" s="3"/>
      <c r="E23" s="3"/>
      <c r="F23" s="3"/>
      <c r="G23" s="3"/>
      <c r="H23" s="3"/>
    </row>
    <row r="24" spans="1:11" x14ac:dyDescent="0.25">
      <c r="A24" s="12"/>
      <c r="G24">
        <f>G22-G9</f>
        <v>5020</v>
      </c>
    </row>
    <row r="25" spans="1:11" ht="18.75" x14ac:dyDescent="0.3">
      <c r="A25" s="12"/>
      <c r="B25" s="51" t="s">
        <v>27</v>
      </c>
      <c r="C25" s="52"/>
      <c r="D25" s="52"/>
      <c r="E25" s="52"/>
      <c r="F25" s="52"/>
      <c r="G25" s="52"/>
      <c r="H25" s="53"/>
      <c r="I25" s="53"/>
      <c r="J25" s="1"/>
    </row>
    <row r="26" spans="1:11" ht="15.75" x14ac:dyDescent="0.25">
      <c r="A26" s="12"/>
      <c r="B26" s="54" t="s">
        <v>28</v>
      </c>
      <c r="C26" s="54" t="s">
        <v>29</v>
      </c>
      <c r="D26" s="54" t="s">
        <v>30</v>
      </c>
      <c r="E26" s="54" t="s">
        <v>62</v>
      </c>
      <c r="F26" s="54" t="s">
        <v>69</v>
      </c>
      <c r="G26" s="54" t="s">
        <v>29</v>
      </c>
      <c r="H26" s="54" t="s">
        <v>30</v>
      </c>
      <c r="I26" s="54" t="s">
        <v>62</v>
      </c>
      <c r="J26" s="65"/>
    </row>
    <row r="27" spans="1:11" x14ac:dyDescent="0.25">
      <c r="A27" s="12"/>
      <c r="B27" s="55" t="s">
        <v>275</v>
      </c>
      <c r="C27" s="50">
        <f>C22</f>
        <v>38500</v>
      </c>
      <c r="D27" s="56">
        <v>0.1</v>
      </c>
      <c r="E27" s="50"/>
      <c r="F27" s="57" t="s">
        <v>275</v>
      </c>
      <c r="G27" s="50">
        <f>F22</f>
        <v>34900</v>
      </c>
      <c r="H27" s="56">
        <v>0.1</v>
      </c>
      <c r="I27" s="58"/>
      <c r="J27" s="1"/>
    </row>
    <row r="28" spans="1:11" x14ac:dyDescent="0.25">
      <c r="A28" s="12"/>
      <c r="B28" s="58" t="s">
        <v>55</v>
      </c>
      <c r="C28" s="50">
        <f>'AUGUST 20'!E42</f>
        <v>136</v>
      </c>
      <c r="D28" s="58"/>
      <c r="E28" s="58"/>
      <c r="F28" s="58" t="s">
        <v>55</v>
      </c>
      <c r="G28" s="50">
        <f>'AUGUST 20'!I42</f>
        <v>-4034</v>
      </c>
      <c r="H28" s="58"/>
      <c r="I28" s="58"/>
      <c r="J28" s="1"/>
      <c r="K28" s="43"/>
    </row>
    <row r="29" spans="1:11" x14ac:dyDescent="0.25">
      <c r="A29" s="12"/>
      <c r="B29" s="58"/>
      <c r="C29" s="50"/>
      <c r="D29" s="58"/>
      <c r="E29" s="58"/>
      <c r="F29" s="58"/>
      <c r="G29" s="50"/>
      <c r="H29" s="58"/>
      <c r="I29" s="58"/>
      <c r="J29" s="66"/>
      <c r="K29" s="43"/>
    </row>
    <row r="30" spans="1:11" x14ac:dyDescent="0.25">
      <c r="A30" s="12"/>
      <c r="B30" s="58" t="s">
        <v>33</v>
      </c>
      <c r="C30" s="59"/>
      <c r="D30" s="58">
        <f>C27*D27</f>
        <v>3850</v>
      </c>
      <c r="E30" s="58"/>
      <c r="F30" s="58" t="s">
        <v>33</v>
      </c>
      <c r="G30" s="59"/>
      <c r="H30" s="58">
        <f>H27*C27</f>
        <v>3850</v>
      </c>
      <c r="I30" s="58"/>
      <c r="J30" s="66"/>
    </row>
    <row r="31" spans="1:11" x14ac:dyDescent="0.25">
      <c r="A31" s="12"/>
      <c r="B31" s="60" t="s">
        <v>34</v>
      </c>
      <c r="C31" s="58"/>
      <c r="D31" s="58"/>
      <c r="E31" s="58"/>
      <c r="F31" s="60" t="s">
        <v>34</v>
      </c>
      <c r="G31" s="58"/>
      <c r="H31" s="58"/>
      <c r="I31" s="58"/>
      <c r="J31" s="66"/>
      <c r="K31" s="43"/>
    </row>
    <row r="32" spans="1:11" x14ac:dyDescent="0.25">
      <c r="A32" s="12"/>
      <c r="B32" s="3" t="s">
        <v>161</v>
      </c>
      <c r="C32" s="3"/>
      <c r="D32" s="3">
        <v>10000</v>
      </c>
      <c r="E32" s="3"/>
      <c r="F32" s="3" t="s">
        <v>161</v>
      </c>
      <c r="G32" s="3"/>
      <c r="H32" s="3">
        <v>10000</v>
      </c>
      <c r="I32" s="58"/>
    </row>
    <row r="33" spans="1:13" x14ac:dyDescent="0.25">
      <c r="A33" s="12"/>
      <c r="B33" s="62"/>
      <c r="C33" s="58"/>
      <c r="D33" s="58"/>
      <c r="E33" s="58"/>
      <c r="F33" s="62"/>
      <c r="G33" s="58"/>
      <c r="H33" s="58"/>
      <c r="I33" s="58"/>
      <c r="J33" s="66"/>
    </row>
    <row r="34" spans="1:13" x14ac:dyDescent="0.25">
      <c r="A34" s="12"/>
      <c r="B34" s="62" t="s">
        <v>278</v>
      </c>
      <c r="D34" s="58">
        <v>1000</v>
      </c>
      <c r="E34" s="58"/>
      <c r="F34" s="62" t="s">
        <v>278</v>
      </c>
      <c r="H34" s="58">
        <v>1000</v>
      </c>
      <c r="I34" s="58"/>
      <c r="K34" s="43">
        <f>2500-D36</f>
        <v>600</v>
      </c>
    </row>
    <row r="35" spans="1:13" x14ac:dyDescent="0.25">
      <c r="A35" s="12"/>
      <c r="B35" s="62" t="s">
        <v>279</v>
      </c>
      <c r="C35" s="50"/>
      <c r="D35" s="50">
        <v>2500</v>
      </c>
      <c r="E35" s="50"/>
      <c r="F35" s="62" t="s">
        <v>279</v>
      </c>
      <c r="G35" s="50"/>
      <c r="H35" s="50">
        <v>2500</v>
      </c>
      <c r="I35" s="58"/>
    </row>
    <row r="36" spans="1:13" x14ac:dyDescent="0.25">
      <c r="A36" s="12"/>
      <c r="B36" s="62" t="s">
        <v>280</v>
      </c>
      <c r="C36" s="50"/>
      <c r="D36" s="50">
        <v>1900</v>
      </c>
      <c r="E36" s="50"/>
      <c r="F36" s="62" t="s">
        <v>280</v>
      </c>
      <c r="G36" s="50"/>
      <c r="H36" s="50">
        <v>1900</v>
      </c>
      <c r="I36" s="58"/>
    </row>
    <row r="37" spans="1:13" x14ac:dyDescent="0.25">
      <c r="A37" s="12"/>
      <c r="B37" s="62" t="s">
        <v>281</v>
      </c>
      <c r="C37" s="50"/>
      <c r="D37" s="50">
        <v>18700</v>
      </c>
      <c r="E37" s="50"/>
      <c r="F37" s="62" t="s">
        <v>281</v>
      </c>
      <c r="G37" s="50"/>
      <c r="H37" s="50">
        <v>18700</v>
      </c>
      <c r="I37" s="58"/>
      <c r="M37" s="43">
        <f>2500+D39+D41+D40</f>
        <v>4730</v>
      </c>
    </row>
    <row r="38" spans="1:13" x14ac:dyDescent="0.25">
      <c r="A38" s="12"/>
      <c r="B38" s="62" t="s">
        <v>283</v>
      </c>
      <c r="C38" s="50"/>
      <c r="D38" s="50">
        <f>E9</f>
        <v>2750</v>
      </c>
      <c r="E38" s="50"/>
      <c r="F38" s="62"/>
      <c r="G38" s="50"/>
      <c r="H38" s="50"/>
      <c r="I38" s="58"/>
      <c r="K38" s="43">
        <f>D41+D40+D39</f>
        <v>2230</v>
      </c>
      <c r="M38" s="43">
        <f>M37-616</f>
        <v>4114</v>
      </c>
    </row>
    <row r="39" spans="1:13" x14ac:dyDescent="0.25">
      <c r="A39" s="12"/>
      <c r="B39" s="62" t="s">
        <v>284</v>
      </c>
      <c r="C39" s="50"/>
      <c r="D39" s="50">
        <v>200</v>
      </c>
      <c r="E39" s="50"/>
      <c r="F39" s="62" t="s">
        <v>284</v>
      </c>
      <c r="G39" s="50"/>
      <c r="H39" s="50">
        <v>200</v>
      </c>
      <c r="I39" s="58"/>
    </row>
    <row r="40" spans="1:13" x14ac:dyDescent="0.25">
      <c r="A40" s="12"/>
      <c r="B40" s="62" t="s">
        <v>286</v>
      </c>
      <c r="C40" s="50"/>
      <c r="D40" s="50">
        <v>530</v>
      </c>
      <c r="E40" s="50"/>
      <c r="F40" s="62" t="s">
        <v>286</v>
      </c>
      <c r="G40" s="50"/>
      <c r="H40" s="50">
        <v>530</v>
      </c>
      <c r="I40" s="58"/>
    </row>
    <row r="41" spans="1:13" x14ac:dyDescent="0.25">
      <c r="A41" s="12"/>
      <c r="B41" s="62" t="s">
        <v>290</v>
      </c>
      <c r="C41" s="50"/>
      <c r="D41" s="50">
        <f>1000+500</f>
        <v>1500</v>
      </c>
      <c r="E41" s="50"/>
      <c r="F41" s="62" t="s">
        <v>291</v>
      </c>
      <c r="G41" s="50"/>
      <c r="H41" s="50">
        <f>1000+500</f>
        <v>1500</v>
      </c>
      <c r="I41" s="58"/>
    </row>
    <row r="42" spans="1:13" x14ac:dyDescent="0.25">
      <c r="A42" s="12"/>
      <c r="B42" s="55" t="s">
        <v>24</v>
      </c>
      <c r="C42" s="63">
        <f>C27+C28+C29-D30</f>
        <v>34786</v>
      </c>
      <c r="D42" s="55">
        <f>SUM(D32:D41)</f>
        <v>39080</v>
      </c>
      <c r="E42" s="63">
        <f>C42-D42</f>
        <v>-4294</v>
      </c>
      <c r="F42" s="57"/>
      <c r="G42" s="63">
        <f>G27+G28-H30</f>
        <v>27016</v>
      </c>
      <c r="H42" s="63">
        <f>SUM(H32:H41)</f>
        <v>36330</v>
      </c>
      <c r="I42" s="63">
        <f>G42-H42</f>
        <v>-9314</v>
      </c>
    </row>
    <row r="43" spans="1:13" x14ac:dyDescent="0.25">
      <c r="K43" s="43">
        <f>D35+D36+D38+D41</f>
        <v>8650</v>
      </c>
    </row>
    <row r="45" spans="1:13" x14ac:dyDescent="0.25">
      <c r="B45" s="12" t="s">
        <v>38</v>
      </c>
      <c r="D45" s="12" t="s">
        <v>36</v>
      </c>
      <c r="F45" s="12"/>
      <c r="G45" s="12" t="s">
        <v>37</v>
      </c>
    </row>
    <row r="46" spans="1:13" x14ac:dyDescent="0.25">
      <c r="D46" s="12"/>
      <c r="F46" s="68">
        <f>D37+D38+D39</f>
        <v>21650</v>
      </c>
      <c r="G46" s="12"/>
      <c r="I46" s="43">
        <f>G24+I42</f>
        <v>-4294</v>
      </c>
      <c r="J46" s="43"/>
    </row>
    <row r="47" spans="1:13" x14ac:dyDescent="0.25">
      <c r="B47" t="s">
        <v>163</v>
      </c>
      <c r="D47" t="s">
        <v>66</v>
      </c>
      <c r="G47" t="s">
        <v>10</v>
      </c>
      <c r="I47" s="43">
        <f>E42-I46</f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opLeftCell="A11" workbookViewId="0">
      <selection activeCell="C28" sqref="C28"/>
    </sheetView>
  </sheetViews>
  <sheetFormatPr defaultRowHeight="15" x14ac:dyDescent="0.25"/>
  <cols>
    <col min="2" max="2" width="19.42578125" customWidth="1"/>
    <col min="6" max="6" width="9.7109375" bestFit="1" customWidth="1"/>
    <col min="10" max="10" width="11.140625" customWidth="1"/>
  </cols>
  <sheetData>
    <row r="1" spans="1:10" ht="18.75" x14ac:dyDescent="0.25">
      <c r="C1" s="38" t="s">
        <v>59</v>
      </c>
      <c r="D1" s="39"/>
      <c r="E1" s="36"/>
      <c r="F1" s="34"/>
    </row>
    <row r="2" spans="1:10" ht="18.75" x14ac:dyDescent="0.25">
      <c r="C2" s="38" t="s">
        <v>60</v>
      </c>
      <c r="D2" s="38"/>
      <c r="E2" s="11"/>
      <c r="F2" s="11"/>
    </row>
    <row r="3" spans="1:10" ht="18.75" x14ac:dyDescent="0.25">
      <c r="C3" s="38" t="s">
        <v>285</v>
      </c>
      <c r="D3" s="38"/>
      <c r="E3" s="11"/>
      <c r="F3" s="11"/>
    </row>
    <row r="4" spans="1:10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/>
      <c r="I4" s="1"/>
    </row>
    <row r="5" spans="1:10" x14ac:dyDescent="0.25">
      <c r="A5" s="3">
        <v>1</v>
      </c>
      <c r="B5" s="3" t="s">
        <v>91</v>
      </c>
      <c r="C5" s="3">
        <v>4000</v>
      </c>
      <c r="D5" s="3">
        <f>'SEPTEMBER 20'!G5:G23</f>
        <v>0</v>
      </c>
      <c r="E5" s="3">
        <f>C5+D5</f>
        <v>4000</v>
      </c>
      <c r="F5" s="3">
        <v>4000</v>
      </c>
      <c r="G5" s="3">
        <f>E5-F5</f>
        <v>0</v>
      </c>
      <c r="H5" s="3"/>
      <c r="I5" t="s">
        <v>51</v>
      </c>
    </row>
    <row r="6" spans="1:10" x14ac:dyDescent="0.25">
      <c r="A6" s="3">
        <v>2</v>
      </c>
      <c r="B6" t="s">
        <v>126</v>
      </c>
      <c r="C6" s="3">
        <v>2500</v>
      </c>
      <c r="D6" s="3">
        <f>'SEPTEMBER 20'!G6:G24</f>
        <v>0</v>
      </c>
      <c r="E6" s="3">
        <f>C6+D6</f>
        <v>2500</v>
      </c>
      <c r="F6" s="3"/>
      <c r="G6" s="3">
        <f t="shared" ref="G6:G18" si="0">E6-F6</f>
        <v>2500</v>
      </c>
      <c r="H6" s="3"/>
    </row>
    <row r="7" spans="1:10" x14ac:dyDescent="0.25">
      <c r="A7" s="3">
        <v>3</v>
      </c>
      <c r="B7" s="3" t="s">
        <v>56</v>
      </c>
      <c r="C7" s="3"/>
      <c r="D7" s="3">
        <f>'SEPTEMBER 20'!G7:G25</f>
        <v>0</v>
      </c>
      <c r="E7" s="3">
        <f t="shared" ref="E7:E21" si="1">C7+D7</f>
        <v>0</v>
      </c>
      <c r="F7" s="3"/>
      <c r="G7" s="3">
        <f t="shared" si="0"/>
        <v>0</v>
      </c>
      <c r="H7" s="3"/>
    </row>
    <row r="8" spans="1:10" x14ac:dyDescent="0.25">
      <c r="A8" s="3">
        <v>4</v>
      </c>
      <c r="B8" s="3" t="s">
        <v>74</v>
      </c>
      <c r="C8" s="3">
        <v>2500</v>
      </c>
      <c r="D8" s="3">
        <f>'SEPTEMBER 20'!G8:G26</f>
        <v>500</v>
      </c>
      <c r="E8" s="3">
        <f t="shared" si="1"/>
        <v>3000</v>
      </c>
      <c r="F8" s="3">
        <f>1000</f>
        <v>1000</v>
      </c>
      <c r="G8" s="3">
        <f t="shared" si="0"/>
        <v>2000</v>
      </c>
      <c r="H8" s="3"/>
      <c r="I8">
        <f>500</f>
        <v>500</v>
      </c>
    </row>
    <row r="9" spans="1:10" x14ac:dyDescent="0.25">
      <c r="A9" s="3">
        <v>5</v>
      </c>
      <c r="B9" s="3" t="s">
        <v>56</v>
      </c>
      <c r="C9" s="3"/>
      <c r="D9" s="3"/>
      <c r="E9" s="3"/>
      <c r="F9" s="3"/>
      <c r="G9" s="3"/>
      <c r="H9" s="3"/>
      <c r="I9" t="s">
        <v>282</v>
      </c>
    </row>
    <row r="10" spans="1:10" x14ac:dyDescent="0.25">
      <c r="A10" s="3">
        <v>6</v>
      </c>
      <c r="B10" s="64" t="s">
        <v>154</v>
      </c>
      <c r="C10" s="3">
        <v>2500</v>
      </c>
      <c r="D10" s="3">
        <f>'SEPTEMBER 20'!G10:G28</f>
        <v>0</v>
      </c>
      <c r="E10" s="3">
        <f>C10+D10</f>
        <v>2500</v>
      </c>
      <c r="F10" s="3">
        <f>2500</f>
        <v>2500</v>
      </c>
      <c r="G10" s="3">
        <f t="shared" si="0"/>
        <v>0</v>
      </c>
      <c r="H10" s="3"/>
    </row>
    <row r="11" spans="1:10" x14ac:dyDescent="0.25">
      <c r="A11" s="3">
        <v>7</v>
      </c>
      <c r="B11" s="3" t="s">
        <v>13</v>
      </c>
      <c r="C11" s="3">
        <v>2500</v>
      </c>
      <c r="D11" s="3">
        <f>'SEPTEMBER 20'!G11:G29</f>
        <v>0</v>
      </c>
      <c r="E11" s="3">
        <f t="shared" si="1"/>
        <v>2500</v>
      </c>
      <c r="F11" s="3">
        <f>1000+1500</f>
        <v>2500</v>
      </c>
      <c r="G11" s="3">
        <f t="shared" si="0"/>
        <v>0</v>
      </c>
      <c r="H11" s="3"/>
    </row>
    <row r="12" spans="1:10" x14ac:dyDescent="0.25">
      <c r="A12" s="3">
        <v>8</v>
      </c>
      <c r="B12" s="3" t="s">
        <v>105</v>
      </c>
      <c r="C12" s="3">
        <v>2500</v>
      </c>
      <c r="D12" s="3">
        <f>'SEPTEMBER 20'!G12:G30</f>
        <v>400</v>
      </c>
      <c r="E12" s="3">
        <f t="shared" si="1"/>
        <v>2900</v>
      </c>
      <c r="F12" s="3">
        <f>600+400</f>
        <v>1000</v>
      </c>
      <c r="G12" s="3">
        <f t="shared" si="0"/>
        <v>1900</v>
      </c>
      <c r="H12" s="3"/>
      <c r="I12" t="s">
        <v>295</v>
      </c>
      <c r="J12" t="s">
        <v>51</v>
      </c>
    </row>
    <row r="13" spans="1:10" x14ac:dyDescent="0.25">
      <c r="A13" s="3">
        <v>9</v>
      </c>
      <c r="B13" s="3" t="s">
        <v>96</v>
      </c>
      <c r="C13" s="3">
        <v>2500</v>
      </c>
      <c r="D13" s="3">
        <f>'SEPTEMBER 20'!G13:G31</f>
        <v>1120</v>
      </c>
      <c r="E13" s="3">
        <f t="shared" si="1"/>
        <v>3620</v>
      </c>
      <c r="F13" s="3">
        <f>3000</f>
        <v>3000</v>
      </c>
      <c r="G13" s="3">
        <f t="shared" si="0"/>
        <v>620</v>
      </c>
      <c r="H13" s="3"/>
    </row>
    <row r="14" spans="1:10" x14ac:dyDescent="0.25">
      <c r="A14" s="3">
        <v>10</v>
      </c>
      <c r="B14" s="3" t="s">
        <v>238</v>
      </c>
      <c r="C14" s="3">
        <v>2000</v>
      </c>
      <c r="D14" s="3">
        <f>'SEPTEMBER 20'!G14:G32</f>
        <v>1500</v>
      </c>
      <c r="E14" s="3">
        <f t="shared" si="1"/>
        <v>3500</v>
      </c>
      <c r="F14" s="3"/>
      <c r="G14" s="3">
        <f>E14-F14</f>
        <v>3500</v>
      </c>
      <c r="H14" s="3"/>
    </row>
    <row r="15" spans="1:10" x14ac:dyDescent="0.25">
      <c r="A15" s="3">
        <v>11</v>
      </c>
      <c r="B15" s="3" t="s">
        <v>57</v>
      </c>
      <c r="C15" s="3">
        <v>2500</v>
      </c>
      <c r="D15" s="3">
        <f>'SEPTEMBER 20'!G15:G33</f>
        <v>1500</v>
      </c>
      <c r="E15" s="3">
        <f t="shared" si="1"/>
        <v>4000</v>
      </c>
      <c r="F15" s="3">
        <f>950+550</f>
        <v>1500</v>
      </c>
      <c r="G15" s="3">
        <f t="shared" si="0"/>
        <v>2500</v>
      </c>
      <c r="H15" s="3"/>
      <c r="I15" t="s">
        <v>300</v>
      </c>
    </row>
    <row r="16" spans="1:10" x14ac:dyDescent="0.25">
      <c r="A16" s="3">
        <v>12</v>
      </c>
      <c r="B16" s="3" t="s">
        <v>165</v>
      </c>
      <c r="C16" s="3">
        <v>2500</v>
      </c>
      <c r="D16" s="3">
        <f>'SEPTEMBER 20'!G16:G34</f>
        <v>0</v>
      </c>
      <c r="E16" s="3">
        <f t="shared" si="1"/>
        <v>2500</v>
      </c>
      <c r="F16" s="3">
        <f>500+2000</f>
        <v>2500</v>
      </c>
      <c r="G16" s="3">
        <f t="shared" si="0"/>
        <v>0</v>
      </c>
      <c r="H16" s="3"/>
      <c r="I16" t="s">
        <v>51</v>
      </c>
    </row>
    <row r="17" spans="1:11" x14ac:dyDescent="0.25">
      <c r="A17" s="3">
        <v>13</v>
      </c>
      <c r="B17" s="3" t="s">
        <v>19</v>
      </c>
      <c r="C17" s="3">
        <v>2500</v>
      </c>
      <c r="D17" s="3">
        <f>'SEPTEMBER 20'!G17:G35</f>
        <v>0</v>
      </c>
      <c r="E17" s="3">
        <f t="shared" si="1"/>
        <v>2500</v>
      </c>
      <c r="F17" s="3">
        <f>1000+1500</f>
        <v>2500</v>
      </c>
      <c r="G17" s="3">
        <f t="shared" si="0"/>
        <v>0</v>
      </c>
      <c r="H17" s="3"/>
      <c r="K17">
        <f>D15-950</f>
        <v>550</v>
      </c>
    </row>
    <row r="18" spans="1:11" x14ac:dyDescent="0.25">
      <c r="A18" s="3">
        <v>14</v>
      </c>
      <c r="B18" s="3" t="s">
        <v>160</v>
      </c>
      <c r="C18" s="3">
        <v>2500</v>
      </c>
      <c r="D18" s="3">
        <f>'SEPTEMBER 20'!G18:G36</f>
        <v>0</v>
      </c>
      <c r="E18" s="3">
        <f t="shared" si="1"/>
        <v>2500</v>
      </c>
      <c r="F18" s="3">
        <v>2500</v>
      </c>
      <c r="G18" s="3">
        <f t="shared" si="0"/>
        <v>0</v>
      </c>
      <c r="H18" s="3"/>
    </row>
    <row r="19" spans="1:11" x14ac:dyDescent="0.25">
      <c r="A19" s="3">
        <v>15</v>
      </c>
      <c r="B19" s="3" t="s">
        <v>49</v>
      </c>
      <c r="C19" s="3">
        <v>2500</v>
      </c>
      <c r="D19" s="3">
        <f>'SEPTEMBER 20'!G19:G37</f>
        <v>0</v>
      </c>
      <c r="E19" s="3">
        <f t="shared" si="1"/>
        <v>2500</v>
      </c>
      <c r="F19" s="3">
        <f>2450+50</f>
        <v>2500</v>
      </c>
      <c r="G19" s="3">
        <f>E19-F19</f>
        <v>0</v>
      </c>
      <c r="H19" s="3"/>
    </row>
    <row r="20" spans="1:11" x14ac:dyDescent="0.25">
      <c r="A20" s="3">
        <v>16</v>
      </c>
      <c r="B20" s="3" t="s">
        <v>49</v>
      </c>
      <c r="C20" s="3"/>
      <c r="D20" s="3">
        <f>'SEPTEMBER 20'!G20:G38</f>
        <v>0</v>
      </c>
      <c r="E20" s="3">
        <f t="shared" si="1"/>
        <v>0</v>
      </c>
      <c r="F20" s="3"/>
      <c r="G20" s="3">
        <f>E20-F20</f>
        <v>0</v>
      </c>
      <c r="H20" s="3"/>
      <c r="I20" t="s">
        <v>51</v>
      </c>
      <c r="J20">
        <v>794960612</v>
      </c>
    </row>
    <row r="21" spans="1:11" x14ac:dyDescent="0.25">
      <c r="A21" s="3">
        <v>17</v>
      </c>
      <c r="B21" s="3" t="s">
        <v>73</v>
      </c>
      <c r="C21" s="3">
        <v>2500</v>
      </c>
      <c r="D21" s="3">
        <f>'SEPTEMBER 20'!G21:G39</f>
        <v>0</v>
      </c>
      <c r="E21" s="3">
        <f t="shared" si="1"/>
        <v>2500</v>
      </c>
      <c r="F21" s="62">
        <f>2500</f>
        <v>2500</v>
      </c>
      <c r="G21" s="58"/>
      <c r="H21" s="58"/>
    </row>
    <row r="22" spans="1:11" x14ac:dyDescent="0.25">
      <c r="A22" s="2"/>
      <c r="B22" s="4" t="s">
        <v>24</v>
      </c>
      <c r="C22" s="2">
        <f>SUM(C5:C21)</f>
        <v>36000</v>
      </c>
      <c r="D22" s="3">
        <f>'SEPTEMBER 20'!G22:G40</f>
        <v>7770</v>
      </c>
      <c r="E22" s="2">
        <f>SUM(E5:E21)</f>
        <v>41020</v>
      </c>
      <c r="F22" s="2">
        <f>SUM(F5:F21)</f>
        <v>28000</v>
      </c>
      <c r="G22" s="2">
        <f>SUM(G5:G21)</f>
        <v>13020</v>
      </c>
      <c r="H22" s="2"/>
      <c r="I22" s="1"/>
    </row>
    <row r="23" spans="1:11" x14ac:dyDescent="0.25">
      <c r="A23" s="3"/>
      <c r="B23" s="3"/>
      <c r="C23" s="3"/>
      <c r="D23" s="3">
        <f>'SEPTEMBER 20'!G23:G41</f>
        <v>0</v>
      </c>
      <c r="E23" s="3"/>
      <c r="F23" s="3"/>
      <c r="G23" s="3">
        <f>G22-1500</f>
        <v>11520</v>
      </c>
      <c r="H23" s="3"/>
    </row>
    <row r="24" spans="1:11" x14ac:dyDescent="0.25">
      <c r="A24" s="12"/>
      <c r="G24">
        <f>G18+G15+G12+G11+G14+G16</f>
        <v>7900</v>
      </c>
    </row>
    <row r="25" spans="1:11" ht="18.75" x14ac:dyDescent="0.3">
      <c r="A25" s="12"/>
      <c r="B25" s="51" t="s">
        <v>27</v>
      </c>
      <c r="C25" s="52"/>
      <c r="D25" s="52"/>
      <c r="E25" s="52"/>
      <c r="F25" s="52"/>
      <c r="G25" s="52"/>
      <c r="H25" s="53"/>
      <c r="I25" s="53"/>
      <c r="J25" s="1"/>
    </row>
    <row r="26" spans="1:11" ht="15.75" x14ac:dyDescent="0.25">
      <c r="A26" s="12"/>
      <c r="B26" s="54" t="s">
        <v>28</v>
      </c>
      <c r="C26" s="54" t="s">
        <v>29</v>
      </c>
      <c r="D26" s="54" t="s">
        <v>30</v>
      </c>
      <c r="E26" s="54" t="s">
        <v>62</v>
      </c>
      <c r="F26" s="54" t="s">
        <v>69</v>
      </c>
      <c r="G26" s="54" t="s">
        <v>29</v>
      </c>
      <c r="H26" s="54" t="s">
        <v>30</v>
      </c>
      <c r="I26" s="54" t="s">
        <v>62</v>
      </c>
      <c r="J26" s="65"/>
    </row>
    <row r="27" spans="1:11" x14ac:dyDescent="0.25">
      <c r="A27" s="12"/>
      <c r="B27" s="55" t="s">
        <v>167</v>
      </c>
      <c r="C27" s="50">
        <f>C22</f>
        <v>36000</v>
      </c>
      <c r="D27" s="56">
        <v>0.1</v>
      </c>
      <c r="E27" s="50"/>
      <c r="F27" s="57" t="s">
        <v>167</v>
      </c>
      <c r="G27" s="50">
        <f>F22</f>
        <v>28000</v>
      </c>
      <c r="H27" s="56">
        <v>0.1</v>
      </c>
      <c r="I27" s="58"/>
      <c r="J27" s="1"/>
    </row>
    <row r="28" spans="1:11" x14ac:dyDescent="0.25">
      <c r="A28" s="12"/>
      <c r="B28" s="58" t="s">
        <v>55</v>
      </c>
      <c r="C28" s="50">
        <f>'SEPTEMBER 20'!E42</f>
        <v>-4294</v>
      </c>
      <c r="D28" s="58"/>
      <c r="E28" s="58"/>
      <c r="F28" s="58" t="s">
        <v>55</v>
      </c>
      <c r="G28" s="50">
        <f>'SEPTEMBER 20'!I42</f>
        <v>-9314</v>
      </c>
      <c r="H28" s="58"/>
      <c r="I28" s="58"/>
      <c r="J28" s="1"/>
    </row>
    <row r="29" spans="1:11" x14ac:dyDescent="0.25">
      <c r="A29" s="12"/>
      <c r="B29" s="58"/>
      <c r="C29" s="50"/>
      <c r="D29" s="58"/>
      <c r="E29" s="58"/>
      <c r="F29" s="58"/>
      <c r="G29" s="50"/>
      <c r="H29" s="58"/>
      <c r="I29" s="58"/>
      <c r="J29" s="66"/>
    </row>
    <row r="30" spans="1:11" x14ac:dyDescent="0.25">
      <c r="A30" s="12"/>
      <c r="B30" s="58" t="s">
        <v>33</v>
      </c>
      <c r="C30" s="59"/>
      <c r="D30" s="58">
        <f>C27*D27</f>
        <v>3600</v>
      </c>
      <c r="E30" s="58"/>
      <c r="F30" s="58" t="s">
        <v>33</v>
      </c>
      <c r="G30" s="59"/>
      <c r="H30" s="58">
        <f>H27*C27</f>
        <v>3600</v>
      </c>
      <c r="I30" s="58"/>
      <c r="J30" s="66"/>
    </row>
    <row r="31" spans="1:11" x14ac:dyDescent="0.25">
      <c r="A31" s="12"/>
      <c r="B31" s="60" t="s">
        <v>34</v>
      </c>
      <c r="C31" s="58"/>
      <c r="D31" s="58"/>
      <c r="E31" s="58"/>
      <c r="F31" s="60" t="s">
        <v>34</v>
      </c>
      <c r="G31" s="58"/>
      <c r="H31" s="58"/>
      <c r="I31" s="58"/>
      <c r="J31" s="66"/>
    </row>
    <row r="32" spans="1:11" x14ac:dyDescent="0.25">
      <c r="A32" s="12"/>
      <c r="B32" s="3" t="s">
        <v>161</v>
      </c>
      <c r="C32" s="3"/>
      <c r="D32" s="3">
        <v>10000</v>
      </c>
      <c r="E32" s="3"/>
      <c r="F32" s="3" t="s">
        <v>161</v>
      </c>
      <c r="G32" s="3"/>
      <c r="H32" s="3">
        <v>10000</v>
      </c>
      <c r="I32" s="58"/>
    </row>
    <row r="33" spans="1:10" x14ac:dyDescent="0.25">
      <c r="A33" s="12"/>
      <c r="B33" s="62" t="s">
        <v>289</v>
      </c>
      <c r="C33" s="58"/>
      <c r="D33" s="58">
        <v>3000</v>
      </c>
      <c r="E33" s="58"/>
      <c r="F33" s="62" t="s">
        <v>289</v>
      </c>
      <c r="G33" s="58"/>
      <c r="H33" s="58">
        <v>3000</v>
      </c>
      <c r="I33" s="58"/>
      <c r="J33" s="66"/>
    </row>
    <row r="34" spans="1:10" x14ac:dyDescent="0.25">
      <c r="A34" s="12"/>
      <c r="B34" s="62" t="s">
        <v>289</v>
      </c>
      <c r="D34" s="58">
        <v>15286</v>
      </c>
      <c r="E34" s="58"/>
      <c r="F34" s="62" t="s">
        <v>289</v>
      </c>
      <c r="H34" s="58">
        <v>15286</v>
      </c>
      <c r="I34" s="58"/>
    </row>
    <row r="35" spans="1:10" x14ac:dyDescent="0.25">
      <c r="A35" s="12"/>
      <c r="B35" s="62" t="s">
        <v>293</v>
      </c>
      <c r="C35" s="50"/>
      <c r="D35" s="50">
        <v>4000</v>
      </c>
      <c r="E35" s="50"/>
      <c r="F35" s="62" t="s">
        <v>293</v>
      </c>
      <c r="G35" s="50"/>
      <c r="H35" s="50">
        <v>4000</v>
      </c>
      <c r="I35" s="58"/>
    </row>
    <row r="36" spans="1:10" x14ac:dyDescent="0.25">
      <c r="A36" s="12"/>
      <c r="B36" s="62" t="s">
        <v>294</v>
      </c>
      <c r="C36" s="50"/>
      <c r="D36" s="50">
        <v>2000</v>
      </c>
      <c r="E36" s="50"/>
      <c r="F36" s="62" t="s">
        <v>294</v>
      </c>
      <c r="G36" s="50"/>
      <c r="H36" s="50">
        <v>2000</v>
      </c>
      <c r="I36" s="58"/>
    </row>
    <row r="37" spans="1:10" x14ac:dyDescent="0.25">
      <c r="A37" s="12"/>
      <c r="B37" s="62" t="s">
        <v>296</v>
      </c>
      <c r="C37" s="50"/>
      <c r="D37" s="50">
        <f>400+600</f>
        <v>1000</v>
      </c>
      <c r="E37" s="50"/>
      <c r="F37" s="62" t="s">
        <v>296</v>
      </c>
      <c r="G37" s="50"/>
      <c r="H37" s="50">
        <f>400+600</f>
        <v>1000</v>
      </c>
      <c r="I37" s="58"/>
    </row>
    <row r="38" spans="1:10" x14ac:dyDescent="0.25">
      <c r="A38" s="12"/>
      <c r="B38" s="62" t="s">
        <v>176</v>
      </c>
      <c r="C38" s="50"/>
      <c r="D38" s="50">
        <f>530+50</f>
        <v>580</v>
      </c>
      <c r="E38" s="50"/>
      <c r="F38" s="62" t="s">
        <v>176</v>
      </c>
      <c r="G38" s="50"/>
      <c r="H38" s="50">
        <f>530+50</f>
        <v>580</v>
      </c>
      <c r="I38" s="58"/>
    </row>
    <row r="39" spans="1:10" x14ac:dyDescent="0.25">
      <c r="A39" s="12"/>
      <c r="B39" s="62"/>
      <c r="C39" s="50"/>
      <c r="D39" s="50"/>
      <c r="E39" s="50"/>
      <c r="F39" s="62"/>
      <c r="G39" s="50"/>
      <c r="H39" s="50"/>
      <c r="I39" s="58"/>
    </row>
    <row r="40" spans="1:10" x14ac:dyDescent="0.25">
      <c r="A40" s="12"/>
      <c r="B40" s="62"/>
      <c r="C40" s="50"/>
      <c r="D40" s="50"/>
      <c r="E40" s="50"/>
      <c r="F40" s="62"/>
      <c r="G40" s="50"/>
      <c r="H40" s="50"/>
      <c r="I40" s="58"/>
    </row>
    <row r="41" spans="1:10" x14ac:dyDescent="0.25">
      <c r="A41" s="12"/>
      <c r="B41" s="62"/>
      <c r="C41" s="50"/>
      <c r="D41" s="50"/>
      <c r="E41" s="50"/>
      <c r="F41" s="62"/>
      <c r="G41" s="50"/>
      <c r="H41" s="50"/>
      <c r="I41" s="58"/>
    </row>
    <row r="42" spans="1:10" x14ac:dyDescent="0.25">
      <c r="A42" s="12"/>
      <c r="B42" s="55" t="s">
        <v>24</v>
      </c>
      <c r="C42" s="63">
        <f>C27+C28+C29-D30</f>
        <v>28106</v>
      </c>
      <c r="D42" s="55">
        <f>SUM(D32:D41)</f>
        <v>35866</v>
      </c>
      <c r="E42" s="63">
        <f>C42-D42</f>
        <v>-7760</v>
      </c>
      <c r="F42" s="57"/>
      <c r="G42" s="63">
        <f>G27+G28-H30</f>
        <v>15086</v>
      </c>
      <c r="H42" s="63">
        <f>SUM(H32:H41)</f>
        <v>35866</v>
      </c>
      <c r="I42" s="63">
        <f>G42-H42</f>
        <v>-20780</v>
      </c>
    </row>
    <row r="44" spans="1:10" x14ac:dyDescent="0.25">
      <c r="J44" s="43"/>
    </row>
    <row r="45" spans="1:10" x14ac:dyDescent="0.25">
      <c r="B45" s="12" t="s">
        <v>38</v>
      </c>
      <c r="D45" s="12" t="s">
        <v>36</v>
      </c>
      <c r="F45" s="12"/>
      <c r="G45" s="12" t="s">
        <v>37</v>
      </c>
      <c r="I45" s="43">
        <f>G22+I42</f>
        <v>-7760</v>
      </c>
    </row>
    <row r="46" spans="1:10" x14ac:dyDescent="0.25">
      <c r="D46" s="12"/>
      <c r="F46" s="68">
        <f>D37+D38+D39</f>
        <v>1580</v>
      </c>
      <c r="G46" s="12"/>
      <c r="I46" s="43"/>
    </row>
    <row r="47" spans="1:10" x14ac:dyDescent="0.25">
      <c r="B47" t="s">
        <v>163</v>
      </c>
      <c r="D47" t="s">
        <v>66</v>
      </c>
      <c r="G47" t="s">
        <v>10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opLeftCell="A4" workbookViewId="0">
      <selection activeCell="G14" sqref="G14"/>
    </sheetView>
  </sheetViews>
  <sheetFormatPr defaultRowHeight="15" x14ac:dyDescent="0.25"/>
  <cols>
    <col min="1" max="1" width="4.42578125" bestFit="1" customWidth="1"/>
    <col min="2" max="2" width="19" bestFit="1" customWidth="1"/>
    <col min="7" max="7" width="9.28515625" customWidth="1"/>
    <col min="10" max="10" width="11.28515625" customWidth="1"/>
  </cols>
  <sheetData>
    <row r="1" spans="1:9" ht="18.75" x14ac:dyDescent="0.25">
      <c r="C1" s="38" t="s">
        <v>59</v>
      </c>
      <c r="D1" s="39"/>
      <c r="E1" s="36"/>
      <c r="F1" s="34"/>
    </row>
    <row r="2" spans="1:9" ht="18.75" x14ac:dyDescent="0.25">
      <c r="C2" s="38" t="s">
        <v>60</v>
      </c>
      <c r="D2" s="38"/>
      <c r="E2" s="11"/>
      <c r="F2" s="11"/>
    </row>
    <row r="3" spans="1:9" ht="18.75" x14ac:dyDescent="0.25">
      <c r="C3" s="38" t="s">
        <v>292</v>
      </c>
      <c r="D3" s="38"/>
      <c r="E3" s="11"/>
      <c r="F3" s="11"/>
    </row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/>
      <c r="I4" s="1"/>
    </row>
    <row r="5" spans="1:9" x14ac:dyDescent="0.25">
      <c r="A5" s="3">
        <v>1</v>
      </c>
      <c r="B5" s="3" t="s">
        <v>91</v>
      </c>
      <c r="C5" s="3">
        <v>4000</v>
      </c>
      <c r="D5" s="3">
        <f>'OCTOBER 20'!G5:G21</f>
        <v>0</v>
      </c>
      <c r="E5" s="3">
        <f>C5+D5</f>
        <v>4000</v>
      </c>
      <c r="F5" s="3">
        <v>4000</v>
      </c>
      <c r="G5" s="3">
        <f>E5-F5</f>
        <v>0</v>
      </c>
      <c r="H5" s="3"/>
    </row>
    <row r="6" spans="1:9" x14ac:dyDescent="0.25">
      <c r="A6" s="3">
        <v>2</v>
      </c>
      <c r="B6" t="s">
        <v>126</v>
      </c>
      <c r="C6" s="3">
        <v>2500</v>
      </c>
      <c r="D6" s="3">
        <f>'OCTOBER 20'!G6:G22</f>
        <v>2500</v>
      </c>
      <c r="E6" s="3">
        <f>C6+D6</f>
        <v>5000</v>
      </c>
      <c r="F6" s="3">
        <f>2500</f>
        <v>2500</v>
      </c>
      <c r="G6" s="3">
        <f t="shared" ref="G6:G18" si="0">E6-F6</f>
        <v>2500</v>
      </c>
      <c r="H6" s="3"/>
    </row>
    <row r="7" spans="1:9" x14ac:dyDescent="0.25">
      <c r="A7" s="3">
        <v>3</v>
      </c>
      <c r="B7" s="3" t="s">
        <v>56</v>
      </c>
      <c r="C7" s="3"/>
      <c r="D7" s="3">
        <f>'OCTOBER 20'!G7:G23</f>
        <v>0</v>
      </c>
      <c r="E7" s="3">
        <f t="shared" ref="E7:E21" si="1">C7+D7</f>
        <v>0</v>
      </c>
      <c r="F7" s="3"/>
      <c r="G7" s="3">
        <f t="shared" si="0"/>
        <v>0</v>
      </c>
      <c r="H7" s="3"/>
    </row>
    <row r="8" spans="1:9" x14ac:dyDescent="0.25">
      <c r="A8" s="3">
        <v>4</v>
      </c>
      <c r="B8" s="3" t="s">
        <v>74</v>
      </c>
      <c r="C8" s="3">
        <v>2500</v>
      </c>
      <c r="D8" s="3">
        <f>'OCTOBER 20'!G8:G24</f>
        <v>2000</v>
      </c>
      <c r="E8" s="3">
        <f t="shared" si="1"/>
        <v>4500</v>
      </c>
      <c r="F8" s="3">
        <f>1000+1000+950+50</f>
        <v>3000</v>
      </c>
      <c r="G8" s="3">
        <f t="shared" si="0"/>
        <v>1500</v>
      </c>
      <c r="H8" s="3"/>
    </row>
    <row r="9" spans="1:9" x14ac:dyDescent="0.25">
      <c r="A9" s="3">
        <v>5</v>
      </c>
      <c r="B9" s="3" t="s">
        <v>307</v>
      </c>
      <c r="C9" s="3">
        <v>3000</v>
      </c>
      <c r="D9" s="3">
        <f>'OCTOBER 20'!G9:G25</f>
        <v>0</v>
      </c>
      <c r="E9" s="3">
        <f t="shared" si="1"/>
        <v>3000</v>
      </c>
      <c r="F9" s="3">
        <v>3000</v>
      </c>
      <c r="G9" s="3">
        <f>E9-F9</f>
        <v>0</v>
      </c>
      <c r="H9" s="3"/>
      <c r="I9" t="s">
        <v>225</v>
      </c>
    </row>
    <row r="10" spans="1:9" x14ac:dyDescent="0.25">
      <c r="A10" s="3">
        <v>6</v>
      </c>
      <c r="B10" s="64" t="s">
        <v>154</v>
      </c>
      <c r="C10" s="3">
        <v>2500</v>
      </c>
      <c r="D10" s="3">
        <f>'OCTOBER 20'!G10:G26</f>
        <v>0</v>
      </c>
      <c r="E10" s="3">
        <f>C10+D10</f>
        <v>2500</v>
      </c>
      <c r="F10" s="3">
        <v>2500</v>
      </c>
      <c r="G10" s="3">
        <f t="shared" si="0"/>
        <v>0</v>
      </c>
      <c r="H10" s="3"/>
    </row>
    <row r="11" spans="1:9" x14ac:dyDescent="0.25">
      <c r="A11" s="3">
        <v>7</v>
      </c>
      <c r="B11" s="3" t="s">
        <v>13</v>
      </c>
      <c r="C11" s="3">
        <v>2500</v>
      </c>
      <c r="D11" s="3">
        <f>'OCTOBER 20'!G11:G27</f>
        <v>0</v>
      </c>
      <c r="E11" s="3">
        <f t="shared" si="1"/>
        <v>2500</v>
      </c>
      <c r="F11" s="3">
        <v>2500</v>
      </c>
      <c r="G11" s="3">
        <f t="shared" si="0"/>
        <v>0</v>
      </c>
      <c r="H11" s="3"/>
      <c r="I11" t="s">
        <v>51</v>
      </c>
    </row>
    <row r="12" spans="1:9" x14ac:dyDescent="0.25">
      <c r="A12" s="3">
        <v>8</v>
      </c>
      <c r="B12" s="3" t="s">
        <v>105</v>
      </c>
      <c r="C12" s="3">
        <v>2500</v>
      </c>
      <c r="D12" s="3">
        <f>'OCTOBER 20'!G12:G28</f>
        <v>1900</v>
      </c>
      <c r="E12" s="3">
        <f t="shared" si="1"/>
        <v>4400</v>
      </c>
      <c r="F12" s="3"/>
      <c r="G12" s="3">
        <f t="shared" si="0"/>
        <v>4400</v>
      </c>
      <c r="H12" s="3"/>
    </row>
    <row r="13" spans="1:9" x14ac:dyDescent="0.25">
      <c r="A13" s="3">
        <v>9</v>
      </c>
      <c r="B13" s="3" t="s">
        <v>96</v>
      </c>
      <c r="C13" s="3">
        <v>2500</v>
      </c>
      <c r="D13" s="3">
        <f>'OCTOBER 20'!G13:G29</f>
        <v>620</v>
      </c>
      <c r="E13" s="3">
        <f t="shared" si="1"/>
        <v>3120</v>
      </c>
      <c r="F13" s="3">
        <f>2500</f>
        <v>2500</v>
      </c>
      <c r="G13" s="3">
        <f t="shared" si="0"/>
        <v>620</v>
      </c>
      <c r="H13" s="3"/>
    </row>
    <row r="14" spans="1:9" x14ac:dyDescent="0.25">
      <c r="A14" s="3">
        <v>10</v>
      </c>
      <c r="B14" s="3" t="s">
        <v>238</v>
      </c>
      <c r="C14" s="3"/>
      <c r="D14" s="3">
        <f>'OCTOBER 20'!G14:G30</f>
        <v>3500</v>
      </c>
      <c r="E14" s="3">
        <f t="shared" si="1"/>
        <v>3500</v>
      </c>
      <c r="F14" s="3"/>
      <c r="G14" s="3">
        <f>E14-F14</f>
        <v>3500</v>
      </c>
      <c r="H14" s="3"/>
    </row>
    <row r="15" spans="1:9" x14ac:dyDescent="0.25">
      <c r="A15" s="3">
        <v>11</v>
      </c>
      <c r="B15" s="3" t="s">
        <v>57</v>
      </c>
      <c r="C15" s="3">
        <v>2500</v>
      </c>
      <c r="D15" s="3">
        <f>'OCTOBER 20'!G15:G31</f>
        <v>2500</v>
      </c>
      <c r="E15" s="3">
        <f t="shared" si="1"/>
        <v>5000</v>
      </c>
      <c r="F15" s="3">
        <v>2600</v>
      </c>
      <c r="G15" s="3">
        <f t="shared" si="0"/>
        <v>2400</v>
      </c>
      <c r="H15" s="3"/>
      <c r="I15" t="s">
        <v>301</v>
      </c>
    </row>
    <row r="16" spans="1:9" x14ac:dyDescent="0.25">
      <c r="A16" s="3">
        <v>12</v>
      </c>
      <c r="B16" s="3" t="s">
        <v>165</v>
      </c>
      <c r="C16" s="3">
        <v>2500</v>
      </c>
      <c r="D16" s="3">
        <f>'OCTOBER 20'!G16:G32</f>
        <v>0</v>
      </c>
      <c r="E16" s="3">
        <f t="shared" si="1"/>
        <v>2500</v>
      </c>
      <c r="F16" s="3">
        <f>2000+500</f>
        <v>2500</v>
      </c>
      <c r="G16" s="3">
        <f t="shared" si="0"/>
        <v>0</v>
      </c>
      <c r="H16" s="3"/>
      <c r="I16" t="s">
        <v>225</v>
      </c>
    </row>
    <row r="17" spans="1:11" x14ac:dyDescent="0.25">
      <c r="A17" s="3">
        <v>13</v>
      </c>
      <c r="B17" s="3" t="s">
        <v>19</v>
      </c>
      <c r="C17" s="3">
        <v>2500</v>
      </c>
      <c r="D17" s="3">
        <f>'OCTOBER 20'!G17:G33</f>
        <v>0</v>
      </c>
      <c r="E17" s="3">
        <f t="shared" si="1"/>
        <v>2500</v>
      </c>
      <c r="F17" s="3">
        <v>2500</v>
      </c>
      <c r="G17" s="3">
        <f t="shared" si="0"/>
        <v>0</v>
      </c>
      <c r="H17" s="3"/>
    </row>
    <row r="18" spans="1:11" x14ac:dyDescent="0.25">
      <c r="A18" s="3">
        <v>14</v>
      </c>
      <c r="B18" s="3" t="s">
        <v>160</v>
      </c>
      <c r="C18" s="3">
        <v>2500</v>
      </c>
      <c r="D18" s="3">
        <f>'OCTOBER 20'!G18:G34</f>
        <v>0</v>
      </c>
      <c r="E18" s="3">
        <f t="shared" si="1"/>
        <v>2500</v>
      </c>
      <c r="F18" s="3">
        <v>2500</v>
      </c>
      <c r="G18" s="3">
        <f t="shared" si="0"/>
        <v>0</v>
      </c>
      <c r="H18" s="3"/>
    </row>
    <row r="19" spans="1:11" x14ac:dyDescent="0.25">
      <c r="A19" s="3">
        <v>15</v>
      </c>
      <c r="B19" s="3" t="s">
        <v>308</v>
      </c>
      <c r="C19" s="3">
        <v>2500</v>
      </c>
      <c r="D19" s="3">
        <f>'OCTOBER 20'!G19:G35</f>
        <v>0</v>
      </c>
      <c r="E19" s="3">
        <f t="shared" si="1"/>
        <v>2500</v>
      </c>
      <c r="F19" s="3">
        <v>2500</v>
      </c>
      <c r="G19" s="3">
        <f>E19-F19</f>
        <v>0</v>
      </c>
      <c r="H19" s="3"/>
    </row>
    <row r="20" spans="1:11" x14ac:dyDescent="0.25">
      <c r="A20" s="3">
        <v>16</v>
      </c>
      <c r="B20" s="3" t="s">
        <v>49</v>
      </c>
      <c r="C20" s="3">
        <v>2500</v>
      </c>
      <c r="D20" s="3">
        <f>'OCTOBER 20'!G20:G36</f>
        <v>0</v>
      </c>
      <c r="E20" s="3">
        <f t="shared" si="1"/>
        <v>2500</v>
      </c>
      <c r="F20" s="3">
        <v>2500</v>
      </c>
      <c r="G20" s="3">
        <f>E20-F20</f>
        <v>0</v>
      </c>
      <c r="H20" s="3"/>
      <c r="J20">
        <v>794960612</v>
      </c>
    </row>
    <row r="21" spans="1:11" x14ac:dyDescent="0.25">
      <c r="A21" s="3">
        <v>17</v>
      </c>
      <c r="B21" s="3" t="s">
        <v>73</v>
      </c>
      <c r="C21" s="3">
        <v>2500</v>
      </c>
      <c r="D21" s="3">
        <f>'OCTOBER 20'!G21:G37</f>
        <v>0</v>
      </c>
      <c r="E21" s="3">
        <f t="shared" si="1"/>
        <v>2500</v>
      </c>
      <c r="F21" s="62">
        <v>2500</v>
      </c>
      <c r="G21" s="32">
        <f>E21-F21</f>
        <v>0</v>
      </c>
      <c r="H21" s="58"/>
    </row>
    <row r="22" spans="1:11" x14ac:dyDescent="0.25">
      <c r="A22" s="2"/>
      <c r="B22" s="4" t="s">
        <v>24</v>
      </c>
      <c r="C22" s="2">
        <f>SUM(C5:C21)</f>
        <v>39500</v>
      </c>
      <c r="D22" s="3">
        <f>'OCTOBER 20'!G22:G38</f>
        <v>13020</v>
      </c>
      <c r="E22" s="2">
        <f>SUM(E5:E21)</f>
        <v>52520</v>
      </c>
      <c r="F22" s="2">
        <f>SUM(F5:F21)</f>
        <v>37600</v>
      </c>
      <c r="G22" s="2">
        <f>SUM(G5:G21)</f>
        <v>14920</v>
      </c>
      <c r="H22" s="2"/>
      <c r="I22" s="1"/>
    </row>
    <row r="23" spans="1:11" x14ac:dyDescent="0.25">
      <c r="A23" s="3"/>
      <c r="B23" s="3"/>
      <c r="C23" s="3"/>
      <c r="D23" s="3">
        <f>'SEPTEMBER 20'!G23:G41</f>
        <v>0</v>
      </c>
      <c r="E23" s="3"/>
      <c r="F23" s="3"/>
      <c r="G23" s="3"/>
      <c r="H23" s="3"/>
    </row>
    <row r="24" spans="1:11" x14ac:dyDescent="0.25">
      <c r="A24" s="12"/>
      <c r="G24">
        <f>G18+G15+G12+G11+G14+G16</f>
        <v>10300</v>
      </c>
    </row>
    <row r="25" spans="1:11" ht="18.75" x14ac:dyDescent="0.3">
      <c r="A25" s="12"/>
      <c r="B25" s="51" t="s">
        <v>27</v>
      </c>
      <c r="C25" s="52"/>
      <c r="D25" s="52"/>
      <c r="E25" s="52"/>
      <c r="F25" s="52"/>
      <c r="G25" s="52"/>
      <c r="H25" s="53"/>
      <c r="I25" s="53"/>
      <c r="J25" s="1"/>
    </row>
    <row r="26" spans="1:11" ht="15.75" x14ac:dyDescent="0.25">
      <c r="A26" s="12"/>
      <c r="B26" s="54" t="s">
        <v>28</v>
      </c>
      <c r="C26" s="54" t="s">
        <v>29</v>
      </c>
      <c r="D26" s="54" t="s">
        <v>30</v>
      </c>
      <c r="E26" s="54" t="s">
        <v>62</v>
      </c>
      <c r="F26" s="54" t="s">
        <v>69</v>
      </c>
      <c r="G26" s="54" t="s">
        <v>29</v>
      </c>
      <c r="H26" s="54" t="s">
        <v>30</v>
      </c>
      <c r="I26" s="54" t="s">
        <v>62</v>
      </c>
      <c r="J26" s="65"/>
    </row>
    <row r="27" spans="1:11" x14ac:dyDescent="0.25">
      <c r="A27" s="12"/>
      <c r="B27" s="55" t="s">
        <v>172</v>
      </c>
      <c r="C27" s="50">
        <f>C22</f>
        <v>39500</v>
      </c>
      <c r="D27" s="56">
        <v>0.1</v>
      </c>
      <c r="E27" s="50"/>
      <c r="F27" s="57" t="s">
        <v>172</v>
      </c>
      <c r="G27" s="50">
        <f>F22</f>
        <v>37600</v>
      </c>
      <c r="H27" s="56">
        <v>0.1</v>
      </c>
      <c r="I27" s="58"/>
      <c r="J27" s="1"/>
    </row>
    <row r="28" spans="1:11" x14ac:dyDescent="0.25">
      <c r="A28" s="12"/>
      <c r="B28" s="58" t="s">
        <v>55</v>
      </c>
      <c r="C28" s="50">
        <f>'OCTOBER 20'!E42</f>
        <v>-7760</v>
      </c>
      <c r="D28" s="58"/>
      <c r="E28" s="58"/>
      <c r="F28" s="58" t="s">
        <v>55</v>
      </c>
      <c r="G28" s="50">
        <f>'OCTOBER 20'!I42</f>
        <v>-20780</v>
      </c>
      <c r="H28" s="58"/>
      <c r="I28" s="58"/>
      <c r="J28" s="1"/>
      <c r="K28">
        <f>3500</f>
        <v>3500</v>
      </c>
    </row>
    <row r="29" spans="1:11" x14ac:dyDescent="0.25">
      <c r="A29" s="12"/>
      <c r="B29" s="58"/>
      <c r="C29" s="50"/>
      <c r="D29" s="58"/>
      <c r="E29" s="58"/>
      <c r="F29" s="58"/>
      <c r="G29" s="50"/>
      <c r="H29" s="58"/>
      <c r="I29" s="58"/>
      <c r="J29" s="66"/>
      <c r="K29">
        <f>500*3</f>
        <v>1500</v>
      </c>
    </row>
    <row r="30" spans="1:11" x14ac:dyDescent="0.25">
      <c r="A30" s="12"/>
      <c r="B30" s="58" t="s">
        <v>33</v>
      </c>
      <c r="C30" s="59"/>
      <c r="D30" s="58">
        <f>C27*D27</f>
        <v>3950</v>
      </c>
      <c r="E30" s="58"/>
      <c r="F30" s="58" t="s">
        <v>33</v>
      </c>
      <c r="G30" s="59"/>
      <c r="H30" s="58">
        <f>H27*C27</f>
        <v>3950</v>
      </c>
      <c r="I30" s="58"/>
      <c r="J30" s="66"/>
      <c r="K30">
        <v>400</v>
      </c>
    </row>
    <row r="31" spans="1:11" x14ac:dyDescent="0.25">
      <c r="A31" s="12"/>
      <c r="B31" s="60" t="s">
        <v>34</v>
      </c>
      <c r="C31" s="58"/>
      <c r="D31" s="58"/>
      <c r="E31" s="58"/>
      <c r="F31" s="60" t="s">
        <v>34</v>
      </c>
      <c r="G31" s="58"/>
      <c r="H31" s="58"/>
      <c r="I31" s="58"/>
      <c r="J31" s="66"/>
      <c r="K31">
        <f>K28+K29+K30</f>
        <v>5400</v>
      </c>
    </row>
    <row r="32" spans="1:11" x14ac:dyDescent="0.25">
      <c r="A32" s="12"/>
      <c r="B32" s="3" t="s">
        <v>161</v>
      </c>
      <c r="C32" s="3"/>
      <c r="D32" s="3">
        <v>4000</v>
      </c>
      <c r="E32" s="3"/>
      <c r="F32" s="3" t="s">
        <v>161</v>
      </c>
      <c r="G32" s="3"/>
      <c r="H32" s="3">
        <v>4000</v>
      </c>
      <c r="I32" s="58"/>
      <c r="K32">
        <f>K31-K29</f>
        <v>3900</v>
      </c>
    </row>
    <row r="33" spans="1:11" x14ac:dyDescent="0.25">
      <c r="A33" s="12"/>
      <c r="B33" s="62" t="s">
        <v>297</v>
      </c>
      <c r="C33" s="58"/>
      <c r="D33" s="58">
        <v>50</v>
      </c>
      <c r="E33" s="58"/>
      <c r="F33" s="62" t="s">
        <v>297</v>
      </c>
      <c r="G33" s="58"/>
      <c r="H33" s="58">
        <v>50</v>
      </c>
      <c r="I33" s="58"/>
      <c r="J33" s="66"/>
    </row>
    <row r="34" spans="1:11" x14ac:dyDescent="0.25">
      <c r="A34" s="12"/>
      <c r="B34" s="62" t="s">
        <v>298</v>
      </c>
      <c r="D34" s="58">
        <v>6056</v>
      </c>
      <c r="E34" s="58"/>
      <c r="F34" s="62" t="s">
        <v>298</v>
      </c>
      <c r="H34" s="58">
        <v>6056</v>
      </c>
      <c r="I34" s="58"/>
    </row>
    <row r="35" spans="1:11" x14ac:dyDescent="0.25">
      <c r="A35" s="12"/>
      <c r="B35" s="62" t="s">
        <v>299</v>
      </c>
      <c r="C35" s="50"/>
      <c r="D35" s="50">
        <v>17400</v>
      </c>
      <c r="E35" s="50"/>
      <c r="F35" s="62" t="s">
        <v>299</v>
      </c>
      <c r="G35" s="50"/>
      <c r="H35" s="50">
        <v>17400</v>
      </c>
      <c r="I35" s="58"/>
    </row>
    <row r="36" spans="1:11" x14ac:dyDescent="0.25">
      <c r="A36" s="12"/>
      <c r="B36" s="62" t="s">
        <v>303</v>
      </c>
      <c r="C36" s="50"/>
      <c r="D36" s="50">
        <v>500</v>
      </c>
      <c r="E36" s="50"/>
      <c r="F36" s="62" t="s">
        <v>303</v>
      </c>
      <c r="G36" s="50"/>
      <c r="H36" s="50">
        <v>500</v>
      </c>
      <c r="I36" s="58"/>
      <c r="K36" s="43">
        <f>D36+D37+D38</f>
        <v>5600</v>
      </c>
    </row>
    <row r="37" spans="1:11" x14ac:dyDescent="0.25">
      <c r="A37" s="12"/>
      <c r="B37" s="62" t="s">
        <v>304</v>
      </c>
      <c r="C37" s="50"/>
      <c r="D37" s="50">
        <v>2500</v>
      </c>
      <c r="E37" s="50"/>
      <c r="F37" s="62" t="s">
        <v>304</v>
      </c>
      <c r="G37" s="50"/>
      <c r="H37" s="50">
        <v>2500</v>
      </c>
      <c r="I37" s="58"/>
    </row>
    <row r="38" spans="1:11" x14ac:dyDescent="0.25">
      <c r="A38" s="12"/>
      <c r="B38" s="62" t="s">
        <v>306</v>
      </c>
      <c r="C38" s="50"/>
      <c r="D38" s="50">
        <v>2600</v>
      </c>
      <c r="E38" s="50"/>
      <c r="F38" s="62" t="s">
        <v>305</v>
      </c>
      <c r="G38" s="50"/>
      <c r="H38" s="50">
        <v>2600</v>
      </c>
      <c r="I38" s="58"/>
    </row>
    <row r="39" spans="1:11" x14ac:dyDescent="0.25">
      <c r="A39" s="12"/>
      <c r="B39" s="62"/>
      <c r="C39" s="50"/>
      <c r="D39" s="50"/>
      <c r="E39" s="50"/>
      <c r="F39" s="62"/>
      <c r="G39" s="50"/>
      <c r="H39" s="50"/>
      <c r="I39" s="58"/>
    </row>
    <row r="40" spans="1:11" x14ac:dyDescent="0.25">
      <c r="A40" s="12"/>
      <c r="B40" s="62"/>
      <c r="C40" s="50"/>
      <c r="D40" s="50"/>
      <c r="E40" s="50"/>
      <c r="F40" s="62"/>
      <c r="G40" s="50"/>
      <c r="H40" s="50"/>
      <c r="I40" s="58"/>
    </row>
    <row r="41" spans="1:11" x14ac:dyDescent="0.25">
      <c r="A41" s="12"/>
      <c r="B41" s="62"/>
      <c r="C41" s="50"/>
      <c r="D41" s="50"/>
      <c r="E41" s="50"/>
      <c r="F41" s="62"/>
      <c r="G41" s="50"/>
      <c r="H41" s="50"/>
      <c r="I41" s="58"/>
      <c r="J41" s="43">
        <f>G22+I42</f>
        <v>-5316</v>
      </c>
    </row>
    <row r="42" spans="1:11" x14ac:dyDescent="0.25">
      <c r="A42" s="12"/>
      <c r="B42" s="55" t="s">
        <v>24</v>
      </c>
      <c r="C42" s="63">
        <f>C27+C28+C29-D30</f>
        <v>27790</v>
      </c>
      <c r="D42" s="55">
        <f>SUM(D32:D41)</f>
        <v>33106</v>
      </c>
      <c r="E42" s="63">
        <f>C42-D42</f>
        <v>-5316</v>
      </c>
      <c r="F42" s="57"/>
      <c r="G42" s="63">
        <f>G27+G28-H30</f>
        <v>12870</v>
      </c>
      <c r="H42" s="63">
        <f>SUM(H32:H41)</f>
        <v>33106</v>
      </c>
      <c r="I42" s="63">
        <f>G42-H42</f>
        <v>-20236</v>
      </c>
    </row>
    <row r="45" spans="1:11" x14ac:dyDescent="0.25">
      <c r="B45" s="12" t="s">
        <v>38</v>
      </c>
      <c r="D45" s="12" t="s">
        <v>36</v>
      </c>
      <c r="F45" s="12"/>
      <c r="G45" s="12" t="s">
        <v>37</v>
      </c>
    </row>
    <row r="46" spans="1:11" x14ac:dyDescent="0.25">
      <c r="D46" s="12"/>
      <c r="F46" s="68">
        <f>D37+D38+D39</f>
        <v>5100</v>
      </c>
      <c r="G46" s="12"/>
      <c r="I46" s="43">
        <f>G22+I42</f>
        <v>-5316</v>
      </c>
    </row>
    <row r="47" spans="1:11" x14ac:dyDescent="0.25">
      <c r="B47" t="s">
        <v>163</v>
      </c>
      <c r="D47" t="s">
        <v>66</v>
      </c>
      <c r="G47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7" workbookViewId="0">
      <selection activeCell="D10" sqref="D10"/>
    </sheetView>
  </sheetViews>
  <sheetFormatPr defaultRowHeight="15" x14ac:dyDescent="0.25"/>
  <cols>
    <col min="1" max="1" width="3.85546875" customWidth="1"/>
    <col min="2" max="2" width="19.85546875" customWidth="1"/>
    <col min="5" max="5" width="10.7109375" customWidth="1"/>
    <col min="6" max="6" width="9.42578125" customWidth="1"/>
    <col min="8" max="8" width="10.140625" customWidth="1"/>
    <col min="9" max="9" width="12.28515625" customWidth="1"/>
  </cols>
  <sheetData>
    <row r="1" spans="1:10" ht="21" customHeight="1" x14ac:dyDescent="0.25">
      <c r="A1" s="34"/>
      <c r="B1" s="35"/>
      <c r="C1" s="38" t="s">
        <v>59</v>
      </c>
      <c r="D1" s="39"/>
      <c r="E1" s="36"/>
      <c r="F1" s="34"/>
      <c r="G1" s="34"/>
      <c r="H1" s="34"/>
    </row>
    <row r="2" spans="1:10" ht="18.75" x14ac:dyDescent="0.25">
      <c r="A2" s="37"/>
      <c r="B2" s="11"/>
      <c r="C2" s="38" t="s">
        <v>60</v>
      </c>
      <c r="D2" s="38"/>
      <c r="E2" s="11"/>
      <c r="F2" s="11"/>
      <c r="G2" s="11"/>
      <c r="H2" s="34"/>
    </row>
    <row r="3" spans="1:10" ht="18.75" x14ac:dyDescent="0.25">
      <c r="A3" s="37"/>
      <c r="B3" s="11"/>
      <c r="C3" s="38" t="s">
        <v>61</v>
      </c>
      <c r="D3" s="38"/>
      <c r="E3" s="11"/>
      <c r="F3" s="11"/>
      <c r="G3" s="11"/>
      <c r="H3" s="34"/>
    </row>
    <row r="4" spans="1:10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/>
      <c r="I4" s="1"/>
      <c r="J4" s="1"/>
    </row>
    <row r="5" spans="1:10" x14ac:dyDescent="0.25">
      <c r="A5" s="3">
        <v>1</v>
      </c>
      <c r="B5" s="3" t="s">
        <v>7</v>
      </c>
      <c r="C5" s="3">
        <v>4000</v>
      </c>
      <c r="D5" s="3">
        <v>4000</v>
      </c>
      <c r="E5" s="3">
        <f>C5+D5</f>
        <v>8000</v>
      </c>
      <c r="F5" s="3">
        <v>4000</v>
      </c>
      <c r="G5" s="3">
        <f>E5-F5</f>
        <v>4000</v>
      </c>
      <c r="H5" s="3"/>
    </row>
    <row r="6" spans="1:10" x14ac:dyDescent="0.25">
      <c r="A6" s="3">
        <v>2</v>
      </c>
      <c r="B6" s="3" t="s">
        <v>8</v>
      </c>
      <c r="C6" s="3">
        <v>2000</v>
      </c>
      <c r="D6" s="3">
        <v>2000</v>
      </c>
      <c r="E6" s="3">
        <f t="shared" ref="E6:E21" si="0">C6+D6</f>
        <v>4000</v>
      </c>
      <c r="F6" s="3"/>
      <c r="G6" s="3">
        <f t="shared" ref="G6:G21" si="1">E6-F6</f>
        <v>4000</v>
      </c>
      <c r="H6" s="3"/>
    </row>
    <row r="7" spans="1:10" x14ac:dyDescent="0.25">
      <c r="A7" s="3">
        <v>3</v>
      </c>
      <c r="B7" s="3" t="s">
        <v>9</v>
      </c>
      <c r="C7" s="3">
        <v>2000</v>
      </c>
      <c r="D7" s="3">
        <v>4000</v>
      </c>
      <c r="E7" s="3">
        <f t="shared" si="0"/>
        <v>6000</v>
      </c>
      <c r="F7" s="3">
        <v>2000</v>
      </c>
      <c r="G7" s="3">
        <f t="shared" si="1"/>
        <v>4000</v>
      </c>
      <c r="H7" s="3"/>
    </row>
    <row r="8" spans="1:10" x14ac:dyDescent="0.25">
      <c r="A8" s="3">
        <v>4</v>
      </c>
      <c r="B8" s="3" t="s">
        <v>10</v>
      </c>
      <c r="C8" s="3">
        <v>2000</v>
      </c>
      <c r="D8" s="3">
        <v>2000</v>
      </c>
      <c r="E8" s="3">
        <f t="shared" si="0"/>
        <v>4000</v>
      </c>
      <c r="F8" s="3">
        <v>2000</v>
      </c>
      <c r="G8" s="3">
        <f t="shared" si="1"/>
        <v>2000</v>
      </c>
      <c r="H8" s="3"/>
    </row>
    <row r="9" spans="1:10" x14ac:dyDescent="0.25">
      <c r="A9" s="3">
        <v>5</v>
      </c>
      <c r="B9" s="3" t="s">
        <v>11</v>
      </c>
      <c r="C9" s="3">
        <v>2200</v>
      </c>
      <c r="D9" s="3">
        <v>1800</v>
      </c>
      <c r="E9" s="3">
        <f t="shared" si="0"/>
        <v>4000</v>
      </c>
      <c r="F9" s="3">
        <v>1000</v>
      </c>
      <c r="G9" s="3">
        <f t="shared" si="1"/>
        <v>3000</v>
      </c>
      <c r="H9" s="3"/>
    </row>
    <row r="10" spans="1:10" x14ac:dyDescent="0.25">
      <c r="A10" s="3">
        <v>6</v>
      </c>
      <c r="B10" s="3" t="s">
        <v>12</v>
      </c>
      <c r="C10" s="3"/>
      <c r="D10" s="3">
        <v>500</v>
      </c>
      <c r="E10" s="3">
        <f t="shared" si="0"/>
        <v>500</v>
      </c>
      <c r="F10" s="3"/>
      <c r="G10" s="3">
        <f t="shared" si="1"/>
        <v>500</v>
      </c>
      <c r="H10" s="3"/>
    </row>
    <row r="11" spans="1:10" x14ac:dyDescent="0.25">
      <c r="A11" s="3">
        <v>7</v>
      </c>
      <c r="B11" s="3" t="s">
        <v>13</v>
      </c>
      <c r="C11" s="3">
        <v>2000</v>
      </c>
      <c r="D11" s="3">
        <v>4000</v>
      </c>
      <c r="E11" s="3">
        <f t="shared" si="0"/>
        <v>6000</v>
      </c>
      <c r="F11" s="3">
        <v>2000</v>
      </c>
      <c r="G11" s="3">
        <f t="shared" si="1"/>
        <v>4000</v>
      </c>
      <c r="H11" s="3"/>
    </row>
    <row r="12" spans="1:10" x14ac:dyDescent="0.25">
      <c r="A12" s="3">
        <v>8</v>
      </c>
      <c r="B12" s="3" t="s">
        <v>14</v>
      </c>
      <c r="C12" s="3">
        <v>2000</v>
      </c>
      <c r="D12" s="3">
        <v>0</v>
      </c>
      <c r="E12" s="3">
        <f t="shared" si="0"/>
        <v>2000</v>
      </c>
      <c r="F12" s="3"/>
      <c r="G12" s="3">
        <f t="shared" si="1"/>
        <v>2000</v>
      </c>
      <c r="H12" s="3"/>
    </row>
    <row r="13" spans="1:10" x14ac:dyDescent="0.25">
      <c r="A13" s="3">
        <v>9</v>
      </c>
      <c r="B13" s="3" t="s">
        <v>15</v>
      </c>
      <c r="C13" s="3"/>
      <c r="D13" s="3">
        <v>2000</v>
      </c>
      <c r="E13" s="3">
        <f t="shared" si="0"/>
        <v>2000</v>
      </c>
      <c r="F13" s="3"/>
      <c r="G13" s="3">
        <f t="shared" si="1"/>
        <v>2000</v>
      </c>
      <c r="H13" s="3"/>
    </row>
    <row r="14" spans="1:10" x14ac:dyDescent="0.25">
      <c r="A14" s="3">
        <v>10</v>
      </c>
      <c r="B14" s="3" t="s">
        <v>16</v>
      </c>
      <c r="C14" s="3">
        <v>2000</v>
      </c>
      <c r="D14" s="3">
        <v>2000</v>
      </c>
      <c r="E14" s="3">
        <f t="shared" si="0"/>
        <v>4000</v>
      </c>
      <c r="F14" s="3"/>
      <c r="G14" s="3">
        <f t="shared" si="1"/>
        <v>4000</v>
      </c>
      <c r="H14" s="3"/>
    </row>
    <row r="15" spans="1:10" x14ac:dyDescent="0.25">
      <c r="A15" s="3">
        <v>11</v>
      </c>
      <c r="B15" s="3" t="s">
        <v>17</v>
      </c>
      <c r="C15" s="3">
        <v>2300</v>
      </c>
      <c r="D15" s="3">
        <v>-200</v>
      </c>
      <c r="E15" s="3">
        <f t="shared" si="0"/>
        <v>2100</v>
      </c>
      <c r="F15" s="3"/>
      <c r="G15" s="3">
        <f t="shared" si="1"/>
        <v>2100</v>
      </c>
      <c r="H15" s="3"/>
    </row>
    <row r="16" spans="1:10" x14ac:dyDescent="0.25">
      <c r="A16" s="3">
        <v>12</v>
      </c>
      <c r="B16" s="3" t="s">
        <v>18</v>
      </c>
      <c r="C16" s="3">
        <v>2000</v>
      </c>
      <c r="D16" s="3">
        <v>0</v>
      </c>
      <c r="E16" s="3">
        <f t="shared" si="0"/>
        <v>2000</v>
      </c>
      <c r="F16" s="3">
        <v>2000</v>
      </c>
      <c r="G16" s="3">
        <f t="shared" si="1"/>
        <v>0</v>
      </c>
      <c r="H16" s="3"/>
    </row>
    <row r="17" spans="1:10" x14ac:dyDescent="0.25">
      <c r="A17" s="3">
        <v>13</v>
      </c>
      <c r="B17" s="3" t="s">
        <v>19</v>
      </c>
      <c r="C17" s="3">
        <v>2000</v>
      </c>
      <c r="D17" s="3">
        <v>0</v>
      </c>
      <c r="E17" s="3">
        <f t="shared" si="0"/>
        <v>2000</v>
      </c>
      <c r="F17" s="3">
        <v>2000</v>
      </c>
      <c r="G17" s="3">
        <f t="shared" si="1"/>
        <v>0</v>
      </c>
      <c r="H17" s="3"/>
    </row>
    <row r="18" spans="1:10" x14ac:dyDescent="0.25">
      <c r="A18" s="3">
        <v>14</v>
      </c>
      <c r="B18" s="3" t="s">
        <v>20</v>
      </c>
      <c r="C18" s="3">
        <v>2000</v>
      </c>
      <c r="D18" s="3">
        <v>0</v>
      </c>
      <c r="E18" s="3">
        <f t="shared" si="0"/>
        <v>2000</v>
      </c>
      <c r="F18" s="3">
        <v>2000</v>
      </c>
      <c r="G18" s="3">
        <f t="shared" si="1"/>
        <v>0</v>
      </c>
      <c r="H18" s="3"/>
    </row>
    <row r="19" spans="1:10" x14ac:dyDescent="0.25">
      <c r="A19" s="3">
        <v>15</v>
      </c>
      <c r="B19" s="3" t="s">
        <v>49</v>
      </c>
      <c r="C19" s="3">
        <v>2000</v>
      </c>
      <c r="D19" s="3">
        <v>0</v>
      </c>
      <c r="E19" s="3">
        <f t="shared" si="0"/>
        <v>2000</v>
      </c>
      <c r="F19" s="3">
        <v>2000</v>
      </c>
      <c r="G19" s="3">
        <f t="shared" si="1"/>
        <v>0</v>
      </c>
      <c r="H19" s="3"/>
    </row>
    <row r="20" spans="1:10" x14ac:dyDescent="0.25">
      <c r="A20" s="3">
        <v>16</v>
      </c>
      <c r="B20" s="3" t="s">
        <v>22</v>
      </c>
      <c r="C20" s="3">
        <v>2000</v>
      </c>
      <c r="D20" s="3">
        <v>0</v>
      </c>
      <c r="E20" s="3">
        <f t="shared" si="0"/>
        <v>2000</v>
      </c>
      <c r="F20" s="3">
        <v>2000</v>
      </c>
      <c r="G20" s="3">
        <f t="shared" si="1"/>
        <v>0</v>
      </c>
      <c r="H20" s="3"/>
    </row>
    <row r="21" spans="1:10" x14ac:dyDescent="0.25">
      <c r="A21" s="3">
        <v>17</v>
      </c>
      <c r="B21" s="3" t="s">
        <v>23</v>
      </c>
      <c r="C21" s="3">
        <v>2000</v>
      </c>
      <c r="D21" s="3">
        <v>0</v>
      </c>
      <c r="E21" s="3">
        <f t="shared" si="0"/>
        <v>2000</v>
      </c>
      <c r="F21" s="3">
        <v>2000</v>
      </c>
      <c r="G21" s="3">
        <f t="shared" si="1"/>
        <v>0</v>
      </c>
      <c r="H21" s="3"/>
    </row>
    <row r="22" spans="1:10" x14ac:dyDescent="0.25">
      <c r="A22" s="2"/>
      <c r="B22" s="4" t="s">
        <v>24</v>
      </c>
      <c r="C22" s="2">
        <f>SUM(C5:C21)</f>
        <v>32500</v>
      </c>
      <c r="D22" s="2">
        <f>SUM(D5:D21)</f>
        <v>22100</v>
      </c>
      <c r="E22" s="2">
        <f>SUM(E5:E21)</f>
        <v>54600</v>
      </c>
      <c r="F22" s="2">
        <f>SUM(F5:F21)</f>
        <v>23000</v>
      </c>
      <c r="G22" s="2">
        <f>E22-F22</f>
        <v>31600</v>
      </c>
      <c r="H22" s="2"/>
      <c r="I22" s="1"/>
      <c r="J22" s="1"/>
    </row>
    <row r="23" spans="1:10" x14ac:dyDescent="0.25">
      <c r="A23" s="3"/>
      <c r="B23" s="3"/>
      <c r="C23" s="3"/>
      <c r="D23" s="3"/>
      <c r="E23" s="3"/>
      <c r="F23" s="3"/>
      <c r="G23" s="3"/>
      <c r="H23" s="3"/>
    </row>
    <row r="24" spans="1:10" x14ac:dyDescent="0.25">
      <c r="A24" s="12"/>
    </row>
    <row r="25" spans="1:10" ht="23.25" x14ac:dyDescent="0.35">
      <c r="A25" s="12"/>
      <c r="B25" s="40" t="s">
        <v>27</v>
      </c>
      <c r="C25" s="12"/>
      <c r="D25" s="12"/>
      <c r="E25" s="12"/>
    </row>
    <row r="26" spans="1:10" ht="15.75" x14ac:dyDescent="0.25">
      <c r="A26" s="12"/>
      <c r="B26" s="2" t="s">
        <v>28</v>
      </c>
      <c r="C26" s="2" t="s">
        <v>29</v>
      </c>
      <c r="D26" s="2" t="s">
        <v>30</v>
      </c>
      <c r="E26" s="2" t="s">
        <v>62</v>
      </c>
      <c r="F26" s="2" t="s">
        <v>29</v>
      </c>
      <c r="G26" s="2" t="s">
        <v>30</v>
      </c>
      <c r="H26" s="28" t="s">
        <v>62</v>
      </c>
      <c r="J26" s="29"/>
    </row>
    <row r="27" spans="1:10" x14ac:dyDescent="0.25">
      <c r="A27" s="12"/>
      <c r="B27" s="3" t="s">
        <v>45</v>
      </c>
      <c r="C27" s="17">
        <f>C22</f>
        <v>32500</v>
      </c>
      <c r="D27" s="5">
        <v>0.1</v>
      </c>
      <c r="E27" s="17">
        <f>C27-C28</f>
        <v>32500</v>
      </c>
      <c r="F27" s="17">
        <f>F22</f>
        <v>23000</v>
      </c>
      <c r="G27" s="5">
        <v>0.1</v>
      </c>
      <c r="H27" s="3"/>
    </row>
    <row r="28" spans="1:10" x14ac:dyDescent="0.25">
      <c r="A28" s="12"/>
      <c r="B28" s="3" t="s">
        <v>32</v>
      </c>
      <c r="C28" s="18"/>
      <c r="D28" s="3"/>
      <c r="E28" s="3"/>
      <c r="F28" s="18"/>
      <c r="G28" s="3"/>
      <c r="H28" s="3"/>
    </row>
    <row r="29" spans="1:10" x14ac:dyDescent="0.25">
      <c r="A29" s="12"/>
      <c r="B29" s="3" t="s">
        <v>33</v>
      </c>
      <c r="C29" s="17"/>
      <c r="D29" s="3">
        <f>C27*D27</f>
        <v>3250</v>
      </c>
      <c r="E29" s="3"/>
      <c r="F29" s="17"/>
      <c r="G29" s="3">
        <f>F27*G27</f>
        <v>2300</v>
      </c>
      <c r="H29" s="3"/>
    </row>
    <row r="30" spans="1:10" x14ac:dyDescent="0.25">
      <c r="A30" s="12"/>
      <c r="B30" s="21"/>
      <c r="C30" s="17">
        <f>C27-D29</f>
        <v>29250</v>
      </c>
      <c r="D30" s="3"/>
      <c r="E30" s="3"/>
      <c r="F30" s="17">
        <f>SUM(F27:F29)</f>
        <v>23000</v>
      </c>
      <c r="G30" s="3"/>
      <c r="H30" s="3"/>
    </row>
    <row r="31" spans="1:10" x14ac:dyDescent="0.25">
      <c r="A31" s="12"/>
      <c r="B31" s="21" t="s">
        <v>34</v>
      </c>
      <c r="C31" s="3"/>
      <c r="D31" s="3"/>
      <c r="E31" s="3"/>
      <c r="F31" s="3"/>
      <c r="G31" s="3"/>
      <c r="H31" s="3"/>
    </row>
    <row r="32" spans="1:10" x14ac:dyDescent="0.25">
      <c r="A32" s="12"/>
      <c r="B32" s="22">
        <v>43077</v>
      </c>
      <c r="C32" s="3"/>
      <c r="D32" s="3">
        <v>29100</v>
      </c>
      <c r="E32" s="3"/>
      <c r="F32" s="22">
        <v>43077</v>
      </c>
      <c r="G32" s="3">
        <v>29100</v>
      </c>
      <c r="H32" s="3"/>
    </row>
    <row r="33" spans="1:10" x14ac:dyDescent="0.25">
      <c r="A33" s="12"/>
      <c r="B33" s="24" t="s">
        <v>54</v>
      </c>
      <c r="C33" s="3"/>
      <c r="D33" s="3">
        <v>4000</v>
      </c>
      <c r="E33" s="3"/>
      <c r="F33" s="3"/>
      <c r="G33" s="3"/>
      <c r="H33" s="3"/>
    </row>
    <row r="34" spans="1:10" x14ac:dyDescent="0.25">
      <c r="A34" s="12"/>
      <c r="B34" s="3"/>
      <c r="C34" s="3"/>
      <c r="D34" s="3"/>
      <c r="E34" s="3"/>
      <c r="F34" s="3"/>
      <c r="G34" s="3"/>
      <c r="H34" s="3"/>
    </row>
    <row r="35" spans="1:10" x14ac:dyDescent="0.25">
      <c r="A35" s="12"/>
      <c r="B35" s="41" t="s">
        <v>24</v>
      </c>
      <c r="C35" s="25">
        <f>C30-C32</f>
        <v>29250</v>
      </c>
      <c r="D35" s="25">
        <f>SUM(D32:D34)</f>
        <v>33100</v>
      </c>
      <c r="E35" s="25">
        <f>C35-D35</f>
        <v>-3850</v>
      </c>
      <c r="F35" s="25">
        <f>F30</f>
        <v>23000</v>
      </c>
      <c r="G35" s="25">
        <f>SUM(G29:G34)</f>
        <v>31400</v>
      </c>
      <c r="H35" s="25">
        <f>F35-G35</f>
        <v>-8400</v>
      </c>
      <c r="J35" s="12"/>
    </row>
    <row r="36" spans="1:10" x14ac:dyDescent="0.25">
      <c r="A36" s="12"/>
      <c r="F36" s="12"/>
    </row>
    <row r="37" spans="1:10" x14ac:dyDescent="0.25">
      <c r="F37" s="12"/>
    </row>
    <row r="38" spans="1:10" x14ac:dyDescent="0.25">
      <c r="B38" s="12" t="s">
        <v>38</v>
      </c>
      <c r="C38" s="12" t="s">
        <v>36</v>
      </c>
      <c r="D38" s="12"/>
      <c r="E38" s="12" t="s">
        <v>37</v>
      </c>
    </row>
    <row r="39" spans="1:10" x14ac:dyDescent="0.25">
      <c r="C39" s="12" t="s">
        <v>39</v>
      </c>
      <c r="D39" s="12"/>
      <c r="E39" s="12"/>
    </row>
  </sheetData>
  <pageMargins left="0.25" right="0.25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opLeftCell="A10" workbookViewId="0">
      <selection activeCell="D14" sqref="D14"/>
    </sheetView>
  </sheetViews>
  <sheetFormatPr defaultRowHeight="15" x14ac:dyDescent="0.25"/>
  <cols>
    <col min="1" max="1" width="5.7109375" customWidth="1"/>
    <col min="2" max="2" width="18" customWidth="1"/>
    <col min="5" max="5" width="11.140625" customWidth="1"/>
    <col min="6" max="6" width="9.7109375" bestFit="1" customWidth="1"/>
    <col min="7" max="7" width="12.7109375" customWidth="1"/>
  </cols>
  <sheetData>
    <row r="1" spans="1:9" ht="18.75" x14ac:dyDescent="0.25">
      <c r="C1" s="38" t="s">
        <v>59</v>
      </c>
      <c r="D1" s="39"/>
      <c r="E1" s="36"/>
      <c r="F1" s="34"/>
    </row>
    <row r="2" spans="1:9" ht="18.75" x14ac:dyDescent="0.25">
      <c r="C2" s="38" t="s">
        <v>60</v>
      </c>
      <c r="D2" s="38"/>
      <c r="E2" s="11"/>
      <c r="F2" s="11"/>
    </row>
    <row r="3" spans="1:9" ht="18.75" x14ac:dyDescent="0.25">
      <c r="C3" s="38" t="s">
        <v>302</v>
      </c>
      <c r="D3" s="38"/>
      <c r="E3" s="11"/>
      <c r="F3" s="11"/>
    </row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/>
      <c r="I4" s="1"/>
    </row>
    <row r="5" spans="1:9" x14ac:dyDescent="0.25">
      <c r="A5" s="3">
        <v>1</v>
      </c>
      <c r="B5" s="3" t="s">
        <v>91</v>
      </c>
      <c r="C5" s="3">
        <v>4000</v>
      </c>
      <c r="D5" s="3">
        <f>NOVEMBER20!G5:G22</f>
        <v>0</v>
      </c>
      <c r="E5" s="3">
        <f>C5+D5</f>
        <v>4000</v>
      </c>
      <c r="F5" s="3">
        <v>4000</v>
      </c>
      <c r="G5" s="3">
        <f>E5-F5</f>
        <v>0</v>
      </c>
      <c r="H5" s="3"/>
      <c r="I5" t="s">
        <v>51</v>
      </c>
    </row>
    <row r="6" spans="1:9" x14ac:dyDescent="0.25">
      <c r="A6" s="3">
        <v>2</v>
      </c>
      <c r="B6" t="s">
        <v>126</v>
      </c>
      <c r="C6" s="3">
        <v>2500</v>
      </c>
      <c r="D6" s="3">
        <f>NOVEMBER20!G6:G23</f>
        <v>2500</v>
      </c>
      <c r="E6" s="3">
        <f>C6+D6</f>
        <v>5000</v>
      </c>
      <c r="F6" s="3">
        <f>2600</f>
        <v>2600</v>
      </c>
      <c r="G6" s="3">
        <f t="shared" ref="G6:G18" si="0">E6-F6</f>
        <v>2400</v>
      </c>
      <c r="H6" s="3"/>
    </row>
    <row r="7" spans="1:9" x14ac:dyDescent="0.25">
      <c r="A7" s="3">
        <v>3</v>
      </c>
      <c r="B7" s="3" t="s">
        <v>56</v>
      </c>
      <c r="C7" s="3"/>
      <c r="D7" s="3">
        <f>NOVEMBER20!G7:G24</f>
        <v>0</v>
      </c>
      <c r="E7" s="3">
        <f t="shared" ref="E7:E21" si="1">C7+D7</f>
        <v>0</v>
      </c>
      <c r="F7" s="3"/>
      <c r="G7" s="3">
        <f t="shared" si="0"/>
        <v>0</v>
      </c>
      <c r="H7" s="3"/>
    </row>
    <row r="8" spans="1:9" x14ac:dyDescent="0.25">
      <c r="A8" s="3">
        <v>4</v>
      </c>
      <c r="B8" s="3" t="s">
        <v>74</v>
      </c>
      <c r="C8" s="3">
        <v>2500</v>
      </c>
      <c r="D8" s="3">
        <f>NOVEMBER20!G8:G25</f>
        <v>1500</v>
      </c>
      <c r="E8" s="3">
        <f t="shared" si="1"/>
        <v>4000</v>
      </c>
      <c r="F8" s="3">
        <f>1000+500+2000+500</f>
        <v>4000</v>
      </c>
      <c r="G8" s="3">
        <f t="shared" si="0"/>
        <v>0</v>
      </c>
      <c r="H8" s="3"/>
    </row>
    <row r="9" spans="1:9" x14ac:dyDescent="0.25">
      <c r="A9" s="3">
        <v>5</v>
      </c>
      <c r="B9" s="3" t="s">
        <v>309</v>
      </c>
      <c r="C9" s="3">
        <v>3000</v>
      </c>
      <c r="D9" s="3">
        <f>NOVEMBER20!G9:G26</f>
        <v>0</v>
      </c>
      <c r="E9" s="3">
        <f t="shared" si="1"/>
        <v>3000</v>
      </c>
      <c r="F9" s="3">
        <f>2000+1000</f>
        <v>3000</v>
      </c>
      <c r="G9" s="3">
        <f>E9-F9</f>
        <v>0</v>
      </c>
      <c r="H9" s="3"/>
    </row>
    <row r="10" spans="1:9" x14ac:dyDescent="0.25">
      <c r="A10" s="3">
        <v>6</v>
      </c>
      <c r="B10" s="64" t="s">
        <v>154</v>
      </c>
      <c r="C10" s="3">
        <v>2500</v>
      </c>
      <c r="D10" s="3">
        <f>NOVEMBER20!G10:G27</f>
        <v>0</v>
      </c>
      <c r="E10" s="3">
        <f>C10+D10</f>
        <v>2500</v>
      </c>
      <c r="F10" s="3">
        <f>2500</f>
        <v>2500</v>
      </c>
      <c r="G10" s="3">
        <f t="shared" si="0"/>
        <v>0</v>
      </c>
      <c r="H10" s="3"/>
    </row>
    <row r="11" spans="1:9" x14ac:dyDescent="0.25">
      <c r="A11" s="3">
        <v>7</v>
      </c>
      <c r="B11" s="3" t="s">
        <v>13</v>
      </c>
      <c r="C11" s="3">
        <v>2500</v>
      </c>
      <c r="D11" s="3">
        <f>NOVEMBER20!G11:G28</f>
        <v>0</v>
      </c>
      <c r="E11" s="3">
        <f t="shared" si="1"/>
        <v>2500</v>
      </c>
      <c r="F11" s="3">
        <v>2500</v>
      </c>
      <c r="G11" s="3">
        <f t="shared" si="0"/>
        <v>0</v>
      </c>
      <c r="H11" s="3"/>
      <c r="I11" t="s">
        <v>51</v>
      </c>
    </row>
    <row r="12" spans="1:9" x14ac:dyDescent="0.25">
      <c r="A12" s="3">
        <v>8</v>
      </c>
      <c r="B12" s="3" t="s">
        <v>105</v>
      </c>
      <c r="C12" s="3">
        <v>2500</v>
      </c>
      <c r="D12" s="3">
        <f>NOVEMBER20!G12:G29</f>
        <v>4400</v>
      </c>
      <c r="E12" s="3">
        <f t="shared" si="1"/>
        <v>6900</v>
      </c>
      <c r="F12" s="3">
        <f>4000</f>
        <v>4000</v>
      </c>
      <c r="G12" s="3">
        <f t="shared" si="0"/>
        <v>2900</v>
      </c>
      <c r="H12" s="3"/>
    </row>
    <row r="13" spans="1:9" x14ac:dyDescent="0.25">
      <c r="A13" s="3">
        <v>9</v>
      </c>
      <c r="B13" s="3" t="s">
        <v>96</v>
      </c>
      <c r="C13" s="3">
        <v>2500</v>
      </c>
      <c r="D13" s="3">
        <f>NOVEMBER20!G13:G30</f>
        <v>620</v>
      </c>
      <c r="E13" s="3">
        <f t="shared" si="1"/>
        <v>3120</v>
      </c>
      <c r="F13" s="3">
        <f>2500</f>
        <v>2500</v>
      </c>
      <c r="G13" s="3">
        <f t="shared" si="0"/>
        <v>620</v>
      </c>
      <c r="H13" s="3"/>
    </row>
    <row r="14" spans="1:9" x14ac:dyDescent="0.25">
      <c r="A14" s="3">
        <v>10</v>
      </c>
      <c r="B14" s="3" t="s">
        <v>49</v>
      </c>
      <c r="C14" s="3">
        <v>2500</v>
      </c>
      <c r="D14" s="3"/>
      <c r="E14" s="3">
        <f t="shared" si="1"/>
        <v>2500</v>
      </c>
      <c r="F14" s="3">
        <v>2500</v>
      </c>
      <c r="G14" s="3">
        <f>E14-F14</f>
        <v>0</v>
      </c>
      <c r="H14" s="3"/>
    </row>
    <row r="15" spans="1:9" x14ac:dyDescent="0.25">
      <c r="A15" s="3">
        <v>11</v>
      </c>
      <c r="B15" s="3" t="s">
        <v>57</v>
      </c>
      <c r="C15" s="3">
        <v>2500</v>
      </c>
      <c r="D15" s="3">
        <f>NOVEMBER20!G15:G32</f>
        <v>2400</v>
      </c>
      <c r="E15" s="3">
        <f t="shared" si="1"/>
        <v>4900</v>
      </c>
      <c r="F15" s="3">
        <f>2400+400</f>
        <v>2800</v>
      </c>
      <c r="G15" s="3">
        <f t="shared" si="0"/>
        <v>2100</v>
      </c>
      <c r="H15" s="3"/>
      <c r="I15" t="s">
        <v>301</v>
      </c>
    </row>
    <row r="16" spans="1:9" x14ac:dyDescent="0.25">
      <c r="A16" s="3">
        <v>12</v>
      </c>
      <c r="B16" s="3" t="s">
        <v>165</v>
      </c>
      <c r="C16" s="3">
        <v>2500</v>
      </c>
      <c r="D16" s="3">
        <f>NOVEMBER20!G16:G33</f>
        <v>0</v>
      </c>
      <c r="E16" s="3">
        <f t="shared" si="1"/>
        <v>2500</v>
      </c>
      <c r="F16" s="3">
        <f>2000+500</f>
        <v>2500</v>
      </c>
      <c r="G16" s="3">
        <f t="shared" si="0"/>
        <v>0</v>
      </c>
      <c r="H16" s="3"/>
    </row>
    <row r="17" spans="1:16" x14ac:dyDescent="0.25">
      <c r="A17" s="3">
        <v>13</v>
      </c>
      <c r="B17" s="3" t="s">
        <v>19</v>
      </c>
      <c r="C17" s="3">
        <v>2500</v>
      </c>
      <c r="D17" s="3">
        <f>NOVEMBER20!G17:G34</f>
        <v>0</v>
      </c>
      <c r="E17" s="3">
        <f t="shared" si="1"/>
        <v>2500</v>
      </c>
      <c r="F17" s="3">
        <f>2500</f>
        <v>2500</v>
      </c>
      <c r="G17" s="3">
        <f t="shared" si="0"/>
        <v>0</v>
      </c>
      <c r="H17" s="3"/>
    </row>
    <row r="18" spans="1:16" x14ac:dyDescent="0.25">
      <c r="A18" s="3">
        <v>14</v>
      </c>
      <c r="B18" s="3" t="s">
        <v>160</v>
      </c>
      <c r="C18" s="3">
        <v>2500</v>
      </c>
      <c r="D18" s="3">
        <f>NOVEMBER20!G18:G35</f>
        <v>0</v>
      </c>
      <c r="E18" s="3">
        <f t="shared" si="1"/>
        <v>2500</v>
      </c>
      <c r="F18" s="3">
        <f>2500</f>
        <v>2500</v>
      </c>
      <c r="G18" s="3">
        <f t="shared" si="0"/>
        <v>0</v>
      </c>
      <c r="H18" s="3"/>
    </row>
    <row r="19" spans="1:16" x14ac:dyDescent="0.25">
      <c r="A19" s="3">
        <v>15</v>
      </c>
      <c r="B19" s="3" t="s">
        <v>308</v>
      </c>
      <c r="C19" s="3">
        <v>2500</v>
      </c>
      <c r="D19" s="3">
        <f>NOVEMBER20!G19:G36</f>
        <v>0</v>
      </c>
      <c r="E19" s="3">
        <f t="shared" si="1"/>
        <v>2500</v>
      </c>
      <c r="F19" s="3"/>
      <c r="G19" s="3"/>
      <c r="H19" s="3"/>
      <c r="I19" t="s">
        <v>282</v>
      </c>
    </row>
    <row r="20" spans="1:16" x14ac:dyDescent="0.25">
      <c r="A20" s="3">
        <v>16</v>
      </c>
      <c r="B20" s="3" t="s">
        <v>49</v>
      </c>
      <c r="C20" s="3">
        <v>2500</v>
      </c>
      <c r="D20" s="3">
        <f>NOVEMBER20!G20:G37</f>
        <v>0</v>
      </c>
      <c r="E20" s="3">
        <f t="shared" si="1"/>
        <v>2500</v>
      </c>
      <c r="F20" s="3"/>
      <c r="G20" s="3">
        <f>E20-F20</f>
        <v>2500</v>
      </c>
      <c r="H20" s="3"/>
      <c r="J20">
        <v>794960612</v>
      </c>
    </row>
    <row r="21" spans="1:16" x14ac:dyDescent="0.25">
      <c r="A21" s="3">
        <v>17</v>
      </c>
      <c r="B21" s="3" t="s">
        <v>73</v>
      </c>
      <c r="C21" s="3">
        <v>2500</v>
      </c>
      <c r="D21" s="3">
        <f>NOVEMBER20!G21:G38</f>
        <v>0</v>
      </c>
      <c r="E21" s="3">
        <f t="shared" si="1"/>
        <v>2500</v>
      </c>
      <c r="F21">
        <v>2500</v>
      </c>
      <c r="G21" s="3">
        <f>E21-P30</f>
        <v>0</v>
      </c>
      <c r="H21" s="58"/>
    </row>
    <row r="22" spans="1:16" x14ac:dyDescent="0.25">
      <c r="A22" s="2"/>
      <c r="B22" s="4" t="s">
        <v>24</v>
      </c>
      <c r="C22" s="2">
        <f>SUM(C5:C21)</f>
        <v>42000</v>
      </c>
      <c r="D22" s="3">
        <f>SUM(D5:D21)</f>
        <v>11420</v>
      </c>
      <c r="E22" s="2">
        <f>SUM(E5:E21)</f>
        <v>53420</v>
      </c>
      <c r="F22" s="2">
        <f>SUM(F5:F21)</f>
        <v>40400</v>
      </c>
      <c r="G22" s="2">
        <f>SUM(G5:G21)</f>
        <v>10520</v>
      </c>
      <c r="H22" s="2"/>
      <c r="I22" s="1"/>
    </row>
    <row r="23" spans="1:16" x14ac:dyDescent="0.25">
      <c r="A23" s="3"/>
      <c r="B23" s="3"/>
      <c r="C23" s="3"/>
      <c r="D23" s="3">
        <f>'SEPTEMBER 20'!G23:G41</f>
        <v>0</v>
      </c>
      <c r="E23" s="3"/>
      <c r="F23" s="3"/>
      <c r="G23" s="3"/>
      <c r="H23" s="3"/>
    </row>
    <row r="24" spans="1:16" x14ac:dyDescent="0.25">
      <c r="A24" s="12"/>
      <c r="G24">
        <f>G18+G15+G12+G11+G14+G16</f>
        <v>5000</v>
      </c>
    </row>
    <row r="25" spans="1:16" ht="18.75" x14ac:dyDescent="0.3">
      <c r="A25" s="12"/>
      <c r="B25" s="51" t="s">
        <v>27</v>
      </c>
      <c r="C25" s="52"/>
      <c r="D25" s="52"/>
      <c r="E25" s="52"/>
      <c r="F25" s="52"/>
      <c r="G25" s="52"/>
      <c r="H25" s="53"/>
      <c r="I25" s="53"/>
      <c r="J25" s="1"/>
    </row>
    <row r="26" spans="1:16" ht="15.75" x14ac:dyDescent="0.25">
      <c r="A26" s="12"/>
      <c r="B26" s="54" t="s">
        <v>28</v>
      </c>
      <c r="C26" s="54" t="s">
        <v>29</v>
      </c>
      <c r="D26" s="54" t="s">
        <v>30</v>
      </c>
      <c r="E26" s="54" t="s">
        <v>62</v>
      </c>
      <c r="F26" s="54" t="s">
        <v>69</v>
      </c>
      <c r="G26" s="54" t="s">
        <v>29</v>
      </c>
      <c r="H26" s="54" t="s">
        <v>30</v>
      </c>
      <c r="I26" s="54" t="s">
        <v>62</v>
      </c>
      <c r="J26" s="65"/>
    </row>
    <row r="27" spans="1:16" x14ac:dyDescent="0.25">
      <c r="A27" s="12"/>
      <c r="B27" s="55" t="s">
        <v>183</v>
      </c>
      <c r="C27" s="50">
        <f>'DECEMBER 20'!C22</f>
        <v>42000</v>
      </c>
      <c r="D27" s="56">
        <v>0.1</v>
      </c>
      <c r="E27" s="50"/>
      <c r="F27" s="57" t="s">
        <v>183</v>
      </c>
      <c r="G27" s="50">
        <f>F22</f>
        <v>40400</v>
      </c>
      <c r="H27" s="56">
        <v>0.1</v>
      </c>
      <c r="I27" s="58"/>
      <c r="J27" s="1"/>
      <c r="P27" s="32">
        <f>E21-P30</f>
        <v>0</v>
      </c>
    </row>
    <row r="28" spans="1:16" x14ac:dyDescent="0.25">
      <c r="A28" s="12"/>
      <c r="B28" s="58" t="s">
        <v>55</v>
      </c>
      <c r="C28" s="50">
        <f>NOVEMBER20!E42</f>
        <v>-5316</v>
      </c>
      <c r="D28" s="58"/>
      <c r="E28" s="58"/>
      <c r="F28" s="58" t="s">
        <v>55</v>
      </c>
      <c r="G28" s="50">
        <f>NOVEMBER20!I42</f>
        <v>-20236</v>
      </c>
      <c r="H28" s="58"/>
      <c r="I28" s="58"/>
      <c r="J28" s="1"/>
    </row>
    <row r="29" spans="1:16" x14ac:dyDescent="0.25">
      <c r="A29" s="12"/>
      <c r="B29" s="58"/>
      <c r="C29" s="50"/>
      <c r="D29" s="58"/>
      <c r="E29" s="58"/>
      <c r="F29" s="58"/>
      <c r="G29" s="50"/>
      <c r="H29" s="58"/>
      <c r="I29" s="58"/>
      <c r="J29" s="66"/>
    </row>
    <row r="30" spans="1:16" x14ac:dyDescent="0.25">
      <c r="A30" s="12"/>
      <c r="B30" s="58" t="s">
        <v>33</v>
      </c>
      <c r="C30" s="59"/>
      <c r="D30" s="58">
        <f>C27*D27</f>
        <v>4200</v>
      </c>
      <c r="E30" s="58"/>
      <c r="F30" s="58" t="s">
        <v>33</v>
      </c>
      <c r="G30" s="59"/>
      <c r="H30" s="58">
        <f>H27*C27</f>
        <v>4200</v>
      </c>
      <c r="I30" s="58"/>
      <c r="J30" s="66"/>
      <c r="P30" s="62">
        <f>2500</f>
        <v>2500</v>
      </c>
    </row>
    <row r="31" spans="1:16" x14ac:dyDescent="0.25">
      <c r="A31" s="12"/>
      <c r="B31" s="60" t="s">
        <v>34</v>
      </c>
      <c r="C31" s="58"/>
      <c r="D31" s="58"/>
      <c r="E31" s="58"/>
      <c r="F31" s="60" t="s">
        <v>34</v>
      </c>
      <c r="G31" s="58"/>
      <c r="H31" s="58"/>
      <c r="I31" s="58"/>
      <c r="J31" s="66"/>
    </row>
    <row r="32" spans="1:16" x14ac:dyDescent="0.25">
      <c r="A32" s="12"/>
      <c r="B32" s="3" t="s">
        <v>161</v>
      </c>
      <c r="C32" s="3"/>
      <c r="D32" s="3"/>
      <c r="E32" s="3"/>
      <c r="F32" s="3" t="s">
        <v>161</v>
      </c>
      <c r="G32" s="3"/>
      <c r="H32" s="3"/>
      <c r="I32" s="58"/>
      <c r="K32" s="43"/>
    </row>
    <row r="33" spans="1:12" x14ac:dyDescent="0.25">
      <c r="A33" s="12"/>
      <c r="B33" s="62" t="s">
        <v>261</v>
      </c>
      <c r="C33" s="58"/>
      <c r="D33" s="58">
        <v>2000</v>
      </c>
      <c r="E33" s="58"/>
      <c r="F33" s="62" t="s">
        <v>261</v>
      </c>
      <c r="G33" s="58"/>
      <c r="H33" s="58">
        <v>2000</v>
      </c>
      <c r="I33" s="58"/>
      <c r="J33" s="66"/>
    </row>
    <row r="34" spans="1:12" x14ac:dyDescent="0.25">
      <c r="A34" s="12"/>
      <c r="B34" s="62" t="s">
        <v>310</v>
      </c>
      <c r="D34" s="58">
        <v>2400</v>
      </c>
      <c r="E34" s="58"/>
      <c r="F34" s="62" t="s">
        <v>310</v>
      </c>
      <c r="H34" s="58">
        <v>2400</v>
      </c>
      <c r="I34" s="58"/>
    </row>
    <row r="35" spans="1:12" x14ac:dyDescent="0.25">
      <c r="A35" s="12"/>
      <c r="B35" s="62" t="s">
        <v>311</v>
      </c>
      <c r="C35" s="50"/>
      <c r="D35" s="50">
        <v>7000</v>
      </c>
      <c r="E35" s="50"/>
      <c r="F35" s="62" t="s">
        <v>311</v>
      </c>
      <c r="G35" s="50"/>
      <c r="H35" s="50">
        <v>7000</v>
      </c>
      <c r="I35" s="58"/>
    </row>
    <row r="36" spans="1:12" x14ac:dyDescent="0.25">
      <c r="A36" s="12"/>
      <c r="B36" s="62" t="s">
        <v>311</v>
      </c>
      <c r="C36" s="50"/>
      <c r="D36" s="50">
        <v>21200</v>
      </c>
      <c r="E36" s="50"/>
      <c r="F36" s="62" t="s">
        <v>311</v>
      </c>
      <c r="G36" s="50"/>
      <c r="H36" s="50">
        <v>21200</v>
      </c>
      <c r="I36" s="58"/>
      <c r="J36" s="43"/>
    </row>
    <row r="37" spans="1:12" x14ac:dyDescent="0.25">
      <c r="A37" s="12"/>
      <c r="B37" s="62" t="s">
        <v>250</v>
      </c>
      <c r="C37" s="50"/>
      <c r="D37" s="50">
        <v>4000</v>
      </c>
      <c r="E37" s="50"/>
      <c r="F37" s="62" t="s">
        <v>250</v>
      </c>
      <c r="G37" s="50"/>
      <c r="H37" s="50">
        <v>4000</v>
      </c>
      <c r="I37" s="58"/>
      <c r="J37" s="43"/>
      <c r="K37" t="s">
        <v>345</v>
      </c>
      <c r="L37">
        <f>3500</f>
        <v>3500</v>
      </c>
    </row>
    <row r="38" spans="1:12" x14ac:dyDescent="0.25">
      <c r="A38" s="12"/>
      <c r="B38" s="62" t="s">
        <v>312</v>
      </c>
      <c r="C38" s="50"/>
      <c r="D38" s="50">
        <v>2500</v>
      </c>
      <c r="E38" s="50"/>
      <c r="F38" s="62" t="s">
        <v>312</v>
      </c>
      <c r="G38" s="50"/>
      <c r="H38" s="50">
        <v>2500</v>
      </c>
      <c r="I38" s="58"/>
    </row>
    <row r="39" spans="1:12" x14ac:dyDescent="0.25">
      <c r="A39" s="12"/>
      <c r="B39" s="62" t="s">
        <v>314</v>
      </c>
      <c r="C39" s="50"/>
      <c r="D39" s="50">
        <v>2500</v>
      </c>
      <c r="E39" s="50"/>
      <c r="F39" s="62"/>
      <c r="G39" s="50"/>
      <c r="H39" s="50"/>
      <c r="I39" s="58"/>
      <c r="K39" s="43"/>
    </row>
    <row r="40" spans="1:12" x14ac:dyDescent="0.25">
      <c r="A40" s="12"/>
      <c r="B40" s="62" t="s">
        <v>315</v>
      </c>
      <c r="C40" s="50"/>
      <c r="D40" s="50">
        <v>1000</v>
      </c>
      <c r="E40" s="50"/>
      <c r="F40" s="62" t="s">
        <v>315</v>
      </c>
      <c r="G40" s="50"/>
      <c r="H40" s="50">
        <v>1000</v>
      </c>
      <c r="I40" s="58"/>
    </row>
    <row r="41" spans="1:12" x14ac:dyDescent="0.25">
      <c r="A41" s="12"/>
      <c r="B41" s="62" t="s">
        <v>316</v>
      </c>
      <c r="C41" s="50"/>
      <c r="D41" s="50">
        <v>500</v>
      </c>
      <c r="E41" s="50"/>
      <c r="F41" s="62" t="s">
        <v>316</v>
      </c>
      <c r="G41" s="50"/>
      <c r="H41" s="50">
        <v>500</v>
      </c>
      <c r="I41" s="58"/>
    </row>
    <row r="42" spans="1:12" x14ac:dyDescent="0.25">
      <c r="A42" s="12"/>
      <c r="B42" s="55" t="s">
        <v>24</v>
      </c>
      <c r="C42" s="63">
        <f>C27+C28+C29-D30</f>
        <v>32484</v>
      </c>
      <c r="D42" s="55">
        <f>SUM(D32:D41)</f>
        <v>43100</v>
      </c>
      <c r="E42" s="63">
        <f>C42-D42</f>
        <v>-10616</v>
      </c>
      <c r="F42" s="57"/>
      <c r="G42" s="63">
        <f>G27+G28-H30</f>
        <v>15964</v>
      </c>
      <c r="H42" s="63">
        <f>SUM(H32:H41)</f>
        <v>40600</v>
      </c>
      <c r="I42" s="63">
        <f>G42-H42</f>
        <v>-24636</v>
      </c>
    </row>
    <row r="44" spans="1:12" x14ac:dyDescent="0.25">
      <c r="E44" s="43"/>
      <c r="I44" s="43"/>
    </row>
    <row r="45" spans="1:12" x14ac:dyDescent="0.25">
      <c r="B45" s="12" t="s">
        <v>38</v>
      </c>
      <c r="D45" s="12" t="s">
        <v>36</v>
      </c>
      <c r="F45" s="12"/>
      <c r="G45" s="12" t="s">
        <v>37</v>
      </c>
    </row>
    <row r="46" spans="1:12" x14ac:dyDescent="0.25">
      <c r="D46" s="12"/>
      <c r="F46" s="68">
        <f>D37+D38+D39</f>
        <v>9000</v>
      </c>
      <c r="G46" s="12"/>
      <c r="H46" s="43">
        <f>G22+I42</f>
        <v>-14116</v>
      </c>
      <c r="I46" s="43"/>
      <c r="J46" s="43"/>
    </row>
    <row r="47" spans="1:12" x14ac:dyDescent="0.25">
      <c r="B47" t="s">
        <v>163</v>
      </c>
      <c r="D47" t="s">
        <v>66</v>
      </c>
      <c r="G47" t="s">
        <v>10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13" workbookViewId="0">
      <selection activeCell="I44" sqref="I44"/>
    </sheetView>
  </sheetViews>
  <sheetFormatPr defaultRowHeight="15" x14ac:dyDescent="0.25"/>
  <cols>
    <col min="1" max="1" width="4.5703125" customWidth="1"/>
    <col min="2" max="2" width="18.7109375" customWidth="1"/>
    <col min="10" max="10" width="14.85546875" customWidth="1"/>
  </cols>
  <sheetData>
    <row r="1" spans="1:9" ht="18.75" x14ac:dyDescent="0.25">
      <c r="C1" s="38" t="s">
        <v>59</v>
      </c>
      <c r="D1" s="39"/>
      <c r="E1" s="36"/>
      <c r="F1" s="34"/>
    </row>
    <row r="2" spans="1:9" ht="18.75" x14ac:dyDescent="0.25">
      <c r="C2" s="38" t="s">
        <v>60</v>
      </c>
      <c r="D2" s="38"/>
      <c r="E2" s="11"/>
      <c r="F2" s="11"/>
    </row>
    <row r="3" spans="1:9" ht="18.75" x14ac:dyDescent="0.25">
      <c r="C3" s="38" t="s">
        <v>313</v>
      </c>
      <c r="D3" s="38"/>
      <c r="E3" s="11"/>
      <c r="F3" s="11"/>
    </row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/>
      <c r="I4" s="1"/>
    </row>
    <row r="5" spans="1:9" x14ac:dyDescent="0.25">
      <c r="A5" s="3">
        <v>1</v>
      </c>
      <c r="B5" s="3" t="s">
        <v>91</v>
      </c>
      <c r="C5" s="3">
        <v>4000</v>
      </c>
      <c r="D5" s="3">
        <f>'DECEMBER 20'!G5:G21</f>
        <v>0</v>
      </c>
      <c r="E5" s="3">
        <f t="shared" ref="E5:E14" si="0">C5+D5</f>
        <v>4000</v>
      </c>
      <c r="F5" s="3">
        <f>4000</f>
        <v>4000</v>
      </c>
      <c r="G5" s="3">
        <f>E5-F5</f>
        <v>0</v>
      </c>
      <c r="H5" s="3"/>
    </row>
    <row r="6" spans="1:9" x14ac:dyDescent="0.25">
      <c r="A6" s="3">
        <v>2</v>
      </c>
      <c r="B6" t="s">
        <v>126</v>
      </c>
      <c r="C6" s="3">
        <v>2500</v>
      </c>
      <c r="D6" s="3">
        <f>'DECEMBER 20'!G6:G22</f>
        <v>2400</v>
      </c>
      <c r="E6" s="3">
        <f t="shared" si="0"/>
        <v>4900</v>
      </c>
      <c r="F6" s="3">
        <f>2530</f>
        <v>2530</v>
      </c>
      <c r="G6" s="3">
        <f t="shared" ref="G6:G18" si="1">E6-F6</f>
        <v>2370</v>
      </c>
      <c r="H6" s="3"/>
    </row>
    <row r="7" spans="1:9" x14ac:dyDescent="0.25">
      <c r="A7" s="3">
        <v>3</v>
      </c>
      <c r="B7" s="3" t="s">
        <v>56</v>
      </c>
      <c r="C7" s="3"/>
      <c r="D7" s="3">
        <f>'DECEMBER 20'!G7:G23</f>
        <v>0</v>
      </c>
      <c r="E7" s="3">
        <f t="shared" si="0"/>
        <v>0</v>
      </c>
      <c r="F7" s="3"/>
      <c r="G7" s="3">
        <f t="shared" si="1"/>
        <v>0</v>
      </c>
      <c r="H7" s="3"/>
    </row>
    <row r="8" spans="1:9" x14ac:dyDescent="0.25">
      <c r="A8" s="3">
        <v>4</v>
      </c>
      <c r="B8" s="3" t="s">
        <v>74</v>
      </c>
      <c r="C8" s="3">
        <v>2500</v>
      </c>
      <c r="D8" s="3">
        <f>'DECEMBER 20'!G8:G24</f>
        <v>0</v>
      </c>
      <c r="E8" s="3">
        <f t="shared" si="0"/>
        <v>2500</v>
      </c>
      <c r="F8" s="3">
        <v>2000</v>
      </c>
      <c r="G8" s="3">
        <f t="shared" si="1"/>
        <v>500</v>
      </c>
      <c r="H8" s="3"/>
    </row>
    <row r="9" spans="1:9" x14ac:dyDescent="0.25">
      <c r="A9" s="3">
        <v>5</v>
      </c>
      <c r="B9" s="3" t="s">
        <v>307</v>
      </c>
      <c r="C9" s="3">
        <v>3000</v>
      </c>
      <c r="D9" s="3">
        <f>'DECEMBER 20'!G9:G25</f>
        <v>0</v>
      </c>
      <c r="E9" s="3">
        <f t="shared" si="0"/>
        <v>3000</v>
      </c>
      <c r="F9" s="3">
        <f>2500</f>
        <v>2500</v>
      </c>
      <c r="G9" s="3">
        <f>E9-F9</f>
        <v>500</v>
      </c>
      <c r="H9" s="3"/>
    </row>
    <row r="10" spans="1:9" x14ac:dyDescent="0.25">
      <c r="A10" s="3">
        <v>6</v>
      </c>
      <c r="B10" s="64" t="s">
        <v>154</v>
      </c>
      <c r="C10" s="3">
        <v>2500</v>
      </c>
      <c r="D10" s="3">
        <f>'DECEMBER 20'!G10:G26</f>
        <v>0</v>
      </c>
      <c r="E10" s="3">
        <f t="shared" si="0"/>
        <v>2500</v>
      </c>
      <c r="F10" s="3">
        <v>2500</v>
      </c>
      <c r="G10" s="3">
        <f t="shared" si="1"/>
        <v>0</v>
      </c>
      <c r="H10" s="3"/>
    </row>
    <row r="11" spans="1:9" x14ac:dyDescent="0.25">
      <c r="A11" s="3">
        <v>7</v>
      </c>
      <c r="B11" s="3" t="s">
        <v>13</v>
      </c>
      <c r="C11" s="3">
        <v>2500</v>
      </c>
      <c r="D11" s="3">
        <f>'DECEMBER 20'!G11:G27</f>
        <v>0</v>
      </c>
      <c r="E11" s="3">
        <f t="shared" si="0"/>
        <v>2500</v>
      </c>
      <c r="F11" s="3">
        <f>2500</f>
        <v>2500</v>
      </c>
      <c r="G11" s="3">
        <f t="shared" si="1"/>
        <v>0</v>
      </c>
      <c r="H11" s="3"/>
    </row>
    <row r="12" spans="1:9" x14ac:dyDescent="0.25">
      <c r="A12" s="3">
        <v>8</v>
      </c>
      <c r="B12" s="3" t="s">
        <v>105</v>
      </c>
      <c r="C12" s="3">
        <v>2500</v>
      </c>
      <c r="D12" s="3">
        <f>'DECEMBER 20'!G12:G28</f>
        <v>2900</v>
      </c>
      <c r="E12" s="3">
        <f t="shared" si="0"/>
        <v>5400</v>
      </c>
      <c r="F12" s="3">
        <v>4000</v>
      </c>
      <c r="G12" s="3">
        <f t="shared" si="1"/>
        <v>1400</v>
      </c>
      <c r="H12" s="3"/>
    </row>
    <row r="13" spans="1:9" x14ac:dyDescent="0.25">
      <c r="A13" s="3">
        <v>9</v>
      </c>
      <c r="B13" s="3" t="s">
        <v>96</v>
      </c>
      <c r="C13" s="3">
        <v>2500</v>
      </c>
      <c r="D13" s="3">
        <f>'DECEMBER 20'!G13:G29</f>
        <v>620</v>
      </c>
      <c r="E13" s="3">
        <f t="shared" si="0"/>
        <v>3120</v>
      </c>
      <c r="F13" s="3">
        <f>2000</f>
        <v>2000</v>
      </c>
      <c r="G13" s="3">
        <f t="shared" si="1"/>
        <v>1120</v>
      </c>
      <c r="H13" s="3"/>
    </row>
    <row r="14" spans="1:9" x14ac:dyDescent="0.25">
      <c r="A14" s="3">
        <v>10</v>
      </c>
      <c r="B14" s="3" t="s">
        <v>319</v>
      </c>
      <c r="C14" s="3">
        <v>2500</v>
      </c>
      <c r="D14" s="3">
        <f>'DECEMBER 20'!G14:G30</f>
        <v>0</v>
      </c>
      <c r="E14" s="3">
        <f t="shared" si="0"/>
        <v>2500</v>
      </c>
      <c r="F14" s="3">
        <v>2500</v>
      </c>
      <c r="G14" s="3">
        <f>E14-F14</f>
        <v>0</v>
      </c>
      <c r="H14" s="3"/>
    </row>
    <row r="15" spans="1:9" x14ac:dyDescent="0.25">
      <c r="A15" s="3">
        <v>11</v>
      </c>
      <c r="B15" s="3" t="s">
        <v>57</v>
      </c>
      <c r="C15" s="3">
        <v>2500</v>
      </c>
      <c r="D15" s="3">
        <f>'DECEMBER 20'!G15:G31</f>
        <v>2100</v>
      </c>
      <c r="E15" s="3">
        <f t="shared" ref="E15:E21" si="2">C15+D15</f>
        <v>4600</v>
      </c>
      <c r="F15" s="3">
        <v>4600</v>
      </c>
      <c r="G15" s="3">
        <f t="shared" si="1"/>
        <v>0</v>
      </c>
      <c r="H15" s="3"/>
    </row>
    <row r="16" spans="1:9" x14ac:dyDescent="0.25">
      <c r="A16" s="3">
        <v>12</v>
      </c>
      <c r="B16" s="3" t="s">
        <v>165</v>
      </c>
      <c r="C16" s="3">
        <v>2500</v>
      </c>
      <c r="D16" s="3">
        <f>'DECEMBER 20'!G16:G32</f>
        <v>0</v>
      </c>
      <c r="E16" s="3">
        <f t="shared" si="2"/>
        <v>2500</v>
      </c>
      <c r="F16" s="3">
        <f>1000+500+1000</f>
        <v>2500</v>
      </c>
      <c r="G16" s="3">
        <f t="shared" si="1"/>
        <v>0</v>
      </c>
      <c r="H16" s="3"/>
    </row>
    <row r="17" spans="1:10" x14ac:dyDescent="0.25">
      <c r="A17" s="3">
        <v>13</v>
      </c>
      <c r="B17" s="3" t="s">
        <v>19</v>
      </c>
      <c r="C17" s="3">
        <v>2500</v>
      </c>
      <c r="D17" s="3">
        <f>'DECEMBER 20'!G17:G33</f>
        <v>0</v>
      </c>
      <c r="E17" s="3">
        <f t="shared" si="2"/>
        <v>2500</v>
      </c>
      <c r="F17" s="3">
        <f>1000</f>
        <v>1000</v>
      </c>
      <c r="G17" s="3">
        <f t="shared" si="1"/>
        <v>1500</v>
      </c>
      <c r="H17" s="3"/>
    </row>
    <row r="18" spans="1:10" x14ac:dyDescent="0.25">
      <c r="A18" s="3">
        <v>14</v>
      </c>
      <c r="B18" s="3" t="s">
        <v>160</v>
      </c>
      <c r="C18" s="3">
        <v>2500</v>
      </c>
      <c r="D18" s="3">
        <f>'DECEMBER 20'!G18:G34</f>
        <v>0</v>
      </c>
      <c r="E18" s="3">
        <f t="shared" si="2"/>
        <v>2500</v>
      </c>
      <c r="F18" s="3"/>
      <c r="G18" s="3">
        <f t="shared" si="1"/>
        <v>2500</v>
      </c>
      <c r="H18" s="3"/>
    </row>
    <row r="19" spans="1:10" x14ac:dyDescent="0.25">
      <c r="A19" s="3">
        <v>15</v>
      </c>
      <c r="B19" s="3"/>
      <c r="C19" s="3"/>
      <c r="D19" s="3">
        <f>'DECEMBER 20'!G19:G35</f>
        <v>0</v>
      </c>
      <c r="E19" s="3">
        <f t="shared" si="2"/>
        <v>0</v>
      </c>
      <c r="F19" s="3"/>
      <c r="G19" s="3">
        <f>E19-F19</f>
        <v>0</v>
      </c>
      <c r="H19" s="3"/>
    </row>
    <row r="20" spans="1:10" x14ac:dyDescent="0.25">
      <c r="A20" s="3">
        <v>16</v>
      </c>
      <c r="B20" s="3" t="s">
        <v>320</v>
      </c>
      <c r="C20" s="3">
        <v>2500</v>
      </c>
      <c r="D20" s="3">
        <f>'DECEMBER 20'!G20:G36</f>
        <v>2500</v>
      </c>
      <c r="E20" s="3">
        <f t="shared" si="2"/>
        <v>5000</v>
      </c>
      <c r="F20" s="3">
        <f>2000</f>
        <v>2000</v>
      </c>
      <c r="G20" s="3">
        <f>E20-F20</f>
        <v>3000</v>
      </c>
      <c r="H20" s="3"/>
    </row>
    <row r="21" spans="1:10" x14ac:dyDescent="0.25">
      <c r="A21" s="3">
        <v>17</v>
      </c>
      <c r="B21" s="3" t="s">
        <v>73</v>
      </c>
      <c r="C21" s="3">
        <v>2500</v>
      </c>
      <c r="D21" s="3">
        <f>'DECEMBER 20'!G21:G37</f>
        <v>0</v>
      </c>
      <c r="E21" s="3">
        <f t="shared" si="2"/>
        <v>2500</v>
      </c>
      <c r="F21" s="62">
        <f>2500</f>
        <v>2500</v>
      </c>
      <c r="G21" s="32">
        <f>E21-F21</f>
        <v>0</v>
      </c>
      <c r="H21" s="58"/>
    </row>
    <row r="22" spans="1:10" x14ac:dyDescent="0.25">
      <c r="A22" s="2"/>
      <c r="B22" s="4" t="s">
        <v>24</v>
      </c>
      <c r="C22" s="2">
        <f>SUM(C5:C21)</f>
        <v>39500</v>
      </c>
      <c r="D22" s="3">
        <f>SUM(D5:D21)</f>
        <v>10520</v>
      </c>
      <c r="E22" s="2">
        <f>SUM(E5:E21)</f>
        <v>50020</v>
      </c>
      <c r="F22" s="2">
        <f>SUM(F5:F21)</f>
        <v>37130</v>
      </c>
      <c r="G22" s="2">
        <f>SUM(G5:G21)</f>
        <v>12890</v>
      </c>
      <c r="H22" s="2"/>
      <c r="I22" s="1"/>
    </row>
    <row r="23" spans="1:10" x14ac:dyDescent="0.25">
      <c r="A23" s="3"/>
      <c r="B23" s="3"/>
      <c r="C23" s="3"/>
      <c r="D23" s="3">
        <f>'SEPTEMBER 20'!G23:G41</f>
        <v>0</v>
      </c>
      <c r="E23" s="3"/>
      <c r="F23" s="3"/>
      <c r="G23" s="3"/>
      <c r="H23" s="3"/>
    </row>
    <row r="24" spans="1:10" x14ac:dyDescent="0.25">
      <c r="A24" s="12"/>
    </row>
    <row r="25" spans="1:10" ht="18.75" x14ac:dyDescent="0.3">
      <c r="A25" s="12"/>
      <c r="B25" s="51" t="s">
        <v>27</v>
      </c>
      <c r="C25" s="52"/>
      <c r="D25" s="52"/>
      <c r="E25" s="52"/>
      <c r="F25" s="52"/>
      <c r="G25" s="52"/>
      <c r="H25" s="53"/>
      <c r="I25" s="53"/>
      <c r="J25" s="1"/>
    </row>
    <row r="26" spans="1:10" ht="15.75" x14ac:dyDescent="0.25">
      <c r="A26" s="12"/>
      <c r="B26" s="54" t="s">
        <v>28</v>
      </c>
      <c r="C26" s="54" t="s">
        <v>29</v>
      </c>
      <c r="D26" s="54" t="s">
        <v>30</v>
      </c>
      <c r="E26" s="54" t="s">
        <v>62</v>
      </c>
      <c r="F26" s="54" t="s">
        <v>69</v>
      </c>
      <c r="G26" s="54" t="s">
        <v>29</v>
      </c>
      <c r="H26" s="54" t="s">
        <v>30</v>
      </c>
      <c r="I26" s="54" t="s">
        <v>62</v>
      </c>
      <c r="J26" s="65"/>
    </row>
    <row r="27" spans="1:10" x14ac:dyDescent="0.25">
      <c r="A27" s="12"/>
      <c r="B27" s="55" t="s">
        <v>191</v>
      </c>
      <c r="C27" s="50">
        <f>C22</f>
        <v>39500</v>
      </c>
      <c r="D27" s="56">
        <v>0.1</v>
      </c>
      <c r="E27" s="50"/>
      <c r="F27" s="57" t="s">
        <v>191</v>
      </c>
      <c r="G27" s="50">
        <f>F22</f>
        <v>37130</v>
      </c>
      <c r="H27" s="56">
        <v>0.1</v>
      </c>
      <c r="I27" s="58"/>
      <c r="J27" s="1"/>
    </row>
    <row r="28" spans="1:10" x14ac:dyDescent="0.25">
      <c r="A28" s="12"/>
      <c r="B28" s="58" t="s">
        <v>55</v>
      </c>
      <c r="C28" s="50">
        <f>'DECEMBER 20'!E42</f>
        <v>-10616</v>
      </c>
      <c r="D28" s="58"/>
      <c r="E28" s="58"/>
      <c r="F28" s="58" t="s">
        <v>55</v>
      </c>
      <c r="G28" s="50">
        <f>'DECEMBER 20'!I42</f>
        <v>-24636</v>
      </c>
      <c r="H28" s="58"/>
      <c r="I28" s="58"/>
      <c r="J28" s="1"/>
    </row>
    <row r="29" spans="1:10" x14ac:dyDescent="0.25">
      <c r="A29" s="12"/>
      <c r="B29" s="58"/>
      <c r="C29" s="50"/>
      <c r="D29" s="58"/>
      <c r="E29" s="58"/>
      <c r="F29" s="58"/>
      <c r="G29" s="50"/>
      <c r="H29" s="58"/>
      <c r="I29" s="58"/>
      <c r="J29" s="66"/>
    </row>
    <row r="30" spans="1:10" x14ac:dyDescent="0.25">
      <c r="A30" s="12"/>
      <c r="B30" s="58" t="s">
        <v>33</v>
      </c>
      <c r="C30" s="59"/>
      <c r="D30" s="58">
        <f>C27*D27</f>
        <v>3950</v>
      </c>
      <c r="E30" s="58"/>
      <c r="F30" s="58" t="s">
        <v>33</v>
      </c>
      <c r="G30" s="59"/>
      <c r="H30" s="58">
        <f>H27*C27</f>
        <v>3950</v>
      </c>
      <c r="I30" s="58"/>
      <c r="J30" s="66"/>
    </row>
    <row r="31" spans="1:10" x14ac:dyDescent="0.25">
      <c r="A31" s="12"/>
      <c r="B31" s="60" t="s">
        <v>34</v>
      </c>
      <c r="C31" s="58"/>
      <c r="D31" s="58"/>
      <c r="E31" s="58"/>
      <c r="F31" s="60" t="s">
        <v>34</v>
      </c>
      <c r="G31" s="58"/>
      <c r="H31" s="58"/>
      <c r="I31" s="58"/>
      <c r="J31" s="66"/>
    </row>
    <row r="32" spans="1:10" x14ac:dyDescent="0.25">
      <c r="A32" s="12"/>
      <c r="B32" s="3" t="s">
        <v>161</v>
      </c>
      <c r="C32" s="3"/>
      <c r="D32" s="3">
        <v>8000</v>
      </c>
      <c r="E32" s="3"/>
      <c r="F32" s="3" t="s">
        <v>161</v>
      </c>
      <c r="G32" s="3"/>
      <c r="H32" s="3">
        <v>8000</v>
      </c>
      <c r="I32" s="58"/>
    </row>
    <row r="33" spans="1:10" x14ac:dyDescent="0.25">
      <c r="A33" s="12"/>
      <c r="B33" s="62" t="s">
        <v>317</v>
      </c>
      <c r="C33" s="58"/>
      <c r="D33" s="58">
        <v>2000</v>
      </c>
      <c r="E33" s="58"/>
      <c r="F33" s="62" t="s">
        <v>317</v>
      </c>
      <c r="G33" s="58"/>
      <c r="H33" s="58">
        <v>2000</v>
      </c>
      <c r="I33" s="58"/>
      <c r="J33" s="66"/>
    </row>
    <row r="34" spans="1:10" x14ac:dyDescent="0.25">
      <c r="A34" s="12"/>
      <c r="B34" s="62" t="s">
        <v>296</v>
      </c>
      <c r="D34" s="58">
        <v>4000</v>
      </c>
      <c r="E34" s="58"/>
      <c r="F34" s="62" t="s">
        <v>296</v>
      </c>
      <c r="H34" s="58">
        <v>4000</v>
      </c>
      <c r="I34" s="58"/>
    </row>
    <row r="35" spans="1:10" x14ac:dyDescent="0.25">
      <c r="A35" s="12"/>
      <c r="B35" s="62" t="s">
        <v>318</v>
      </c>
      <c r="C35" s="50"/>
      <c r="D35" s="50">
        <v>11114</v>
      </c>
      <c r="E35" s="50"/>
      <c r="F35" s="62" t="s">
        <v>318</v>
      </c>
      <c r="G35" s="50"/>
      <c r="H35" s="50">
        <v>11114</v>
      </c>
      <c r="I35" s="58"/>
    </row>
    <row r="36" spans="1:10" x14ac:dyDescent="0.25">
      <c r="A36" s="12"/>
      <c r="B36" s="62"/>
      <c r="C36" s="50"/>
      <c r="D36" s="50"/>
      <c r="E36" s="50"/>
      <c r="F36" s="62"/>
      <c r="G36" s="50"/>
      <c r="H36" s="50"/>
      <c r="I36" s="58"/>
      <c r="J36" s="43"/>
    </row>
    <row r="37" spans="1:10" x14ac:dyDescent="0.25">
      <c r="A37" s="12"/>
      <c r="B37" s="62"/>
      <c r="C37" s="50"/>
      <c r="D37" s="50"/>
      <c r="E37" s="50"/>
      <c r="F37" s="62"/>
      <c r="G37" s="50"/>
      <c r="H37" s="50"/>
      <c r="I37" s="58"/>
      <c r="J37" s="43">
        <f>E42-J36</f>
        <v>-180</v>
      </c>
    </row>
    <row r="38" spans="1:10" x14ac:dyDescent="0.25">
      <c r="A38" s="12"/>
      <c r="B38" s="62"/>
      <c r="C38" s="50"/>
      <c r="D38" s="50"/>
      <c r="E38" s="50"/>
      <c r="F38" s="62"/>
      <c r="G38" s="50"/>
      <c r="H38" s="50"/>
      <c r="I38" s="58"/>
    </row>
    <row r="39" spans="1:10" x14ac:dyDescent="0.25">
      <c r="A39" s="12"/>
      <c r="B39" s="62"/>
      <c r="C39" s="50"/>
      <c r="D39" s="50"/>
      <c r="E39" s="50"/>
      <c r="F39" s="62"/>
      <c r="G39" s="50"/>
      <c r="H39" s="50"/>
      <c r="I39" s="58"/>
    </row>
    <row r="40" spans="1:10" x14ac:dyDescent="0.25">
      <c r="A40" s="12"/>
      <c r="B40" s="62"/>
      <c r="C40" s="50"/>
      <c r="D40" s="50"/>
      <c r="E40" s="50"/>
      <c r="F40" s="62"/>
      <c r="G40" s="50"/>
      <c r="H40" s="50"/>
      <c r="I40" s="58"/>
    </row>
    <row r="41" spans="1:10" x14ac:dyDescent="0.25">
      <c r="A41" s="12"/>
      <c r="B41" s="62"/>
      <c r="C41" s="50"/>
      <c r="D41" s="50"/>
      <c r="E41" s="50"/>
      <c r="F41" s="62"/>
      <c r="G41" s="50"/>
      <c r="H41" s="50"/>
      <c r="I41" s="58"/>
    </row>
    <row r="42" spans="1:10" x14ac:dyDescent="0.25">
      <c r="A42" s="12"/>
      <c r="B42" s="55" t="s">
        <v>24</v>
      </c>
      <c r="C42" s="63">
        <f>C27+C28+C29-D30</f>
        <v>24934</v>
      </c>
      <c r="D42" s="55">
        <f>SUM(D32:D41)</f>
        <v>25114</v>
      </c>
      <c r="E42" s="63">
        <f>C42-D42</f>
        <v>-180</v>
      </c>
      <c r="F42" s="57"/>
      <c r="G42" s="63">
        <f>G27+G28-H30</f>
        <v>8544</v>
      </c>
      <c r="H42" s="63">
        <f>SUM(H32:H41)</f>
        <v>25114</v>
      </c>
      <c r="I42" s="63">
        <f>G42-H42</f>
        <v>-16570</v>
      </c>
    </row>
    <row r="44" spans="1:10" x14ac:dyDescent="0.25">
      <c r="I44" s="43">
        <f>G22+I42</f>
        <v>-3680</v>
      </c>
    </row>
    <row r="45" spans="1:10" x14ac:dyDescent="0.25">
      <c r="B45" s="12" t="s">
        <v>38</v>
      </c>
      <c r="D45" s="12" t="s">
        <v>36</v>
      </c>
      <c r="F45" s="12"/>
      <c r="G45" s="12" t="s">
        <v>37</v>
      </c>
    </row>
    <row r="46" spans="1:10" x14ac:dyDescent="0.25">
      <c r="D46" s="12"/>
      <c r="F46" s="68">
        <f>D37+D38+D39</f>
        <v>0</v>
      </c>
      <c r="G46" s="12"/>
    </row>
    <row r="47" spans="1:10" x14ac:dyDescent="0.25">
      <c r="B47" t="s">
        <v>163</v>
      </c>
      <c r="D47" t="s">
        <v>66</v>
      </c>
      <c r="G47" t="s">
        <v>10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opLeftCell="A13" workbookViewId="0">
      <selection activeCell="I47" sqref="I47"/>
    </sheetView>
  </sheetViews>
  <sheetFormatPr defaultRowHeight="15" x14ac:dyDescent="0.25"/>
  <cols>
    <col min="2" max="2" width="18.28515625" customWidth="1"/>
  </cols>
  <sheetData>
    <row r="1" spans="1:9" ht="18.75" x14ac:dyDescent="0.25">
      <c r="C1" s="38" t="s">
        <v>59</v>
      </c>
      <c r="D1" s="39"/>
      <c r="E1" s="36"/>
      <c r="F1" s="34"/>
    </row>
    <row r="2" spans="1:9" ht="18.75" x14ac:dyDescent="0.25">
      <c r="C2" s="38" t="s">
        <v>60</v>
      </c>
      <c r="D2" s="38"/>
      <c r="E2" s="11"/>
      <c r="F2" s="11"/>
    </row>
    <row r="3" spans="1:9" ht="18.75" x14ac:dyDescent="0.25">
      <c r="C3" s="38" t="s">
        <v>321</v>
      </c>
      <c r="D3" s="38"/>
      <c r="E3" s="11"/>
      <c r="F3" s="11"/>
    </row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/>
      <c r="I4" s="1"/>
    </row>
    <row r="5" spans="1:9" x14ac:dyDescent="0.25">
      <c r="A5" s="3">
        <v>1</v>
      </c>
      <c r="B5" s="3" t="s">
        <v>91</v>
      </c>
      <c r="C5" s="3">
        <v>4000</v>
      </c>
      <c r="D5" s="3">
        <f>'JANUARY 21'!G5:G22</f>
        <v>0</v>
      </c>
      <c r="E5" s="3">
        <f t="shared" ref="E5:E21" si="0">C5+D5</f>
        <v>4000</v>
      </c>
      <c r="F5" s="3">
        <f>4000</f>
        <v>4000</v>
      </c>
      <c r="G5" s="3">
        <f>E5-F5</f>
        <v>0</v>
      </c>
      <c r="H5" s="3"/>
    </row>
    <row r="6" spans="1:9" x14ac:dyDescent="0.25">
      <c r="A6" s="3">
        <v>2</v>
      </c>
      <c r="B6" t="s">
        <v>126</v>
      </c>
      <c r="C6" s="3">
        <v>2500</v>
      </c>
      <c r="D6" s="3">
        <f>'JANUARY 21'!G6:G23</f>
        <v>2370</v>
      </c>
      <c r="E6" s="3">
        <f t="shared" si="0"/>
        <v>4870</v>
      </c>
      <c r="F6" s="3"/>
      <c r="G6" s="3">
        <f t="shared" ref="G6:G18" si="1">E6-F6</f>
        <v>4870</v>
      </c>
      <c r="H6" s="3"/>
    </row>
    <row r="7" spans="1:9" x14ac:dyDescent="0.25">
      <c r="A7" s="3">
        <v>3</v>
      </c>
      <c r="B7" s="3" t="s">
        <v>56</v>
      </c>
      <c r="C7" s="3"/>
      <c r="D7" s="3">
        <f>'JANUARY 21'!G7:G24</f>
        <v>0</v>
      </c>
      <c r="E7" s="3">
        <f t="shared" si="0"/>
        <v>0</v>
      </c>
      <c r="F7" s="3"/>
      <c r="G7" s="3">
        <f t="shared" si="1"/>
        <v>0</v>
      </c>
      <c r="H7" s="3"/>
    </row>
    <row r="8" spans="1:9" x14ac:dyDescent="0.25">
      <c r="A8" s="3">
        <v>4</v>
      </c>
      <c r="B8" s="3" t="s">
        <v>74</v>
      </c>
      <c r="C8" s="3">
        <v>2500</v>
      </c>
      <c r="D8" s="3">
        <f>'JANUARY 21'!G8:G25</f>
        <v>500</v>
      </c>
      <c r="E8" s="3">
        <f t="shared" si="0"/>
        <v>3000</v>
      </c>
      <c r="F8" s="3">
        <f>500+2500</f>
        <v>3000</v>
      </c>
      <c r="G8" s="3">
        <f t="shared" si="1"/>
        <v>0</v>
      </c>
      <c r="H8" s="3"/>
      <c r="I8" t="s">
        <v>51</v>
      </c>
    </row>
    <row r="9" spans="1:9" x14ac:dyDescent="0.25">
      <c r="A9" s="3">
        <v>5</v>
      </c>
      <c r="B9" s="3" t="s">
        <v>307</v>
      </c>
      <c r="C9" s="3">
        <v>3000</v>
      </c>
      <c r="D9" s="3">
        <f>'JANUARY 21'!G9:G26</f>
        <v>500</v>
      </c>
      <c r="E9" s="3">
        <f t="shared" si="0"/>
        <v>3500</v>
      </c>
      <c r="F9" s="3">
        <f>500+3000</f>
        <v>3500</v>
      </c>
      <c r="G9" s="3">
        <f>E9-F9</f>
        <v>0</v>
      </c>
      <c r="H9" s="3"/>
    </row>
    <row r="10" spans="1:9" x14ac:dyDescent="0.25">
      <c r="A10" s="3">
        <v>6</v>
      </c>
      <c r="B10" s="64" t="s">
        <v>56</v>
      </c>
      <c r="C10" s="3"/>
      <c r="D10" s="3">
        <f>'JANUARY 21'!G10:G27</f>
        <v>0</v>
      </c>
      <c r="E10" s="3">
        <f t="shared" si="0"/>
        <v>0</v>
      </c>
      <c r="F10" s="3"/>
      <c r="G10" s="3">
        <f t="shared" si="1"/>
        <v>0</v>
      </c>
      <c r="H10" s="3"/>
    </row>
    <row r="11" spans="1:9" x14ac:dyDescent="0.25">
      <c r="A11" s="3">
        <v>7</v>
      </c>
      <c r="B11" s="3" t="s">
        <v>13</v>
      </c>
      <c r="C11" s="3">
        <v>2500</v>
      </c>
      <c r="D11" s="3">
        <f>'JANUARY 21'!G11:G28</f>
        <v>0</v>
      </c>
      <c r="E11" s="3">
        <f t="shared" si="0"/>
        <v>2500</v>
      </c>
      <c r="F11" s="3">
        <v>2500</v>
      </c>
      <c r="G11" s="3">
        <f t="shared" si="1"/>
        <v>0</v>
      </c>
      <c r="H11" s="3"/>
      <c r="I11" t="s">
        <v>51</v>
      </c>
    </row>
    <row r="12" spans="1:9" x14ac:dyDescent="0.25">
      <c r="A12" s="3">
        <v>8</v>
      </c>
      <c r="B12" s="3" t="s">
        <v>105</v>
      </c>
      <c r="C12" s="3">
        <v>2500</v>
      </c>
      <c r="D12" s="3">
        <f>'JANUARY 21'!G12:G29</f>
        <v>1400</v>
      </c>
      <c r="E12" s="3">
        <f t="shared" si="0"/>
        <v>3900</v>
      </c>
      <c r="F12" s="3">
        <f>2000</f>
        <v>2000</v>
      </c>
      <c r="G12" s="3">
        <f>E12-F12</f>
        <v>1900</v>
      </c>
      <c r="H12" s="3"/>
    </row>
    <row r="13" spans="1:9" x14ac:dyDescent="0.25">
      <c r="A13" s="3">
        <v>9</v>
      </c>
      <c r="B13" s="3" t="s">
        <v>96</v>
      </c>
      <c r="C13" s="3">
        <v>2500</v>
      </c>
      <c r="D13" s="3">
        <f>'JANUARY 21'!G13:G30</f>
        <v>1120</v>
      </c>
      <c r="E13" s="3">
        <f t="shared" si="0"/>
        <v>3620</v>
      </c>
      <c r="F13" s="3">
        <f>2500</f>
        <v>2500</v>
      </c>
      <c r="G13" s="3">
        <f t="shared" si="1"/>
        <v>1120</v>
      </c>
      <c r="H13" s="3"/>
    </row>
    <row r="14" spans="1:9" x14ac:dyDescent="0.25">
      <c r="A14" s="3">
        <v>10</v>
      </c>
      <c r="B14" s="3" t="s">
        <v>319</v>
      </c>
      <c r="C14" s="3">
        <v>2500</v>
      </c>
      <c r="D14" s="3">
        <f>'JANUARY 21'!G14:G31</f>
        <v>0</v>
      </c>
      <c r="E14" s="3">
        <f t="shared" si="0"/>
        <v>2500</v>
      </c>
      <c r="F14" s="3">
        <f>2000+500</f>
        <v>2500</v>
      </c>
      <c r="G14" s="3">
        <f>E14-F14</f>
        <v>0</v>
      </c>
      <c r="H14" s="3"/>
    </row>
    <row r="15" spans="1:9" x14ac:dyDescent="0.25">
      <c r="A15" s="3">
        <v>11</v>
      </c>
      <c r="B15" s="3" t="s">
        <v>319</v>
      </c>
      <c r="C15" s="3"/>
      <c r="D15" s="3">
        <f>'JANUARY 21'!G15:G32</f>
        <v>0</v>
      </c>
      <c r="E15" s="3">
        <f t="shared" si="0"/>
        <v>0</v>
      </c>
      <c r="F15" s="3"/>
      <c r="G15" s="3">
        <f t="shared" si="1"/>
        <v>0</v>
      </c>
      <c r="H15" s="3"/>
    </row>
    <row r="16" spans="1:9" x14ac:dyDescent="0.25">
      <c r="A16" s="3">
        <v>12</v>
      </c>
      <c r="B16" s="3" t="s">
        <v>165</v>
      </c>
      <c r="C16" s="3">
        <v>2500</v>
      </c>
      <c r="D16" s="3">
        <f>'JANUARY 21'!G16:G33</f>
        <v>0</v>
      </c>
      <c r="E16" s="3">
        <f t="shared" si="0"/>
        <v>2500</v>
      </c>
      <c r="F16" s="3">
        <f>1500+500+500</f>
        <v>2500</v>
      </c>
      <c r="G16" s="3">
        <f t="shared" si="1"/>
        <v>0</v>
      </c>
      <c r="H16" s="3"/>
    </row>
    <row r="17" spans="1:10" x14ac:dyDescent="0.25">
      <c r="A17" s="3">
        <v>13</v>
      </c>
      <c r="B17" s="3" t="s">
        <v>19</v>
      </c>
      <c r="C17" s="3">
        <v>2500</v>
      </c>
      <c r="D17" s="3">
        <f>'JANUARY 21'!G17:G34</f>
        <v>1500</v>
      </c>
      <c r="E17" s="3">
        <f t="shared" si="0"/>
        <v>4000</v>
      </c>
      <c r="F17" s="3">
        <f>1500+2000+500</f>
        <v>4000</v>
      </c>
      <c r="G17" s="3">
        <f t="shared" si="1"/>
        <v>0</v>
      </c>
      <c r="H17" s="3"/>
      <c r="I17" t="s">
        <v>329</v>
      </c>
    </row>
    <row r="18" spans="1:10" x14ac:dyDescent="0.25">
      <c r="A18" s="3">
        <v>14</v>
      </c>
      <c r="B18" s="3" t="s">
        <v>160</v>
      </c>
      <c r="C18" s="3">
        <v>2500</v>
      </c>
      <c r="D18" s="3">
        <f>'JANUARY 21'!G18:G35</f>
        <v>2500</v>
      </c>
      <c r="E18" s="3">
        <f t="shared" si="0"/>
        <v>5000</v>
      </c>
      <c r="F18" s="3">
        <f>2500+2500</f>
        <v>5000</v>
      </c>
      <c r="G18" s="3">
        <f t="shared" si="1"/>
        <v>0</v>
      </c>
      <c r="H18" s="3"/>
    </row>
    <row r="19" spans="1:10" x14ac:dyDescent="0.25">
      <c r="A19" s="3">
        <v>15</v>
      </c>
      <c r="B19" s="3" t="s">
        <v>49</v>
      </c>
      <c r="C19" s="3">
        <v>2500</v>
      </c>
      <c r="D19" s="3">
        <f>'JANUARY 21'!G19:G36</f>
        <v>0</v>
      </c>
      <c r="E19" s="3">
        <f t="shared" si="0"/>
        <v>2500</v>
      </c>
      <c r="F19" s="3">
        <v>2500</v>
      </c>
      <c r="G19" s="3">
        <f>E19-F19</f>
        <v>0</v>
      </c>
      <c r="H19" s="3"/>
      <c r="I19" t="s">
        <v>51</v>
      </c>
    </row>
    <row r="20" spans="1:10" x14ac:dyDescent="0.25">
      <c r="A20" s="3">
        <v>16</v>
      </c>
      <c r="B20" s="3" t="s">
        <v>320</v>
      </c>
      <c r="C20" s="3">
        <v>2500</v>
      </c>
      <c r="D20" s="3">
        <f>'JANUARY 21'!G20:G37</f>
        <v>3000</v>
      </c>
      <c r="E20" s="3">
        <f t="shared" si="0"/>
        <v>5500</v>
      </c>
      <c r="F20" s="3">
        <f>2000+2500</f>
        <v>4500</v>
      </c>
      <c r="G20" s="3">
        <f>E20-F20</f>
        <v>1000</v>
      </c>
      <c r="H20" s="3"/>
    </row>
    <row r="21" spans="1:10" x14ac:dyDescent="0.25">
      <c r="A21" s="3">
        <v>17</v>
      </c>
      <c r="B21" s="3" t="s">
        <v>73</v>
      </c>
      <c r="C21" s="3">
        <v>2500</v>
      </c>
      <c r="D21" s="3">
        <f>'JANUARY 21'!G21:G38</f>
        <v>0</v>
      </c>
      <c r="E21" s="3">
        <f t="shared" si="0"/>
        <v>2500</v>
      </c>
      <c r="F21" s="3">
        <f>2500</f>
        <v>2500</v>
      </c>
      <c r="G21" s="32">
        <f>E21-F21</f>
        <v>0</v>
      </c>
      <c r="H21" s="58"/>
    </row>
    <row r="22" spans="1:10" x14ac:dyDescent="0.25">
      <c r="A22" s="2"/>
      <c r="B22" s="4" t="s">
        <v>24</v>
      </c>
      <c r="C22" s="2">
        <f>SUM(C5:C21)</f>
        <v>37000</v>
      </c>
      <c r="D22" s="3">
        <f>'JANUARY 21'!G22:G39</f>
        <v>12890</v>
      </c>
      <c r="E22" s="2">
        <f>SUM(E5:E21)</f>
        <v>49890</v>
      </c>
      <c r="F22" s="2">
        <f>SUM(F5:F21)</f>
        <v>41000</v>
      </c>
      <c r="G22" s="2">
        <f>SUM(G5:G21)</f>
        <v>8890</v>
      </c>
      <c r="H22" s="2"/>
      <c r="I22" s="1"/>
    </row>
    <row r="23" spans="1:10" x14ac:dyDescent="0.25">
      <c r="A23" s="3"/>
      <c r="B23" s="3"/>
      <c r="C23" s="3"/>
      <c r="D23" s="3">
        <f>'SEPTEMBER 20'!G23:G41</f>
        <v>0</v>
      </c>
      <c r="E23" s="3"/>
      <c r="F23" s="3"/>
      <c r="G23" s="3"/>
      <c r="H23" s="3"/>
    </row>
    <row r="24" spans="1:10" x14ac:dyDescent="0.25">
      <c r="A24" s="12"/>
      <c r="G24">
        <f>G18+G15+G12+G11+G14+G16</f>
        <v>1900</v>
      </c>
    </row>
    <row r="25" spans="1:10" ht="18.75" x14ac:dyDescent="0.3">
      <c r="A25" s="12"/>
      <c r="B25" s="51" t="s">
        <v>27</v>
      </c>
      <c r="C25" s="52"/>
      <c r="D25" s="52"/>
      <c r="E25" s="52"/>
      <c r="F25" s="52"/>
      <c r="G25" s="52"/>
      <c r="H25" s="53"/>
      <c r="I25" s="53"/>
      <c r="J25" s="1"/>
    </row>
    <row r="26" spans="1:10" ht="15.75" x14ac:dyDescent="0.25">
      <c r="A26" s="12"/>
      <c r="B26" s="54" t="s">
        <v>28</v>
      </c>
      <c r="C26" s="54" t="s">
        <v>29</v>
      </c>
      <c r="D26" s="54" t="s">
        <v>30</v>
      </c>
      <c r="E26" s="54" t="s">
        <v>62</v>
      </c>
      <c r="F26" s="54" t="s">
        <v>69</v>
      </c>
      <c r="G26" s="54" t="s">
        <v>29</v>
      </c>
      <c r="H26" s="54" t="s">
        <v>30</v>
      </c>
      <c r="I26" s="54" t="s">
        <v>62</v>
      </c>
      <c r="J26" s="65"/>
    </row>
    <row r="27" spans="1:10" x14ac:dyDescent="0.25">
      <c r="A27" s="12"/>
      <c r="B27" s="55" t="s">
        <v>198</v>
      </c>
      <c r="C27" s="50">
        <f>C22</f>
        <v>37000</v>
      </c>
      <c r="D27" s="56">
        <v>0.1</v>
      </c>
      <c r="E27" s="50"/>
      <c r="F27" s="57" t="s">
        <v>198</v>
      </c>
      <c r="G27" s="50">
        <f>F22</f>
        <v>41000</v>
      </c>
      <c r="H27" s="56">
        <v>0.1</v>
      </c>
      <c r="I27" s="58"/>
      <c r="J27" s="1"/>
    </row>
    <row r="28" spans="1:10" x14ac:dyDescent="0.25">
      <c r="A28" s="12"/>
      <c r="B28" s="58" t="s">
        <v>55</v>
      </c>
      <c r="C28" s="50">
        <f>'JANUARY 21'!E42</f>
        <v>-180</v>
      </c>
      <c r="D28" s="58"/>
      <c r="E28" s="58"/>
      <c r="F28" s="58" t="s">
        <v>55</v>
      </c>
      <c r="G28" s="50">
        <f>'JANUARY 21'!I42</f>
        <v>-16570</v>
      </c>
      <c r="H28" s="58"/>
      <c r="I28" s="58"/>
      <c r="J28" s="1"/>
    </row>
    <row r="29" spans="1:10" x14ac:dyDescent="0.25">
      <c r="A29" s="12"/>
      <c r="B29" s="58"/>
      <c r="C29" s="50"/>
      <c r="D29" s="58"/>
      <c r="E29" s="58"/>
      <c r="F29" s="58"/>
      <c r="G29" s="50"/>
      <c r="H29" s="58"/>
      <c r="I29" s="58"/>
      <c r="J29" s="66"/>
    </row>
    <row r="30" spans="1:10" x14ac:dyDescent="0.25">
      <c r="A30" s="12"/>
      <c r="B30" s="58" t="s">
        <v>33</v>
      </c>
      <c r="C30" s="59"/>
      <c r="D30" s="58">
        <f>C27*D27</f>
        <v>3700</v>
      </c>
      <c r="E30" s="58"/>
      <c r="F30" s="58" t="s">
        <v>33</v>
      </c>
      <c r="G30" s="59"/>
      <c r="H30" s="58">
        <f>H27*C27</f>
        <v>3700</v>
      </c>
      <c r="I30" s="58"/>
      <c r="J30" s="66"/>
    </row>
    <row r="31" spans="1:10" x14ac:dyDescent="0.25">
      <c r="A31" s="12"/>
      <c r="B31" s="60" t="s">
        <v>34</v>
      </c>
      <c r="C31" s="58"/>
      <c r="D31" s="58"/>
      <c r="E31" s="58"/>
      <c r="F31" s="60" t="s">
        <v>34</v>
      </c>
      <c r="G31" s="58"/>
      <c r="H31" s="58"/>
      <c r="I31" s="58"/>
      <c r="J31" s="66"/>
    </row>
    <row r="32" spans="1:10" x14ac:dyDescent="0.25">
      <c r="A32" s="12"/>
      <c r="B32" s="3" t="s">
        <v>161</v>
      </c>
      <c r="C32" s="3"/>
      <c r="D32" s="3">
        <v>8000</v>
      </c>
      <c r="E32" s="3"/>
      <c r="F32" s="3" t="s">
        <v>161</v>
      </c>
      <c r="G32" s="3"/>
      <c r="H32" s="3">
        <v>8000</v>
      </c>
      <c r="I32" s="58"/>
    </row>
    <row r="33" spans="1:11" x14ac:dyDescent="0.25">
      <c r="A33" s="12"/>
      <c r="B33" s="62" t="s">
        <v>322</v>
      </c>
      <c r="C33" s="58"/>
      <c r="D33" s="3">
        <f>500+500+1500+2000</f>
        <v>4500</v>
      </c>
      <c r="E33" s="58"/>
      <c r="F33" s="62" t="s">
        <v>322</v>
      </c>
      <c r="G33" s="58"/>
      <c r="H33" s="3">
        <f>500+500+1500+2000</f>
        <v>4500</v>
      </c>
      <c r="I33" s="58"/>
      <c r="J33" s="66"/>
      <c r="K33" s="43"/>
    </row>
    <row r="34" spans="1:11" x14ac:dyDescent="0.25">
      <c r="A34" s="12"/>
      <c r="B34" s="62" t="s">
        <v>323</v>
      </c>
      <c r="D34" s="3">
        <v>9000</v>
      </c>
      <c r="E34" s="58"/>
      <c r="F34" s="62" t="s">
        <v>323</v>
      </c>
      <c r="H34" s="3">
        <v>9000</v>
      </c>
      <c r="I34" s="58"/>
    </row>
    <row r="35" spans="1:11" x14ac:dyDescent="0.25">
      <c r="A35" s="12"/>
      <c r="B35" s="62" t="s">
        <v>324</v>
      </c>
      <c r="C35" s="50"/>
      <c r="D35" s="3">
        <v>2500</v>
      </c>
      <c r="E35" s="50"/>
      <c r="F35" s="62" t="s">
        <v>324</v>
      </c>
      <c r="G35" s="50"/>
      <c r="H35" s="3">
        <v>2500</v>
      </c>
      <c r="I35" s="58"/>
    </row>
    <row r="36" spans="1:11" x14ac:dyDescent="0.25">
      <c r="A36" s="12"/>
      <c r="B36" s="62" t="s">
        <v>323</v>
      </c>
      <c r="C36" s="50"/>
      <c r="D36" s="50">
        <v>9300</v>
      </c>
      <c r="E36" s="50"/>
      <c r="F36" s="62" t="s">
        <v>323</v>
      </c>
      <c r="G36" s="50"/>
      <c r="H36" s="50">
        <v>9300</v>
      </c>
      <c r="I36" s="58"/>
      <c r="J36" s="43"/>
    </row>
    <row r="37" spans="1:11" x14ac:dyDescent="0.25">
      <c r="A37" s="12"/>
      <c r="B37" s="62" t="s">
        <v>331</v>
      </c>
      <c r="C37" s="50"/>
      <c r="D37" s="50">
        <f>C8+500</f>
        <v>3000</v>
      </c>
      <c r="E37" s="50"/>
      <c r="F37" s="62" t="s">
        <v>74</v>
      </c>
      <c r="G37" s="50"/>
      <c r="H37" s="50">
        <f>D37</f>
        <v>3000</v>
      </c>
      <c r="I37" s="58"/>
      <c r="J37" s="43"/>
    </row>
    <row r="38" spans="1:11" x14ac:dyDescent="0.25">
      <c r="A38" s="12"/>
      <c r="B38" s="62" t="s">
        <v>326</v>
      </c>
      <c r="C38" s="50"/>
      <c r="D38" s="50">
        <f>C11</f>
        <v>2500</v>
      </c>
      <c r="E38" s="50"/>
      <c r="F38" s="62" t="s">
        <v>326</v>
      </c>
      <c r="G38" s="50"/>
      <c r="H38" s="50">
        <f>D38</f>
        <v>2500</v>
      </c>
      <c r="I38" s="58"/>
    </row>
    <row r="39" spans="1:11" x14ac:dyDescent="0.25">
      <c r="A39" s="12"/>
      <c r="B39" s="62" t="s">
        <v>327</v>
      </c>
      <c r="C39" s="50"/>
      <c r="D39" s="50">
        <f>C19</f>
        <v>2500</v>
      </c>
      <c r="E39" s="50"/>
      <c r="F39" s="62" t="s">
        <v>327</v>
      </c>
      <c r="G39" s="50"/>
      <c r="H39" s="50">
        <f>D39</f>
        <v>2500</v>
      </c>
      <c r="I39" s="58"/>
    </row>
    <row r="40" spans="1:11" x14ac:dyDescent="0.25">
      <c r="A40" s="12"/>
      <c r="B40" s="62" t="s">
        <v>328</v>
      </c>
      <c r="C40" s="50"/>
      <c r="D40" s="50">
        <f>2000</f>
        <v>2000</v>
      </c>
      <c r="E40" s="50"/>
      <c r="F40" s="62" t="s">
        <v>328</v>
      </c>
      <c r="G40" s="50"/>
      <c r="H40" s="50">
        <f>2000</f>
        <v>2000</v>
      </c>
      <c r="I40" s="58"/>
    </row>
    <row r="41" spans="1:11" x14ac:dyDescent="0.25">
      <c r="A41" s="12"/>
      <c r="B41" s="62" t="s">
        <v>330</v>
      </c>
      <c r="C41" s="50"/>
      <c r="D41" s="50">
        <v>3000</v>
      </c>
      <c r="E41" s="50"/>
      <c r="F41" s="62" t="s">
        <v>330</v>
      </c>
      <c r="G41" s="50"/>
      <c r="H41" s="50">
        <v>3000</v>
      </c>
      <c r="I41" s="58"/>
    </row>
    <row r="42" spans="1:11" x14ac:dyDescent="0.25">
      <c r="A42" s="12"/>
      <c r="B42" s="55" t="s">
        <v>24</v>
      </c>
      <c r="C42" s="63">
        <f>C27+C28+C29-D30</f>
        <v>33120</v>
      </c>
      <c r="D42" s="55">
        <f>SUM(D32:D41)</f>
        <v>46300</v>
      </c>
      <c r="E42" s="63">
        <f>C42-D42</f>
        <v>-13180</v>
      </c>
      <c r="F42" s="57"/>
      <c r="G42" s="63">
        <f>G27+G28-H30</f>
        <v>20730</v>
      </c>
      <c r="H42" s="63">
        <f>SUM(H32:H41)</f>
        <v>46300</v>
      </c>
      <c r="I42" s="63">
        <f>G42-H42</f>
        <v>-25570</v>
      </c>
    </row>
    <row r="44" spans="1:11" x14ac:dyDescent="0.25">
      <c r="J44" s="43">
        <f>E42-I42</f>
        <v>12390</v>
      </c>
    </row>
    <row r="45" spans="1:11" x14ac:dyDescent="0.25">
      <c r="B45" s="12" t="s">
        <v>38</v>
      </c>
      <c r="D45" s="12" t="s">
        <v>36</v>
      </c>
      <c r="F45" s="12"/>
      <c r="G45" s="12" t="s">
        <v>37</v>
      </c>
      <c r="I45" s="43">
        <f>G22+I42</f>
        <v>-16680</v>
      </c>
    </row>
    <row r="46" spans="1:11" x14ac:dyDescent="0.25">
      <c r="D46" s="12"/>
      <c r="F46" s="68">
        <f>D37+D38+D39</f>
        <v>8000</v>
      </c>
      <c r="G46" s="12"/>
      <c r="I46" s="43">
        <f>E42-I45</f>
        <v>3500</v>
      </c>
    </row>
    <row r="47" spans="1:11" x14ac:dyDescent="0.25">
      <c r="B47" t="s">
        <v>163</v>
      </c>
      <c r="D47" t="s">
        <v>66</v>
      </c>
      <c r="G47" t="s">
        <v>10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workbookViewId="0">
      <selection activeCell="F14" sqref="F14"/>
    </sheetView>
  </sheetViews>
  <sheetFormatPr defaultRowHeight="15" x14ac:dyDescent="0.25"/>
  <cols>
    <col min="2" max="2" width="19.140625" customWidth="1"/>
  </cols>
  <sheetData>
    <row r="1" spans="1:9" ht="18.75" x14ac:dyDescent="0.25">
      <c r="C1" s="38" t="s">
        <v>59</v>
      </c>
      <c r="D1" s="39"/>
      <c r="E1" s="36"/>
      <c r="F1" s="34"/>
    </row>
    <row r="2" spans="1:9" ht="18.75" x14ac:dyDescent="0.25">
      <c r="C2" s="38" t="s">
        <v>60</v>
      </c>
      <c r="D2" s="38"/>
      <c r="E2" s="11"/>
      <c r="F2" s="11"/>
    </row>
    <row r="3" spans="1:9" ht="18.75" x14ac:dyDescent="0.25">
      <c r="C3" s="38" t="s">
        <v>325</v>
      </c>
      <c r="D3" s="38"/>
      <c r="E3" s="11"/>
      <c r="F3" s="11"/>
    </row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/>
      <c r="I4" s="1"/>
    </row>
    <row r="5" spans="1:9" x14ac:dyDescent="0.25">
      <c r="A5" s="3">
        <v>1</v>
      </c>
      <c r="B5" s="3" t="s">
        <v>91</v>
      </c>
      <c r="C5" s="3">
        <v>4000</v>
      </c>
      <c r="D5" s="3">
        <f>FEBRUARY21!G5:G22</f>
        <v>0</v>
      </c>
      <c r="E5" s="3">
        <f t="shared" ref="E5:E21" si="0">C5+D5</f>
        <v>4000</v>
      </c>
      <c r="F5" s="3">
        <v>4000</v>
      </c>
      <c r="G5" s="3">
        <f>E5-F5</f>
        <v>0</v>
      </c>
      <c r="H5" s="3"/>
    </row>
    <row r="6" spans="1:9" x14ac:dyDescent="0.25">
      <c r="A6" s="3">
        <v>2</v>
      </c>
      <c r="B6" t="s">
        <v>126</v>
      </c>
      <c r="C6" s="3">
        <v>2500</v>
      </c>
      <c r="D6" s="3">
        <f>FEBRUARY21!G6:G23</f>
        <v>4870</v>
      </c>
      <c r="E6" s="3">
        <f t="shared" si="0"/>
        <v>7370</v>
      </c>
      <c r="F6" s="3">
        <f>2500+1500</f>
        <v>4000</v>
      </c>
      <c r="G6" s="3">
        <f t="shared" ref="G6:G18" si="1">E6-F6</f>
        <v>3370</v>
      </c>
      <c r="H6" s="3"/>
    </row>
    <row r="7" spans="1:9" x14ac:dyDescent="0.25">
      <c r="A7" s="3">
        <v>3</v>
      </c>
      <c r="B7" s="3" t="s">
        <v>56</v>
      </c>
      <c r="C7" s="3"/>
      <c r="D7" s="3">
        <f>FEBRUARY21!G7:G24</f>
        <v>0</v>
      </c>
      <c r="E7" s="3">
        <f t="shared" si="0"/>
        <v>0</v>
      </c>
      <c r="F7" s="3"/>
      <c r="G7" s="3">
        <f t="shared" si="1"/>
        <v>0</v>
      </c>
      <c r="H7" s="3"/>
    </row>
    <row r="8" spans="1:9" x14ac:dyDescent="0.25">
      <c r="A8" s="3">
        <v>4</v>
      </c>
      <c r="B8" s="3" t="s">
        <v>74</v>
      </c>
      <c r="C8" s="3">
        <v>2500</v>
      </c>
      <c r="D8" s="3">
        <f>FEBRUARY21!G8:G25</f>
        <v>0</v>
      </c>
      <c r="E8" s="3">
        <f t="shared" si="0"/>
        <v>2500</v>
      </c>
      <c r="F8" s="3">
        <v>2500</v>
      </c>
      <c r="G8" s="3">
        <f t="shared" si="1"/>
        <v>0</v>
      </c>
      <c r="H8" s="3"/>
    </row>
    <row r="9" spans="1:9" x14ac:dyDescent="0.25">
      <c r="A9" s="3">
        <v>5</v>
      </c>
      <c r="B9" s="3" t="s">
        <v>307</v>
      </c>
      <c r="C9" s="3">
        <v>3000</v>
      </c>
      <c r="D9" s="3">
        <f>FEBRUARY21!G9:G26</f>
        <v>0</v>
      </c>
      <c r="E9" s="3">
        <f t="shared" si="0"/>
        <v>3000</v>
      </c>
      <c r="F9" s="3"/>
      <c r="G9" s="3">
        <f>E9-F9</f>
        <v>3000</v>
      </c>
      <c r="H9" s="3"/>
    </row>
    <row r="10" spans="1:9" x14ac:dyDescent="0.25">
      <c r="A10" s="3">
        <v>6</v>
      </c>
      <c r="B10" s="64" t="s">
        <v>56</v>
      </c>
      <c r="C10" s="3"/>
      <c r="D10" s="3">
        <f>FEBRUARY21!G10:G27</f>
        <v>0</v>
      </c>
      <c r="E10" s="3">
        <f t="shared" si="0"/>
        <v>0</v>
      </c>
      <c r="F10" s="3"/>
      <c r="G10" s="3">
        <f t="shared" si="1"/>
        <v>0</v>
      </c>
      <c r="H10" s="3"/>
    </row>
    <row r="11" spans="1:9" x14ac:dyDescent="0.25">
      <c r="A11" s="3">
        <v>7</v>
      </c>
      <c r="B11" s="3" t="s">
        <v>13</v>
      </c>
      <c r="C11" s="3">
        <v>2500</v>
      </c>
      <c r="D11" s="3">
        <f>FEBRUARY21!G11:G28</f>
        <v>0</v>
      </c>
      <c r="E11" s="3">
        <f t="shared" si="0"/>
        <v>2500</v>
      </c>
      <c r="F11" s="3">
        <f>2500</f>
        <v>2500</v>
      </c>
      <c r="G11" s="3">
        <f t="shared" si="1"/>
        <v>0</v>
      </c>
      <c r="H11" s="3"/>
    </row>
    <row r="12" spans="1:9" x14ac:dyDescent="0.25">
      <c r="A12" s="3">
        <v>8</v>
      </c>
      <c r="B12" s="3" t="s">
        <v>105</v>
      </c>
      <c r="C12" s="3">
        <v>2500</v>
      </c>
      <c r="D12" s="3">
        <f>FEBRUARY21!G12:G29</f>
        <v>1900</v>
      </c>
      <c r="E12" s="3">
        <f t="shared" si="0"/>
        <v>4400</v>
      </c>
      <c r="F12" s="3">
        <f>3000</f>
        <v>3000</v>
      </c>
      <c r="G12" s="3">
        <f t="shared" si="1"/>
        <v>1400</v>
      </c>
      <c r="H12" s="3"/>
    </row>
    <row r="13" spans="1:9" x14ac:dyDescent="0.25">
      <c r="A13" s="3">
        <v>9</v>
      </c>
      <c r="B13" s="3" t="s">
        <v>96</v>
      </c>
      <c r="C13" s="3">
        <v>2500</v>
      </c>
      <c r="D13" s="3">
        <f>FEBRUARY21!G13:G30</f>
        <v>1120</v>
      </c>
      <c r="E13" s="3">
        <f t="shared" si="0"/>
        <v>3620</v>
      </c>
      <c r="F13" s="3">
        <f>2500</f>
        <v>2500</v>
      </c>
      <c r="G13" s="3">
        <f t="shared" si="1"/>
        <v>1120</v>
      </c>
      <c r="H13" s="3"/>
      <c r="I13" t="s">
        <v>51</v>
      </c>
    </row>
    <row r="14" spans="1:9" x14ac:dyDescent="0.25">
      <c r="A14" s="3">
        <v>10</v>
      </c>
      <c r="B14" s="3" t="s">
        <v>319</v>
      </c>
      <c r="C14" s="3">
        <v>2500</v>
      </c>
      <c r="D14" s="3">
        <f>FEBRUARY21!G14:G31</f>
        <v>0</v>
      </c>
      <c r="E14" s="3">
        <f t="shared" si="0"/>
        <v>2500</v>
      </c>
      <c r="F14" s="3"/>
      <c r="G14" s="3">
        <f>E14-F14</f>
        <v>2500</v>
      </c>
      <c r="H14" s="3"/>
    </row>
    <row r="15" spans="1:9" x14ac:dyDescent="0.25">
      <c r="A15" s="3">
        <v>11</v>
      </c>
      <c r="B15" s="3" t="s">
        <v>319</v>
      </c>
      <c r="C15" s="3">
        <v>3000</v>
      </c>
      <c r="D15" s="3">
        <f>FEBRUARY21!G15:G32</f>
        <v>0</v>
      </c>
      <c r="E15" s="3">
        <f t="shared" si="0"/>
        <v>3000</v>
      </c>
      <c r="F15" s="3"/>
      <c r="G15" s="3">
        <f t="shared" si="1"/>
        <v>3000</v>
      </c>
      <c r="H15" s="3"/>
    </row>
    <row r="16" spans="1:9" x14ac:dyDescent="0.25">
      <c r="A16" s="3">
        <v>12</v>
      </c>
      <c r="B16" s="3" t="s">
        <v>165</v>
      </c>
      <c r="C16" s="3">
        <v>2500</v>
      </c>
      <c r="D16" s="3">
        <f>FEBRUARY21!G16:G33</f>
        <v>0</v>
      </c>
      <c r="E16" s="3">
        <f t="shared" si="0"/>
        <v>2500</v>
      </c>
      <c r="F16" s="3">
        <f>1500+1000</f>
        <v>2500</v>
      </c>
      <c r="G16" s="3">
        <f t="shared" si="1"/>
        <v>0</v>
      </c>
      <c r="H16" s="3"/>
      <c r="I16" t="s">
        <v>51</v>
      </c>
    </row>
    <row r="17" spans="1:12" x14ac:dyDescent="0.25">
      <c r="A17" s="3">
        <v>13</v>
      </c>
      <c r="B17" s="3" t="s">
        <v>19</v>
      </c>
      <c r="C17" s="3">
        <v>2500</v>
      </c>
      <c r="D17" s="3">
        <f>FEBRUARY21!G17:G34</f>
        <v>0</v>
      </c>
      <c r="E17" s="3">
        <f t="shared" si="0"/>
        <v>2500</v>
      </c>
      <c r="F17" s="3">
        <f>1000+1500</f>
        <v>2500</v>
      </c>
      <c r="G17" s="3">
        <f t="shared" si="1"/>
        <v>0</v>
      </c>
      <c r="H17" s="3"/>
      <c r="I17" t="s">
        <v>51</v>
      </c>
    </row>
    <row r="18" spans="1:12" x14ac:dyDescent="0.25">
      <c r="A18" s="3">
        <v>14</v>
      </c>
      <c r="B18" s="3" t="s">
        <v>160</v>
      </c>
      <c r="C18" s="3">
        <v>2500</v>
      </c>
      <c r="D18" s="3">
        <f>FEBRUARY21!G18:G35</f>
        <v>0</v>
      </c>
      <c r="E18" s="3">
        <f t="shared" si="0"/>
        <v>2500</v>
      </c>
      <c r="F18" s="3">
        <f>2500</f>
        <v>2500</v>
      </c>
      <c r="G18" s="3">
        <f t="shared" si="1"/>
        <v>0</v>
      </c>
      <c r="H18" s="3"/>
    </row>
    <row r="19" spans="1:12" x14ac:dyDescent="0.25">
      <c r="A19" s="3">
        <v>15</v>
      </c>
      <c r="B19" s="3" t="s">
        <v>280</v>
      </c>
      <c r="C19" s="3">
        <v>2500</v>
      </c>
      <c r="D19" s="3">
        <f>FEBRUARY21!G19:G36</f>
        <v>0</v>
      </c>
      <c r="E19" s="3">
        <f t="shared" si="0"/>
        <v>2500</v>
      </c>
      <c r="F19" s="3">
        <v>2500</v>
      </c>
      <c r="G19" s="3">
        <f>E19-F19</f>
        <v>0</v>
      </c>
      <c r="H19" s="3"/>
      <c r="I19" t="s">
        <v>51</v>
      </c>
    </row>
    <row r="20" spans="1:12" x14ac:dyDescent="0.25">
      <c r="A20" s="3">
        <v>16</v>
      </c>
      <c r="B20" s="3" t="s">
        <v>320</v>
      </c>
      <c r="C20" s="3">
        <v>2500</v>
      </c>
      <c r="D20" s="3">
        <f>FEBRUARY21!G20:G37</f>
        <v>1000</v>
      </c>
      <c r="E20" s="3">
        <f t="shared" si="0"/>
        <v>3500</v>
      </c>
      <c r="F20" s="3">
        <f>1500</f>
        <v>1500</v>
      </c>
      <c r="G20" s="3">
        <f>E20-F20</f>
        <v>2000</v>
      </c>
      <c r="H20" s="3"/>
    </row>
    <row r="21" spans="1:12" x14ac:dyDescent="0.25">
      <c r="A21" s="3">
        <v>17</v>
      </c>
      <c r="B21" s="3" t="s">
        <v>73</v>
      </c>
      <c r="C21" s="3">
        <v>2500</v>
      </c>
      <c r="D21" s="3">
        <f>FEBRUARY21!G21:G38</f>
        <v>0</v>
      </c>
      <c r="E21" s="3">
        <f t="shared" si="0"/>
        <v>2500</v>
      </c>
      <c r="F21" s="3">
        <f>2500</f>
        <v>2500</v>
      </c>
      <c r="G21" s="32">
        <f>E21-F21</f>
        <v>0</v>
      </c>
      <c r="H21" s="58"/>
    </row>
    <row r="22" spans="1:12" x14ac:dyDescent="0.25">
      <c r="A22" s="2"/>
      <c r="B22" s="4" t="s">
        <v>24</v>
      </c>
      <c r="C22" s="2">
        <f>SUM(C5:C21)</f>
        <v>40000</v>
      </c>
      <c r="D22" s="3">
        <f>SUM(D5:D21)</f>
        <v>8890</v>
      </c>
      <c r="E22" s="2">
        <f>SUM(E5:E21)</f>
        <v>48890</v>
      </c>
      <c r="F22" s="2">
        <f>SUM(F5:F21)</f>
        <v>32500</v>
      </c>
      <c r="G22" s="2">
        <f>SUM(G5:G21)</f>
        <v>16390</v>
      </c>
      <c r="H22" s="2"/>
      <c r="I22" s="1"/>
    </row>
    <row r="23" spans="1:12" x14ac:dyDescent="0.25">
      <c r="A23" s="3"/>
      <c r="B23" s="3"/>
      <c r="C23" s="3"/>
      <c r="D23" s="3">
        <f>'SEPTEMBER 20'!G23:G41</f>
        <v>0</v>
      </c>
      <c r="E23" s="3"/>
      <c r="F23" s="3"/>
      <c r="G23" s="3"/>
      <c r="H23" s="3"/>
    </row>
    <row r="24" spans="1:12" x14ac:dyDescent="0.25">
      <c r="A24" s="12"/>
      <c r="G24">
        <f>G18+G15+G12+G11+G14+G16</f>
        <v>6900</v>
      </c>
    </row>
    <row r="25" spans="1:12" ht="18.75" x14ac:dyDescent="0.3">
      <c r="A25" s="12"/>
      <c r="B25" s="51" t="s">
        <v>27</v>
      </c>
      <c r="C25" s="52"/>
      <c r="D25" s="52"/>
      <c r="E25" s="52"/>
      <c r="F25" s="52"/>
      <c r="G25" s="52"/>
      <c r="H25" s="53"/>
      <c r="I25" s="53"/>
      <c r="J25" s="1"/>
    </row>
    <row r="26" spans="1:12" ht="15.75" x14ac:dyDescent="0.25">
      <c r="A26" s="12"/>
      <c r="B26" s="54" t="s">
        <v>28</v>
      </c>
      <c r="C26" s="54" t="s">
        <v>29</v>
      </c>
      <c r="D26" s="54" t="s">
        <v>30</v>
      </c>
      <c r="E26" s="54" t="s">
        <v>62</v>
      </c>
      <c r="F26" s="54" t="s">
        <v>69</v>
      </c>
      <c r="G26" s="54" t="s">
        <v>29</v>
      </c>
      <c r="H26" s="54" t="s">
        <v>30</v>
      </c>
      <c r="I26" s="54" t="s">
        <v>62</v>
      </c>
      <c r="J26" s="65"/>
    </row>
    <row r="27" spans="1:12" x14ac:dyDescent="0.25">
      <c r="A27" s="12"/>
      <c r="B27" s="55" t="s">
        <v>68</v>
      </c>
      <c r="C27" s="50">
        <f>C22</f>
        <v>40000</v>
      </c>
      <c r="D27" s="56">
        <v>0.1</v>
      </c>
      <c r="E27" s="50"/>
      <c r="F27" s="57" t="s">
        <v>68</v>
      </c>
      <c r="G27" s="50">
        <f>F22</f>
        <v>32500</v>
      </c>
      <c r="H27" s="56">
        <v>0.1</v>
      </c>
      <c r="I27" s="58"/>
      <c r="J27" s="1"/>
    </row>
    <row r="28" spans="1:12" x14ac:dyDescent="0.25">
      <c r="A28" s="12"/>
      <c r="B28" s="58" t="s">
        <v>55</v>
      </c>
      <c r="C28" s="50">
        <f>FEBRUARY21!E42</f>
        <v>-13180</v>
      </c>
      <c r="D28" s="58"/>
      <c r="E28" s="58"/>
      <c r="F28" s="58" t="s">
        <v>55</v>
      </c>
      <c r="G28" s="50">
        <f>FEBRUARY21!I42</f>
        <v>-25570</v>
      </c>
      <c r="H28" s="58"/>
      <c r="I28" s="58"/>
      <c r="J28" s="1"/>
    </row>
    <row r="29" spans="1:12" x14ac:dyDescent="0.25">
      <c r="A29" s="12"/>
      <c r="B29" s="58"/>
      <c r="C29" s="50"/>
      <c r="D29" s="58"/>
      <c r="E29" s="58"/>
      <c r="F29" s="58"/>
      <c r="G29" s="50"/>
      <c r="H29" s="58"/>
      <c r="I29" s="58"/>
      <c r="J29" s="66"/>
    </row>
    <row r="30" spans="1:12" x14ac:dyDescent="0.25">
      <c r="A30" s="12"/>
      <c r="B30" s="58" t="s">
        <v>33</v>
      </c>
      <c r="C30" s="59"/>
      <c r="D30" s="58">
        <f>C27*D27</f>
        <v>4000</v>
      </c>
      <c r="E30" s="58"/>
      <c r="F30" s="58" t="s">
        <v>33</v>
      </c>
      <c r="G30" s="59"/>
      <c r="H30" s="58">
        <f>H27*C27</f>
        <v>4000</v>
      </c>
      <c r="I30" s="58"/>
      <c r="J30" s="66"/>
    </row>
    <row r="31" spans="1:12" x14ac:dyDescent="0.25">
      <c r="A31" s="12"/>
      <c r="B31" s="60" t="s">
        <v>34</v>
      </c>
      <c r="C31" s="58"/>
      <c r="D31" s="58"/>
      <c r="E31" s="58"/>
      <c r="F31" s="60" t="s">
        <v>34</v>
      </c>
      <c r="G31" s="58"/>
      <c r="H31" s="58"/>
      <c r="I31" s="58"/>
      <c r="J31" s="66"/>
    </row>
    <row r="32" spans="1:12" x14ac:dyDescent="0.25">
      <c r="A32" s="12"/>
      <c r="B32" s="3" t="s">
        <v>161</v>
      </c>
      <c r="C32" s="3"/>
      <c r="D32" s="3">
        <v>8000</v>
      </c>
      <c r="E32" s="3"/>
      <c r="F32" s="3" t="s">
        <v>161</v>
      </c>
      <c r="G32" s="3"/>
      <c r="H32" s="3">
        <v>8000</v>
      </c>
      <c r="I32" s="58"/>
      <c r="L32">
        <f>40000</f>
        <v>40000</v>
      </c>
    </row>
    <row r="33" spans="1:12" x14ac:dyDescent="0.25">
      <c r="A33" s="12"/>
      <c r="B33" s="62"/>
      <c r="C33" s="58"/>
      <c r="D33" s="3"/>
      <c r="E33" s="58"/>
      <c r="F33" s="62"/>
      <c r="G33" s="58"/>
      <c r="H33" s="3"/>
      <c r="I33" s="58"/>
      <c r="J33" s="66"/>
      <c r="L33">
        <v>13000</v>
      </c>
    </row>
    <row r="34" spans="1:12" x14ac:dyDescent="0.25">
      <c r="A34" s="12"/>
      <c r="B34" s="62" t="s">
        <v>332</v>
      </c>
      <c r="D34" s="3">
        <v>15000</v>
      </c>
      <c r="E34" s="58"/>
      <c r="F34" s="62" t="s">
        <v>332</v>
      </c>
      <c r="H34" s="3">
        <v>15000</v>
      </c>
      <c r="I34" s="58"/>
      <c r="L34">
        <f>L32-L33</f>
        <v>27000</v>
      </c>
    </row>
    <row r="35" spans="1:12" x14ac:dyDescent="0.25">
      <c r="A35" s="12"/>
      <c r="B35" s="62" t="s">
        <v>333</v>
      </c>
      <c r="C35" s="50"/>
      <c r="D35" s="3">
        <f>E8</f>
        <v>2500</v>
      </c>
      <c r="E35" s="50"/>
      <c r="F35" s="62" t="s">
        <v>333</v>
      </c>
      <c r="G35" s="50"/>
      <c r="H35" s="3">
        <f>D35</f>
        <v>2500</v>
      </c>
      <c r="I35" s="58"/>
      <c r="L35">
        <f>4000</f>
        <v>4000</v>
      </c>
    </row>
    <row r="36" spans="1:12" x14ac:dyDescent="0.25">
      <c r="A36" s="12"/>
      <c r="B36" s="62" t="s">
        <v>334</v>
      </c>
      <c r="C36" s="50"/>
      <c r="D36" s="50">
        <f>C13</f>
        <v>2500</v>
      </c>
      <c r="E36" s="50"/>
      <c r="F36" s="62" t="s">
        <v>334</v>
      </c>
      <c r="G36" s="50"/>
      <c r="H36" s="50">
        <f>D36</f>
        <v>2500</v>
      </c>
      <c r="I36" s="58"/>
      <c r="J36" s="43"/>
      <c r="L36">
        <f>L34-L35</f>
        <v>23000</v>
      </c>
    </row>
    <row r="37" spans="1:12" x14ac:dyDescent="0.25">
      <c r="A37" s="12"/>
      <c r="B37" s="62" t="s">
        <v>252</v>
      </c>
      <c r="C37" s="50"/>
      <c r="D37" s="50">
        <v>2500</v>
      </c>
      <c r="E37" s="50"/>
      <c r="F37" s="62" t="s">
        <v>252</v>
      </c>
      <c r="G37" s="50"/>
      <c r="H37" s="50">
        <v>2500</v>
      </c>
      <c r="I37" s="58"/>
      <c r="J37" s="43"/>
      <c r="L37">
        <v>8000</v>
      </c>
    </row>
    <row r="38" spans="1:12" x14ac:dyDescent="0.25">
      <c r="A38" s="12"/>
      <c r="B38" s="62"/>
      <c r="C38" s="50"/>
      <c r="D38" s="50"/>
      <c r="E38" s="50"/>
      <c r="F38" s="62"/>
      <c r="G38" s="50"/>
      <c r="H38" s="50"/>
      <c r="I38" s="58"/>
      <c r="L38">
        <f>L36-L37</f>
        <v>15000</v>
      </c>
    </row>
    <row r="39" spans="1:12" x14ac:dyDescent="0.25">
      <c r="A39" s="12"/>
      <c r="B39" s="62"/>
      <c r="C39" s="50"/>
      <c r="D39" s="50"/>
      <c r="E39" s="50"/>
      <c r="F39" s="62"/>
      <c r="G39" s="50"/>
      <c r="H39" s="50"/>
      <c r="I39" s="58"/>
    </row>
    <row r="40" spans="1:12" x14ac:dyDescent="0.25">
      <c r="A40" s="12"/>
      <c r="B40" s="62"/>
      <c r="C40" s="50"/>
      <c r="D40" s="50"/>
      <c r="E40" s="50"/>
      <c r="F40" s="62"/>
      <c r="G40" s="50"/>
      <c r="H40" s="50"/>
      <c r="I40" s="58"/>
    </row>
    <row r="41" spans="1:12" x14ac:dyDescent="0.25">
      <c r="A41" s="12"/>
      <c r="B41" s="62"/>
      <c r="C41" s="50"/>
      <c r="D41" s="50"/>
      <c r="E41" s="50"/>
      <c r="F41" s="62"/>
      <c r="G41" s="50"/>
      <c r="H41" s="50"/>
      <c r="I41" s="58"/>
    </row>
    <row r="42" spans="1:12" x14ac:dyDescent="0.25">
      <c r="A42" s="12"/>
      <c r="B42" s="55" t="s">
        <v>24</v>
      </c>
      <c r="C42" s="63">
        <f>C27+C28+C29-D30</f>
        <v>22820</v>
      </c>
      <c r="D42" s="55">
        <f>SUM(D32:D41)</f>
        <v>30500</v>
      </c>
      <c r="E42" s="63">
        <f>C42-D42</f>
        <v>-7680</v>
      </c>
      <c r="F42" s="57"/>
      <c r="G42" s="63">
        <f>G27+G28-H30</f>
        <v>2930</v>
      </c>
      <c r="H42" s="63">
        <f>SUM(H32:H41)</f>
        <v>30500</v>
      </c>
      <c r="I42" s="63">
        <f>G42-H42</f>
        <v>-27570</v>
      </c>
    </row>
    <row r="44" spans="1:12" x14ac:dyDescent="0.25">
      <c r="I44" s="43">
        <f>G22+I42</f>
        <v>-11180</v>
      </c>
      <c r="L44" s="43">
        <f>D35+D36+D37</f>
        <v>7500</v>
      </c>
    </row>
    <row r="45" spans="1:12" x14ac:dyDescent="0.25">
      <c r="B45" s="12" t="s">
        <v>38</v>
      </c>
      <c r="D45" s="12" t="s">
        <v>36</v>
      </c>
      <c r="F45" s="12"/>
      <c r="G45" s="12" t="s">
        <v>37</v>
      </c>
      <c r="I45" s="43">
        <f>E42-I44</f>
        <v>3500</v>
      </c>
    </row>
    <row r="46" spans="1:12" x14ac:dyDescent="0.25">
      <c r="D46" s="12"/>
      <c r="F46" s="68">
        <f>D37+D38+D39</f>
        <v>2500</v>
      </c>
      <c r="G46" s="12"/>
    </row>
    <row r="47" spans="1:12" x14ac:dyDescent="0.25">
      <c r="B47" t="s">
        <v>163</v>
      </c>
      <c r="D47" t="s">
        <v>66</v>
      </c>
      <c r="G47" t="s">
        <v>10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>
      <selection activeCell="F12" sqref="F12"/>
    </sheetView>
  </sheetViews>
  <sheetFormatPr defaultRowHeight="15" x14ac:dyDescent="0.25"/>
  <cols>
    <col min="1" max="1" width="4" customWidth="1"/>
    <col min="2" max="2" width="19.5703125" customWidth="1"/>
  </cols>
  <sheetData>
    <row r="1" spans="1:9" ht="18.75" x14ac:dyDescent="0.25">
      <c r="C1" s="38" t="s">
        <v>59</v>
      </c>
      <c r="D1" s="39"/>
      <c r="E1" s="36"/>
      <c r="F1" s="34"/>
    </row>
    <row r="2" spans="1:9" ht="18.75" x14ac:dyDescent="0.25">
      <c r="C2" s="38" t="s">
        <v>60</v>
      </c>
      <c r="D2" s="38"/>
      <c r="E2" s="11"/>
      <c r="F2" s="11"/>
    </row>
    <row r="3" spans="1:9" ht="18.75" x14ac:dyDescent="0.25">
      <c r="C3" s="38" t="s">
        <v>335</v>
      </c>
      <c r="D3" s="38"/>
      <c r="E3" s="11"/>
      <c r="F3" s="11"/>
    </row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/>
      <c r="I4" s="1"/>
    </row>
    <row r="5" spans="1:9" x14ac:dyDescent="0.25">
      <c r="A5" s="3">
        <v>1</v>
      </c>
      <c r="B5" s="3" t="s">
        <v>91</v>
      </c>
      <c r="C5" s="3">
        <v>4000</v>
      </c>
      <c r="D5" s="3">
        <f>'MARCH 21'!G5:G22</f>
        <v>0</v>
      </c>
      <c r="E5" s="3">
        <f t="shared" ref="E5:E21" si="0">C5+D5</f>
        <v>4000</v>
      </c>
      <c r="F5" s="3">
        <v>4000</v>
      </c>
      <c r="G5" s="3">
        <f>E5-F5</f>
        <v>0</v>
      </c>
      <c r="H5" s="3"/>
    </row>
    <row r="6" spans="1:9" x14ac:dyDescent="0.25">
      <c r="A6" s="3">
        <v>2</v>
      </c>
      <c r="B6" t="s">
        <v>126</v>
      </c>
      <c r="C6" s="3">
        <v>2500</v>
      </c>
      <c r="D6" s="3">
        <f>'MARCH 21'!G6:G23</f>
        <v>3370</v>
      </c>
      <c r="E6" s="3">
        <f t="shared" si="0"/>
        <v>5870</v>
      </c>
      <c r="F6" s="3">
        <f>3370+2500</f>
        <v>5870</v>
      </c>
      <c r="G6" s="3">
        <f t="shared" ref="G6:G18" si="1">E6-F6</f>
        <v>0</v>
      </c>
      <c r="H6" s="3"/>
    </row>
    <row r="7" spans="1:9" x14ac:dyDescent="0.25">
      <c r="A7" s="3">
        <v>3</v>
      </c>
      <c r="B7" s="3" t="s">
        <v>56</v>
      </c>
      <c r="C7" s="3"/>
      <c r="D7" s="3">
        <f>'MARCH 21'!G7:G24</f>
        <v>0</v>
      </c>
      <c r="E7" s="3">
        <f t="shared" si="0"/>
        <v>0</v>
      </c>
      <c r="F7" s="3"/>
      <c r="G7" s="3">
        <f t="shared" si="1"/>
        <v>0</v>
      </c>
      <c r="H7" s="3"/>
    </row>
    <row r="8" spans="1:9" x14ac:dyDescent="0.25">
      <c r="A8" s="3">
        <v>4</v>
      </c>
      <c r="B8" s="3" t="s">
        <v>74</v>
      </c>
      <c r="C8" s="3">
        <v>2500</v>
      </c>
      <c r="D8" s="3">
        <f>'MARCH 21'!G8:G25</f>
        <v>0</v>
      </c>
      <c r="E8" s="3">
        <f t="shared" si="0"/>
        <v>2500</v>
      </c>
      <c r="F8" s="3">
        <f>1490+494+16+500</f>
        <v>2500</v>
      </c>
      <c r="G8" s="3">
        <f t="shared" si="1"/>
        <v>0</v>
      </c>
      <c r="H8" s="3"/>
    </row>
    <row r="9" spans="1:9" x14ac:dyDescent="0.25">
      <c r="A9" s="3">
        <v>5</v>
      </c>
      <c r="B9" s="3" t="s">
        <v>307</v>
      </c>
      <c r="C9" s="3">
        <v>3000</v>
      </c>
      <c r="D9" s="3">
        <f>'MARCH 21'!G9:G26</f>
        <v>3000</v>
      </c>
      <c r="E9" s="3">
        <f t="shared" si="0"/>
        <v>6000</v>
      </c>
      <c r="F9" s="3">
        <f>3000+3000</f>
        <v>6000</v>
      </c>
      <c r="G9" s="3">
        <f>E9-F9</f>
        <v>0</v>
      </c>
      <c r="H9" s="3"/>
    </row>
    <row r="10" spans="1:9" x14ac:dyDescent="0.25">
      <c r="A10" s="3">
        <v>6</v>
      </c>
      <c r="B10" s="64" t="s">
        <v>336</v>
      </c>
      <c r="C10" s="3">
        <v>2500</v>
      </c>
      <c r="D10" s="3">
        <f>'MARCH 21'!G10:G27</f>
        <v>0</v>
      </c>
      <c r="E10" s="3">
        <f t="shared" si="0"/>
        <v>2500</v>
      </c>
      <c r="F10" s="3">
        <v>2500</v>
      </c>
      <c r="G10" s="3">
        <f t="shared" si="1"/>
        <v>0</v>
      </c>
      <c r="H10" s="3"/>
    </row>
    <row r="11" spans="1:9" x14ac:dyDescent="0.25">
      <c r="A11" s="3">
        <v>7</v>
      </c>
      <c r="B11" s="3" t="s">
        <v>13</v>
      </c>
      <c r="C11" s="3">
        <v>2500</v>
      </c>
      <c r="D11" s="3">
        <f>'MARCH 21'!G11:G28</f>
        <v>0</v>
      </c>
      <c r="E11" s="3">
        <f t="shared" si="0"/>
        <v>2500</v>
      </c>
      <c r="F11" s="3">
        <f>1500+1000</f>
        <v>2500</v>
      </c>
      <c r="G11" s="3">
        <f t="shared" si="1"/>
        <v>0</v>
      </c>
      <c r="H11" s="3"/>
    </row>
    <row r="12" spans="1:9" x14ac:dyDescent="0.25">
      <c r="A12" s="3">
        <v>8</v>
      </c>
      <c r="B12" s="3" t="s">
        <v>105</v>
      </c>
      <c r="C12" s="3">
        <v>2500</v>
      </c>
      <c r="D12" s="3">
        <f>'MARCH 21'!G12:G29</f>
        <v>1400</v>
      </c>
      <c r="E12" s="3">
        <f t="shared" si="0"/>
        <v>3900</v>
      </c>
      <c r="F12" s="3">
        <f>1700</f>
        <v>1700</v>
      </c>
      <c r="G12" s="3">
        <f t="shared" si="1"/>
        <v>2200</v>
      </c>
      <c r="H12" s="3"/>
    </row>
    <row r="13" spans="1:9" x14ac:dyDescent="0.25">
      <c r="A13" s="3">
        <v>9</v>
      </c>
      <c r="B13" s="3" t="s">
        <v>96</v>
      </c>
      <c r="C13" s="3">
        <v>2500</v>
      </c>
      <c r="D13" s="3">
        <f>'MARCH 21'!G13:G30</f>
        <v>1120</v>
      </c>
      <c r="E13" s="3">
        <f t="shared" si="0"/>
        <v>3620</v>
      </c>
      <c r="F13" s="3">
        <f>2700</f>
        <v>2700</v>
      </c>
      <c r="G13" s="3">
        <f t="shared" si="1"/>
        <v>920</v>
      </c>
      <c r="H13" s="3"/>
    </row>
    <row r="14" spans="1:9" x14ac:dyDescent="0.25">
      <c r="A14" s="3">
        <v>10</v>
      </c>
      <c r="B14" s="3" t="s">
        <v>319</v>
      </c>
      <c r="C14" s="3">
        <v>2500</v>
      </c>
      <c r="D14" s="3">
        <f>'MARCH 21'!G14:G31</f>
        <v>2500</v>
      </c>
      <c r="E14" s="3">
        <f t="shared" si="0"/>
        <v>5000</v>
      </c>
      <c r="F14" s="3">
        <f>2500+2500</f>
        <v>5000</v>
      </c>
      <c r="G14" s="3">
        <f>E14-F14</f>
        <v>0</v>
      </c>
      <c r="H14" s="3"/>
    </row>
    <row r="15" spans="1:9" x14ac:dyDescent="0.25">
      <c r="A15" s="3">
        <v>11</v>
      </c>
      <c r="B15" s="3" t="s">
        <v>319</v>
      </c>
      <c r="C15" s="3">
        <v>3000</v>
      </c>
      <c r="D15" s="3">
        <f>'MARCH 21'!G15:G32</f>
        <v>3000</v>
      </c>
      <c r="E15" s="3">
        <f t="shared" si="0"/>
        <v>6000</v>
      </c>
      <c r="F15" s="3">
        <f>3000+3000</f>
        <v>6000</v>
      </c>
      <c r="G15" s="3">
        <f t="shared" si="1"/>
        <v>0</v>
      </c>
      <c r="H15" s="3"/>
    </row>
    <row r="16" spans="1:9" x14ac:dyDescent="0.25">
      <c r="A16" s="3">
        <v>12</v>
      </c>
      <c r="B16" s="3" t="s">
        <v>165</v>
      </c>
      <c r="C16" s="3">
        <v>2500</v>
      </c>
      <c r="D16" s="3">
        <f>'MARCH 21'!G16:G33</f>
        <v>0</v>
      </c>
      <c r="E16" s="3">
        <f t="shared" si="0"/>
        <v>2500</v>
      </c>
      <c r="F16" s="3">
        <f>2000+500</f>
        <v>2500</v>
      </c>
      <c r="G16" s="3">
        <f t="shared" si="1"/>
        <v>0</v>
      </c>
      <c r="H16" s="3"/>
    </row>
    <row r="17" spans="1:12" x14ac:dyDescent="0.25">
      <c r="A17" s="3">
        <v>13</v>
      </c>
      <c r="B17" s="3" t="s">
        <v>19</v>
      </c>
      <c r="C17" s="3">
        <v>2500</v>
      </c>
      <c r="D17" s="3">
        <f>'MARCH 21'!G17:G34</f>
        <v>0</v>
      </c>
      <c r="E17" s="3">
        <f t="shared" si="0"/>
        <v>2500</v>
      </c>
      <c r="F17" s="3">
        <v>2500</v>
      </c>
      <c r="G17" s="3">
        <f t="shared" si="1"/>
        <v>0</v>
      </c>
      <c r="H17" s="3"/>
    </row>
    <row r="18" spans="1:12" x14ac:dyDescent="0.25">
      <c r="A18" s="3">
        <v>14</v>
      </c>
      <c r="B18" s="3" t="s">
        <v>160</v>
      </c>
      <c r="C18" s="3">
        <v>2500</v>
      </c>
      <c r="D18" s="3">
        <f>'MARCH 21'!G18:G35</f>
        <v>0</v>
      </c>
      <c r="E18" s="3">
        <f t="shared" si="0"/>
        <v>2500</v>
      </c>
      <c r="F18" s="3">
        <v>2500</v>
      </c>
      <c r="G18" s="3">
        <f t="shared" si="1"/>
        <v>0</v>
      </c>
      <c r="H18" s="3"/>
    </row>
    <row r="19" spans="1:12" x14ac:dyDescent="0.25">
      <c r="A19" s="3">
        <v>15</v>
      </c>
      <c r="B19" s="3" t="s">
        <v>280</v>
      </c>
      <c r="C19" s="3">
        <v>2500</v>
      </c>
      <c r="D19" s="3">
        <f>'MARCH 21'!G19:G36</f>
        <v>0</v>
      </c>
      <c r="E19" s="3">
        <f t="shared" si="0"/>
        <v>2500</v>
      </c>
      <c r="F19" s="3">
        <v>2500</v>
      </c>
      <c r="G19" s="3">
        <f>E19-F19</f>
        <v>0</v>
      </c>
      <c r="H19" s="3"/>
      <c r="I19" t="s">
        <v>51</v>
      </c>
    </row>
    <row r="20" spans="1:12" x14ac:dyDescent="0.25">
      <c r="A20" s="3">
        <v>16</v>
      </c>
      <c r="B20" s="3" t="s">
        <v>320</v>
      </c>
      <c r="C20" s="3">
        <v>2500</v>
      </c>
      <c r="D20" s="3">
        <f>'MARCH 21'!G20:G37</f>
        <v>2000</v>
      </c>
      <c r="E20" s="3">
        <f t="shared" si="0"/>
        <v>4500</v>
      </c>
      <c r="F20" s="3">
        <f>2000+2500</f>
        <v>4500</v>
      </c>
      <c r="G20" s="3">
        <f>E20-F20</f>
        <v>0</v>
      </c>
      <c r="H20" s="3"/>
      <c r="I20" t="s">
        <v>236</v>
      </c>
    </row>
    <row r="21" spans="1:12" x14ac:dyDescent="0.25">
      <c r="A21" s="3">
        <v>17</v>
      </c>
      <c r="B21" s="3" t="s">
        <v>73</v>
      </c>
      <c r="C21" s="3">
        <v>2500</v>
      </c>
      <c r="D21" s="3">
        <f>'MARCH 21'!G21:G38</f>
        <v>0</v>
      </c>
      <c r="E21" s="3">
        <f t="shared" si="0"/>
        <v>2500</v>
      </c>
      <c r="F21" s="3">
        <f>2500</f>
        <v>2500</v>
      </c>
      <c r="G21" s="32">
        <f>E21-F21</f>
        <v>0</v>
      </c>
      <c r="H21" s="58"/>
    </row>
    <row r="22" spans="1:12" x14ac:dyDescent="0.25">
      <c r="A22" s="2"/>
      <c r="B22" s="4" t="s">
        <v>24</v>
      </c>
      <c r="C22" s="2">
        <f>SUM(C5:C21)</f>
        <v>42500</v>
      </c>
      <c r="D22" s="3">
        <f>SUM(D5:D21)</f>
        <v>16390</v>
      </c>
      <c r="E22" s="2">
        <f>SUM(E5:E21)</f>
        <v>58890</v>
      </c>
      <c r="F22" s="2">
        <f>SUM(F5:F21)</f>
        <v>55770</v>
      </c>
      <c r="G22" s="2">
        <f>SUM(G5:G21)</f>
        <v>3120</v>
      </c>
      <c r="H22" s="2"/>
      <c r="I22" s="1"/>
    </row>
    <row r="23" spans="1:12" x14ac:dyDescent="0.25">
      <c r="A23" s="3"/>
      <c r="B23" s="3"/>
      <c r="C23" s="3"/>
      <c r="D23" s="3">
        <f>'SEPTEMBER 20'!G23:G41</f>
        <v>0</v>
      </c>
      <c r="E23" s="3"/>
      <c r="F23" s="3"/>
      <c r="G23" s="3"/>
      <c r="H23" s="3"/>
    </row>
    <row r="24" spans="1:12" x14ac:dyDescent="0.25">
      <c r="A24" s="12"/>
      <c r="G24">
        <f>G18+G15+G12+G11+G14+G16</f>
        <v>2200</v>
      </c>
    </row>
    <row r="25" spans="1:12" ht="18.75" x14ac:dyDescent="0.3">
      <c r="A25" s="12"/>
      <c r="B25" s="51" t="s">
        <v>27</v>
      </c>
      <c r="C25" s="52"/>
      <c r="D25" s="52"/>
      <c r="E25" s="52"/>
      <c r="F25" s="52"/>
      <c r="G25" s="52"/>
      <c r="H25" s="53"/>
      <c r="I25" s="53"/>
      <c r="J25" s="1"/>
    </row>
    <row r="26" spans="1:12" ht="15.75" x14ac:dyDescent="0.25">
      <c r="A26" s="12"/>
      <c r="B26" s="54" t="s">
        <v>28</v>
      </c>
      <c r="C26" s="54" t="s">
        <v>29</v>
      </c>
      <c r="D26" s="54" t="s">
        <v>30</v>
      </c>
      <c r="E26" s="54" t="s">
        <v>62</v>
      </c>
      <c r="F26" s="54" t="s">
        <v>69</v>
      </c>
      <c r="G26" s="54" t="s">
        <v>29</v>
      </c>
      <c r="H26" s="54" t="s">
        <v>30</v>
      </c>
      <c r="I26" s="54" t="s">
        <v>62</v>
      </c>
      <c r="J26" s="65"/>
    </row>
    <row r="27" spans="1:12" x14ac:dyDescent="0.25">
      <c r="A27" s="12"/>
      <c r="B27" s="55" t="s">
        <v>71</v>
      </c>
      <c r="C27" s="50">
        <f>C22</f>
        <v>42500</v>
      </c>
      <c r="D27" s="56">
        <v>0.1</v>
      </c>
      <c r="E27" s="50"/>
      <c r="F27" s="57" t="s">
        <v>71</v>
      </c>
      <c r="G27" s="50">
        <f>F22</f>
        <v>55770</v>
      </c>
      <c r="H27" s="56">
        <v>0.1</v>
      </c>
      <c r="I27" s="58"/>
      <c r="J27" s="1"/>
    </row>
    <row r="28" spans="1:12" x14ac:dyDescent="0.25">
      <c r="A28" s="12"/>
      <c r="B28" s="58" t="s">
        <v>55</v>
      </c>
      <c r="C28" s="50">
        <f>'MARCH 21'!E42</f>
        <v>-7680</v>
      </c>
      <c r="D28" s="58"/>
      <c r="E28" s="58"/>
      <c r="F28" s="58" t="s">
        <v>55</v>
      </c>
      <c r="G28" s="50">
        <f>'MARCH 21'!I42</f>
        <v>-27570</v>
      </c>
      <c r="H28" s="58"/>
      <c r="I28" s="58"/>
      <c r="J28" s="1"/>
      <c r="L28">
        <f>40000+19300</f>
        <v>59300</v>
      </c>
    </row>
    <row r="29" spans="1:12" x14ac:dyDescent="0.25">
      <c r="A29" s="12"/>
      <c r="B29" s="58"/>
      <c r="C29" s="50"/>
      <c r="D29" s="58"/>
      <c r="E29" s="58"/>
      <c r="F29" s="58"/>
      <c r="G29" s="50"/>
      <c r="H29" s="58"/>
      <c r="I29" s="58"/>
      <c r="J29" s="66"/>
    </row>
    <row r="30" spans="1:12" x14ac:dyDescent="0.25">
      <c r="A30" s="12"/>
      <c r="B30" s="58" t="s">
        <v>33</v>
      </c>
      <c r="C30" s="59"/>
      <c r="D30" s="58">
        <f>C27*D27</f>
        <v>4250</v>
      </c>
      <c r="E30" s="58"/>
      <c r="F30" s="58" t="s">
        <v>33</v>
      </c>
      <c r="G30" s="59"/>
      <c r="H30" s="58">
        <f>H27*C27</f>
        <v>4250</v>
      </c>
      <c r="I30" s="58"/>
      <c r="J30" s="66"/>
    </row>
    <row r="31" spans="1:12" x14ac:dyDescent="0.25">
      <c r="A31" s="12"/>
      <c r="B31" s="60" t="s">
        <v>34</v>
      </c>
      <c r="C31" s="58"/>
      <c r="D31" s="58"/>
      <c r="E31" s="58"/>
      <c r="F31" s="60" t="s">
        <v>34</v>
      </c>
      <c r="G31" s="58"/>
      <c r="H31" s="58"/>
      <c r="I31" s="58"/>
      <c r="J31" s="66"/>
    </row>
    <row r="32" spans="1:12" x14ac:dyDescent="0.25">
      <c r="A32" s="12"/>
      <c r="B32" s="3" t="s">
        <v>161</v>
      </c>
      <c r="C32" s="3"/>
      <c r="D32" s="3">
        <v>8000</v>
      </c>
      <c r="E32" s="3"/>
      <c r="F32" s="3" t="s">
        <v>161</v>
      </c>
      <c r="G32" s="3"/>
      <c r="H32" s="3">
        <v>8000</v>
      </c>
      <c r="I32" s="58"/>
    </row>
    <row r="33" spans="1:10" x14ac:dyDescent="0.25">
      <c r="A33" s="12"/>
      <c r="B33" s="62" t="s">
        <v>337</v>
      </c>
      <c r="C33" s="58"/>
      <c r="D33" s="3">
        <v>22750</v>
      </c>
      <c r="E33" s="58"/>
      <c r="F33" s="62" t="s">
        <v>337</v>
      </c>
      <c r="G33" s="58"/>
      <c r="H33" s="3">
        <v>22750</v>
      </c>
      <c r="I33" s="58"/>
      <c r="J33" s="66"/>
    </row>
    <row r="34" spans="1:10" x14ac:dyDescent="0.25">
      <c r="A34" s="12"/>
      <c r="B34" s="62" t="s">
        <v>338</v>
      </c>
      <c r="D34" s="3">
        <v>1052</v>
      </c>
      <c r="E34" s="58"/>
      <c r="F34" s="62" t="s">
        <v>338</v>
      </c>
      <c r="H34" s="3">
        <v>1052</v>
      </c>
      <c r="I34" s="58"/>
    </row>
    <row r="35" spans="1:10" x14ac:dyDescent="0.25">
      <c r="A35" s="12"/>
      <c r="B35" s="62" t="s">
        <v>341</v>
      </c>
      <c r="C35" s="50"/>
      <c r="D35" s="3">
        <v>2500</v>
      </c>
      <c r="E35" s="50"/>
      <c r="F35" s="62" t="s">
        <v>341</v>
      </c>
      <c r="G35" s="50"/>
      <c r="H35" s="3">
        <v>2500</v>
      </c>
      <c r="I35" s="58"/>
    </row>
    <row r="36" spans="1:10" x14ac:dyDescent="0.25">
      <c r="A36" s="12"/>
      <c r="B36" s="62" t="s">
        <v>315</v>
      </c>
      <c r="C36" s="50"/>
      <c r="D36" s="50">
        <v>2500</v>
      </c>
      <c r="E36" s="50"/>
      <c r="F36" s="62" t="s">
        <v>315</v>
      </c>
      <c r="G36" s="50"/>
      <c r="H36" s="50">
        <v>2500</v>
      </c>
      <c r="I36" s="58"/>
      <c r="J36" s="43"/>
    </row>
    <row r="37" spans="1:10" x14ac:dyDescent="0.25">
      <c r="A37" s="12"/>
      <c r="B37" s="62"/>
      <c r="C37" s="50"/>
      <c r="D37" s="50"/>
      <c r="E37" s="50"/>
      <c r="F37" s="62"/>
      <c r="G37" s="50"/>
      <c r="H37" s="50"/>
      <c r="I37" s="58"/>
      <c r="J37" s="43"/>
    </row>
    <row r="38" spans="1:10" x14ac:dyDescent="0.25">
      <c r="A38" s="12"/>
      <c r="B38" s="62"/>
      <c r="C38" s="50"/>
      <c r="D38" s="50"/>
      <c r="E38" s="50"/>
      <c r="F38" s="62"/>
      <c r="G38" s="50"/>
      <c r="H38" s="50"/>
      <c r="I38" s="58"/>
    </row>
    <row r="39" spans="1:10" x14ac:dyDescent="0.25">
      <c r="A39" s="12"/>
      <c r="B39" s="62"/>
      <c r="C39" s="50"/>
      <c r="D39" s="50"/>
      <c r="E39" s="50"/>
      <c r="F39" s="62"/>
      <c r="G39" s="50"/>
      <c r="H39" s="50"/>
      <c r="I39" s="58"/>
    </row>
    <row r="40" spans="1:10" x14ac:dyDescent="0.25">
      <c r="A40" s="12"/>
      <c r="B40" s="62"/>
      <c r="C40" s="50"/>
      <c r="D40" s="50"/>
      <c r="E40" s="50"/>
      <c r="F40" s="62"/>
      <c r="G40" s="50"/>
      <c r="H40" s="50"/>
      <c r="I40" s="58"/>
    </row>
    <row r="41" spans="1:10" x14ac:dyDescent="0.25">
      <c r="A41" s="12"/>
      <c r="B41" s="62"/>
      <c r="C41" s="50"/>
      <c r="D41" s="50"/>
      <c r="E41" s="50"/>
      <c r="F41" s="62"/>
      <c r="G41" s="50"/>
      <c r="H41" s="50"/>
      <c r="I41" s="58"/>
    </row>
    <row r="42" spans="1:10" x14ac:dyDescent="0.25">
      <c r="A42" s="12"/>
      <c r="B42" s="55" t="s">
        <v>24</v>
      </c>
      <c r="C42" s="63">
        <f>C27+C28+C29-D30</f>
        <v>30570</v>
      </c>
      <c r="D42" s="55">
        <f>SUM(D32:D41)</f>
        <v>36802</v>
      </c>
      <c r="E42" s="63">
        <f>C42-D42</f>
        <v>-6232</v>
      </c>
      <c r="F42" s="57"/>
      <c r="G42" s="63">
        <f>G27+G28-H30</f>
        <v>23950</v>
      </c>
      <c r="H42" s="63">
        <f>SUM(H32:H41)</f>
        <v>36802</v>
      </c>
      <c r="I42" s="63">
        <f>G42-H42</f>
        <v>-12852</v>
      </c>
    </row>
    <row r="43" spans="1:10" x14ac:dyDescent="0.25">
      <c r="J43" s="43"/>
    </row>
    <row r="44" spans="1:10" x14ac:dyDescent="0.25">
      <c r="I44" s="43">
        <f>G22+I42</f>
        <v>-9732</v>
      </c>
    </row>
    <row r="45" spans="1:10" x14ac:dyDescent="0.25">
      <c r="B45" s="12" t="s">
        <v>38</v>
      </c>
      <c r="D45" s="12" t="s">
        <v>36</v>
      </c>
      <c r="F45" s="12"/>
      <c r="G45" s="12" t="s">
        <v>37</v>
      </c>
      <c r="I45" s="43">
        <f>E42-I44</f>
        <v>3500</v>
      </c>
    </row>
    <row r="46" spans="1:10" x14ac:dyDescent="0.25">
      <c r="D46" s="12"/>
      <c r="F46" s="68">
        <f>D37+D38+D39</f>
        <v>0</v>
      </c>
      <c r="G46" s="12"/>
      <c r="I46" s="43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workbookViewId="0">
      <selection activeCell="K39" sqref="K39:K40"/>
    </sheetView>
  </sheetViews>
  <sheetFormatPr defaultRowHeight="15" x14ac:dyDescent="0.25"/>
  <cols>
    <col min="1" max="1" width="4.5703125" customWidth="1"/>
    <col min="2" max="2" width="19" customWidth="1"/>
  </cols>
  <sheetData>
    <row r="1" spans="1:9" ht="18.75" x14ac:dyDescent="0.25">
      <c r="C1" s="38" t="s">
        <v>59</v>
      </c>
      <c r="D1" s="39"/>
      <c r="E1" s="36"/>
      <c r="F1" s="34"/>
    </row>
    <row r="2" spans="1:9" ht="18.75" x14ac:dyDescent="0.25">
      <c r="C2" s="38" t="s">
        <v>60</v>
      </c>
      <c r="D2" s="38"/>
      <c r="E2" s="11"/>
      <c r="F2" s="11"/>
    </row>
    <row r="3" spans="1:9" ht="18.75" x14ac:dyDescent="0.25">
      <c r="C3" s="38" t="s">
        <v>340</v>
      </c>
      <c r="D3" s="38"/>
      <c r="E3" s="11"/>
      <c r="F3" s="11"/>
    </row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/>
      <c r="I4" s="1"/>
    </row>
    <row r="5" spans="1:9" x14ac:dyDescent="0.25">
      <c r="A5" s="3">
        <v>1</v>
      </c>
      <c r="B5" s="3" t="s">
        <v>91</v>
      </c>
      <c r="C5" s="3">
        <v>4000</v>
      </c>
      <c r="D5" s="3">
        <f>APRIL21!G5:G20</f>
        <v>0</v>
      </c>
      <c r="E5" s="3">
        <f t="shared" ref="E5:E21" si="0">C5+D5</f>
        <v>4000</v>
      </c>
      <c r="F5" s="3">
        <v>4000</v>
      </c>
      <c r="G5" s="3">
        <f>E5-F5</f>
        <v>0</v>
      </c>
      <c r="H5" s="3"/>
    </row>
    <row r="6" spans="1:9" x14ac:dyDescent="0.25">
      <c r="A6" s="3">
        <v>2</v>
      </c>
      <c r="B6" t="s">
        <v>126</v>
      </c>
      <c r="C6" s="3">
        <v>2500</v>
      </c>
      <c r="D6" s="3">
        <f>APRIL21!G6:G21</f>
        <v>0</v>
      </c>
      <c r="E6" s="3">
        <f t="shared" si="0"/>
        <v>2500</v>
      </c>
      <c r="F6" s="3">
        <v>2500</v>
      </c>
      <c r="G6" s="3">
        <f t="shared" ref="G6:G18" si="1">E6-F6</f>
        <v>0</v>
      </c>
      <c r="H6" s="3"/>
    </row>
    <row r="7" spans="1:9" x14ac:dyDescent="0.25">
      <c r="A7" s="3">
        <v>3</v>
      </c>
      <c r="B7" s="27" t="s">
        <v>56</v>
      </c>
      <c r="C7" s="3"/>
      <c r="D7" s="3">
        <f>APRIL21!G7:G22</f>
        <v>0</v>
      </c>
      <c r="E7" s="3">
        <f t="shared" si="0"/>
        <v>0</v>
      </c>
      <c r="F7" s="3"/>
      <c r="G7" s="3">
        <f t="shared" si="1"/>
        <v>0</v>
      </c>
      <c r="H7" s="3"/>
    </row>
    <row r="8" spans="1:9" x14ac:dyDescent="0.25">
      <c r="A8" s="3">
        <v>4</v>
      </c>
      <c r="B8" s="3" t="s">
        <v>74</v>
      </c>
      <c r="C8" s="3">
        <v>2500</v>
      </c>
      <c r="D8" s="3">
        <f>APRIL21!G8:G23</f>
        <v>0</v>
      </c>
      <c r="E8" s="3">
        <f t="shared" si="0"/>
        <v>2500</v>
      </c>
      <c r="F8" s="3">
        <f>2000+500</f>
        <v>2500</v>
      </c>
      <c r="G8" s="3">
        <f t="shared" si="1"/>
        <v>0</v>
      </c>
      <c r="H8" s="3"/>
    </row>
    <row r="9" spans="1:9" x14ac:dyDescent="0.25">
      <c r="A9" s="3">
        <v>5</v>
      </c>
      <c r="B9" s="3" t="s">
        <v>307</v>
      </c>
      <c r="C9" s="3">
        <v>3000</v>
      </c>
      <c r="D9" s="3">
        <f>APRIL21!G9:G24</f>
        <v>0</v>
      </c>
      <c r="E9" s="3">
        <f t="shared" si="0"/>
        <v>3000</v>
      </c>
      <c r="F9" s="3">
        <v>3000</v>
      </c>
      <c r="G9" s="3">
        <f>E9-F9</f>
        <v>0</v>
      </c>
      <c r="H9" s="3"/>
    </row>
    <row r="10" spans="1:9" x14ac:dyDescent="0.25">
      <c r="A10" s="3">
        <v>6</v>
      </c>
      <c r="B10" s="64" t="s">
        <v>336</v>
      </c>
      <c r="C10" s="3">
        <v>2500</v>
      </c>
      <c r="D10" s="3">
        <f>APRIL21!G10:G25</f>
        <v>0</v>
      </c>
      <c r="E10" s="3">
        <f t="shared" si="0"/>
        <v>2500</v>
      </c>
      <c r="F10" s="3">
        <v>2500</v>
      </c>
      <c r="G10" s="3">
        <f t="shared" si="1"/>
        <v>0</v>
      </c>
      <c r="H10" s="3"/>
    </row>
    <row r="11" spans="1:9" x14ac:dyDescent="0.25">
      <c r="A11" s="3">
        <v>7</v>
      </c>
      <c r="B11" s="3" t="s">
        <v>13</v>
      </c>
      <c r="C11" s="3">
        <v>2500</v>
      </c>
      <c r="D11" s="3">
        <f>APRIL21!G11:G26</f>
        <v>0</v>
      </c>
      <c r="E11" s="3">
        <f t="shared" si="0"/>
        <v>2500</v>
      </c>
      <c r="F11" s="3">
        <v>2500</v>
      </c>
      <c r="G11" s="3">
        <f t="shared" si="1"/>
        <v>0</v>
      </c>
      <c r="H11" s="3"/>
    </row>
    <row r="12" spans="1:9" x14ac:dyDescent="0.25">
      <c r="A12" s="3">
        <v>8</v>
      </c>
      <c r="B12" s="3" t="s">
        <v>105</v>
      </c>
      <c r="C12" s="3">
        <v>2500</v>
      </c>
      <c r="D12" s="3">
        <f>APRIL21!G12:G27</f>
        <v>2200</v>
      </c>
      <c r="E12" s="3">
        <f t="shared" si="0"/>
        <v>4700</v>
      </c>
      <c r="F12" s="3">
        <f>2500</f>
        <v>2500</v>
      </c>
      <c r="G12" s="3">
        <f t="shared" si="1"/>
        <v>2200</v>
      </c>
      <c r="H12" s="3"/>
    </row>
    <row r="13" spans="1:9" x14ac:dyDescent="0.25">
      <c r="A13" s="3">
        <v>9</v>
      </c>
      <c r="B13" s="3" t="s">
        <v>96</v>
      </c>
      <c r="C13" s="3">
        <v>2500</v>
      </c>
      <c r="D13" s="3">
        <f>APRIL21!G13:G28</f>
        <v>920</v>
      </c>
      <c r="E13" s="3">
        <f t="shared" si="0"/>
        <v>3420</v>
      </c>
      <c r="F13" s="3">
        <f>1300+1000</f>
        <v>2300</v>
      </c>
      <c r="G13" s="3">
        <f t="shared" si="1"/>
        <v>1120</v>
      </c>
      <c r="H13" s="3"/>
    </row>
    <row r="14" spans="1:9" x14ac:dyDescent="0.25">
      <c r="A14" s="3">
        <v>10</v>
      </c>
      <c r="B14" s="3" t="s">
        <v>319</v>
      </c>
      <c r="C14" s="3">
        <v>2500</v>
      </c>
      <c r="D14" s="3">
        <f>APRIL21!G14:G29</f>
        <v>0</v>
      </c>
      <c r="E14" s="3">
        <f t="shared" si="0"/>
        <v>2500</v>
      </c>
      <c r="F14" s="3">
        <v>2500</v>
      </c>
      <c r="G14" s="3">
        <f>E14-F14</f>
        <v>0</v>
      </c>
      <c r="H14" s="3"/>
    </row>
    <row r="15" spans="1:9" x14ac:dyDescent="0.25">
      <c r="A15" s="3">
        <v>11</v>
      </c>
      <c r="B15" s="3" t="s">
        <v>319</v>
      </c>
      <c r="C15" s="3">
        <v>3000</v>
      </c>
      <c r="D15" s="3">
        <f>APRIL21!G15:G30</f>
        <v>0</v>
      </c>
      <c r="E15" s="3">
        <f t="shared" si="0"/>
        <v>3000</v>
      </c>
      <c r="F15" s="3">
        <v>3000</v>
      </c>
      <c r="G15" s="3">
        <f t="shared" si="1"/>
        <v>0</v>
      </c>
      <c r="H15" s="3"/>
    </row>
    <row r="16" spans="1:9" x14ac:dyDescent="0.25">
      <c r="A16" s="3">
        <v>12</v>
      </c>
      <c r="B16" s="3" t="s">
        <v>165</v>
      </c>
      <c r="C16" s="3">
        <v>2500</v>
      </c>
      <c r="D16" s="3">
        <f>APRIL21!G16:G31</f>
        <v>0</v>
      </c>
      <c r="E16" s="3">
        <f t="shared" si="0"/>
        <v>2500</v>
      </c>
      <c r="F16" s="3">
        <f>1000</f>
        <v>1000</v>
      </c>
      <c r="G16" s="3">
        <f t="shared" si="1"/>
        <v>1500</v>
      </c>
      <c r="H16" s="3"/>
    </row>
    <row r="17" spans="1:10" x14ac:dyDescent="0.25">
      <c r="A17" s="3">
        <v>13</v>
      </c>
      <c r="B17" s="3" t="s">
        <v>19</v>
      </c>
      <c r="C17" s="3">
        <v>2500</v>
      </c>
      <c r="D17" s="3">
        <f>APRIL21!G17:G32</f>
        <v>0</v>
      </c>
      <c r="E17" s="3">
        <f t="shared" si="0"/>
        <v>2500</v>
      </c>
      <c r="F17" s="3">
        <v>2500</v>
      </c>
      <c r="G17" s="3">
        <f t="shared" si="1"/>
        <v>0</v>
      </c>
      <c r="H17" s="3"/>
    </row>
    <row r="18" spans="1:10" x14ac:dyDescent="0.25">
      <c r="A18" s="3">
        <v>14</v>
      </c>
      <c r="B18" s="3" t="s">
        <v>160</v>
      </c>
      <c r="C18" s="3">
        <v>2500</v>
      </c>
      <c r="D18" s="3">
        <f>APRIL21!G18:G33</f>
        <v>0</v>
      </c>
      <c r="E18" s="3">
        <f t="shared" si="0"/>
        <v>2500</v>
      </c>
      <c r="F18" s="3"/>
      <c r="G18" s="3">
        <f t="shared" si="1"/>
        <v>2500</v>
      </c>
      <c r="H18" s="3"/>
    </row>
    <row r="19" spans="1:10" x14ac:dyDescent="0.25">
      <c r="A19" s="3">
        <v>15</v>
      </c>
      <c r="B19" s="3" t="s">
        <v>280</v>
      </c>
      <c r="C19" s="3">
        <v>2500</v>
      </c>
      <c r="D19" s="3">
        <f>APRIL21!G19:G34</f>
        <v>0</v>
      </c>
      <c r="E19" s="3">
        <f t="shared" si="0"/>
        <v>2500</v>
      </c>
      <c r="F19" s="3">
        <f>500+2000</f>
        <v>2500</v>
      </c>
      <c r="G19" s="3">
        <f>E19-F19</f>
        <v>0</v>
      </c>
      <c r="H19" s="3"/>
    </row>
    <row r="20" spans="1:10" x14ac:dyDescent="0.25">
      <c r="A20" s="3">
        <v>16</v>
      </c>
      <c r="B20" s="3" t="s">
        <v>320</v>
      </c>
      <c r="C20" s="3">
        <v>2500</v>
      </c>
      <c r="D20" s="3">
        <f>APRIL21!G20:G35</f>
        <v>0</v>
      </c>
      <c r="E20" s="3">
        <f t="shared" si="0"/>
        <v>2500</v>
      </c>
      <c r="F20" s="3">
        <v>2500</v>
      </c>
      <c r="G20" s="3">
        <f>E20-F20</f>
        <v>0</v>
      </c>
      <c r="H20" s="3"/>
    </row>
    <row r="21" spans="1:10" x14ac:dyDescent="0.25">
      <c r="A21" s="3">
        <v>17</v>
      </c>
      <c r="B21" s="3" t="s">
        <v>73</v>
      </c>
      <c r="C21" s="3">
        <v>2500</v>
      </c>
      <c r="D21" s="3">
        <f>APRIL21!G21:G36</f>
        <v>0</v>
      </c>
      <c r="E21" s="3">
        <f t="shared" si="0"/>
        <v>2500</v>
      </c>
      <c r="F21" s="3">
        <f>2500</f>
        <v>2500</v>
      </c>
      <c r="G21" s="32">
        <f>E21-F21</f>
        <v>0</v>
      </c>
      <c r="H21" s="58"/>
    </row>
    <row r="22" spans="1:10" x14ac:dyDescent="0.25">
      <c r="A22" s="2"/>
      <c r="B22" s="4" t="s">
        <v>24</v>
      </c>
      <c r="C22" s="2">
        <f>SUM(C5:C21)</f>
        <v>42500</v>
      </c>
      <c r="D22" s="3">
        <f>SUM(D5:D21)</f>
        <v>3120</v>
      </c>
      <c r="E22" s="2">
        <f>SUM(E5:E21)</f>
        <v>45620</v>
      </c>
      <c r="F22" s="2">
        <f>SUM(F5:F21)</f>
        <v>38300</v>
      </c>
      <c r="G22" s="2">
        <f>SUM(G5:G21)</f>
        <v>7320</v>
      </c>
      <c r="H22" s="2"/>
      <c r="I22" s="1"/>
    </row>
    <row r="23" spans="1:10" x14ac:dyDescent="0.25">
      <c r="A23" s="3"/>
      <c r="B23" s="3"/>
      <c r="C23" s="3"/>
      <c r="D23" s="3">
        <f>'SEPTEMBER 20'!G23:G41</f>
        <v>0</v>
      </c>
      <c r="E23" s="3"/>
      <c r="F23" s="3"/>
      <c r="G23" s="3"/>
      <c r="H23" s="3"/>
    </row>
    <row r="24" spans="1:10" x14ac:dyDescent="0.25">
      <c r="A24" s="12"/>
      <c r="G24">
        <f>G18+G15+G12+G11+G14+G16</f>
        <v>6200</v>
      </c>
    </row>
    <row r="25" spans="1:10" ht="18.75" x14ac:dyDescent="0.3">
      <c r="A25" s="12"/>
      <c r="B25" s="51" t="s">
        <v>27</v>
      </c>
      <c r="C25" s="52"/>
      <c r="D25" s="52"/>
      <c r="E25" s="52"/>
      <c r="F25" s="52"/>
      <c r="G25" s="52"/>
      <c r="H25" s="53"/>
      <c r="I25" s="53"/>
      <c r="J25" s="1"/>
    </row>
    <row r="26" spans="1:10" ht="15.75" x14ac:dyDescent="0.25">
      <c r="A26" s="12"/>
      <c r="B26" s="54" t="s">
        <v>28</v>
      </c>
      <c r="C26" s="54" t="s">
        <v>29</v>
      </c>
      <c r="D26" s="54" t="s">
        <v>30</v>
      </c>
      <c r="E26" s="54" t="s">
        <v>62</v>
      </c>
      <c r="F26" s="54" t="s">
        <v>69</v>
      </c>
      <c r="G26" s="54" t="s">
        <v>29</v>
      </c>
      <c r="H26" s="54" t="s">
        <v>30</v>
      </c>
      <c r="I26" s="54" t="s">
        <v>62</v>
      </c>
      <c r="J26" s="65"/>
    </row>
    <row r="27" spans="1:10" x14ac:dyDescent="0.25">
      <c r="A27" s="12"/>
      <c r="B27" s="55" t="s">
        <v>77</v>
      </c>
      <c r="C27" s="50">
        <f>C22</f>
        <v>42500</v>
      </c>
      <c r="D27" s="56">
        <v>0.1</v>
      </c>
      <c r="E27" s="50"/>
      <c r="F27" s="57" t="s">
        <v>77</v>
      </c>
      <c r="G27" s="50">
        <f>F22</f>
        <v>38300</v>
      </c>
      <c r="H27" s="56">
        <v>0.1</v>
      </c>
      <c r="I27" s="58"/>
      <c r="J27" s="1"/>
    </row>
    <row r="28" spans="1:10" x14ac:dyDescent="0.25">
      <c r="A28" s="12"/>
      <c r="B28" s="58" t="s">
        <v>55</v>
      </c>
      <c r="C28" s="50">
        <f>APRIL21!E42</f>
        <v>-6232</v>
      </c>
      <c r="D28" s="58"/>
      <c r="E28" s="58"/>
      <c r="F28" s="58" t="s">
        <v>55</v>
      </c>
      <c r="G28" s="50">
        <f>APRIL21!I42</f>
        <v>-12852</v>
      </c>
      <c r="H28" s="58"/>
      <c r="I28" s="58"/>
      <c r="J28" s="1"/>
    </row>
    <row r="29" spans="1:10" x14ac:dyDescent="0.25">
      <c r="A29" s="12"/>
      <c r="B29" s="58"/>
      <c r="C29" s="50"/>
      <c r="D29" s="58"/>
      <c r="E29" s="58"/>
      <c r="F29" s="58"/>
      <c r="G29" s="50"/>
      <c r="H29" s="58"/>
      <c r="I29" s="58"/>
      <c r="J29" s="66"/>
    </row>
    <row r="30" spans="1:10" x14ac:dyDescent="0.25">
      <c r="A30" s="12"/>
      <c r="B30" s="58" t="s">
        <v>33</v>
      </c>
      <c r="C30" s="59"/>
      <c r="D30" s="58">
        <f>C27*D27</f>
        <v>4250</v>
      </c>
      <c r="E30" s="58"/>
      <c r="F30" s="58" t="s">
        <v>33</v>
      </c>
      <c r="G30" s="59"/>
      <c r="H30" s="58">
        <f>H27*C27</f>
        <v>4250</v>
      </c>
      <c r="I30" s="58"/>
      <c r="J30" s="66"/>
    </row>
    <row r="31" spans="1:10" x14ac:dyDescent="0.25">
      <c r="A31" s="12"/>
      <c r="B31" s="60" t="s">
        <v>34</v>
      </c>
      <c r="C31" s="58"/>
      <c r="D31" s="58"/>
      <c r="E31" s="58"/>
      <c r="F31" s="60" t="s">
        <v>34</v>
      </c>
      <c r="G31" s="58"/>
      <c r="H31" s="58"/>
      <c r="I31" s="58"/>
      <c r="J31" s="66"/>
    </row>
    <row r="32" spans="1:10" x14ac:dyDescent="0.25">
      <c r="A32" s="12"/>
      <c r="B32" s="3" t="s">
        <v>161</v>
      </c>
      <c r="C32" s="3"/>
      <c r="D32" s="3">
        <v>8000</v>
      </c>
      <c r="E32" s="3"/>
      <c r="F32" s="3" t="s">
        <v>161</v>
      </c>
      <c r="G32" s="3"/>
      <c r="H32" s="3">
        <v>8000</v>
      </c>
      <c r="I32" s="58"/>
    </row>
    <row r="33" spans="1:10" x14ac:dyDescent="0.25">
      <c r="A33" s="12"/>
      <c r="B33" s="62" t="s">
        <v>342</v>
      </c>
      <c r="C33" s="58"/>
      <c r="D33" s="3">
        <v>24198</v>
      </c>
      <c r="E33" s="58"/>
      <c r="F33" s="62" t="s">
        <v>342</v>
      </c>
      <c r="G33" s="58"/>
      <c r="H33" s="3">
        <v>24198</v>
      </c>
      <c r="I33" s="58"/>
      <c r="J33" s="66"/>
    </row>
    <row r="34" spans="1:10" x14ac:dyDescent="0.25">
      <c r="A34" s="12"/>
      <c r="B34" s="62"/>
      <c r="D34" s="3"/>
      <c r="E34" s="58"/>
      <c r="F34" s="62"/>
      <c r="H34" s="3"/>
      <c r="I34" s="58"/>
    </row>
    <row r="35" spans="1:10" x14ac:dyDescent="0.25">
      <c r="A35" s="12"/>
      <c r="B35" s="62"/>
      <c r="C35" s="50"/>
      <c r="D35" s="3"/>
      <c r="E35" s="50"/>
      <c r="F35" s="62"/>
      <c r="G35" s="50"/>
      <c r="H35" s="3"/>
      <c r="I35" s="58"/>
    </row>
    <row r="36" spans="1:10" x14ac:dyDescent="0.25">
      <c r="A36" s="12"/>
      <c r="B36" s="62"/>
      <c r="C36" s="50"/>
      <c r="D36" s="50"/>
      <c r="E36" s="50"/>
      <c r="F36" s="62"/>
      <c r="G36" s="50"/>
      <c r="H36" s="50"/>
      <c r="I36" s="58"/>
      <c r="J36" s="43"/>
    </row>
    <row r="37" spans="1:10" x14ac:dyDescent="0.25">
      <c r="A37" s="12"/>
      <c r="B37" s="62"/>
      <c r="C37" s="50"/>
      <c r="D37" s="50"/>
      <c r="E37" s="50"/>
      <c r="F37" s="62"/>
      <c r="G37" s="50"/>
      <c r="H37" s="50"/>
      <c r="I37" s="58"/>
      <c r="J37" s="43"/>
    </row>
    <row r="38" spans="1:10" x14ac:dyDescent="0.25">
      <c r="A38" s="12"/>
      <c r="B38" s="62"/>
      <c r="C38" s="50"/>
      <c r="D38" s="50"/>
      <c r="E38" s="50"/>
      <c r="F38" s="62"/>
      <c r="G38" s="50"/>
      <c r="H38" s="50"/>
      <c r="I38" s="58"/>
    </row>
    <row r="39" spans="1:10" x14ac:dyDescent="0.25">
      <c r="A39" s="12"/>
      <c r="B39" s="62"/>
      <c r="C39" s="50"/>
      <c r="D39" s="50"/>
      <c r="E39" s="50"/>
      <c r="F39" s="62"/>
      <c r="G39" s="50"/>
      <c r="H39" s="50"/>
      <c r="I39" s="58"/>
    </row>
    <row r="40" spans="1:10" x14ac:dyDescent="0.25">
      <c r="A40" s="12"/>
      <c r="B40" s="62"/>
      <c r="C40" s="50"/>
      <c r="D40" s="50"/>
      <c r="E40" s="50"/>
      <c r="F40" s="62"/>
      <c r="G40" s="50"/>
      <c r="H40" s="50"/>
      <c r="I40" s="58"/>
    </row>
    <row r="41" spans="1:10" x14ac:dyDescent="0.25">
      <c r="A41" s="12"/>
      <c r="B41" s="62"/>
      <c r="C41" s="50"/>
      <c r="D41" s="50"/>
      <c r="E41" s="50"/>
      <c r="F41" s="62"/>
      <c r="G41" s="50"/>
      <c r="H41" s="50"/>
      <c r="I41" s="58"/>
    </row>
    <row r="42" spans="1:10" x14ac:dyDescent="0.25">
      <c r="A42" s="12"/>
      <c r="B42" s="55" t="s">
        <v>24</v>
      </c>
      <c r="C42" s="63">
        <f>C27+C28+C29-D30</f>
        <v>32018</v>
      </c>
      <c r="D42" s="55">
        <f>SUM(D32:D41)</f>
        <v>32198</v>
      </c>
      <c r="E42" s="63">
        <f>C42-D42</f>
        <v>-180</v>
      </c>
      <c r="F42" s="57"/>
      <c r="G42" s="63">
        <f>G27+G28-H30</f>
        <v>21198</v>
      </c>
      <c r="H42" s="63">
        <f>SUM(H32:H41)</f>
        <v>32198</v>
      </c>
      <c r="I42" s="63">
        <f>G42-H42</f>
        <v>-11000</v>
      </c>
    </row>
    <row r="45" spans="1:10" x14ac:dyDescent="0.25">
      <c r="B45" s="12" t="s">
        <v>38</v>
      </c>
      <c r="D45" s="12" t="s">
        <v>36</v>
      </c>
      <c r="F45" s="12"/>
      <c r="G45" s="12" t="s">
        <v>37</v>
      </c>
    </row>
    <row r="46" spans="1:10" x14ac:dyDescent="0.25">
      <c r="B46" t="s">
        <v>163</v>
      </c>
      <c r="D46" s="12" t="s">
        <v>66</v>
      </c>
      <c r="F46" s="68">
        <f>D37+D38+D39</f>
        <v>0</v>
      </c>
      <c r="G46" s="12" t="s">
        <v>339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opLeftCell="A7" workbookViewId="0">
      <selection activeCell="F19" sqref="F19"/>
    </sheetView>
  </sheetViews>
  <sheetFormatPr defaultRowHeight="15" x14ac:dyDescent="0.25"/>
  <cols>
    <col min="2" max="2" width="18.7109375" customWidth="1"/>
    <col min="7" max="7" width="13.42578125" customWidth="1"/>
  </cols>
  <sheetData>
    <row r="1" spans="1:9" ht="18.75" x14ac:dyDescent="0.25">
      <c r="C1" s="38" t="s">
        <v>59</v>
      </c>
      <c r="D1" s="39"/>
      <c r="E1" s="36"/>
      <c r="F1" s="34"/>
    </row>
    <row r="2" spans="1:9" ht="18.75" x14ac:dyDescent="0.25">
      <c r="C2" s="38" t="s">
        <v>60</v>
      </c>
      <c r="D2" s="38"/>
      <c r="E2" s="11"/>
      <c r="F2" s="11"/>
    </row>
    <row r="3" spans="1:9" ht="18.75" x14ac:dyDescent="0.25">
      <c r="C3" s="38" t="s">
        <v>343</v>
      </c>
      <c r="D3" s="38"/>
      <c r="E3" s="11"/>
      <c r="F3" s="11"/>
    </row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/>
      <c r="I4" s="1"/>
    </row>
    <row r="5" spans="1:9" x14ac:dyDescent="0.25">
      <c r="A5" s="3">
        <v>1</v>
      </c>
      <c r="B5" s="3" t="s">
        <v>91</v>
      </c>
      <c r="C5" s="3">
        <v>4000</v>
      </c>
      <c r="D5" s="3">
        <f>'MAY 21'!G5:G22</f>
        <v>0</v>
      </c>
      <c r="E5" s="3">
        <f t="shared" ref="E5:E21" si="0">C5+D5</f>
        <v>4000</v>
      </c>
      <c r="F5" s="3">
        <f>4000</f>
        <v>4000</v>
      </c>
      <c r="G5" s="3">
        <f>E5-F5</f>
        <v>0</v>
      </c>
      <c r="H5" s="3"/>
    </row>
    <row r="6" spans="1:9" x14ac:dyDescent="0.25">
      <c r="A6" s="3">
        <v>2</v>
      </c>
      <c r="B6" t="s">
        <v>126</v>
      </c>
      <c r="C6" s="3">
        <v>2500</v>
      </c>
      <c r="D6" s="3">
        <f>'MAY 21'!G6:G23</f>
        <v>0</v>
      </c>
      <c r="E6" s="3">
        <f t="shared" si="0"/>
        <v>2500</v>
      </c>
      <c r="F6" s="3">
        <v>2500</v>
      </c>
      <c r="G6" s="3">
        <f t="shared" ref="G6:G18" si="1">E6-F6</f>
        <v>0</v>
      </c>
      <c r="H6" s="3"/>
    </row>
    <row r="7" spans="1:9" x14ac:dyDescent="0.25">
      <c r="A7" s="3">
        <v>3</v>
      </c>
      <c r="B7" s="27"/>
      <c r="C7" s="3"/>
      <c r="D7" s="3">
        <f>'MAY 21'!G7:G24</f>
        <v>0</v>
      </c>
      <c r="E7" s="3">
        <f t="shared" si="0"/>
        <v>0</v>
      </c>
      <c r="F7" s="3"/>
      <c r="G7" s="3">
        <f t="shared" si="1"/>
        <v>0</v>
      </c>
      <c r="H7" s="3"/>
    </row>
    <row r="8" spans="1:9" x14ac:dyDescent="0.25">
      <c r="A8" s="3">
        <v>4</v>
      </c>
      <c r="B8" s="3" t="s">
        <v>74</v>
      </c>
      <c r="C8" s="3">
        <v>2500</v>
      </c>
      <c r="D8" s="3">
        <f>'MAY 21'!G8:G25</f>
        <v>0</v>
      </c>
      <c r="E8" s="3">
        <f t="shared" si="0"/>
        <v>2500</v>
      </c>
      <c r="F8" s="3">
        <f>1000+1000+500</f>
        <v>2500</v>
      </c>
      <c r="G8" s="3">
        <f t="shared" si="1"/>
        <v>0</v>
      </c>
      <c r="H8" s="3"/>
    </row>
    <row r="9" spans="1:9" x14ac:dyDescent="0.25">
      <c r="A9" s="3">
        <v>5</v>
      </c>
      <c r="B9" s="3" t="s">
        <v>307</v>
      </c>
      <c r="C9" s="3">
        <v>3000</v>
      </c>
      <c r="D9" s="3">
        <f>'MAY 21'!G9:G26</f>
        <v>0</v>
      </c>
      <c r="E9" s="3">
        <f t="shared" si="0"/>
        <v>3000</v>
      </c>
      <c r="F9" s="3">
        <v>3000</v>
      </c>
      <c r="G9" s="3">
        <f>E9-F9</f>
        <v>0</v>
      </c>
      <c r="H9" s="3"/>
    </row>
    <row r="10" spans="1:9" x14ac:dyDescent="0.25">
      <c r="A10" s="3">
        <v>6</v>
      </c>
      <c r="B10" s="64" t="s">
        <v>336</v>
      </c>
      <c r="C10" s="3">
        <v>2500</v>
      </c>
      <c r="D10" s="3">
        <f>'MAY 21'!G10:G27</f>
        <v>0</v>
      </c>
      <c r="E10" s="3">
        <f t="shared" si="0"/>
        <v>2500</v>
      </c>
      <c r="F10" s="3">
        <v>2500</v>
      </c>
      <c r="G10" s="3">
        <f t="shared" si="1"/>
        <v>0</v>
      </c>
      <c r="H10" s="3"/>
    </row>
    <row r="11" spans="1:9" x14ac:dyDescent="0.25">
      <c r="A11" s="3">
        <v>7</v>
      </c>
      <c r="B11" s="3" t="s">
        <v>13</v>
      </c>
      <c r="C11" s="3">
        <v>2500</v>
      </c>
      <c r="D11" s="3">
        <f>'MAY 21'!G11:G28</f>
        <v>0</v>
      </c>
      <c r="E11" s="3">
        <f t="shared" si="0"/>
        <v>2500</v>
      </c>
      <c r="F11" s="3">
        <v>2500</v>
      </c>
      <c r="G11" s="3">
        <f t="shared" si="1"/>
        <v>0</v>
      </c>
      <c r="H11" s="3"/>
    </row>
    <row r="12" spans="1:9" x14ac:dyDescent="0.25">
      <c r="A12" s="3">
        <v>8</v>
      </c>
      <c r="B12" s="3" t="s">
        <v>105</v>
      </c>
      <c r="C12" s="3">
        <v>2500</v>
      </c>
      <c r="D12" s="3">
        <f>'MAY 21'!G12:G29</f>
        <v>2200</v>
      </c>
      <c r="E12" s="3">
        <f t="shared" si="0"/>
        <v>4700</v>
      </c>
      <c r="F12" s="3">
        <f>2000</f>
        <v>2000</v>
      </c>
      <c r="G12" s="3">
        <f>E12-F12</f>
        <v>2700</v>
      </c>
      <c r="H12" s="3"/>
    </row>
    <row r="13" spans="1:9" x14ac:dyDescent="0.25">
      <c r="A13" s="3">
        <v>9</v>
      </c>
      <c r="B13" s="3" t="s">
        <v>96</v>
      </c>
      <c r="C13" s="3">
        <v>2500</v>
      </c>
      <c r="D13" s="3">
        <f>'MAY 21'!G13:G30</f>
        <v>1120</v>
      </c>
      <c r="E13" s="3">
        <f t="shared" si="0"/>
        <v>3620</v>
      </c>
      <c r="F13" s="3">
        <f>2700</f>
        <v>2700</v>
      </c>
      <c r="G13" s="3">
        <f t="shared" si="1"/>
        <v>920</v>
      </c>
      <c r="H13" s="3"/>
    </row>
    <row r="14" spans="1:9" x14ac:dyDescent="0.25">
      <c r="A14" s="3">
        <v>10</v>
      </c>
      <c r="B14" s="3" t="s">
        <v>319</v>
      </c>
      <c r="C14" s="3">
        <v>2500</v>
      </c>
      <c r="D14" s="3">
        <f>'MAY 21'!G14:G31</f>
        <v>0</v>
      </c>
      <c r="E14" s="3">
        <f t="shared" si="0"/>
        <v>2500</v>
      </c>
      <c r="F14" s="3">
        <v>2500</v>
      </c>
      <c r="G14" s="3">
        <f>E14-F14</f>
        <v>0</v>
      </c>
      <c r="H14" s="3"/>
    </row>
    <row r="15" spans="1:9" x14ac:dyDescent="0.25">
      <c r="A15" s="3">
        <v>11</v>
      </c>
      <c r="B15" s="3" t="s">
        <v>319</v>
      </c>
      <c r="C15" s="3">
        <v>3000</v>
      </c>
      <c r="D15" s="3">
        <f>'MAY 21'!G15:G32</f>
        <v>0</v>
      </c>
      <c r="E15" s="3">
        <f t="shared" si="0"/>
        <v>3000</v>
      </c>
      <c r="F15" s="3">
        <v>3000</v>
      </c>
      <c r="G15" s="3">
        <f t="shared" si="1"/>
        <v>0</v>
      </c>
      <c r="H15" s="3"/>
    </row>
    <row r="16" spans="1:9" x14ac:dyDescent="0.25">
      <c r="A16" s="3">
        <v>12</v>
      </c>
      <c r="B16" s="3" t="s">
        <v>165</v>
      </c>
      <c r="C16" s="3">
        <v>2500</v>
      </c>
      <c r="D16" s="3">
        <f>'MAY 21'!G16:G33</f>
        <v>1500</v>
      </c>
      <c r="E16" s="3">
        <f t="shared" si="0"/>
        <v>4000</v>
      </c>
      <c r="F16" s="3">
        <f>2500</f>
        <v>2500</v>
      </c>
      <c r="G16" s="3">
        <f>E16-F16</f>
        <v>1500</v>
      </c>
      <c r="H16" s="3"/>
    </row>
    <row r="17" spans="1:13" x14ac:dyDescent="0.25">
      <c r="A17" s="3">
        <v>13</v>
      </c>
      <c r="B17" s="3" t="s">
        <v>19</v>
      </c>
      <c r="C17" s="3">
        <v>2500</v>
      </c>
      <c r="D17" s="3">
        <f>'MAY 21'!G17:G34</f>
        <v>0</v>
      </c>
      <c r="E17" s="3">
        <f t="shared" si="0"/>
        <v>2500</v>
      </c>
      <c r="F17" s="3">
        <v>2500</v>
      </c>
      <c r="G17" s="3">
        <f t="shared" si="1"/>
        <v>0</v>
      </c>
      <c r="H17" s="3"/>
    </row>
    <row r="18" spans="1:13" x14ac:dyDescent="0.25">
      <c r="A18" s="3">
        <v>14</v>
      </c>
      <c r="B18" s="3" t="s">
        <v>160</v>
      </c>
      <c r="C18" s="3">
        <v>2500</v>
      </c>
      <c r="D18" s="3">
        <f>'MAY 21'!G18:G35</f>
        <v>2500</v>
      </c>
      <c r="E18" s="3">
        <f t="shared" si="0"/>
        <v>5000</v>
      </c>
      <c r="F18" s="3">
        <v>5000</v>
      </c>
      <c r="G18" s="3">
        <f t="shared" si="1"/>
        <v>0</v>
      </c>
      <c r="H18" s="3"/>
    </row>
    <row r="19" spans="1:13" x14ac:dyDescent="0.25">
      <c r="A19" s="3">
        <v>15</v>
      </c>
      <c r="B19" s="3" t="s">
        <v>280</v>
      </c>
      <c r="C19" s="3">
        <v>2500</v>
      </c>
      <c r="D19" s="3">
        <f>'MAY 21'!G19:G36</f>
        <v>0</v>
      </c>
      <c r="E19" s="3">
        <f t="shared" si="0"/>
        <v>2500</v>
      </c>
      <c r="F19" s="3">
        <f>900</f>
        <v>900</v>
      </c>
      <c r="G19" s="3">
        <f>E19-F19</f>
        <v>1600</v>
      </c>
      <c r="H19" s="3"/>
    </row>
    <row r="20" spans="1:13" x14ac:dyDescent="0.25">
      <c r="A20" s="3">
        <v>16</v>
      </c>
      <c r="B20" s="3" t="s">
        <v>320</v>
      </c>
      <c r="C20" s="3">
        <v>2500</v>
      </c>
      <c r="D20" s="3">
        <f>'MAY 21'!G20:G37</f>
        <v>0</v>
      </c>
      <c r="E20" s="3">
        <f t="shared" si="0"/>
        <v>2500</v>
      </c>
      <c r="F20" s="3"/>
      <c r="G20" s="3">
        <f>E20-F20</f>
        <v>2500</v>
      </c>
      <c r="H20" s="3"/>
    </row>
    <row r="21" spans="1:13" x14ac:dyDescent="0.25">
      <c r="A21" s="3">
        <v>17</v>
      </c>
      <c r="B21" s="3" t="s">
        <v>73</v>
      </c>
      <c r="C21" s="3">
        <v>2500</v>
      </c>
      <c r="D21" s="3">
        <f>'MAY 21'!G21:G38</f>
        <v>0</v>
      </c>
      <c r="E21" s="3">
        <f t="shared" si="0"/>
        <v>2500</v>
      </c>
      <c r="F21" s="3">
        <f>2500</f>
        <v>2500</v>
      </c>
      <c r="G21" s="3">
        <f>E21-F21</f>
        <v>0</v>
      </c>
      <c r="H21" s="58"/>
    </row>
    <row r="22" spans="1:13" x14ac:dyDescent="0.25">
      <c r="A22" s="2"/>
      <c r="B22" s="4" t="s">
        <v>24</v>
      </c>
      <c r="C22" s="2">
        <f>SUM(C5:C21)</f>
        <v>42500</v>
      </c>
      <c r="D22" s="3">
        <f>SUM(D5:D21)</f>
        <v>7320</v>
      </c>
      <c r="E22" s="2">
        <f>SUM(E5:E21)</f>
        <v>49820</v>
      </c>
      <c r="F22" s="2">
        <f>SUM(F5:F21)</f>
        <v>40600</v>
      </c>
      <c r="G22" s="2">
        <f>SUM(G5:G21)</f>
        <v>9220</v>
      </c>
      <c r="H22" s="2"/>
      <c r="I22" s="1"/>
    </row>
    <row r="23" spans="1:13" x14ac:dyDescent="0.25">
      <c r="A23" s="3"/>
      <c r="B23" s="27" t="s">
        <v>346</v>
      </c>
      <c r="C23" s="3"/>
      <c r="D23" s="3">
        <f>'SEPTEMBER 20'!G23:G41</f>
        <v>0</v>
      </c>
      <c r="E23" s="3"/>
      <c r="F23" s="3"/>
      <c r="G23" s="27">
        <v>3500</v>
      </c>
      <c r="H23" s="3"/>
    </row>
    <row r="24" spans="1:13" x14ac:dyDescent="0.25">
      <c r="A24" s="12"/>
      <c r="G24">
        <f>G22+G23</f>
        <v>12720</v>
      </c>
    </row>
    <row r="25" spans="1:13" ht="18.75" x14ac:dyDescent="0.3">
      <c r="A25" s="12"/>
      <c r="B25" s="51" t="s">
        <v>27</v>
      </c>
      <c r="C25" s="52"/>
      <c r="D25" s="52"/>
      <c r="E25" s="52"/>
      <c r="F25" s="52"/>
      <c r="G25" s="52"/>
      <c r="H25" s="53"/>
      <c r="I25" s="53"/>
      <c r="J25" s="1"/>
    </row>
    <row r="26" spans="1:13" ht="15.75" x14ac:dyDescent="0.25">
      <c r="A26" s="12"/>
      <c r="B26" s="54" t="s">
        <v>28</v>
      </c>
      <c r="C26" s="54" t="s">
        <v>29</v>
      </c>
      <c r="D26" s="54" t="s">
        <v>30</v>
      </c>
      <c r="E26" s="54" t="s">
        <v>62</v>
      </c>
      <c r="F26" s="54" t="s">
        <v>69</v>
      </c>
      <c r="G26" s="54" t="s">
        <v>29</v>
      </c>
      <c r="H26" s="54" t="s">
        <v>30</v>
      </c>
      <c r="I26" s="54" t="s">
        <v>62</v>
      </c>
      <c r="J26" s="65">
        <f>G9+G12+G16+G18+G19+G20</f>
        <v>8300</v>
      </c>
    </row>
    <row r="27" spans="1:13" x14ac:dyDescent="0.25">
      <c r="A27" s="12"/>
      <c r="B27" s="55" t="s">
        <v>79</v>
      </c>
      <c r="C27" s="50">
        <f>C22</f>
        <v>42500</v>
      </c>
      <c r="D27" s="56">
        <v>0.1</v>
      </c>
      <c r="E27" s="50"/>
      <c r="F27" s="57" t="s">
        <v>79</v>
      </c>
      <c r="G27" s="50">
        <f>F22</f>
        <v>40600</v>
      </c>
      <c r="H27" s="56">
        <v>0.1</v>
      </c>
      <c r="I27" s="58"/>
      <c r="J27" s="1"/>
    </row>
    <row r="28" spans="1:13" x14ac:dyDescent="0.25">
      <c r="A28" s="12"/>
      <c r="B28" s="58" t="s">
        <v>55</v>
      </c>
      <c r="C28" s="50">
        <f>'MAY 21'!E42</f>
        <v>-180</v>
      </c>
      <c r="D28" s="58"/>
      <c r="E28" s="58"/>
      <c r="F28" s="58" t="s">
        <v>55</v>
      </c>
      <c r="G28" s="50">
        <f>'MAY 21'!I42</f>
        <v>-11000</v>
      </c>
      <c r="H28" s="58"/>
      <c r="I28" s="58"/>
      <c r="J28" s="1"/>
    </row>
    <row r="29" spans="1:13" x14ac:dyDescent="0.25">
      <c r="A29" s="12"/>
      <c r="B29" s="58"/>
      <c r="C29" s="50"/>
      <c r="D29" s="58"/>
      <c r="E29" s="58"/>
      <c r="F29" s="58"/>
      <c r="G29" s="50"/>
      <c r="H29" s="58"/>
      <c r="I29" s="58"/>
      <c r="J29" s="66"/>
    </row>
    <row r="30" spans="1:13" x14ac:dyDescent="0.25">
      <c r="A30" s="12"/>
      <c r="B30" s="58" t="s">
        <v>33</v>
      </c>
      <c r="C30" s="59"/>
      <c r="D30" s="58">
        <f>C27*D27</f>
        <v>4250</v>
      </c>
      <c r="E30" s="58"/>
      <c r="F30" s="58" t="s">
        <v>33</v>
      </c>
      <c r="G30" s="59"/>
      <c r="H30" s="58">
        <f>H27*C27</f>
        <v>4250</v>
      </c>
      <c r="I30" s="58"/>
      <c r="J30" s="66"/>
    </row>
    <row r="31" spans="1:13" x14ac:dyDescent="0.25">
      <c r="A31" s="12"/>
      <c r="B31" s="60" t="s">
        <v>34</v>
      </c>
      <c r="C31" s="58"/>
      <c r="D31" s="58"/>
      <c r="E31" s="58"/>
      <c r="F31" s="60" t="s">
        <v>34</v>
      </c>
      <c r="G31" s="58"/>
      <c r="H31" s="58"/>
      <c r="I31" s="58"/>
      <c r="J31" s="66"/>
      <c r="M31" s="32"/>
    </row>
    <row r="32" spans="1:13" x14ac:dyDescent="0.25">
      <c r="A32" s="12"/>
      <c r="B32" s="3" t="s">
        <v>161</v>
      </c>
      <c r="C32" s="3"/>
      <c r="D32" s="3">
        <v>8000</v>
      </c>
      <c r="E32" s="3"/>
      <c r="F32" s="3" t="s">
        <v>161</v>
      </c>
      <c r="G32" s="3"/>
      <c r="H32" s="3">
        <v>8000</v>
      </c>
      <c r="I32" s="58"/>
    </row>
    <row r="33" spans="1:12" x14ac:dyDescent="0.25">
      <c r="A33" s="12"/>
      <c r="B33" s="62" t="s">
        <v>344</v>
      </c>
      <c r="C33" s="58"/>
      <c r="D33" s="3">
        <v>2062</v>
      </c>
      <c r="E33" s="58"/>
      <c r="F33" s="62" t="s">
        <v>344</v>
      </c>
      <c r="G33" s="58"/>
      <c r="H33" s="3">
        <v>2062</v>
      </c>
      <c r="I33" s="58"/>
      <c r="J33" s="66"/>
    </row>
    <row r="34" spans="1:12" x14ac:dyDescent="0.25">
      <c r="A34" s="12"/>
      <c r="B34" s="62" t="s">
        <v>239</v>
      </c>
      <c r="D34" s="3">
        <v>28008</v>
      </c>
      <c r="E34" s="58"/>
      <c r="F34" s="62" t="s">
        <v>239</v>
      </c>
      <c r="H34" s="3">
        <v>28008</v>
      </c>
      <c r="I34" s="58"/>
    </row>
    <row r="35" spans="1:12" x14ac:dyDescent="0.25">
      <c r="A35" s="12"/>
      <c r="B35" s="62" t="s">
        <v>315</v>
      </c>
      <c r="C35" s="50"/>
      <c r="D35" s="3">
        <v>3000</v>
      </c>
      <c r="E35" s="50"/>
      <c r="F35" s="62" t="s">
        <v>315</v>
      </c>
      <c r="G35" s="50"/>
      <c r="H35" s="3">
        <v>3000</v>
      </c>
      <c r="I35" s="58"/>
    </row>
    <row r="36" spans="1:12" x14ac:dyDescent="0.25">
      <c r="A36" s="12"/>
      <c r="B36" s="62"/>
      <c r="C36" s="50"/>
      <c r="D36" s="50"/>
      <c r="E36" s="50"/>
      <c r="F36" s="62"/>
      <c r="G36" s="50"/>
      <c r="H36" s="50"/>
      <c r="I36" s="58"/>
      <c r="J36" s="43"/>
    </row>
    <row r="37" spans="1:12" x14ac:dyDescent="0.25">
      <c r="A37" s="12"/>
      <c r="B37" s="62"/>
      <c r="C37" s="50"/>
      <c r="D37" s="50"/>
      <c r="E37" s="50"/>
      <c r="F37" s="62"/>
      <c r="G37" s="50"/>
      <c r="H37" s="50"/>
      <c r="I37" s="58"/>
      <c r="J37" s="43"/>
    </row>
    <row r="38" spans="1:12" x14ac:dyDescent="0.25">
      <c r="A38" s="12"/>
      <c r="B38" s="62"/>
      <c r="C38" s="50"/>
      <c r="D38" s="50"/>
      <c r="E38" s="50"/>
      <c r="F38" s="62"/>
      <c r="G38" s="50"/>
      <c r="H38" s="50"/>
      <c r="I38" s="58"/>
      <c r="J38" s="43"/>
    </row>
    <row r="39" spans="1:12" x14ac:dyDescent="0.25">
      <c r="A39" s="12"/>
      <c r="B39" s="62"/>
      <c r="C39" s="50"/>
      <c r="D39" s="50"/>
      <c r="E39" s="50"/>
      <c r="F39" s="62"/>
      <c r="G39" s="50"/>
      <c r="H39" s="50"/>
      <c r="I39" s="58"/>
    </row>
    <row r="40" spans="1:12" x14ac:dyDescent="0.25">
      <c r="A40" s="12"/>
      <c r="B40" s="62"/>
      <c r="C40" s="50"/>
      <c r="D40" s="50"/>
      <c r="E40" s="50"/>
      <c r="F40" s="62"/>
      <c r="G40" s="50"/>
      <c r="H40" s="50"/>
      <c r="I40" s="58"/>
      <c r="L40" s="43"/>
    </row>
    <row r="41" spans="1:12" x14ac:dyDescent="0.25">
      <c r="A41" s="12"/>
      <c r="B41" s="62"/>
      <c r="C41" s="50"/>
      <c r="D41" s="50"/>
      <c r="E41" s="50"/>
      <c r="F41" s="62"/>
      <c r="G41" s="50"/>
      <c r="H41" s="50"/>
      <c r="I41" s="58"/>
      <c r="L41" s="43"/>
    </row>
    <row r="42" spans="1:12" x14ac:dyDescent="0.25">
      <c r="A42" s="12"/>
      <c r="B42" s="55" t="s">
        <v>24</v>
      </c>
      <c r="C42" s="63">
        <f>C27+C28+C29-D30</f>
        <v>38070</v>
      </c>
      <c r="D42" s="55">
        <f>SUM(D32:D41)</f>
        <v>41070</v>
      </c>
      <c r="E42" s="63">
        <f>C42-D42</f>
        <v>-3000</v>
      </c>
      <c r="F42" s="57"/>
      <c r="G42" s="63">
        <f>G27+G28-H30</f>
        <v>25350</v>
      </c>
      <c r="H42" s="63">
        <f>SUM(H32:H41)</f>
        <v>41070</v>
      </c>
      <c r="I42" s="63">
        <f>G42-H42</f>
        <v>-15720</v>
      </c>
      <c r="K42" s="43"/>
    </row>
    <row r="45" spans="1:12" x14ac:dyDescent="0.25">
      <c r="B45" s="12" t="s">
        <v>38</v>
      </c>
      <c r="D45" s="12" t="s">
        <v>36</v>
      </c>
      <c r="F45" s="12"/>
      <c r="G45" s="12" t="s">
        <v>37</v>
      </c>
      <c r="I45" s="43"/>
    </row>
    <row r="46" spans="1:12" x14ac:dyDescent="0.25">
      <c r="B46" t="s">
        <v>163</v>
      </c>
      <c r="D46" s="12" t="s">
        <v>66</v>
      </c>
      <c r="F46" s="68">
        <f>D37+D38+D39</f>
        <v>0</v>
      </c>
      <c r="G46" s="12" t="s">
        <v>339</v>
      </c>
      <c r="I46" s="43"/>
    </row>
  </sheetData>
  <pageMargins left="0.7" right="0.7" top="0.75" bottom="0.75" header="0.3" footer="0.3"/>
  <pageSetup orientation="portrait" horizontalDpi="0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opLeftCell="A7" workbookViewId="0">
      <selection activeCell="D36" sqref="D36"/>
    </sheetView>
  </sheetViews>
  <sheetFormatPr defaultRowHeight="15" x14ac:dyDescent="0.25"/>
  <cols>
    <col min="2" max="2" width="20.5703125" customWidth="1"/>
  </cols>
  <sheetData>
    <row r="1" spans="1:9" ht="18.75" x14ac:dyDescent="0.25">
      <c r="C1" s="38" t="s">
        <v>59</v>
      </c>
      <c r="D1" s="39"/>
      <c r="E1" s="36"/>
      <c r="F1" s="34"/>
    </row>
    <row r="2" spans="1:9" ht="18.75" x14ac:dyDescent="0.25">
      <c r="C2" s="38" t="s">
        <v>60</v>
      </c>
      <c r="D2" s="38"/>
      <c r="E2" s="11"/>
      <c r="F2" s="11"/>
    </row>
    <row r="3" spans="1:9" ht="18.75" x14ac:dyDescent="0.25">
      <c r="C3" s="38" t="s">
        <v>347</v>
      </c>
      <c r="D3" s="38"/>
      <c r="E3" s="11"/>
      <c r="F3" s="11"/>
    </row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/>
      <c r="I4" s="1"/>
    </row>
    <row r="5" spans="1:9" x14ac:dyDescent="0.25">
      <c r="A5" s="3">
        <v>1</v>
      </c>
      <c r="B5" s="3" t="s">
        <v>91</v>
      </c>
      <c r="C5" s="3">
        <v>4000</v>
      </c>
      <c r="D5" s="3">
        <f>'JUNE 21'!G5:G21</f>
        <v>0</v>
      </c>
      <c r="E5" s="3">
        <f t="shared" ref="E5:E21" si="0">C5+D5</f>
        <v>4000</v>
      </c>
      <c r="F5" s="3">
        <f>4000</f>
        <v>4000</v>
      </c>
      <c r="G5" s="3">
        <f>E5-F5</f>
        <v>0</v>
      </c>
      <c r="H5" s="3"/>
    </row>
    <row r="6" spans="1:9" x14ac:dyDescent="0.25">
      <c r="A6" s="3">
        <v>2</v>
      </c>
      <c r="B6" t="s">
        <v>126</v>
      </c>
      <c r="C6" s="3">
        <v>2500</v>
      </c>
      <c r="D6" s="3">
        <f>'JUNE 21'!G6:G22</f>
        <v>0</v>
      </c>
      <c r="E6" s="3">
        <f t="shared" si="0"/>
        <v>2500</v>
      </c>
      <c r="F6" s="3">
        <f>1000</f>
        <v>1000</v>
      </c>
      <c r="G6" s="3">
        <f>E6-F6</f>
        <v>1500</v>
      </c>
      <c r="H6" s="3"/>
    </row>
    <row r="7" spans="1:9" x14ac:dyDescent="0.25">
      <c r="A7" s="3">
        <v>3</v>
      </c>
      <c r="B7" s="27" t="s">
        <v>49</v>
      </c>
      <c r="C7" s="3">
        <v>2500</v>
      </c>
      <c r="D7" s="3">
        <f>'JUNE 21'!G7:G23</f>
        <v>0</v>
      </c>
      <c r="E7" s="3">
        <f t="shared" si="0"/>
        <v>2500</v>
      </c>
      <c r="F7" s="3">
        <v>2500</v>
      </c>
      <c r="G7" s="3">
        <f t="shared" ref="G7:G18" si="1">E7-F7</f>
        <v>0</v>
      </c>
      <c r="H7" s="3"/>
    </row>
    <row r="8" spans="1:9" x14ac:dyDescent="0.25">
      <c r="A8" s="3">
        <v>4</v>
      </c>
      <c r="B8" s="3" t="s">
        <v>74</v>
      </c>
      <c r="C8" s="3">
        <v>2500</v>
      </c>
      <c r="D8" s="3">
        <f>'JUNE 21'!G8:G24</f>
        <v>0</v>
      </c>
      <c r="E8" s="3">
        <f t="shared" si="0"/>
        <v>2500</v>
      </c>
      <c r="F8" s="3">
        <f>2000+500</f>
        <v>2500</v>
      </c>
      <c r="G8" s="3">
        <f t="shared" si="1"/>
        <v>0</v>
      </c>
      <c r="H8" s="3"/>
    </row>
    <row r="9" spans="1:9" x14ac:dyDescent="0.25">
      <c r="A9" s="3">
        <v>5</v>
      </c>
      <c r="B9" s="3" t="s">
        <v>307</v>
      </c>
      <c r="C9" s="3">
        <v>3000</v>
      </c>
      <c r="D9" s="3">
        <f>'JUNE 21'!G9:G25</f>
        <v>0</v>
      </c>
      <c r="E9" s="3">
        <f t="shared" si="0"/>
        <v>3000</v>
      </c>
      <c r="F9" s="3">
        <v>3000</v>
      </c>
      <c r="G9" s="3">
        <f>E9-F9</f>
        <v>0</v>
      </c>
      <c r="H9" s="3"/>
    </row>
    <row r="10" spans="1:9" x14ac:dyDescent="0.25">
      <c r="A10" s="3">
        <v>6</v>
      </c>
      <c r="B10" s="64" t="s">
        <v>336</v>
      </c>
      <c r="C10" s="3">
        <v>2500</v>
      </c>
      <c r="D10" s="3">
        <f>'JUNE 21'!G10:G26</f>
        <v>0</v>
      </c>
      <c r="E10" s="3">
        <f t="shared" si="0"/>
        <v>2500</v>
      </c>
      <c r="F10" s="3">
        <v>2500</v>
      </c>
      <c r="G10" s="3">
        <f t="shared" si="1"/>
        <v>0</v>
      </c>
      <c r="H10" s="3"/>
    </row>
    <row r="11" spans="1:9" x14ac:dyDescent="0.25">
      <c r="A11" s="3">
        <v>7</v>
      </c>
      <c r="B11" s="3" t="s">
        <v>13</v>
      </c>
      <c r="C11" s="3">
        <v>2500</v>
      </c>
      <c r="D11" s="3">
        <f>'JUNE 21'!G11:G27</f>
        <v>0</v>
      </c>
      <c r="E11" s="3">
        <f t="shared" si="0"/>
        <v>2500</v>
      </c>
      <c r="F11" s="3">
        <f>500+2000</f>
        <v>2500</v>
      </c>
      <c r="G11" s="3">
        <f t="shared" si="1"/>
        <v>0</v>
      </c>
      <c r="H11" s="3"/>
      <c r="I11">
        <v>2500</v>
      </c>
    </row>
    <row r="12" spans="1:9" x14ac:dyDescent="0.25">
      <c r="A12" s="3">
        <v>8</v>
      </c>
      <c r="B12" s="3" t="s">
        <v>105</v>
      </c>
      <c r="C12" s="3">
        <v>2500</v>
      </c>
      <c r="D12" s="3">
        <f>'JUNE 21'!G12:G28</f>
        <v>2700</v>
      </c>
      <c r="E12" s="3">
        <f t="shared" si="0"/>
        <v>5200</v>
      </c>
      <c r="F12" s="3">
        <f>2500</f>
        <v>2500</v>
      </c>
      <c r="G12" s="3">
        <f>E12-F12</f>
        <v>2700</v>
      </c>
      <c r="H12" s="3"/>
    </row>
    <row r="13" spans="1:9" x14ac:dyDescent="0.25">
      <c r="A13" s="3">
        <v>9</v>
      </c>
      <c r="B13" s="3" t="s">
        <v>96</v>
      </c>
      <c r="C13" s="3">
        <v>2500</v>
      </c>
      <c r="D13" s="3">
        <f>'JUNE 21'!G13:G29</f>
        <v>920</v>
      </c>
      <c r="E13" s="3">
        <f t="shared" si="0"/>
        <v>3420</v>
      </c>
      <c r="F13" s="3">
        <f>2500</f>
        <v>2500</v>
      </c>
      <c r="G13" s="3">
        <f t="shared" si="1"/>
        <v>920</v>
      </c>
      <c r="H13" s="3"/>
    </row>
    <row r="14" spans="1:9" x14ac:dyDescent="0.25">
      <c r="A14" s="3">
        <v>10</v>
      </c>
      <c r="B14" s="3" t="s">
        <v>319</v>
      </c>
      <c r="C14" s="3">
        <v>2500</v>
      </c>
      <c r="D14" s="3">
        <f>'JUNE 21'!G14:G30</f>
        <v>0</v>
      </c>
      <c r="E14" s="3">
        <f t="shared" si="0"/>
        <v>2500</v>
      </c>
      <c r="F14" s="3">
        <f>2500</f>
        <v>2500</v>
      </c>
      <c r="G14" s="3">
        <f>E14-F14</f>
        <v>0</v>
      </c>
      <c r="H14" s="3"/>
    </row>
    <row r="15" spans="1:9" x14ac:dyDescent="0.25">
      <c r="A15" s="3">
        <v>11</v>
      </c>
      <c r="B15" s="3" t="s">
        <v>319</v>
      </c>
      <c r="C15" s="3">
        <v>3000</v>
      </c>
      <c r="D15" s="3">
        <f>'JUNE 21'!G15:G31</f>
        <v>0</v>
      </c>
      <c r="E15" s="3">
        <f t="shared" si="0"/>
        <v>3000</v>
      </c>
      <c r="F15" s="3">
        <f>3000</f>
        <v>3000</v>
      </c>
      <c r="G15" s="3">
        <f t="shared" si="1"/>
        <v>0</v>
      </c>
      <c r="H15" s="3"/>
    </row>
    <row r="16" spans="1:9" x14ac:dyDescent="0.25">
      <c r="A16" s="3">
        <v>12</v>
      </c>
      <c r="B16" s="3" t="s">
        <v>165</v>
      </c>
      <c r="C16" s="3">
        <v>2500</v>
      </c>
      <c r="D16" s="3">
        <f>'JUNE 21'!G16:G32</f>
        <v>1500</v>
      </c>
      <c r="E16" s="3">
        <f t="shared" si="0"/>
        <v>4000</v>
      </c>
      <c r="F16" s="3">
        <v>1500</v>
      </c>
      <c r="G16" s="3">
        <f>E16-F16</f>
        <v>2500</v>
      </c>
      <c r="H16" s="3"/>
    </row>
    <row r="17" spans="1:10" x14ac:dyDescent="0.25">
      <c r="A17" s="3">
        <v>13</v>
      </c>
      <c r="B17" s="3" t="s">
        <v>19</v>
      </c>
      <c r="C17" s="3">
        <v>2500</v>
      </c>
      <c r="D17" s="3">
        <f>'JUNE 21'!G17:G33</f>
        <v>0</v>
      </c>
      <c r="E17" s="3">
        <f t="shared" si="0"/>
        <v>2500</v>
      </c>
      <c r="F17" s="3">
        <v>2500</v>
      </c>
      <c r="G17" s="3">
        <f t="shared" si="1"/>
        <v>0</v>
      </c>
      <c r="H17" s="3"/>
    </row>
    <row r="18" spans="1:10" x14ac:dyDescent="0.25">
      <c r="A18" s="3">
        <v>14</v>
      </c>
      <c r="B18" s="3" t="s">
        <v>160</v>
      </c>
      <c r="C18" s="3">
        <v>2500</v>
      </c>
      <c r="D18" s="3">
        <f>'JUNE 21'!G18:G34</f>
        <v>0</v>
      </c>
      <c r="E18" s="3">
        <f t="shared" si="0"/>
        <v>2500</v>
      </c>
      <c r="F18" s="3">
        <v>2500</v>
      </c>
      <c r="G18" s="3">
        <f t="shared" si="1"/>
        <v>0</v>
      </c>
      <c r="H18" s="3"/>
    </row>
    <row r="19" spans="1:10" x14ac:dyDescent="0.25">
      <c r="A19" s="3">
        <v>15</v>
      </c>
      <c r="B19" s="3" t="s">
        <v>280</v>
      </c>
      <c r="C19" s="3">
        <v>2500</v>
      </c>
      <c r="D19" s="3">
        <f>'JUNE 21'!G19:G35</f>
        <v>1600</v>
      </c>
      <c r="E19" s="3">
        <f t="shared" si="0"/>
        <v>4100</v>
      </c>
      <c r="F19" s="3"/>
      <c r="G19" s="3">
        <f>E19-F19</f>
        <v>4100</v>
      </c>
      <c r="H19" s="3"/>
    </row>
    <row r="20" spans="1:10" x14ac:dyDescent="0.25">
      <c r="A20" s="3">
        <v>16</v>
      </c>
      <c r="B20" s="3" t="s">
        <v>320</v>
      </c>
      <c r="C20" s="3">
        <v>2500</v>
      </c>
      <c r="D20" s="3">
        <f>'JUNE 21'!G20:G36</f>
        <v>2500</v>
      </c>
      <c r="E20" s="3">
        <f t="shared" si="0"/>
        <v>5000</v>
      </c>
      <c r="F20" s="3">
        <v>3000</v>
      </c>
      <c r="G20" s="3">
        <f>E20-F20</f>
        <v>2000</v>
      </c>
      <c r="H20" s="3"/>
    </row>
    <row r="21" spans="1:10" x14ac:dyDescent="0.25">
      <c r="A21" s="3">
        <v>17</v>
      </c>
      <c r="B21" s="3" t="s">
        <v>73</v>
      </c>
      <c r="C21" s="3">
        <v>2500</v>
      </c>
      <c r="D21" s="3">
        <f>'JUNE 21'!G21:G37</f>
        <v>0</v>
      </c>
      <c r="E21" s="3">
        <f t="shared" si="0"/>
        <v>2500</v>
      </c>
      <c r="F21" s="3">
        <f>2500</f>
        <v>2500</v>
      </c>
      <c r="G21" s="3">
        <f>E21-F21</f>
        <v>0</v>
      </c>
      <c r="H21" s="58"/>
    </row>
    <row r="22" spans="1:10" x14ac:dyDescent="0.25">
      <c r="A22" s="2"/>
      <c r="B22" s="4" t="s">
        <v>24</v>
      </c>
      <c r="C22" s="2">
        <f>SUM(C5:C21)</f>
        <v>45000</v>
      </c>
      <c r="D22" s="3">
        <f>SUM(D5:D21)</f>
        <v>9220</v>
      </c>
      <c r="E22" s="2">
        <f>SUM(E5:E21)</f>
        <v>54220</v>
      </c>
      <c r="F22" s="2">
        <f>SUM(F5:F21)</f>
        <v>40500</v>
      </c>
      <c r="G22" s="2">
        <f>SUM(G5:G21)</f>
        <v>13720</v>
      </c>
      <c r="H22" s="2"/>
      <c r="I22" s="1"/>
    </row>
    <row r="23" spans="1:10" x14ac:dyDescent="0.25">
      <c r="A23" s="3"/>
      <c r="B23" s="27" t="s">
        <v>346</v>
      </c>
      <c r="C23" s="3"/>
      <c r="D23" s="3">
        <f>'SEPTEMBER 20'!G23:G41</f>
        <v>0</v>
      </c>
      <c r="E23" s="3"/>
      <c r="F23" s="3"/>
      <c r="G23" s="27">
        <v>3500</v>
      </c>
      <c r="H23" s="3"/>
    </row>
    <row r="24" spans="1:10" x14ac:dyDescent="0.25">
      <c r="A24" s="12"/>
      <c r="G24">
        <f>G22+G23</f>
        <v>17220</v>
      </c>
    </row>
    <row r="25" spans="1:10" ht="18.75" x14ac:dyDescent="0.3">
      <c r="A25" s="12"/>
      <c r="B25" s="51" t="s">
        <v>27</v>
      </c>
      <c r="C25" s="52"/>
      <c r="D25" s="52"/>
      <c r="E25" s="52"/>
      <c r="F25" s="52"/>
      <c r="G25" s="52"/>
      <c r="H25" s="53"/>
      <c r="I25" s="53"/>
      <c r="J25" s="1"/>
    </row>
    <row r="26" spans="1:10" ht="15.75" x14ac:dyDescent="0.25">
      <c r="A26" s="12"/>
      <c r="B26" s="54" t="s">
        <v>28</v>
      </c>
      <c r="C26" s="54" t="s">
        <v>29</v>
      </c>
      <c r="D26" s="54" t="s">
        <v>30</v>
      </c>
      <c r="E26" s="54" t="s">
        <v>62</v>
      </c>
      <c r="F26" s="54" t="s">
        <v>69</v>
      </c>
      <c r="G26" s="54" t="s">
        <v>29</v>
      </c>
      <c r="H26" s="54" t="s">
        <v>30</v>
      </c>
      <c r="I26" s="54" t="s">
        <v>62</v>
      </c>
      <c r="J26" s="65">
        <f>G9+G12+G16+G18+G19+G20</f>
        <v>11300</v>
      </c>
    </row>
    <row r="27" spans="1:10" x14ac:dyDescent="0.25">
      <c r="A27" s="12"/>
      <c r="B27" s="55" t="s">
        <v>82</v>
      </c>
      <c r="C27" s="50">
        <f>C22</f>
        <v>45000</v>
      </c>
      <c r="D27" s="56">
        <v>0.1</v>
      </c>
      <c r="E27" s="50"/>
      <c r="F27" s="57" t="s">
        <v>82</v>
      </c>
      <c r="G27" s="50">
        <f>F22</f>
        <v>40500</v>
      </c>
      <c r="H27" s="56">
        <v>0.1</v>
      </c>
      <c r="I27" s="58"/>
      <c r="J27" s="1"/>
    </row>
    <row r="28" spans="1:10" x14ac:dyDescent="0.25">
      <c r="A28" s="12"/>
      <c r="B28" s="58" t="s">
        <v>55</v>
      </c>
      <c r="C28" s="50">
        <f>'JUNE 21'!E42</f>
        <v>-3000</v>
      </c>
      <c r="D28" s="58"/>
      <c r="E28" s="58"/>
      <c r="F28" s="58" t="s">
        <v>55</v>
      </c>
      <c r="G28" s="50">
        <f>'JUNE 21'!I42</f>
        <v>-15720</v>
      </c>
      <c r="H28" s="58"/>
      <c r="I28" s="58"/>
      <c r="J28" s="1"/>
    </row>
    <row r="29" spans="1:10" x14ac:dyDescent="0.25">
      <c r="A29" s="12"/>
      <c r="B29" s="58"/>
      <c r="C29" s="50"/>
      <c r="D29" s="58"/>
      <c r="E29" s="58"/>
      <c r="F29" s="58"/>
      <c r="G29" s="50"/>
      <c r="H29" s="58"/>
      <c r="I29" s="58"/>
      <c r="J29" s="66"/>
    </row>
    <row r="30" spans="1:10" x14ac:dyDescent="0.25">
      <c r="A30" s="12"/>
      <c r="B30" s="58" t="s">
        <v>33</v>
      </c>
      <c r="C30" s="59"/>
      <c r="D30" s="58">
        <f>C27*D27</f>
        <v>4500</v>
      </c>
      <c r="E30" s="58"/>
      <c r="F30" s="58" t="s">
        <v>33</v>
      </c>
      <c r="G30" s="59"/>
      <c r="H30" s="58">
        <f>H27*C27</f>
        <v>4500</v>
      </c>
      <c r="I30" s="58"/>
      <c r="J30" s="66"/>
    </row>
    <row r="31" spans="1:10" x14ac:dyDescent="0.25">
      <c r="A31" s="12"/>
      <c r="B31" s="60" t="s">
        <v>34</v>
      </c>
      <c r="C31" s="58"/>
      <c r="D31" s="58"/>
      <c r="E31" s="58"/>
      <c r="F31" s="60" t="s">
        <v>34</v>
      </c>
      <c r="G31" s="58"/>
      <c r="H31" s="58"/>
      <c r="I31" s="58"/>
      <c r="J31" s="66"/>
    </row>
    <row r="32" spans="1:10" x14ac:dyDescent="0.25">
      <c r="A32" s="12"/>
      <c r="B32" s="3" t="s">
        <v>161</v>
      </c>
      <c r="C32" s="3"/>
      <c r="D32" s="3"/>
      <c r="E32" s="3"/>
      <c r="F32" s="3" t="s">
        <v>161</v>
      </c>
      <c r="G32" s="3"/>
      <c r="H32" s="3"/>
      <c r="I32" s="58"/>
    </row>
    <row r="33" spans="1:11" x14ac:dyDescent="0.25">
      <c r="A33" s="12"/>
      <c r="B33" s="62" t="s">
        <v>348</v>
      </c>
      <c r="C33" s="58"/>
      <c r="D33" s="3">
        <v>1000</v>
      </c>
      <c r="E33" s="58"/>
      <c r="F33" s="62" t="s">
        <v>348</v>
      </c>
      <c r="G33" s="58"/>
      <c r="H33" s="3">
        <v>1000</v>
      </c>
      <c r="I33" s="58"/>
      <c r="J33" s="66"/>
    </row>
    <row r="34" spans="1:11" x14ac:dyDescent="0.25">
      <c r="A34" s="12"/>
      <c r="B34" s="62" t="s">
        <v>349</v>
      </c>
      <c r="D34" s="3">
        <v>36500</v>
      </c>
      <c r="E34" s="58"/>
      <c r="F34" s="62" t="s">
        <v>349</v>
      </c>
      <c r="H34" s="3">
        <v>36500</v>
      </c>
      <c r="I34" s="58"/>
    </row>
    <row r="35" spans="1:11" x14ac:dyDescent="0.25">
      <c r="A35" s="12"/>
      <c r="B35" s="62" t="s">
        <v>312</v>
      </c>
      <c r="C35" s="50"/>
      <c r="D35" s="3">
        <v>2000</v>
      </c>
      <c r="E35" s="50"/>
      <c r="F35" s="62" t="s">
        <v>312</v>
      </c>
      <c r="G35" s="50"/>
      <c r="H35" s="3">
        <v>2000</v>
      </c>
      <c r="I35" s="58"/>
      <c r="K35" s="43"/>
    </row>
    <row r="36" spans="1:11" x14ac:dyDescent="0.25">
      <c r="A36" s="12"/>
      <c r="B36" s="62" t="s">
        <v>351</v>
      </c>
      <c r="C36" s="50"/>
      <c r="D36" s="50">
        <v>2032</v>
      </c>
      <c r="E36" s="50"/>
      <c r="F36" s="62" t="s">
        <v>351</v>
      </c>
      <c r="G36" s="50"/>
      <c r="H36" s="50">
        <v>2032</v>
      </c>
      <c r="I36" s="58"/>
      <c r="J36" s="43"/>
    </row>
    <row r="37" spans="1:11" x14ac:dyDescent="0.25">
      <c r="A37" s="12"/>
      <c r="B37" s="62"/>
      <c r="C37" s="50"/>
      <c r="D37" s="50"/>
      <c r="E37" s="50"/>
      <c r="F37" s="62"/>
      <c r="G37" s="50"/>
      <c r="H37" s="50"/>
      <c r="I37" s="58"/>
      <c r="J37" s="43"/>
      <c r="K37" s="43"/>
    </row>
    <row r="38" spans="1:11" x14ac:dyDescent="0.25">
      <c r="A38" s="12"/>
      <c r="B38" s="62"/>
      <c r="C38" s="50"/>
      <c r="D38" s="50"/>
      <c r="E38" s="50"/>
      <c r="F38" s="62"/>
      <c r="G38" s="50"/>
      <c r="H38" s="50"/>
      <c r="I38" s="58"/>
      <c r="J38" s="43"/>
    </row>
    <row r="39" spans="1:11" x14ac:dyDescent="0.25">
      <c r="A39" s="12"/>
      <c r="B39" s="62"/>
      <c r="C39" s="50"/>
      <c r="D39" s="50"/>
      <c r="E39" s="50"/>
      <c r="F39" s="62"/>
      <c r="G39" s="50"/>
      <c r="H39" s="50"/>
      <c r="I39" s="58"/>
      <c r="K39" s="43"/>
    </row>
    <row r="40" spans="1:11" x14ac:dyDescent="0.25">
      <c r="A40" s="12"/>
      <c r="B40" s="62"/>
      <c r="C40" s="50"/>
      <c r="D40" s="50"/>
      <c r="E40" s="50"/>
      <c r="F40" s="62"/>
      <c r="G40" s="50"/>
      <c r="H40" s="50"/>
      <c r="I40" s="58"/>
    </row>
    <row r="41" spans="1:11" x14ac:dyDescent="0.25">
      <c r="A41" s="12"/>
      <c r="B41" s="62"/>
      <c r="C41" s="50"/>
      <c r="D41" s="50"/>
      <c r="E41" s="50"/>
      <c r="F41" s="62"/>
      <c r="G41" s="50"/>
      <c r="H41" s="50"/>
      <c r="I41" s="58"/>
      <c r="K41" s="43"/>
    </row>
    <row r="42" spans="1:11" x14ac:dyDescent="0.25">
      <c r="A42" s="12"/>
      <c r="B42" s="55" t="s">
        <v>24</v>
      </c>
      <c r="C42" s="63">
        <f>C27+C28+C29-D30</f>
        <v>37500</v>
      </c>
      <c r="D42" s="55">
        <f>SUM(D32:D41)</f>
        <v>41532</v>
      </c>
      <c r="E42" s="63">
        <f>C42-D42</f>
        <v>-4032</v>
      </c>
      <c r="F42" s="57"/>
      <c r="G42" s="63">
        <f>G27+G28-H30</f>
        <v>20280</v>
      </c>
      <c r="H42" s="63">
        <f>SUM(H32:H41)</f>
        <v>41532</v>
      </c>
      <c r="I42" s="63">
        <f>G42-H42</f>
        <v>-21252</v>
      </c>
      <c r="K42" s="43"/>
    </row>
    <row r="43" spans="1:11" x14ac:dyDescent="0.25">
      <c r="K43" s="43"/>
    </row>
    <row r="45" spans="1:11" x14ac:dyDescent="0.25">
      <c r="B45" s="12" t="s">
        <v>38</v>
      </c>
      <c r="D45" s="12" t="s">
        <v>36</v>
      </c>
      <c r="F45" s="12"/>
      <c r="G45" s="12" t="s">
        <v>37</v>
      </c>
      <c r="I45" s="43"/>
    </row>
    <row r="46" spans="1:11" x14ac:dyDescent="0.25">
      <c r="B46" t="s">
        <v>163</v>
      </c>
      <c r="D46" s="12" t="s">
        <v>66</v>
      </c>
      <c r="F46" s="68">
        <f>D37+D38+D39</f>
        <v>0</v>
      </c>
      <c r="G46" s="12" t="s">
        <v>339</v>
      </c>
      <c r="I46" s="43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opLeftCell="A4" workbookViewId="0">
      <selection activeCell="F20" sqref="F20"/>
    </sheetView>
  </sheetViews>
  <sheetFormatPr defaultRowHeight="15" x14ac:dyDescent="0.25"/>
  <cols>
    <col min="1" max="1" width="4.7109375" customWidth="1"/>
    <col min="2" max="2" width="18.7109375" customWidth="1"/>
    <col min="7" max="7" width="13.5703125" customWidth="1"/>
  </cols>
  <sheetData>
    <row r="1" spans="1:9" ht="18.75" x14ac:dyDescent="0.25">
      <c r="C1" s="38" t="s">
        <v>59</v>
      </c>
      <c r="D1" s="39"/>
      <c r="E1" s="36"/>
      <c r="F1" s="34"/>
    </row>
    <row r="2" spans="1:9" ht="18.75" x14ac:dyDescent="0.25">
      <c r="C2" s="38" t="s">
        <v>60</v>
      </c>
      <c r="D2" s="38"/>
      <c r="E2" s="11"/>
      <c r="F2" s="11"/>
    </row>
    <row r="3" spans="1:9" ht="18.75" x14ac:dyDescent="0.25">
      <c r="C3" s="38" t="s">
        <v>350</v>
      </c>
      <c r="D3" s="38"/>
      <c r="E3" s="11"/>
      <c r="F3" s="11"/>
    </row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/>
      <c r="I4" s="1"/>
    </row>
    <row r="5" spans="1:9" x14ac:dyDescent="0.25">
      <c r="A5" s="3">
        <v>1</v>
      </c>
      <c r="B5" s="3" t="s">
        <v>91</v>
      </c>
      <c r="C5" s="3">
        <v>4000</v>
      </c>
      <c r="D5" s="3">
        <f>'JULY 21'!G5:G22</f>
        <v>0</v>
      </c>
      <c r="E5" s="3">
        <f t="shared" ref="E5:E21" si="0">C5+D5</f>
        <v>4000</v>
      </c>
      <c r="F5" s="3">
        <v>4000</v>
      </c>
      <c r="G5" s="3">
        <f>E5-F5</f>
        <v>0</v>
      </c>
      <c r="H5" s="3"/>
    </row>
    <row r="6" spans="1:9" x14ac:dyDescent="0.25">
      <c r="A6" s="3">
        <v>2</v>
      </c>
      <c r="B6" t="s">
        <v>126</v>
      </c>
      <c r="C6" s="3">
        <v>2500</v>
      </c>
      <c r="D6" s="3">
        <f>'JULY 21'!G6:G23</f>
        <v>1500</v>
      </c>
      <c r="E6" s="3">
        <f t="shared" si="0"/>
        <v>4000</v>
      </c>
      <c r="F6" s="3">
        <v>2500</v>
      </c>
      <c r="G6" s="3">
        <f t="shared" ref="G6:G18" si="1">E6-F6</f>
        <v>1500</v>
      </c>
      <c r="H6" s="3"/>
    </row>
    <row r="7" spans="1:9" x14ac:dyDescent="0.25">
      <c r="A7" s="3">
        <v>3</v>
      </c>
      <c r="B7" s="58" t="s">
        <v>352</v>
      </c>
      <c r="C7" s="3">
        <v>2500</v>
      </c>
      <c r="D7" s="3">
        <f>'JULY 21'!G7:G24</f>
        <v>0</v>
      </c>
      <c r="E7" s="3">
        <f t="shared" si="0"/>
        <v>2500</v>
      </c>
      <c r="F7" s="3">
        <v>2500</v>
      </c>
      <c r="G7" s="3">
        <f t="shared" si="1"/>
        <v>0</v>
      </c>
      <c r="H7" s="3"/>
    </row>
    <row r="8" spans="1:9" x14ac:dyDescent="0.25">
      <c r="A8" s="3">
        <v>4</v>
      </c>
      <c r="B8" s="3" t="s">
        <v>74</v>
      </c>
      <c r="C8" s="3">
        <v>2500</v>
      </c>
      <c r="D8" s="3">
        <f>'JULY 21'!G8:G25</f>
        <v>0</v>
      </c>
      <c r="E8" s="3">
        <f t="shared" si="0"/>
        <v>2500</v>
      </c>
      <c r="F8" s="3">
        <v>2500</v>
      </c>
      <c r="G8" s="3">
        <f t="shared" si="1"/>
        <v>0</v>
      </c>
      <c r="H8" s="3"/>
    </row>
    <row r="9" spans="1:9" x14ac:dyDescent="0.25">
      <c r="A9" s="3">
        <v>5</v>
      </c>
      <c r="B9" s="3" t="s">
        <v>307</v>
      </c>
      <c r="C9" s="3">
        <v>3000</v>
      </c>
      <c r="D9" s="3">
        <f>'JULY 21'!G9:G26</f>
        <v>0</v>
      </c>
      <c r="E9" s="3">
        <f t="shared" si="0"/>
        <v>3000</v>
      </c>
      <c r="F9" s="3"/>
      <c r="G9" s="3">
        <f>E9-F9</f>
        <v>3000</v>
      </c>
      <c r="H9" s="3"/>
    </row>
    <row r="10" spans="1:9" x14ac:dyDescent="0.25">
      <c r="A10" s="3">
        <v>6</v>
      </c>
      <c r="B10" s="64" t="s">
        <v>336</v>
      </c>
      <c r="C10" s="3">
        <v>2500</v>
      </c>
      <c r="D10" s="3">
        <f>'JULY 21'!G10:G27</f>
        <v>0</v>
      </c>
      <c r="E10" s="3">
        <f t="shared" si="0"/>
        <v>2500</v>
      </c>
      <c r="F10" s="3">
        <f>2500</f>
        <v>2500</v>
      </c>
      <c r="G10" s="3">
        <f t="shared" si="1"/>
        <v>0</v>
      </c>
      <c r="H10" s="3"/>
    </row>
    <row r="11" spans="1:9" x14ac:dyDescent="0.25">
      <c r="A11" s="3">
        <v>7</v>
      </c>
      <c r="B11" s="3" t="s">
        <v>13</v>
      </c>
      <c r="C11" s="3">
        <v>2500</v>
      </c>
      <c r="D11" s="3">
        <f>'JULY 21'!G11:G28</f>
        <v>0</v>
      </c>
      <c r="E11" s="3">
        <f t="shared" si="0"/>
        <v>2500</v>
      </c>
      <c r="F11" s="3">
        <v>2500</v>
      </c>
      <c r="G11" s="3">
        <f t="shared" si="1"/>
        <v>0</v>
      </c>
      <c r="H11" s="3"/>
      <c r="I11" t="s">
        <v>358</v>
      </c>
    </row>
    <row r="12" spans="1:9" x14ac:dyDescent="0.25">
      <c r="A12" s="3">
        <v>8</v>
      </c>
      <c r="B12" s="3" t="s">
        <v>105</v>
      </c>
      <c r="C12" s="3">
        <v>2500</v>
      </c>
      <c r="D12" s="3">
        <f>'JULY 21'!G12:G29</f>
        <v>2700</v>
      </c>
      <c r="E12" s="3">
        <f t="shared" si="0"/>
        <v>5200</v>
      </c>
      <c r="F12" s="3">
        <f>2500</f>
        <v>2500</v>
      </c>
      <c r="G12" s="3">
        <f>E12-F12</f>
        <v>2700</v>
      </c>
      <c r="H12" s="3"/>
    </row>
    <row r="13" spans="1:9" x14ac:dyDescent="0.25">
      <c r="A13" s="3">
        <v>9</v>
      </c>
      <c r="B13" s="3" t="s">
        <v>96</v>
      </c>
      <c r="C13" s="3">
        <v>2500</v>
      </c>
      <c r="D13" s="3">
        <f>'JULY 21'!G13:G30</f>
        <v>920</v>
      </c>
      <c r="E13" s="3">
        <f t="shared" si="0"/>
        <v>3420</v>
      </c>
      <c r="F13" s="3">
        <f>1300</f>
        <v>1300</v>
      </c>
      <c r="G13" s="3">
        <f t="shared" si="1"/>
        <v>2120</v>
      </c>
      <c r="H13" s="3"/>
    </row>
    <row r="14" spans="1:9" x14ac:dyDescent="0.25">
      <c r="A14" s="3">
        <v>10</v>
      </c>
      <c r="B14" s="3" t="s">
        <v>319</v>
      </c>
      <c r="C14" s="3">
        <v>2500</v>
      </c>
      <c r="D14" s="3">
        <f>'JULY 21'!G14:G31</f>
        <v>0</v>
      </c>
      <c r="E14" s="3">
        <f t="shared" si="0"/>
        <v>2500</v>
      </c>
      <c r="F14" s="3">
        <v>2500</v>
      </c>
      <c r="G14" s="3">
        <f>E14-F14</f>
        <v>0</v>
      </c>
      <c r="H14" s="3"/>
    </row>
    <row r="15" spans="1:9" x14ac:dyDescent="0.25">
      <c r="A15" s="3">
        <v>11</v>
      </c>
      <c r="B15" s="3" t="s">
        <v>319</v>
      </c>
      <c r="C15" s="3">
        <v>3000</v>
      </c>
      <c r="D15" s="3">
        <f>'JULY 21'!G15:G32</f>
        <v>0</v>
      </c>
      <c r="E15" s="3">
        <f t="shared" si="0"/>
        <v>3000</v>
      </c>
      <c r="F15" s="3">
        <v>3000</v>
      </c>
      <c r="G15" s="3">
        <f t="shared" si="1"/>
        <v>0</v>
      </c>
      <c r="H15" s="3"/>
    </row>
    <row r="16" spans="1:9" x14ac:dyDescent="0.25">
      <c r="A16" s="3">
        <v>12</v>
      </c>
      <c r="B16" s="3" t="s">
        <v>353</v>
      </c>
      <c r="C16" s="3">
        <v>2500</v>
      </c>
      <c r="D16" s="3">
        <f>'JULY 21'!G16:G33</f>
        <v>2500</v>
      </c>
      <c r="E16" s="3">
        <f t="shared" si="0"/>
        <v>5000</v>
      </c>
      <c r="F16" s="3">
        <f>2500</f>
        <v>2500</v>
      </c>
      <c r="G16" s="3">
        <f>E16-F16</f>
        <v>2500</v>
      </c>
      <c r="H16" s="3"/>
      <c r="I16" t="s">
        <v>236</v>
      </c>
    </row>
    <row r="17" spans="1:10" x14ac:dyDescent="0.25">
      <c r="A17" s="3">
        <v>13</v>
      </c>
      <c r="B17" s="3" t="s">
        <v>19</v>
      </c>
      <c r="C17" s="3">
        <v>2500</v>
      </c>
      <c r="D17" s="3">
        <f>'JULY 21'!G17:G34</f>
        <v>0</v>
      </c>
      <c r="E17" s="3">
        <f t="shared" si="0"/>
        <v>2500</v>
      </c>
      <c r="F17" s="3">
        <f>2500</f>
        <v>2500</v>
      </c>
      <c r="G17" s="3">
        <f t="shared" si="1"/>
        <v>0</v>
      </c>
      <c r="H17" s="3"/>
    </row>
    <row r="18" spans="1:10" x14ac:dyDescent="0.25">
      <c r="A18" s="3">
        <v>14</v>
      </c>
      <c r="B18" s="3" t="s">
        <v>160</v>
      </c>
      <c r="C18" s="3">
        <v>2500</v>
      </c>
      <c r="D18" s="3">
        <f>'JULY 21'!G18:G35</f>
        <v>0</v>
      </c>
      <c r="E18" s="3">
        <f t="shared" si="0"/>
        <v>2500</v>
      </c>
      <c r="F18" s="3">
        <v>2500</v>
      </c>
      <c r="G18" s="3">
        <f t="shared" si="1"/>
        <v>0</v>
      </c>
      <c r="H18" s="3"/>
    </row>
    <row r="19" spans="1:10" x14ac:dyDescent="0.25">
      <c r="A19" s="3">
        <v>15</v>
      </c>
      <c r="B19" s="58" t="s">
        <v>361</v>
      </c>
      <c r="C19" s="58">
        <v>2500</v>
      </c>
      <c r="D19" s="3">
        <f>'JULY 21'!G19:G36</f>
        <v>4100</v>
      </c>
      <c r="E19" s="3">
        <f t="shared" si="0"/>
        <v>6600</v>
      </c>
      <c r="F19" s="3">
        <f>2000+2000+1600</f>
        <v>5600</v>
      </c>
      <c r="G19" s="3">
        <f>E19-F19</f>
        <v>1000</v>
      </c>
      <c r="H19" s="3"/>
      <c r="I19" t="s">
        <v>359</v>
      </c>
    </row>
    <row r="20" spans="1:10" x14ac:dyDescent="0.25">
      <c r="A20" s="3">
        <v>16</v>
      </c>
      <c r="B20" s="3" t="s">
        <v>320</v>
      </c>
      <c r="C20" s="3">
        <v>2500</v>
      </c>
      <c r="D20" s="3">
        <f>'JULY 21'!G20:G37</f>
        <v>2000</v>
      </c>
      <c r="E20" s="3">
        <f t="shared" si="0"/>
        <v>4500</v>
      </c>
      <c r="F20" s="3">
        <f>2000+2500</f>
        <v>4500</v>
      </c>
      <c r="G20" s="3">
        <f>E20-F20</f>
        <v>0</v>
      </c>
      <c r="H20" s="3"/>
      <c r="I20" t="s">
        <v>227</v>
      </c>
    </row>
    <row r="21" spans="1:10" x14ac:dyDescent="0.25">
      <c r="A21" s="3">
        <v>17</v>
      </c>
      <c r="B21" s="3" t="s">
        <v>73</v>
      </c>
      <c r="C21" s="3">
        <v>2500</v>
      </c>
      <c r="D21" s="3">
        <f>'JULY 21'!G21:G38</f>
        <v>0</v>
      </c>
      <c r="E21" s="3">
        <f t="shared" si="0"/>
        <v>2500</v>
      </c>
      <c r="F21" s="3">
        <v>2500</v>
      </c>
      <c r="G21" s="3">
        <f>E21-F21</f>
        <v>0</v>
      </c>
      <c r="H21" s="58"/>
    </row>
    <row r="22" spans="1:10" x14ac:dyDescent="0.25">
      <c r="A22" s="2"/>
      <c r="B22" s="4" t="s">
        <v>24</v>
      </c>
      <c r="C22" s="2">
        <f>SUM(C5:C21)</f>
        <v>45000</v>
      </c>
      <c r="D22" s="3">
        <f>SUM(D5:D21)</f>
        <v>13720</v>
      </c>
      <c r="E22" s="2">
        <f>SUM(E5:E21)</f>
        <v>58720</v>
      </c>
      <c r="F22" s="2">
        <f>SUM(F5:F21)</f>
        <v>45900</v>
      </c>
      <c r="G22" s="2">
        <f>SUM(G5:G21)</f>
        <v>12820</v>
      </c>
      <c r="H22" s="2"/>
      <c r="I22" s="1"/>
    </row>
    <row r="23" spans="1:10" x14ac:dyDescent="0.25">
      <c r="A23" s="3"/>
      <c r="B23" s="27" t="s">
        <v>346</v>
      </c>
      <c r="C23" s="3"/>
      <c r="D23" s="3">
        <f>'SEPTEMBER 20'!G23:G41</f>
        <v>0</v>
      </c>
      <c r="E23" s="3"/>
      <c r="F23" s="3"/>
      <c r="G23" s="27">
        <v>3500</v>
      </c>
      <c r="H23" s="3"/>
    </row>
    <row r="24" spans="1:10" x14ac:dyDescent="0.25">
      <c r="A24" s="12"/>
      <c r="G24">
        <f>G22+G23</f>
        <v>16320</v>
      </c>
    </row>
    <row r="25" spans="1:10" ht="18.75" x14ac:dyDescent="0.3">
      <c r="A25" s="12"/>
      <c r="B25" s="51" t="s">
        <v>27</v>
      </c>
      <c r="C25" s="52"/>
      <c r="D25" s="52"/>
      <c r="E25" s="52"/>
      <c r="F25" s="52"/>
      <c r="G25" s="52"/>
      <c r="H25" s="53"/>
      <c r="I25" s="53"/>
      <c r="J25" s="1"/>
    </row>
    <row r="26" spans="1:10" ht="15.75" x14ac:dyDescent="0.25">
      <c r="A26" s="12"/>
      <c r="B26" s="54" t="s">
        <v>28</v>
      </c>
      <c r="C26" s="54" t="s">
        <v>29</v>
      </c>
      <c r="D26" s="54" t="s">
        <v>30</v>
      </c>
      <c r="E26" s="54" t="s">
        <v>62</v>
      </c>
      <c r="F26" s="54" t="s">
        <v>69</v>
      </c>
      <c r="G26" s="54" t="s">
        <v>29</v>
      </c>
      <c r="H26" s="54" t="s">
        <v>30</v>
      </c>
      <c r="I26" s="54" t="s">
        <v>62</v>
      </c>
      <c r="J26" s="65"/>
    </row>
    <row r="27" spans="1:10" x14ac:dyDescent="0.25">
      <c r="A27" s="12"/>
      <c r="B27" s="55" t="s">
        <v>151</v>
      </c>
      <c r="C27" s="50">
        <f>C22</f>
        <v>45000</v>
      </c>
      <c r="D27" s="56">
        <v>0.1</v>
      </c>
      <c r="E27" s="50"/>
      <c r="F27" s="57" t="s">
        <v>151</v>
      </c>
      <c r="G27" s="50">
        <f>F22</f>
        <v>45900</v>
      </c>
      <c r="H27" s="56">
        <v>0.1</v>
      </c>
      <c r="I27" s="58"/>
      <c r="J27" s="1"/>
    </row>
    <row r="28" spans="1:10" x14ac:dyDescent="0.25">
      <c r="A28" s="12"/>
      <c r="B28" s="58" t="s">
        <v>55</v>
      </c>
      <c r="C28" s="50">
        <f>'JULY 21'!E42</f>
        <v>-4032</v>
      </c>
      <c r="D28" s="58"/>
      <c r="E28" s="58"/>
      <c r="F28" s="58" t="s">
        <v>55</v>
      </c>
      <c r="G28" s="50">
        <f>'JULY 21'!I42</f>
        <v>-21252</v>
      </c>
      <c r="H28" s="58"/>
      <c r="I28" s="58"/>
      <c r="J28" s="1"/>
    </row>
    <row r="29" spans="1:10" x14ac:dyDescent="0.25">
      <c r="A29" s="12"/>
      <c r="B29" s="58"/>
      <c r="C29" s="50"/>
      <c r="D29" s="58"/>
      <c r="E29" s="58"/>
      <c r="F29" s="58"/>
      <c r="G29" s="50"/>
      <c r="H29" s="58"/>
      <c r="I29" s="58"/>
      <c r="J29" s="66"/>
    </row>
    <row r="30" spans="1:10" x14ac:dyDescent="0.25">
      <c r="A30" s="12"/>
      <c r="B30" s="58" t="s">
        <v>33</v>
      </c>
      <c r="C30" s="59"/>
      <c r="D30" s="58">
        <f>C27*D27</f>
        <v>4500</v>
      </c>
      <c r="E30" s="58"/>
      <c r="F30" s="58" t="s">
        <v>33</v>
      </c>
      <c r="G30" s="59"/>
      <c r="H30" s="58">
        <f>H27*C27</f>
        <v>4500</v>
      </c>
      <c r="I30" s="58"/>
      <c r="J30" s="66"/>
    </row>
    <row r="31" spans="1:10" x14ac:dyDescent="0.25">
      <c r="A31" s="12"/>
      <c r="B31" s="60" t="s">
        <v>34</v>
      </c>
      <c r="C31" s="58"/>
      <c r="D31" s="58"/>
      <c r="E31" s="58"/>
      <c r="F31" s="60" t="s">
        <v>34</v>
      </c>
      <c r="G31" s="58"/>
      <c r="H31" s="58"/>
      <c r="I31" s="58"/>
      <c r="J31" s="66"/>
    </row>
    <row r="32" spans="1:10" x14ac:dyDescent="0.25">
      <c r="A32" s="12"/>
      <c r="B32" s="3" t="s">
        <v>161</v>
      </c>
      <c r="C32" s="3"/>
      <c r="D32" s="3"/>
      <c r="E32" s="3"/>
      <c r="F32" s="3" t="s">
        <v>161</v>
      </c>
      <c r="G32" s="3"/>
      <c r="H32" s="3"/>
      <c r="I32" s="58"/>
    </row>
    <row r="33" spans="1:13" x14ac:dyDescent="0.25">
      <c r="A33" s="12"/>
      <c r="B33" s="62" t="s">
        <v>354</v>
      </c>
      <c r="C33" s="58"/>
      <c r="D33" s="3">
        <f>D16</f>
        <v>2500</v>
      </c>
      <c r="E33" s="58"/>
      <c r="F33" s="62" t="s">
        <v>354</v>
      </c>
      <c r="G33" s="58"/>
      <c r="H33" s="3">
        <f>D33</f>
        <v>2500</v>
      </c>
      <c r="I33" s="58"/>
      <c r="J33" s="66"/>
      <c r="M33" s="43">
        <f>C27</f>
        <v>45000</v>
      </c>
    </row>
    <row r="34" spans="1:13" x14ac:dyDescent="0.25">
      <c r="A34" s="12"/>
      <c r="B34" s="62" t="s">
        <v>356</v>
      </c>
      <c r="D34" s="3">
        <v>2000</v>
      </c>
      <c r="E34" s="58"/>
      <c r="F34" s="62" t="s">
        <v>355</v>
      </c>
      <c r="H34" s="3">
        <v>2000</v>
      </c>
      <c r="I34" s="58"/>
      <c r="M34">
        <f>D30</f>
        <v>4500</v>
      </c>
    </row>
    <row r="35" spans="1:13" x14ac:dyDescent="0.25">
      <c r="A35" s="12"/>
      <c r="B35" s="62" t="s">
        <v>357</v>
      </c>
      <c r="C35" s="50"/>
      <c r="D35" s="3">
        <v>29718</v>
      </c>
      <c r="E35" s="50"/>
      <c r="F35" s="62" t="s">
        <v>357</v>
      </c>
      <c r="G35" s="50"/>
      <c r="H35" s="3">
        <v>29718</v>
      </c>
      <c r="I35" s="58"/>
      <c r="M35" s="43">
        <f>M33-M34</f>
        <v>40500</v>
      </c>
    </row>
    <row r="36" spans="1:13" x14ac:dyDescent="0.25">
      <c r="A36" s="12"/>
      <c r="B36" s="62" t="s">
        <v>360</v>
      </c>
      <c r="C36" s="50"/>
      <c r="D36" s="50">
        <v>1600</v>
      </c>
      <c r="E36" s="50"/>
      <c r="F36" s="62" t="s">
        <v>360</v>
      </c>
      <c r="G36" s="50"/>
      <c r="H36" s="50">
        <v>1600</v>
      </c>
      <c r="I36" s="58"/>
      <c r="J36" s="43"/>
      <c r="K36">
        <f>2500-650</f>
        <v>1850</v>
      </c>
      <c r="M36" s="43">
        <f>'JULY 21'!D35+'JULY 21'!D36</f>
        <v>4032</v>
      </c>
    </row>
    <row r="37" spans="1:13" x14ac:dyDescent="0.25">
      <c r="A37" s="12"/>
      <c r="B37" s="62" t="s">
        <v>312</v>
      </c>
      <c r="C37" s="50"/>
      <c r="D37" s="50">
        <v>650</v>
      </c>
      <c r="E37" s="50"/>
      <c r="F37" s="62" t="s">
        <v>312</v>
      </c>
      <c r="G37" s="50"/>
      <c r="H37" s="50">
        <v>650</v>
      </c>
      <c r="I37" s="58"/>
      <c r="J37" s="43"/>
      <c r="M37">
        <f>D33+D34</f>
        <v>4500</v>
      </c>
    </row>
    <row r="38" spans="1:13" x14ac:dyDescent="0.25">
      <c r="A38" s="12"/>
      <c r="B38" s="62"/>
      <c r="C38" s="50"/>
      <c r="D38" s="50"/>
      <c r="E38" s="50"/>
      <c r="F38" s="62"/>
      <c r="G38" s="50"/>
      <c r="H38" s="50"/>
      <c r="I38" s="58"/>
      <c r="J38" s="43"/>
      <c r="M38" s="43">
        <f>M35-M36-M37</f>
        <v>31968</v>
      </c>
    </row>
    <row r="39" spans="1:13" x14ac:dyDescent="0.25">
      <c r="A39" s="12"/>
      <c r="B39" s="62"/>
      <c r="C39" s="50"/>
      <c r="D39" s="50"/>
      <c r="E39" s="50"/>
      <c r="F39" s="62"/>
      <c r="G39" s="50"/>
      <c r="H39" s="50"/>
      <c r="I39" s="58"/>
    </row>
    <row r="40" spans="1:13" x14ac:dyDescent="0.25">
      <c r="A40" s="12"/>
      <c r="B40" s="62"/>
      <c r="C40" s="50"/>
      <c r="D40" s="50"/>
      <c r="E40" s="50"/>
      <c r="F40" s="62"/>
      <c r="G40" s="50"/>
      <c r="H40" s="50"/>
      <c r="I40" s="58"/>
    </row>
    <row r="41" spans="1:13" x14ac:dyDescent="0.25">
      <c r="A41" s="12"/>
      <c r="B41" s="62"/>
      <c r="C41" s="50"/>
      <c r="D41" s="50"/>
      <c r="E41" s="50"/>
      <c r="F41" s="62"/>
      <c r="G41" s="50"/>
      <c r="H41" s="50"/>
      <c r="I41" s="58"/>
    </row>
    <row r="42" spans="1:13" x14ac:dyDescent="0.25">
      <c r="A42" s="12"/>
      <c r="B42" s="55" t="s">
        <v>24</v>
      </c>
      <c r="C42" s="63">
        <f>C27+C28+C29-D30</f>
        <v>36468</v>
      </c>
      <c r="D42" s="55">
        <f>SUM(D32:D41)</f>
        <v>36468</v>
      </c>
      <c r="E42" s="63">
        <f>C42-D42</f>
        <v>0</v>
      </c>
      <c r="F42" s="57"/>
      <c r="G42" s="63">
        <f>G27+G28-H30</f>
        <v>20148</v>
      </c>
      <c r="H42" s="63">
        <f>SUM(H32:H41)</f>
        <v>36468</v>
      </c>
      <c r="I42" s="63">
        <f>G42-H42</f>
        <v>-16320</v>
      </c>
    </row>
    <row r="45" spans="1:13" x14ac:dyDescent="0.25">
      <c r="B45" s="12" t="s">
        <v>38</v>
      </c>
      <c r="D45" s="12" t="s">
        <v>36</v>
      </c>
      <c r="F45" s="12"/>
      <c r="G45" s="12" t="s">
        <v>37</v>
      </c>
      <c r="I45" s="43"/>
    </row>
    <row r="46" spans="1:13" x14ac:dyDescent="0.25">
      <c r="B46" t="s">
        <v>163</v>
      </c>
      <c r="D46" s="12" t="s">
        <v>66</v>
      </c>
      <c r="F46" s="68">
        <f>D37+D38+D39</f>
        <v>650</v>
      </c>
      <c r="G46" s="12" t="s">
        <v>339</v>
      </c>
      <c r="I46" s="43"/>
    </row>
  </sheetData>
  <pageMargins left="0.7" right="0.7" top="0.75" bottom="0.75" header="0.3" footer="0.3"/>
  <pageSetup orientation="portrait" horizontalDpi="0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topLeftCell="A4" workbookViewId="0">
      <selection activeCell="F19" sqref="F19"/>
    </sheetView>
  </sheetViews>
  <sheetFormatPr defaultRowHeight="15" x14ac:dyDescent="0.25"/>
  <cols>
    <col min="2" max="2" width="19" bestFit="1" customWidth="1"/>
    <col min="5" max="5" width="10.7109375" bestFit="1" customWidth="1"/>
  </cols>
  <sheetData>
    <row r="1" spans="1:9" ht="18.75" x14ac:dyDescent="0.25">
      <c r="C1" s="38" t="s">
        <v>59</v>
      </c>
      <c r="D1" s="39"/>
      <c r="E1" s="36"/>
      <c r="F1" s="34"/>
    </row>
    <row r="2" spans="1:9" ht="18.75" x14ac:dyDescent="0.25">
      <c r="C2" s="38" t="s">
        <v>60</v>
      </c>
      <c r="D2" s="38"/>
      <c r="E2" s="11"/>
      <c r="F2" s="11"/>
    </row>
    <row r="3" spans="1:9" ht="18.75" x14ac:dyDescent="0.25">
      <c r="C3" s="38" t="s">
        <v>362</v>
      </c>
      <c r="D3" s="38"/>
      <c r="E3" s="11"/>
      <c r="F3" s="11"/>
    </row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/>
      <c r="I4" s="1"/>
    </row>
    <row r="5" spans="1:9" x14ac:dyDescent="0.25">
      <c r="A5" s="3">
        <v>1</v>
      </c>
      <c r="B5" s="3" t="s">
        <v>91</v>
      </c>
      <c r="C5" s="3">
        <v>4000</v>
      </c>
      <c r="D5" s="3">
        <f>'AUGUST 21'!G5:G21</f>
        <v>0</v>
      </c>
      <c r="E5" s="3">
        <f t="shared" ref="E5:E21" si="0">C5+D5</f>
        <v>4000</v>
      </c>
      <c r="F5" s="3">
        <f>4000</f>
        <v>4000</v>
      </c>
      <c r="G5" s="3">
        <f>E5-F5</f>
        <v>0</v>
      </c>
      <c r="H5" s="3"/>
    </row>
    <row r="6" spans="1:9" x14ac:dyDescent="0.25">
      <c r="A6" s="3">
        <v>2</v>
      </c>
      <c r="B6" t="s">
        <v>126</v>
      </c>
      <c r="C6" s="3">
        <v>2500</v>
      </c>
      <c r="D6" s="3">
        <f>'AUGUST 21'!G6:G22</f>
        <v>1500</v>
      </c>
      <c r="E6" s="3">
        <f t="shared" si="0"/>
        <v>4000</v>
      </c>
      <c r="F6" s="3">
        <f>2500</f>
        <v>2500</v>
      </c>
      <c r="G6" s="3">
        <f t="shared" ref="G6:G18" si="1">E6-F6</f>
        <v>1500</v>
      </c>
      <c r="H6" s="3"/>
    </row>
    <row r="7" spans="1:9" x14ac:dyDescent="0.25">
      <c r="A7" s="3">
        <v>3</v>
      </c>
      <c r="B7" s="58" t="s">
        <v>352</v>
      </c>
      <c r="C7" s="3">
        <v>2500</v>
      </c>
      <c r="D7" s="3">
        <f>'AUGUST 21'!G7:G23</f>
        <v>0</v>
      </c>
      <c r="E7" s="3">
        <f t="shared" si="0"/>
        <v>2500</v>
      </c>
      <c r="F7" s="3">
        <f>2500</f>
        <v>2500</v>
      </c>
      <c r="G7" s="3">
        <f t="shared" si="1"/>
        <v>0</v>
      </c>
      <c r="H7" s="3"/>
    </row>
    <row r="8" spans="1:9" x14ac:dyDescent="0.25">
      <c r="A8" s="3">
        <v>4</v>
      </c>
      <c r="B8" s="3" t="s">
        <v>74</v>
      </c>
      <c r="C8" s="3">
        <v>2500</v>
      </c>
      <c r="D8" s="3">
        <f>'AUGUST 21'!G8:G24</f>
        <v>0</v>
      </c>
      <c r="E8" s="3">
        <f t="shared" si="0"/>
        <v>2500</v>
      </c>
      <c r="F8" s="3">
        <f>2000</f>
        <v>2000</v>
      </c>
      <c r="G8" s="3">
        <f t="shared" si="1"/>
        <v>500</v>
      </c>
      <c r="H8" s="3"/>
    </row>
    <row r="9" spans="1:9" x14ac:dyDescent="0.25">
      <c r="A9" s="3">
        <v>5</v>
      </c>
      <c r="B9" s="3" t="s">
        <v>307</v>
      </c>
      <c r="C9" s="3">
        <v>3000</v>
      </c>
      <c r="D9" s="3">
        <f>'AUGUST 21'!G9:G25</f>
        <v>3000</v>
      </c>
      <c r="E9" s="3">
        <f t="shared" si="0"/>
        <v>6000</v>
      </c>
      <c r="F9" s="3">
        <f>3000</f>
        <v>3000</v>
      </c>
      <c r="G9" s="3">
        <f>E9-F9</f>
        <v>3000</v>
      </c>
      <c r="H9" s="3"/>
    </row>
    <row r="10" spans="1:9" x14ac:dyDescent="0.25">
      <c r="A10" s="3">
        <v>6</v>
      </c>
      <c r="B10" s="64" t="s">
        <v>336</v>
      </c>
      <c r="C10" s="3">
        <v>2500</v>
      </c>
      <c r="D10" s="3">
        <f>'AUGUST 21'!G10:G26</f>
        <v>0</v>
      </c>
      <c r="E10" s="3">
        <f t="shared" si="0"/>
        <v>2500</v>
      </c>
      <c r="F10" s="3">
        <v>2500</v>
      </c>
      <c r="G10" s="3">
        <f t="shared" si="1"/>
        <v>0</v>
      </c>
      <c r="H10" s="3"/>
    </row>
    <row r="11" spans="1:9" x14ac:dyDescent="0.25">
      <c r="A11" s="3">
        <v>7</v>
      </c>
      <c r="B11" s="3" t="s">
        <v>13</v>
      </c>
      <c r="C11" s="3">
        <v>2500</v>
      </c>
      <c r="D11" s="3">
        <f>'AUGUST 21'!G11:G27</f>
        <v>0</v>
      </c>
      <c r="E11" s="3">
        <f t="shared" si="0"/>
        <v>2500</v>
      </c>
      <c r="F11" s="3">
        <v>2500</v>
      </c>
      <c r="G11" s="3">
        <f t="shared" si="1"/>
        <v>0</v>
      </c>
      <c r="H11" s="3"/>
    </row>
    <row r="12" spans="1:9" x14ac:dyDescent="0.25">
      <c r="A12" s="3">
        <v>8</v>
      </c>
      <c r="B12" s="3" t="s">
        <v>105</v>
      </c>
      <c r="C12" s="3">
        <v>2500</v>
      </c>
      <c r="D12" s="3">
        <f>'AUGUST 21'!G12:G28</f>
        <v>2700</v>
      </c>
      <c r="E12" s="3">
        <f t="shared" si="0"/>
        <v>5200</v>
      </c>
      <c r="F12" s="3">
        <f>2500</f>
        <v>2500</v>
      </c>
      <c r="G12" s="3">
        <f>E12-F12</f>
        <v>2700</v>
      </c>
      <c r="H12" s="3"/>
    </row>
    <row r="13" spans="1:9" x14ac:dyDescent="0.25">
      <c r="A13" s="3">
        <v>9</v>
      </c>
      <c r="B13" s="3" t="s">
        <v>96</v>
      </c>
      <c r="C13" s="3">
        <v>2500</v>
      </c>
      <c r="D13" s="3">
        <f>'AUGUST 21'!G13:G29</f>
        <v>2120</v>
      </c>
      <c r="E13" s="3">
        <f t="shared" si="0"/>
        <v>4620</v>
      </c>
      <c r="F13" s="3">
        <f>1200+2500</f>
        <v>3700</v>
      </c>
      <c r="G13" s="3">
        <f t="shared" si="1"/>
        <v>920</v>
      </c>
      <c r="H13" s="3"/>
    </row>
    <row r="14" spans="1:9" x14ac:dyDescent="0.25">
      <c r="A14" s="3">
        <v>10</v>
      </c>
      <c r="B14" s="3" t="s">
        <v>319</v>
      </c>
      <c r="C14" s="3">
        <v>2500</v>
      </c>
      <c r="D14" s="3">
        <f>'AUGUST 21'!G14:G30</f>
        <v>0</v>
      </c>
      <c r="E14" s="3">
        <f t="shared" si="0"/>
        <v>2500</v>
      </c>
      <c r="F14" s="3">
        <v>2500</v>
      </c>
      <c r="G14" s="3">
        <f>E14-F14</f>
        <v>0</v>
      </c>
      <c r="H14" s="3"/>
    </row>
    <row r="15" spans="1:9" x14ac:dyDescent="0.25">
      <c r="A15" s="3">
        <v>11</v>
      </c>
      <c r="B15" s="3" t="s">
        <v>319</v>
      </c>
      <c r="C15" s="3">
        <v>3000</v>
      </c>
      <c r="D15" s="3">
        <f>'AUGUST 21'!G15:G31</f>
        <v>0</v>
      </c>
      <c r="E15" s="3">
        <f t="shared" si="0"/>
        <v>3000</v>
      </c>
      <c r="F15" s="3">
        <v>3000</v>
      </c>
      <c r="G15" s="3">
        <f t="shared" si="1"/>
        <v>0</v>
      </c>
      <c r="H15" s="3"/>
    </row>
    <row r="16" spans="1:9" x14ac:dyDescent="0.25">
      <c r="A16" s="3">
        <v>12</v>
      </c>
      <c r="B16" s="3" t="s">
        <v>353</v>
      </c>
      <c r="C16" s="3">
        <v>2500</v>
      </c>
      <c r="D16" s="3">
        <f>'AUGUST 21'!G16:G32</f>
        <v>2500</v>
      </c>
      <c r="E16" s="3">
        <f t="shared" si="0"/>
        <v>5000</v>
      </c>
      <c r="F16" s="3">
        <f>5000</f>
        <v>5000</v>
      </c>
      <c r="G16" s="3">
        <f>E16-F16</f>
        <v>0</v>
      </c>
      <c r="H16" s="3"/>
    </row>
    <row r="17" spans="1:15" x14ac:dyDescent="0.25">
      <c r="A17" s="3">
        <v>13</v>
      </c>
      <c r="B17" s="3" t="s">
        <v>19</v>
      </c>
      <c r="C17" s="3">
        <v>2500</v>
      </c>
      <c r="D17" s="3">
        <f>'AUGUST 21'!G17:G33</f>
        <v>0</v>
      </c>
      <c r="E17" s="3">
        <f t="shared" si="0"/>
        <v>2500</v>
      </c>
      <c r="F17" s="3">
        <f>2500</f>
        <v>2500</v>
      </c>
      <c r="G17" s="3">
        <f t="shared" si="1"/>
        <v>0</v>
      </c>
      <c r="H17" s="3"/>
    </row>
    <row r="18" spans="1:15" x14ac:dyDescent="0.25">
      <c r="A18" s="3">
        <v>14</v>
      </c>
      <c r="B18" s="3" t="s">
        <v>160</v>
      </c>
      <c r="C18" s="3">
        <v>2500</v>
      </c>
      <c r="D18" s="3">
        <f>'AUGUST 21'!G18:G34</f>
        <v>0</v>
      </c>
      <c r="E18" s="3">
        <f t="shared" si="0"/>
        <v>2500</v>
      </c>
      <c r="F18" s="3">
        <v>2500</v>
      </c>
      <c r="G18" s="3">
        <f t="shared" si="1"/>
        <v>0</v>
      </c>
      <c r="H18" s="3"/>
    </row>
    <row r="19" spans="1:15" x14ac:dyDescent="0.25">
      <c r="A19" s="3">
        <v>15</v>
      </c>
      <c r="B19" s="58" t="s">
        <v>361</v>
      </c>
      <c r="C19" s="58">
        <v>2500</v>
      </c>
      <c r="D19" s="3">
        <f>'AUGUST 21'!G19:G35</f>
        <v>1000</v>
      </c>
      <c r="E19" s="3">
        <f t="shared" si="0"/>
        <v>3500</v>
      </c>
      <c r="F19" s="3"/>
      <c r="G19" s="3">
        <f>E19-F19</f>
        <v>3500</v>
      </c>
      <c r="H19" s="3"/>
    </row>
    <row r="20" spans="1:15" x14ac:dyDescent="0.25">
      <c r="A20" s="3">
        <v>16</v>
      </c>
      <c r="B20" s="3" t="s">
        <v>320</v>
      </c>
      <c r="C20" s="3">
        <v>2500</v>
      </c>
      <c r="D20" s="3">
        <f>'AUGUST 21'!G20:G36</f>
        <v>0</v>
      </c>
      <c r="E20" s="3">
        <f>C20+D20</f>
        <v>2500</v>
      </c>
      <c r="F20" s="3"/>
      <c r="G20" s="3">
        <f>E20-F20</f>
        <v>2500</v>
      </c>
      <c r="H20" s="3"/>
    </row>
    <row r="21" spans="1:15" x14ac:dyDescent="0.25">
      <c r="A21" s="3">
        <v>17</v>
      </c>
      <c r="B21" s="3" t="s">
        <v>73</v>
      </c>
      <c r="C21" s="3">
        <v>2500</v>
      </c>
      <c r="D21" s="3">
        <f>'AUGUST 21'!G21:G37</f>
        <v>0</v>
      </c>
      <c r="E21" s="3">
        <f t="shared" si="0"/>
        <v>2500</v>
      </c>
      <c r="F21" s="3">
        <f>2500</f>
        <v>2500</v>
      </c>
      <c r="G21" s="3">
        <f>E21-F21</f>
        <v>0</v>
      </c>
      <c r="H21" s="58"/>
    </row>
    <row r="22" spans="1:15" x14ac:dyDescent="0.25">
      <c r="A22" s="2"/>
      <c r="B22" s="4" t="s">
        <v>24</v>
      </c>
      <c r="C22" s="2">
        <f>SUM(C5:C21)</f>
        <v>45000</v>
      </c>
      <c r="D22" s="3">
        <f>SUM(D5:D21)</f>
        <v>12820</v>
      </c>
      <c r="E22" s="2">
        <f>SUM(E5:E21)</f>
        <v>57820</v>
      </c>
      <c r="F22" s="2">
        <f>SUM(F5:F21)</f>
        <v>43200</v>
      </c>
      <c r="G22" s="2">
        <f>SUM(G5:G21)</f>
        <v>14620</v>
      </c>
      <c r="H22" s="2"/>
      <c r="I22" s="1"/>
    </row>
    <row r="23" spans="1:15" x14ac:dyDescent="0.25">
      <c r="A23" s="3"/>
      <c r="B23" s="27" t="s">
        <v>346</v>
      </c>
      <c r="C23" s="3"/>
      <c r="D23" s="3">
        <f>'SEPTEMBER 20'!G23:G41</f>
        <v>0</v>
      </c>
      <c r="E23" s="3"/>
      <c r="F23" s="3"/>
      <c r="G23" s="27">
        <v>3500</v>
      </c>
      <c r="H23" s="3"/>
    </row>
    <row r="24" spans="1:15" x14ac:dyDescent="0.25">
      <c r="A24" s="12"/>
      <c r="G24">
        <f>G22+G23</f>
        <v>18120</v>
      </c>
      <c r="O24">
        <f>18000+16000</f>
        <v>34000</v>
      </c>
    </row>
    <row r="25" spans="1:15" ht="18.75" x14ac:dyDescent="0.3">
      <c r="A25" s="12"/>
      <c r="B25" s="51" t="s">
        <v>27</v>
      </c>
      <c r="C25" s="52"/>
      <c r="D25" s="52"/>
      <c r="E25" s="52"/>
      <c r="F25" s="52"/>
      <c r="G25" s="52"/>
      <c r="H25" s="53"/>
      <c r="I25" s="53"/>
      <c r="J25" s="1"/>
    </row>
    <row r="26" spans="1:15" ht="15.75" x14ac:dyDescent="0.25">
      <c r="A26" s="12"/>
      <c r="B26" s="54" t="s">
        <v>28</v>
      </c>
      <c r="C26" s="54" t="s">
        <v>29</v>
      </c>
      <c r="D26" s="54" t="s">
        <v>30</v>
      </c>
      <c r="E26" s="54" t="s">
        <v>62</v>
      </c>
      <c r="F26" s="54" t="s">
        <v>69</v>
      </c>
      <c r="G26" s="54" t="s">
        <v>29</v>
      </c>
      <c r="H26" s="54" t="s">
        <v>30</v>
      </c>
      <c r="I26" s="54" t="s">
        <v>62</v>
      </c>
      <c r="J26" s="65"/>
    </row>
    <row r="27" spans="1:15" x14ac:dyDescent="0.25">
      <c r="A27" s="12"/>
      <c r="B27" s="55" t="s">
        <v>158</v>
      </c>
      <c r="C27" s="50">
        <f>C22</f>
        <v>45000</v>
      </c>
      <c r="D27" s="56">
        <v>0.1</v>
      </c>
      <c r="E27" s="50"/>
      <c r="F27" s="57" t="s">
        <v>158</v>
      </c>
      <c r="G27" s="50">
        <f>F22</f>
        <v>43200</v>
      </c>
      <c r="H27" s="56">
        <v>0.1</v>
      </c>
      <c r="I27" s="58"/>
      <c r="J27" s="1"/>
    </row>
    <row r="28" spans="1:15" x14ac:dyDescent="0.25">
      <c r="A28" s="12"/>
      <c r="B28" s="58" t="s">
        <v>55</v>
      </c>
      <c r="C28" s="50">
        <f>'AUGUST 21'!E42</f>
        <v>0</v>
      </c>
      <c r="D28" s="58"/>
      <c r="E28" s="58"/>
      <c r="F28" s="58" t="s">
        <v>55</v>
      </c>
      <c r="G28" s="50">
        <f>'AUGUST 21'!I42</f>
        <v>-16320</v>
      </c>
      <c r="H28" s="58"/>
      <c r="I28" s="58"/>
      <c r="J28" s="1"/>
    </row>
    <row r="29" spans="1:15" x14ac:dyDescent="0.25">
      <c r="A29" s="12"/>
      <c r="B29" s="58"/>
      <c r="C29" s="50"/>
      <c r="D29" s="58"/>
      <c r="E29" s="58"/>
      <c r="F29" s="58"/>
      <c r="G29" s="50"/>
      <c r="H29" s="58"/>
      <c r="I29" s="58"/>
      <c r="J29" s="66"/>
    </row>
    <row r="30" spans="1:15" x14ac:dyDescent="0.25">
      <c r="A30" s="12"/>
      <c r="B30" s="58" t="s">
        <v>33</v>
      </c>
      <c r="C30" s="59"/>
      <c r="D30" s="58">
        <f>C27*D27</f>
        <v>4500</v>
      </c>
      <c r="E30" s="58"/>
      <c r="F30" s="58" t="s">
        <v>33</v>
      </c>
      <c r="G30" s="59"/>
      <c r="H30" s="58">
        <f>H27*C27</f>
        <v>4500</v>
      </c>
      <c r="I30" s="58"/>
      <c r="J30" s="66"/>
    </row>
    <row r="31" spans="1:15" x14ac:dyDescent="0.25">
      <c r="A31" s="12"/>
      <c r="B31" s="60" t="s">
        <v>34</v>
      </c>
      <c r="C31" s="58"/>
      <c r="D31" s="58"/>
      <c r="E31" s="58"/>
      <c r="F31" s="60" t="s">
        <v>34</v>
      </c>
      <c r="G31" s="58"/>
      <c r="H31" s="58"/>
      <c r="I31" s="58"/>
      <c r="J31" s="66"/>
    </row>
    <row r="32" spans="1:15" x14ac:dyDescent="0.25">
      <c r="A32" s="12"/>
      <c r="B32" s="3" t="s">
        <v>161</v>
      </c>
      <c r="C32" s="3"/>
      <c r="D32" s="3"/>
      <c r="E32" s="3"/>
      <c r="F32" s="3" t="s">
        <v>161</v>
      </c>
      <c r="G32" s="3"/>
      <c r="H32" s="3"/>
      <c r="I32" s="58"/>
    </row>
    <row r="33" spans="1:10" x14ac:dyDescent="0.25">
      <c r="A33" s="12"/>
      <c r="B33" s="62"/>
      <c r="C33" s="58"/>
      <c r="D33" s="3"/>
      <c r="E33" s="58"/>
      <c r="F33" s="62"/>
      <c r="G33" s="58"/>
      <c r="H33" s="3"/>
      <c r="I33" s="58"/>
      <c r="J33" s="66"/>
    </row>
    <row r="34" spans="1:10" x14ac:dyDescent="0.25">
      <c r="A34" s="12"/>
      <c r="B34" s="62" t="s">
        <v>363</v>
      </c>
      <c r="D34" s="3">
        <v>5055</v>
      </c>
      <c r="E34" s="58"/>
      <c r="F34" s="62" t="s">
        <v>363</v>
      </c>
      <c r="H34" s="3">
        <v>5055</v>
      </c>
      <c r="I34" s="58"/>
    </row>
    <row r="35" spans="1:10" x14ac:dyDescent="0.25">
      <c r="A35" s="12"/>
      <c r="B35" s="62" t="s">
        <v>364</v>
      </c>
      <c r="C35" s="50"/>
      <c r="D35" s="3">
        <v>500</v>
      </c>
      <c r="E35" s="50"/>
      <c r="F35" s="62" t="s">
        <v>364</v>
      </c>
      <c r="G35" s="50"/>
      <c r="H35" s="3">
        <v>500</v>
      </c>
      <c r="I35" s="58"/>
    </row>
    <row r="36" spans="1:10" x14ac:dyDescent="0.25">
      <c r="A36" s="12"/>
      <c r="B36" s="62" t="s">
        <v>365</v>
      </c>
      <c r="C36" s="50"/>
      <c r="D36" s="50">
        <v>5070</v>
      </c>
      <c r="E36" s="50"/>
      <c r="F36" s="62" t="s">
        <v>365</v>
      </c>
      <c r="G36" s="50"/>
      <c r="H36" s="50">
        <v>5070</v>
      </c>
      <c r="I36" s="58"/>
      <c r="J36" s="43"/>
    </row>
    <row r="37" spans="1:10" x14ac:dyDescent="0.25">
      <c r="A37" s="12"/>
      <c r="B37" s="62" t="s">
        <v>366</v>
      </c>
      <c r="C37" s="50"/>
      <c r="D37" s="50">
        <v>25000</v>
      </c>
      <c r="E37" s="50"/>
      <c r="F37" s="62" t="s">
        <v>366</v>
      </c>
      <c r="G37" s="50"/>
      <c r="H37" s="50">
        <v>25000</v>
      </c>
      <c r="I37" s="58"/>
      <c r="J37" s="43"/>
    </row>
    <row r="38" spans="1:10" x14ac:dyDescent="0.25">
      <c r="A38" s="12"/>
      <c r="B38" s="62" t="s">
        <v>281</v>
      </c>
      <c r="C38" s="50"/>
      <c r="D38" s="50">
        <v>14875</v>
      </c>
      <c r="E38" s="50"/>
      <c r="F38" s="62" t="s">
        <v>281</v>
      </c>
      <c r="G38" s="50"/>
      <c r="H38" s="50">
        <v>14875</v>
      </c>
      <c r="I38" s="58"/>
      <c r="J38" s="43"/>
    </row>
    <row r="39" spans="1:10" x14ac:dyDescent="0.25">
      <c r="A39" s="12"/>
      <c r="B39" s="62" t="s">
        <v>371</v>
      </c>
      <c r="C39" s="50"/>
      <c r="D39" s="50">
        <v>2500</v>
      </c>
      <c r="E39" s="50"/>
      <c r="F39" s="62" t="s">
        <v>371</v>
      </c>
      <c r="G39" s="50"/>
      <c r="H39" s="50">
        <v>2500</v>
      </c>
      <c r="I39" s="58"/>
    </row>
    <row r="40" spans="1:10" x14ac:dyDescent="0.25">
      <c r="A40" s="12"/>
      <c r="B40" s="62"/>
      <c r="C40" s="50"/>
      <c r="D40" s="50"/>
      <c r="E40" s="50"/>
      <c r="F40" s="62"/>
      <c r="G40" s="50"/>
      <c r="H40" s="50"/>
      <c r="I40" s="58"/>
    </row>
    <row r="41" spans="1:10" x14ac:dyDescent="0.25">
      <c r="A41" s="12"/>
      <c r="B41" s="62"/>
      <c r="C41" s="50"/>
      <c r="D41" s="50"/>
      <c r="E41" s="50"/>
      <c r="F41" s="62"/>
      <c r="G41" s="50"/>
      <c r="H41" s="50"/>
      <c r="I41" s="58"/>
    </row>
    <row r="42" spans="1:10" x14ac:dyDescent="0.25">
      <c r="A42" s="12"/>
      <c r="B42" s="55" t="s">
        <v>24</v>
      </c>
      <c r="C42" s="63">
        <f>C27+C28+C29-D30</f>
        <v>40500</v>
      </c>
      <c r="D42" s="55">
        <f>SUM(D32:D41)</f>
        <v>53000</v>
      </c>
      <c r="E42" s="63">
        <f>C42-D42</f>
        <v>-12500</v>
      </c>
      <c r="F42" s="57"/>
      <c r="G42" s="63">
        <f>G27+G28-H30</f>
        <v>22380</v>
      </c>
      <c r="H42" s="63">
        <f>SUM(H32:H41)</f>
        <v>53000</v>
      </c>
      <c r="I42" s="63">
        <f>G42-H42</f>
        <v>-30620</v>
      </c>
    </row>
    <row r="45" spans="1:10" x14ac:dyDescent="0.25">
      <c r="B45" s="12" t="s">
        <v>38</v>
      </c>
      <c r="D45" s="12" t="s">
        <v>36</v>
      </c>
      <c r="F45" s="12"/>
      <c r="G45" s="12" t="s">
        <v>37</v>
      </c>
      <c r="I45" s="43"/>
    </row>
    <row r="46" spans="1:10" x14ac:dyDescent="0.25">
      <c r="B46" t="s">
        <v>163</v>
      </c>
      <c r="D46" s="12" t="s">
        <v>66</v>
      </c>
      <c r="F46" s="68">
        <f>D37+D38+D39</f>
        <v>42375</v>
      </c>
      <c r="G46" s="12" t="s">
        <v>339</v>
      </c>
      <c r="I46" s="4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10" workbookViewId="0">
      <selection activeCell="F10" sqref="F10"/>
    </sheetView>
  </sheetViews>
  <sheetFormatPr defaultRowHeight="15" x14ac:dyDescent="0.25"/>
  <cols>
    <col min="1" max="1" width="3.7109375" customWidth="1"/>
    <col min="2" max="2" width="19.140625" customWidth="1"/>
    <col min="5" max="5" width="10.5703125" customWidth="1"/>
    <col min="6" max="6" width="9.85546875" customWidth="1"/>
    <col min="9" max="9" width="10.140625" customWidth="1"/>
  </cols>
  <sheetData>
    <row r="1" spans="1:10" ht="18.75" x14ac:dyDescent="0.25">
      <c r="C1" s="38" t="s">
        <v>59</v>
      </c>
      <c r="D1" s="39"/>
      <c r="E1" s="36"/>
      <c r="F1" s="34"/>
    </row>
    <row r="2" spans="1:10" ht="18.75" x14ac:dyDescent="0.25">
      <c r="C2" s="38" t="s">
        <v>60</v>
      </c>
      <c r="D2" s="38"/>
      <c r="E2" s="11"/>
      <c r="F2" s="11"/>
    </row>
    <row r="3" spans="1:10" ht="18.75" x14ac:dyDescent="0.25">
      <c r="C3" s="38" t="s">
        <v>64</v>
      </c>
      <c r="D3" s="38"/>
      <c r="E3" s="11"/>
      <c r="F3" s="11"/>
    </row>
    <row r="4" spans="1:10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/>
      <c r="I4" s="1"/>
      <c r="J4" s="1"/>
    </row>
    <row r="5" spans="1:10" x14ac:dyDescent="0.25">
      <c r="A5" s="3">
        <v>1</v>
      </c>
      <c r="B5" s="3" t="s">
        <v>7</v>
      </c>
      <c r="C5" s="3">
        <v>4000</v>
      </c>
      <c r="D5" s="3">
        <v>4000</v>
      </c>
      <c r="E5" s="3">
        <f>C5+D5</f>
        <v>8000</v>
      </c>
      <c r="F5" s="3">
        <v>4000</v>
      </c>
      <c r="G5" s="3">
        <f>E5-F5</f>
        <v>4000</v>
      </c>
      <c r="H5" s="3"/>
    </row>
    <row r="6" spans="1:10" x14ac:dyDescent="0.25">
      <c r="A6" s="3">
        <v>2</v>
      </c>
      <c r="B6" s="3" t="s">
        <v>8</v>
      </c>
      <c r="C6" s="3">
        <v>2000</v>
      </c>
      <c r="D6" s="3">
        <v>2000</v>
      </c>
      <c r="E6" s="3">
        <f t="shared" ref="E6:E21" si="0">C6+D6</f>
        <v>4000</v>
      </c>
      <c r="F6" s="3">
        <v>2000</v>
      </c>
      <c r="G6" s="3">
        <f t="shared" ref="G6:G21" si="1">E6-F6</f>
        <v>2000</v>
      </c>
      <c r="H6" s="3"/>
    </row>
    <row r="7" spans="1:10" x14ac:dyDescent="0.25">
      <c r="A7" s="3">
        <v>3</v>
      </c>
      <c r="B7" s="3" t="s">
        <v>9</v>
      </c>
      <c r="C7" s="3">
        <v>2000</v>
      </c>
      <c r="D7" s="3">
        <v>4000</v>
      </c>
      <c r="E7" s="3">
        <f t="shared" si="0"/>
        <v>6000</v>
      </c>
      <c r="F7" s="3">
        <v>2000</v>
      </c>
      <c r="G7" s="3">
        <f t="shared" si="1"/>
        <v>4000</v>
      </c>
      <c r="H7" s="3"/>
    </row>
    <row r="8" spans="1:10" x14ac:dyDescent="0.25">
      <c r="A8" s="3">
        <v>4</v>
      </c>
      <c r="B8" s="3" t="s">
        <v>10</v>
      </c>
      <c r="C8" s="3">
        <v>2000</v>
      </c>
      <c r="D8" s="3">
        <v>2000</v>
      </c>
      <c r="E8" s="3">
        <f t="shared" si="0"/>
        <v>4000</v>
      </c>
      <c r="F8" s="3">
        <v>2000</v>
      </c>
      <c r="G8" s="3">
        <f t="shared" si="1"/>
        <v>2000</v>
      </c>
      <c r="H8" s="3"/>
    </row>
    <row r="9" spans="1:10" x14ac:dyDescent="0.25">
      <c r="A9" s="3">
        <v>5</v>
      </c>
      <c r="B9" s="3" t="s">
        <v>11</v>
      </c>
      <c r="C9" s="3">
        <v>2200</v>
      </c>
      <c r="D9" s="3"/>
      <c r="E9" s="3">
        <f t="shared" si="0"/>
        <v>2200</v>
      </c>
      <c r="F9" s="3">
        <v>2200</v>
      </c>
      <c r="G9" s="3">
        <f t="shared" si="1"/>
        <v>0</v>
      </c>
      <c r="H9" s="3"/>
    </row>
    <row r="10" spans="1:10" x14ac:dyDescent="0.25">
      <c r="A10" s="3">
        <v>6</v>
      </c>
      <c r="B10" s="3" t="s">
        <v>12</v>
      </c>
      <c r="C10" s="3"/>
      <c r="D10" s="3"/>
      <c r="E10" s="3"/>
      <c r="F10" s="3"/>
      <c r="G10" s="3"/>
      <c r="H10" s="3"/>
    </row>
    <row r="11" spans="1:10" x14ac:dyDescent="0.25">
      <c r="A11" s="3">
        <v>7</v>
      </c>
      <c r="B11" s="3" t="s">
        <v>13</v>
      </c>
      <c r="C11" s="3">
        <v>2000</v>
      </c>
      <c r="D11" s="3">
        <v>4000</v>
      </c>
      <c r="E11" s="3">
        <f t="shared" si="0"/>
        <v>6000</v>
      </c>
      <c r="F11" s="3">
        <v>2000</v>
      </c>
      <c r="G11" s="3">
        <f t="shared" si="1"/>
        <v>4000</v>
      </c>
      <c r="H11" s="3"/>
    </row>
    <row r="12" spans="1:10" x14ac:dyDescent="0.25">
      <c r="A12" s="3">
        <v>8</v>
      </c>
      <c r="B12" s="3" t="s">
        <v>14</v>
      </c>
      <c r="C12" s="3">
        <v>2000</v>
      </c>
      <c r="D12" s="3">
        <v>0</v>
      </c>
      <c r="E12" s="3">
        <f t="shared" si="0"/>
        <v>2000</v>
      </c>
      <c r="F12" s="3">
        <v>2000</v>
      </c>
      <c r="G12" s="3">
        <f t="shared" si="1"/>
        <v>0</v>
      </c>
      <c r="H12" s="3"/>
    </row>
    <row r="13" spans="1:10" x14ac:dyDescent="0.25">
      <c r="A13" s="3">
        <v>9</v>
      </c>
      <c r="B13" s="3" t="s">
        <v>15</v>
      </c>
      <c r="C13" s="3"/>
      <c r="D13" s="3">
        <v>2000</v>
      </c>
      <c r="E13" s="3">
        <f t="shared" si="0"/>
        <v>2000</v>
      </c>
      <c r="F13" s="3">
        <v>2000</v>
      </c>
      <c r="G13" s="3">
        <f t="shared" si="1"/>
        <v>0</v>
      </c>
      <c r="H13" s="3"/>
    </row>
    <row r="14" spans="1:10" x14ac:dyDescent="0.25">
      <c r="A14" s="3">
        <v>10</v>
      </c>
      <c r="B14" s="3" t="s">
        <v>16</v>
      </c>
      <c r="C14" s="3">
        <v>2000</v>
      </c>
      <c r="D14" s="3">
        <v>2000</v>
      </c>
      <c r="E14" s="3">
        <f t="shared" si="0"/>
        <v>4000</v>
      </c>
      <c r="F14" s="3">
        <v>2000</v>
      </c>
      <c r="G14" s="3">
        <f t="shared" si="1"/>
        <v>2000</v>
      </c>
      <c r="H14" s="3"/>
      <c r="I14" t="s">
        <v>51</v>
      </c>
    </row>
    <row r="15" spans="1:10" x14ac:dyDescent="0.25">
      <c r="A15" s="3">
        <v>11</v>
      </c>
      <c r="B15" s="3" t="s">
        <v>17</v>
      </c>
      <c r="C15" s="3">
        <v>2300</v>
      </c>
      <c r="D15" s="3"/>
      <c r="E15" s="3">
        <f t="shared" si="0"/>
        <v>2300</v>
      </c>
      <c r="F15" s="3">
        <v>2000</v>
      </c>
      <c r="G15" s="3">
        <f t="shared" si="1"/>
        <v>300</v>
      </c>
      <c r="H15" s="3"/>
      <c r="I15" t="s">
        <v>51</v>
      </c>
    </row>
    <row r="16" spans="1:10" x14ac:dyDescent="0.25">
      <c r="A16" s="3">
        <v>12</v>
      </c>
      <c r="B16" s="3" t="s">
        <v>18</v>
      </c>
      <c r="C16" s="3">
        <v>2000</v>
      </c>
      <c r="D16" s="3">
        <v>0</v>
      </c>
      <c r="E16" s="3">
        <f t="shared" si="0"/>
        <v>2000</v>
      </c>
      <c r="F16" s="3">
        <v>2000</v>
      </c>
      <c r="G16" s="3">
        <f t="shared" si="1"/>
        <v>0</v>
      </c>
      <c r="H16" s="3"/>
    </row>
    <row r="17" spans="1:10" x14ac:dyDescent="0.25">
      <c r="A17" s="3">
        <v>13</v>
      </c>
      <c r="B17" s="3" t="s">
        <v>19</v>
      </c>
      <c r="C17" s="3">
        <v>2000</v>
      </c>
      <c r="D17" s="3">
        <v>0</v>
      </c>
      <c r="E17" s="3">
        <f t="shared" si="0"/>
        <v>2000</v>
      </c>
      <c r="F17" s="3">
        <v>2000</v>
      </c>
      <c r="G17" s="3">
        <f t="shared" si="1"/>
        <v>0</v>
      </c>
      <c r="H17" s="3"/>
      <c r="I17" t="s">
        <v>51</v>
      </c>
    </row>
    <row r="18" spans="1:10" x14ac:dyDescent="0.25">
      <c r="A18" s="3">
        <v>14</v>
      </c>
      <c r="B18" s="3" t="s">
        <v>20</v>
      </c>
      <c r="C18" s="3">
        <v>2000</v>
      </c>
      <c r="D18" s="3">
        <v>0</v>
      </c>
      <c r="E18" s="3">
        <f t="shared" si="0"/>
        <v>2000</v>
      </c>
      <c r="F18" s="3">
        <v>2000</v>
      </c>
      <c r="G18" s="3">
        <f t="shared" si="1"/>
        <v>0</v>
      </c>
      <c r="H18" s="3"/>
    </row>
    <row r="19" spans="1:10" x14ac:dyDescent="0.25">
      <c r="A19" s="3">
        <v>15</v>
      </c>
      <c r="B19" s="3" t="s">
        <v>49</v>
      </c>
      <c r="C19" s="3">
        <v>2000</v>
      </c>
      <c r="D19" s="3">
        <v>0</v>
      </c>
      <c r="E19" s="3">
        <f t="shared" si="0"/>
        <v>2000</v>
      </c>
      <c r="F19" s="3">
        <v>2000</v>
      </c>
      <c r="G19" s="3">
        <f t="shared" si="1"/>
        <v>0</v>
      </c>
      <c r="H19" s="3"/>
    </row>
    <row r="20" spans="1:10" x14ac:dyDescent="0.25">
      <c r="A20" s="3">
        <v>16</v>
      </c>
      <c r="B20" s="3" t="s">
        <v>22</v>
      </c>
      <c r="C20" s="3">
        <v>2000</v>
      </c>
      <c r="D20" s="3">
        <v>0</v>
      </c>
      <c r="E20" s="3">
        <f t="shared" si="0"/>
        <v>2000</v>
      </c>
      <c r="F20" s="3">
        <v>2000</v>
      </c>
      <c r="G20" s="3">
        <f t="shared" si="1"/>
        <v>0</v>
      </c>
      <c r="H20" s="3"/>
    </row>
    <row r="21" spans="1:10" x14ac:dyDescent="0.25">
      <c r="A21" s="3">
        <v>17</v>
      </c>
      <c r="B21" s="3" t="s">
        <v>23</v>
      </c>
      <c r="C21" s="3">
        <v>2000</v>
      </c>
      <c r="D21" s="3">
        <v>0</v>
      </c>
      <c r="E21" s="3">
        <f t="shared" si="0"/>
        <v>2000</v>
      </c>
      <c r="F21" s="3">
        <v>2000</v>
      </c>
      <c r="G21" s="3">
        <f t="shared" si="1"/>
        <v>0</v>
      </c>
      <c r="H21" s="3"/>
    </row>
    <row r="22" spans="1:10" x14ac:dyDescent="0.25">
      <c r="A22" s="2"/>
      <c r="B22" s="4" t="s">
        <v>24</v>
      </c>
      <c r="C22" s="2">
        <f>SUM(C5:C21)</f>
        <v>32500</v>
      </c>
      <c r="D22" s="2">
        <f>SUM(D5:D21)</f>
        <v>20000</v>
      </c>
      <c r="E22" s="2">
        <f>SUM(E5:E21)</f>
        <v>52500</v>
      </c>
      <c r="F22" s="2">
        <f>SUM(F5:F21)</f>
        <v>34200</v>
      </c>
      <c r="G22" s="2">
        <f>E22-F22</f>
        <v>18300</v>
      </c>
      <c r="H22" s="2"/>
      <c r="I22" s="1"/>
      <c r="J22" s="1"/>
    </row>
    <row r="23" spans="1:10" x14ac:dyDescent="0.25">
      <c r="A23" s="3"/>
      <c r="B23" s="3"/>
      <c r="C23" s="3"/>
      <c r="D23" s="3"/>
      <c r="E23" s="3"/>
      <c r="F23" s="3"/>
      <c r="G23" s="3"/>
      <c r="H23" s="3"/>
    </row>
    <row r="24" spans="1:10" x14ac:dyDescent="0.25">
      <c r="A24" s="12"/>
    </row>
    <row r="25" spans="1:10" ht="18.75" x14ac:dyDescent="0.3">
      <c r="A25" s="12"/>
      <c r="B25" s="31" t="s">
        <v>27</v>
      </c>
      <c r="C25" s="12"/>
      <c r="D25" s="12"/>
      <c r="E25" s="12"/>
    </row>
    <row r="26" spans="1:10" ht="15.75" x14ac:dyDescent="0.25">
      <c r="A26" s="12"/>
      <c r="B26" s="2" t="s">
        <v>28</v>
      </c>
      <c r="C26" s="2" t="s">
        <v>29</v>
      </c>
      <c r="D26" s="2" t="s">
        <v>30</v>
      </c>
      <c r="E26" s="2" t="s">
        <v>62</v>
      </c>
      <c r="F26" s="2" t="s">
        <v>29</v>
      </c>
      <c r="G26" s="2" t="s">
        <v>30</v>
      </c>
      <c r="H26" s="2" t="s">
        <v>62</v>
      </c>
      <c r="J26" s="29"/>
    </row>
    <row r="27" spans="1:10" x14ac:dyDescent="0.25">
      <c r="A27" s="12"/>
      <c r="B27" s="3" t="s">
        <v>50</v>
      </c>
      <c r="C27" s="17">
        <f>C22</f>
        <v>32500</v>
      </c>
      <c r="D27" s="5">
        <v>0.1</v>
      </c>
      <c r="E27" s="17">
        <f>C27-C28</f>
        <v>36350</v>
      </c>
      <c r="F27" s="17">
        <f>F22</f>
        <v>34200</v>
      </c>
      <c r="G27" s="5">
        <v>0.1</v>
      </c>
      <c r="H27" s="3"/>
    </row>
    <row r="28" spans="1:10" x14ac:dyDescent="0.25">
      <c r="A28" s="12"/>
      <c r="B28" s="3" t="s">
        <v>55</v>
      </c>
      <c r="C28" s="18">
        <f>DEC!E35</f>
        <v>-3850</v>
      </c>
      <c r="D28" s="3"/>
      <c r="E28" s="3"/>
      <c r="F28" s="18"/>
      <c r="G28" s="3"/>
      <c r="H28" s="3"/>
    </row>
    <row r="29" spans="1:10" x14ac:dyDescent="0.25">
      <c r="A29" s="12"/>
      <c r="B29" s="3" t="s">
        <v>33</v>
      </c>
      <c r="C29" s="17"/>
      <c r="D29" s="3">
        <f>C27*D27</f>
        <v>3250</v>
      </c>
      <c r="E29" s="3"/>
      <c r="F29" s="17"/>
      <c r="G29" s="3">
        <f>F27*G27</f>
        <v>3420</v>
      </c>
      <c r="H29" s="3"/>
    </row>
    <row r="30" spans="1:10" x14ac:dyDescent="0.25">
      <c r="A30" s="12"/>
      <c r="B30" s="21"/>
      <c r="C30" s="17">
        <f>C27-D29</f>
        <v>29250</v>
      </c>
      <c r="D30" s="3"/>
      <c r="E30" s="3"/>
      <c r="F30" s="17">
        <f>SUM(F27:F29)</f>
        <v>34200</v>
      </c>
      <c r="G30" s="3"/>
      <c r="H30" s="3"/>
    </row>
    <row r="31" spans="1:10" x14ac:dyDescent="0.25">
      <c r="A31" s="12"/>
      <c r="B31" s="21" t="s">
        <v>34</v>
      </c>
      <c r="C31" s="3"/>
      <c r="D31" s="3"/>
      <c r="E31" s="3"/>
      <c r="F31" s="3"/>
      <c r="G31" s="3"/>
      <c r="H31" s="3"/>
    </row>
    <row r="32" spans="1:10" x14ac:dyDescent="0.25">
      <c r="A32" s="12"/>
      <c r="B32" s="22">
        <v>43109</v>
      </c>
      <c r="C32" s="3"/>
      <c r="D32" s="3">
        <v>20000</v>
      </c>
      <c r="E32" s="3"/>
      <c r="F32" s="32">
        <v>43109</v>
      </c>
      <c r="G32" s="3">
        <v>20000</v>
      </c>
      <c r="H32" s="3"/>
    </row>
    <row r="33" spans="1:10" x14ac:dyDescent="0.25">
      <c r="A33" s="12"/>
      <c r="B33" s="24" t="s">
        <v>52</v>
      </c>
      <c r="C33" s="3"/>
      <c r="D33" s="3">
        <v>6300</v>
      </c>
      <c r="E33" s="3"/>
      <c r="F33" s="3" t="s">
        <v>51</v>
      </c>
      <c r="G33" s="3">
        <v>6000</v>
      </c>
      <c r="H33" s="3"/>
    </row>
    <row r="34" spans="1:10" x14ac:dyDescent="0.25">
      <c r="A34" s="12"/>
      <c r="B34" s="3"/>
      <c r="C34" s="3"/>
      <c r="D34" s="3"/>
      <c r="E34" s="3"/>
      <c r="F34" s="3"/>
      <c r="G34" s="3"/>
      <c r="H34" s="3"/>
    </row>
    <row r="35" spans="1:10" x14ac:dyDescent="0.25">
      <c r="A35" s="12"/>
      <c r="B35" s="41" t="s">
        <v>24</v>
      </c>
      <c r="C35" s="25">
        <f>C28+C30</f>
        <v>25400</v>
      </c>
      <c r="D35" s="25">
        <f>SUM(D32:D34)</f>
        <v>26300</v>
      </c>
      <c r="E35" s="25">
        <f>C35-D35</f>
        <v>-900</v>
      </c>
      <c r="F35" s="25">
        <f>F30</f>
        <v>34200</v>
      </c>
      <c r="G35" s="25">
        <f>SUM(G29:G34)</f>
        <v>29420</v>
      </c>
      <c r="H35" s="25">
        <f>F35-G35</f>
        <v>4780</v>
      </c>
      <c r="J35" s="12"/>
    </row>
    <row r="36" spans="1:10" x14ac:dyDescent="0.25">
      <c r="A36" s="12"/>
    </row>
    <row r="39" spans="1:10" x14ac:dyDescent="0.25">
      <c r="B39" s="12" t="s">
        <v>38</v>
      </c>
      <c r="C39" s="12" t="s">
        <v>36</v>
      </c>
      <c r="D39" s="12"/>
      <c r="E39" s="12" t="s">
        <v>37</v>
      </c>
      <c r="F39" s="12"/>
    </row>
    <row r="40" spans="1:10" x14ac:dyDescent="0.25">
      <c r="C40" s="12" t="s">
        <v>39</v>
      </c>
      <c r="D40" s="12"/>
      <c r="E40" s="12"/>
      <c r="F40" s="12"/>
    </row>
    <row r="41" spans="1:10" x14ac:dyDescent="0.25">
      <c r="B41" t="s">
        <v>65</v>
      </c>
    </row>
  </sheetData>
  <pageMargins left="0.25" right="0.25" top="0.75" bottom="0.75" header="0.3" footer="0.3"/>
  <pageSetup orientation="portrait" horizontalDpi="0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opLeftCell="A7" workbookViewId="0">
      <selection activeCell="C3" sqref="C3"/>
    </sheetView>
  </sheetViews>
  <sheetFormatPr defaultRowHeight="15" x14ac:dyDescent="0.25"/>
  <cols>
    <col min="2" max="2" width="22.5703125" customWidth="1"/>
    <col min="4" max="4" width="12.5703125" customWidth="1"/>
    <col min="5" max="5" width="12.28515625" customWidth="1"/>
  </cols>
  <sheetData>
    <row r="1" spans="1:10" ht="18.75" x14ac:dyDescent="0.25">
      <c r="C1" s="38" t="s">
        <v>59</v>
      </c>
      <c r="D1" s="39"/>
      <c r="E1" s="36"/>
      <c r="F1" s="34"/>
    </row>
    <row r="2" spans="1:10" ht="18.75" x14ac:dyDescent="0.25">
      <c r="C2" s="38" t="s">
        <v>60</v>
      </c>
      <c r="D2" s="38"/>
      <c r="E2" s="11"/>
      <c r="F2" s="11"/>
    </row>
    <row r="3" spans="1:10" ht="18.75" x14ac:dyDescent="0.25">
      <c r="C3" s="38" t="s">
        <v>367</v>
      </c>
      <c r="D3" s="38"/>
      <c r="E3" s="11"/>
      <c r="F3" s="11"/>
    </row>
    <row r="4" spans="1:10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/>
      <c r="I4" s="1"/>
    </row>
    <row r="5" spans="1:10" x14ac:dyDescent="0.25">
      <c r="A5" s="3">
        <v>1</v>
      </c>
      <c r="B5" s="3" t="s">
        <v>91</v>
      </c>
      <c r="C5" s="3">
        <v>4000</v>
      </c>
      <c r="D5" s="3">
        <f>'SEPT 21'!G5:G24</f>
        <v>0</v>
      </c>
      <c r="E5" s="3">
        <f t="shared" ref="E5:E21" si="0">C5+D5</f>
        <v>4000</v>
      </c>
      <c r="F5" s="3">
        <v>4000</v>
      </c>
      <c r="G5" s="3">
        <f>E5-F5</f>
        <v>0</v>
      </c>
      <c r="H5" s="3"/>
      <c r="I5">
        <v>371</v>
      </c>
      <c r="J5" t="s">
        <v>369</v>
      </c>
    </row>
    <row r="6" spans="1:10" x14ac:dyDescent="0.25">
      <c r="A6" s="3">
        <v>2</v>
      </c>
      <c r="B6" t="s">
        <v>126</v>
      </c>
      <c r="C6" s="3">
        <v>2500</v>
      </c>
      <c r="D6" s="3">
        <f>'SEPT 21'!G6:G25</f>
        <v>1500</v>
      </c>
      <c r="E6" s="3">
        <f t="shared" si="0"/>
        <v>4000</v>
      </c>
      <c r="F6" s="3">
        <v>2500</v>
      </c>
      <c r="G6" s="3">
        <f t="shared" ref="G6:G18" si="1">E6-F6</f>
        <v>1500</v>
      </c>
      <c r="H6" s="3"/>
    </row>
    <row r="7" spans="1:10" x14ac:dyDescent="0.25">
      <c r="A7" s="3">
        <v>3</v>
      </c>
      <c r="B7" s="58" t="s">
        <v>352</v>
      </c>
      <c r="C7" s="3">
        <v>2500</v>
      </c>
      <c r="D7" s="3">
        <f>'SEPT 21'!G7:G26</f>
        <v>0</v>
      </c>
      <c r="E7" s="3">
        <f t="shared" si="0"/>
        <v>2500</v>
      </c>
      <c r="F7" s="3"/>
      <c r="G7" s="3">
        <f t="shared" si="1"/>
        <v>2500</v>
      </c>
      <c r="H7" s="3"/>
    </row>
    <row r="8" spans="1:10" x14ac:dyDescent="0.25">
      <c r="A8" s="3">
        <v>4</v>
      </c>
      <c r="B8" s="3" t="s">
        <v>74</v>
      </c>
      <c r="C8" s="3">
        <v>2500</v>
      </c>
      <c r="D8" s="3">
        <f>'SEPT 21'!G8:G27</f>
        <v>500</v>
      </c>
      <c r="E8" s="3">
        <f t="shared" si="0"/>
        <v>3000</v>
      </c>
      <c r="F8" s="3">
        <v>3000</v>
      </c>
      <c r="G8" s="3">
        <f t="shared" si="1"/>
        <v>0</v>
      </c>
      <c r="H8" s="3"/>
    </row>
    <row r="9" spans="1:10" x14ac:dyDescent="0.25">
      <c r="A9" s="3">
        <v>5</v>
      </c>
      <c r="B9" s="3" t="s">
        <v>307</v>
      </c>
      <c r="C9" s="3">
        <v>3000</v>
      </c>
      <c r="D9" s="3">
        <f>'SEPT 21'!G9:G28</f>
        <v>3000</v>
      </c>
      <c r="E9" s="3">
        <f t="shared" si="0"/>
        <v>6000</v>
      </c>
      <c r="F9" s="3">
        <v>3000</v>
      </c>
      <c r="G9" s="3">
        <f>E9-F9</f>
        <v>3000</v>
      </c>
      <c r="H9" s="3"/>
    </row>
    <row r="10" spans="1:10" x14ac:dyDescent="0.25">
      <c r="A10" s="3">
        <v>6</v>
      </c>
      <c r="B10" s="64" t="s">
        <v>336</v>
      </c>
      <c r="C10" s="3">
        <v>2500</v>
      </c>
      <c r="D10" s="3">
        <f>'SEPT 21'!G10:G29</f>
        <v>0</v>
      </c>
      <c r="E10" s="3">
        <f t="shared" si="0"/>
        <v>2500</v>
      </c>
      <c r="F10" s="3"/>
      <c r="G10" s="3">
        <f t="shared" si="1"/>
        <v>2500</v>
      </c>
      <c r="H10" s="3"/>
      <c r="I10" t="s">
        <v>282</v>
      </c>
    </row>
    <row r="11" spans="1:10" x14ac:dyDescent="0.25">
      <c r="A11" s="3">
        <v>7</v>
      </c>
      <c r="B11" s="3" t="s">
        <v>13</v>
      </c>
      <c r="C11" s="3">
        <v>2500</v>
      </c>
      <c r="D11" s="3">
        <f>'SEPT 21'!G11:G30</f>
        <v>0</v>
      </c>
      <c r="E11" s="3">
        <f t="shared" si="0"/>
        <v>2500</v>
      </c>
      <c r="F11" s="3">
        <v>2500</v>
      </c>
      <c r="G11" s="3">
        <f t="shared" si="1"/>
        <v>0</v>
      </c>
      <c r="H11" s="3"/>
      <c r="I11" t="s">
        <v>51</v>
      </c>
    </row>
    <row r="12" spans="1:10" x14ac:dyDescent="0.25">
      <c r="A12" s="3">
        <v>8</v>
      </c>
      <c r="B12" s="3" t="s">
        <v>105</v>
      </c>
      <c r="C12" s="3">
        <v>2500</v>
      </c>
      <c r="D12" s="3">
        <f>'SEPT 21'!G12:G31</f>
        <v>2700</v>
      </c>
      <c r="E12" s="3">
        <f t="shared" si="0"/>
        <v>5200</v>
      </c>
      <c r="F12" s="3">
        <v>2500</v>
      </c>
      <c r="G12" s="3">
        <f>E12-F12</f>
        <v>2700</v>
      </c>
      <c r="H12" s="3"/>
    </row>
    <row r="13" spans="1:10" x14ac:dyDescent="0.25">
      <c r="A13" s="3">
        <v>9</v>
      </c>
      <c r="B13" s="3" t="s">
        <v>96</v>
      </c>
      <c r="C13" s="3">
        <v>2500</v>
      </c>
      <c r="D13" s="3">
        <f>'SEPT 21'!G13:G32</f>
        <v>920</v>
      </c>
      <c r="E13" s="3">
        <f t="shared" si="0"/>
        <v>3420</v>
      </c>
      <c r="F13" s="3">
        <f>1500</f>
        <v>1500</v>
      </c>
      <c r="G13" s="3">
        <f t="shared" si="1"/>
        <v>1920</v>
      </c>
      <c r="H13" s="3"/>
    </row>
    <row r="14" spans="1:10" x14ac:dyDescent="0.25">
      <c r="A14" s="3">
        <v>10</v>
      </c>
      <c r="B14" s="3" t="s">
        <v>319</v>
      </c>
      <c r="C14" s="3">
        <v>2500</v>
      </c>
      <c r="D14" s="3">
        <f>'SEPT 21'!G14:G33</f>
        <v>0</v>
      </c>
      <c r="E14" s="3">
        <f t="shared" si="0"/>
        <v>2500</v>
      </c>
      <c r="F14" s="3">
        <v>2500</v>
      </c>
      <c r="G14" s="3">
        <f>E14-F14</f>
        <v>0</v>
      </c>
      <c r="H14" s="3"/>
    </row>
    <row r="15" spans="1:10" x14ac:dyDescent="0.25">
      <c r="A15" s="3">
        <v>11</v>
      </c>
      <c r="B15" s="3" t="s">
        <v>319</v>
      </c>
      <c r="C15" s="3">
        <v>3000</v>
      </c>
      <c r="D15" s="3">
        <f>'SEPT 21'!G15:G34</f>
        <v>0</v>
      </c>
      <c r="E15" s="3">
        <f t="shared" si="0"/>
        <v>3000</v>
      </c>
      <c r="F15" s="3">
        <v>3000</v>
      </c>
      <c r="G15" s="3">
        <f t="shared" si="1"/>
        <v>0</v>
      </c>
      <c r="H15" s="3"/>
    </row>
    <row r="16" spans="1:10" x14ac:dyDescent="0.25">
      <c r="A16" s="3">
        <v>12</v>
      </c>
      <c r="B16" s="3" t="s">
        <v>353</v>
      </c>
      <c r="C16" s="3">
        <v>2500</v>
      </c>
      <c r="D16" s="3">
        <f>'SEPT 21'!G16:G35</f>
        <v>0</v>
      </c>
      <c r="E16" s="3">
        <f t="shared" si="0"/>
        <v>2500</v>
      </c>
      <c r="F16" s="3">
        <v>1000</v>
      </c>
      <c r="G16" s="3">
        <f>E16-F16</f>
        <v>1500</v>
      </c>
      <c r="H16" s="3"/>
    </row>
    <row r="17" spans="1:9" x14ac:dyDescent="0.25">
      <c r="A17" s="3">
        <v>13</v>
      </c>
      <c r="B17" s="3" t="s">
        <v>19</v>
      </c>
      <c r="C17" s="3">
        <v>2500</v>
      </c>
      <c r="D17" s="3">
        <f>'SEPT 21'!G17:G36</f>
        <v>0</v>
      </c>
      <c r="E17" s="3">
        <f t="shared" si="0"/>
        <v>2500</v>
      </c>
      <c r="F17" s="3">
        <v>2500</v>
      </c>
      <c r="G17" s="3">
        <f t="shared" si="1"/>
        <v>0</v>
      </c>
      <c r="H17" s="3"/>
    </row>
    <row r="18" spans="1:9" x14ac:dyDescent="0.25">
      <c r="A18" s="3">
        <v>14</v>
      </c>
      <c r="B18" s="3" t="s">
        <v>160</v>
      </c>
      <c r="C18" s="3">
        <v>2500</v>
      </c>
      <c r="D18" s="3">
        <f>'SEPT 21'!G18:G37</f>
        <v>0</v>
      </c>
      <c r="E18" s="3">
        <f t="shared" si="0"/>
        <v>2500</v>
      </c>
      <c r="F18" s="3"/>
      <c r="G18" s="3">
        <f t="shared" si="1"/>
        <v>2500</v>
      </c>
      <c r="H18" s="3"/>
    </row>
    <row r="19" spans="1:9" x14ac:dyDescent="0.25">
      <c r="A19" s="3">
        <v>15</v>
      </c>
      <c r="B19" s="58" t="s">
        <v>361</v>
      </c>
      <c r="C19" s="58">
        <v>2500</v>
      </c>
      <c r="D19" s="3">
        <f>'SEPT 21'!G19:G38</f>
        <v>3500</v>
      </c>
      <c r="E19" s="3">
        <f t="shared" si="0"/>
        <v>6000</v>
      </c>
      <c r="F19" s="3">
        <f>2200</f>
        <v>2200</v>
      </c>
      <c r="G19" s="3">
        <f>E19-F19</f>
        <v>3800</v>
      </c>
      <c r="H19" s="3"/>
    </row>
    <row r="20" spans="1:9" x14ac:dyDescent="0.25">
      <c r="A20" s="3">
        <v>16</v>
      </c>
      <c r="B20" s="3" t="s">
        <v>320</v>
      </c>
      <c r="C20" s="3">
        <v>2500</v>
      </c>
      <c r="D20" s="3">
        <f>'SEPT 21'!G20:G39</f>
        <v>2500</v>
      </c>
      <c r="E20" s="3">
        <f>C20+D20</f>
        <v>5000</v>
      </c>
      <c r="F20" s="3">
        <v>1500</v>
      </c>
      <c r="G20" s="3">
        <f>E20-F20</f>
        <v>3500</v>
      </c>
      <c r="H20" s="3"/>
    </row>
    <row r="21" spans="1:9" x14ac:dyDescent="0.25">
      <c r="A21" s="3">
        <v>17</v>
      </c>
      <c r="B21" s="3" t="s">
        <v>73</v>
      </c>
      <c r="C21" s="3">
        <v>2500</v>
      </c>
      <c r="D21" s="3">
        <f>'SEPT 21'!G21:G40</f>
        <v>0</v>
      </c>
      <c r="E21" s="3">
        <f t="shared" si="0"/>
        <v>2500</v>
      </c>
      <c r="F21" s="3">
        <v>2500</v>
      </c>
      <c r="G21" s="3">
        <f>E21-F21</f>
        <v>0</v>
      </c>
      <c r="H21" s="58"/>
    </row>
    <row r="22" spans="1:9" x14ac:dyDescent="0.25">
      <c r="A22" s="2"/>
      <c r="B22" s="4" t="s">
        <v>24</v>
      </c>
      <c r="C22" s="2">
        <f>SUM(C5:C21)</f>
        <v>45000</v>
      </c>
      <c r="D22" s="3">
        <f>'SEPT 21'!G22:G41</f>
        <v>14620</v>
      </c>
      <c r="E22" s="2">
        <f>SUM(E5:E21)</f>
        <v>59620</v>
      </c>
      <c r="F22" s="2">
        <f>SUM(F5:F21)</f>
        <v>34200</v>
      </c>
      <c r="G22" s="2">
        <f>SUM(G5:G21)</f>
        <v>25420</v>
      </c>
      <c r="H22" s="2"/>
      <c r="I22" s="1"/>
    </row>
    <row r="23" spans="1:9" x14ac:dyDescent="0.25">
      <c r="A23" s="3"/>
      <c r="B23" s="27" t="s">
        <v>346</v>
      </c>
      <c r="C23" s="3"/>
      <c r="D23" s="3">
        <f>'SEPT 21'!G23:G42</f>
        <v>3500</v>
      </c>
      <c r="E23" s="3"/>
      <c r="F23" s="3"/>
      <c r="G23" s="27">
        <v>3500</v>
      </c>
      <c r="H23" s="3"/>
    </row>
    <row r="24" spans="1:9" x14ac:dyDescent="0.25">
      <c r="A24" s="12"/>
      <c r="G24">
        <f>G22+G23</f>
        <v>28920</v>
      </c>
    </row>
    <row r="25" spans="1:9" ht="18.75" x14ac:dyDescent="0.3">
      <c r="A25" s="12"/>
      <c r="B25" s="51" t="s">
        <v>27</v>
      </c>
      <c r="C25" s="52"/>
      <c r="D25" s="52"/>
      <c r="E25" s="52"/>
      <c r="F25" s="52"/>
      <c r="G25" s="52"/>
      <c r="H25" s="53"/>
      <c r="I25" s="53"/>
    </row>
    <row r="26" spans="1:9" ht="15.75" x14ac:dyDescent="0.25">
      <c r="A26" s="12"/>
      <c r="B26" s="54" t="s">
        <v>28</v>
      </c>
      <c r="C26" s="54" t="s">
        <v>29</v>
      </c>
      <c r="D26" s="54" t="s">
        <v>30</v>
      </c>
      <c r="E26" s="54" t="s">
        <v>62</v>
      </c>
      <c r="F26" s="54" t="s">
        <v>69</v>
      </c>
      <c r="G26" s="54" t="s">
        <v>29</v>
      </c>
      <c r="H26" s="54" t="s">
        <v>30</v>
      </c>
      <c r="I26" s="54" t="s">
        <v>62</v>
      </c>
    </row>
    <row r="27" spans="1:9" x14ac:dyDescent="0.25">
      <c r="A27" s="12"/>
      <c r="B27" s="55" t="s">
        <v>99</v>
      </c>
      <c r="C27" s="50">
        <f>C22</f>
        <v>45000</v>
      </c>
      <c r="D27" s="56">
        <v>0.1</v>
      </c>
      <c r="E27" s="50"/>
      <c r="F27" s="57" t="s">
        <v>99</v>
      </c>
      <c r="G27" s="50">
        <f>F22</f>
        <v>34200</v>
      </c>
      <c r="H27" s="56">
        <v>0.1</v>
      </c>
      <c r="I27" s="58"/>
    </row>
    <row r="28" spans="1:9" x14ac:dyDescent="0.25">
      <c r="A28" s="12"/>
      <c r="B28" s="58" t="s">
        <v>55</v>
      </c>
      <c r="C28" s="50">
        <f>'SEPT 21'!E42</f>
        <v>-12500</v>
      </c>
      <c r="D28" s="58"/>
      <c r="E28" s="58"/>
      <c r="F28" s="58" t="s">
        <v>55</v>
      </c>
      <c r="G28" s="50">
        <f>'SEPT 21'!I42</f>
        <v>-30620</v>
      </c>
      <c r="H28" s="58"/>
      <c r="I28" s="58"/>
    </row>
    <row r="29" spans="1:9" x14ac:dyDescent="0.25">
      <c r="A29" s="12"/>
      <c r="B29" s="58"/>
      <c r="C29" s="50"/>
      <c r="D29" s="58"/>
      <c r="E29" s="58"/>
      <c r="F29" s="58"/>
      <c r="G29" s="50"/>
      <c r="H29" s="58"/>
      <c r="I29" s="58"/>
    </row>
    <row r="30" spans="1:9" x14ac:dyDescent="0.25">
      <c r="A30" s="12"/>
      <c r="B30" s="58" t="s">
        <v>33</v>
      </c>
      <c r="C30" s="59"/>
      <c r="D30" s="58">
        <f>C27*D27</f>
        <v>4500</v>
      </c>
      <c r="E30" s="58"/>
      <c r="F30" s="58" t="s">
        <v>33</v>
      </c>
      <c r="G30" s="59"/>
      <c r="H30" s="58">
        <f>H27*C27</f>
        <v>4500</v>
      </c>
      <c r="I30" s="58"/>
    </row>
    <row r="31" spans="1:9" x14ac:dyDescent="0.25">
      <c r="A31" s="12"/>
      <c r="B31" s="60" t="s">
        <v>34</v>
      </c>
      <c r="C31" s="58"/>
      <c r="D31" s="58"/>
      <c r="E31" s="58"/>
      <c r="F31" s="60" t="s">
        <v>34</v>
      </c>
      <c r="G31" s="58"/>
      <c r="H31" s="58"/>
      <c r="I31" s="58"/>
    </row>
    <row r="32" spans="1:9" x14ac:dyDescent="0.25">
      <c r="A32" s="12"/>
      <c r="B32" s="3" t="s">
        <v>161</v>
      </c>
      <c r="C32" s="3"/>
      <c r="D32" s="3"/>
      <c r="E32" s="3"/>
      <c r="F32" s="3" t="s">
        <v>161</v>
      </c>
      <c r="G32" s="3"/>
      <c r="H32" s="3"/>
      <c r="I32" s="58"/>
    </row>
    <row r="33" spans="1:12" x14ac:dyDescent="0.25">
      <c r="A33" s="12"/>
      <c r="B33" s="62" t="s">
        <v>368</v>
      </c>
      <c r="C33" s="58"/>
      <c r="D33" s="3">
        <v>2032</v>
      </c>
      <c r="E33" s="58"/>
      <c r="F33" s="62" t="s">
        <v>368</v>
      </c>
      <c r="G33" s="58"/>
      <c r="H33" s="3">
        <v>2032</v>
      </c>
      <c r="I33" s="58"/>
    </row>
    <row r="34" spans="1:12" x14ac:dyDescent="0.25">
      <c r="A34" s="12"/>
      <c r="B34" s="62" t="s">
        <v>370</v>
      </c>
      <c r="D34" s="3">
        <v>20000</v>
      </c>
      <c r="E34" s="58"/>
      <c r="F34" s="62" t="s">
        <v>370</v>
      </c>
      <c r="H34" s="3">
        <v>20000</v>
      </c>
      <c r="I34" s="58"/>
    </row>
    <row r="35" spans="1:12" x14ac:dyDescent="0.25">
      <c r="A35" s="12"/>
      <c r="B35" s="62" t="s">
        <v>372</v>
      </c>
      <c r="C35" s="50"/>
      <c r="D35" s="3">
        <v>5968</v>
      </c>
      <c r="E35" s="50"/>
      <c r="F35" s="62" t="s">
        <v>372</v>
      </c>
      <c r="G35" s="50"/>
      <c r="H35" s="3">
        <v>5968</v>
      </c>
      <c r="I35" s="58"/>
      <c r="L35" s="43">
        <f>C27-D30</f>
        <v>40500</v>
      </c>
    </row>
    <row r="36" spans="1:12" x14ac:dyDescent="0.25">
      <c r="A36" s="12"/>
      <c r="B36" s="62" t="s">
        <v>312</v>
      </c>
      <c r="C36" s="50"/>
      <c r="D36" s="50">
        <v>2500</v>
      </c>
      <c r="E36" s="50"/>
      <c r="F36" s="62" t="s">
        <v>312</v>
      </c>
      <c r="G36" s="50"/>
      <c r="H36" s="50">
        <v>2500</v>
      </c>
      <c r="I36" s="58"/>
      <c r="L36" s="43">
        <f>L35-32500</f>
        <v>8000</v>
      </c>
    </row>
    <row r="37" spans="1:12" x14ac:dyDescent="0.25">
      <c r="A37" s="12"/>
      <c r="B37" s="62" t="s">
        <v>314</v>
      </c>
      <c r="C37" s="50"/>
      <c r="D37" s="50">
        <v>2500</v>
      </c>
      <c r="E37" s="50"/>
      <c r="F37" s="62"/>
      <c r="G37" s="50"/>
      <c r="H37" s="50"/>
      <c r="I37" s="58"/>
      <c r="L37">
        <f>2032</f>
        <v>2032</v>
      </c>
    </row>
    <row r="38" spans="1:12" x14ac:dyDescent="0.25">
      <c r="A38" s="12"/>
      <c r="B38" s="62"/>
      <c r="C38" s="50"/>
      <c r="D38" s="50"/>
      <c r="E38" s="50"/>
      <c r="F38" s="62"/>
      <c r="G38" s="50"/>
      <c r="H38" s="50"/>
      <c r="I38" s="58"/>
      <c r="L38" s="43">
        <f>L36-L37</f>
        <v>5968</v>
      </c>
    </row>
    <row r="39" spans="1:12" x14ac:dyDescent="0.25">
      <c r="A39" s="12"/>
      <c r="B39" s="62"/>
      <c r="C39" s="50"/>
      <c r="D39" s="50"/>
      <c r="E39" s="50"/>
      <c r="F39" s="62"/>
      <c r="G39" s="50"/>
      <c r="H39" s="50"/>
      <c r="I39" s="58"/>
    </row>
    <row r="40" spans="1:12" x14ac:dyDescent="0.25">
      <c r="A40" s="12"/>
      <c r="B40" s="62"/>
      <c r="C40" s="50"/>
      <c r="D40" s="50"/>
      <c r="E40" s="50"/>
      <c r="F40" s="62"/>
      <c r="G40" s="50"/>
      <c r="H40" s="50"/>
      <c r="I40" s="58"/>
    </row>
    <row r="41" spans="1:12" x14ac:dyDescent="0.25">
      <c r="A41" s="12"/>
      <c r="B41" s="62"/>
      <c r="C41" s="50"/>
      <c r="D41" s="50"/>
      <c r="E41" s="50"/>
      <c r="F41" s="62"/>
      <c r="G41" s="50"/>
      <c r="H41" s="50"/>
      <c r="I41" s="58"/>
    </row>
    <row r="42" spans="1:12" x14ac:dyDescent="0.25">
      <c r="A42" s="12"/>
      <c r="B42" s="55" t="s">
        <v>24</v>
      </c>
      <c r="C42" s="63">
        <f>C27+C28+C29-D30</f>
        <v>28000</v>
      </c>
      <c r="D42" s="55">
        <f>SUM(D32:D41)</f>
        <v>33000</v>
      </c>
      <c r="E42" s="63">
        <f>C42-D42</f>
        <v>-5000</v>
      </c>
      <c r="F42" s="57"/>
      <c r="G42" s="63">
        <f>G27+G28-H30</f>
        <v>-920</v>
      </c>
      <c r="H42" s="63">
        <f>SUM(H32:H41)</f>
        <v>30500</v>
      </c>
      <c r="I42" s="63">
        <f>G42-H42</f>
        <v>-31420</v>
      </c>
    </row>
    <row r="44" spans="1:12" x14ac:dyDescent="0.25">
      <c r="K44">
        <f>45000+5000</f>
        <v>50000</v>
      </c>
    </row>
    <row r="45" spans="1:12" x14ac:dyDescent="0.25">
      <c r="B45" s="12" t="s">
        <v>38</v>
      </c>
      <c r="D45" s="12" t="s">
        <v>36</v>
      </c>
      <c r="F45" s="12"/>
      <c r="G45" s="12" t="s">
        <v>37</v>
      </c>
      <c r="I45" s="43"/>
    </row>
    <row r="46" spans="1:12" x14ac:dyDescent="0.25">
      <c r="B46" t="s">
        <v>163</v>
      </c>
      <c r="D46" s="12" t="s">
        <v>66</v>
      </c>
      <c r="F46" s="68">
        <f>D37+D38+D39</f>
        <v>2500</v>
      </c>
      <c r="G46" s="12" t="s">
        <v>339</v>
      </c>
      <c r="I46" s="43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>
      <selection activeCell="E42" sqref="E42"/>
    </sheetView>
  </sheetViews>
  <sheetFormatPr defaultRowHeight="15" x14ac:dyDescent="0.25"/>
  <cols>
    <col min="2" max="2" width="22.5703125" customWidth="1"/>
    <col min="4" max="4" width="12.5703125" customWidth="1"/>
    <col min="5" max="5" width="12.28515625" customWidth="1"/>
    <col min="7" max="7" width="11.140625" customWidth="1"/>
    <col min="8" max="8" width="14.42578125" customWidth="1"/>
    <col min="9" max="9" width="13.42578125" customWidth="1"/>
  </cols>
  <sheetData>
    <row r="1" spans="1:10" ht="15" customHeight="1" x14ac:dyDescent="0.25">
      <c r="C1" s="76" t="s">
        <v>59</v>
      </c>
      <c r="D1" s="76"/>
      <c r="E1" s="36"/>
      <c r="F1" s="34"/>
    </row>
    <row r="2" spans="1:10" ht="18.75" x14ac:dyDescent="0.25">
      <c r="C2" s="38" t="s">
        <v>60</v>
      </c>
      <c r="D2" s="38"/>
      <c r="E2" s="11"/>
      <c r="F2" s="11"/>
    </row>
    <row r="3" spans="1:10" ht="18.75" x14ac:dyDescent="0.25">
      <c r="C3" s="38" t="s">
        <v>373</v>
      </c>
      <c r="D3" s="38"/>
      <c r="E3" s="11"/>
      <c r="F3" s="11"/>
    </row>
    <row r="4" spans="1:10" s="71" customFormat="1" ht="28.5" customHeight="1" x14ac:dyDescent="0.25">
      <c r="A4" s="69" t="s">
        <v>0</v>
      </c>
      <c r="B4" s="69" t="s">
        <v>1</v>
      </c>
      <c r="C4" s="69" t="s">
        <v>2</v>
      </c>
      <c r="D4" s="69" t="s">
        <v>3</v>
      </c>
      <c r="E4" s="69" t="s">
        <v>4</v>
      </c>
      <c r="F4" s="69" t="s">
        <v>5</v>
      </c>
      <c r="G4" s="69" t="s">
        <v>6</v>
      </c>
      <c r="H4" s="69"/>
      <c r="I4" s="70"/>
    </row>
    <row r="5" spans="1:10" x14ac:dyDescent="0.25">
      <c r="A5" s="3">
        <v>1</v>
      </c>
      <c r="B5" s="3" t="s">
        <v>91</v>
      </c>
      <c r="C5" s="3">
        <v>4000</v>
      </c>
      <c r="D5" s="3">
        <f>'OCT 21'!G5:G22</f>
        <v>0</v>
      </c>
      <c r="E5" s="3">
        <f t="shared" ref="E5:E21" si="0">C5+D5</f>
        <v>4000</v>
      </c>
      <c r="F5" s="3">
        <v>3000</v>
      </c>
      <c r="G5" s="3">
        <f>E5-F5</f>
        <v>1000</v>
      </c>
      <c r="H5" s="3"/>
      <c r="I5">
        <v>371</v>
      </c>
      <c r="J5" t="s">
        <v>369</v>
      </c>
    </row>
    <row r="6" spans="1:10" x14ac:dyDescent="0.25">
      <c r="A6" s="3">
        <v>2</v>
      </c>
      <c r="B6" t="s">
        <v>126</v>
      </c>
      <c r="C6" s="3">
        <v>2500</v>
      </c>
      <c r="D6" s="3">
        <f>'OCT 21'!G6:G23</f>
        <v>1500</v>
      </c>
      <c r="E6" s="3">
        <f t="shared" si="0"/>
        <v>4000</v>
      </c>
      <c r="F6" s="3">
        <f>1000+3000</f>
        <v>4000</v>
      </c>
      <c r="G6" s="3">
        <f t="shared" ref="G6:G18" si="1">E6-F6</f>
        <v>0</v>
      </c>
      <c r="H6" s="3"/>
    </row>
    <row r="7" spans="1:10" x14ac:dyDescent="0.25">
      <c r="A7" s="3">
        <v>3</v>
      </c>
      <c r="B7" s="58" t="s">
        <v>352</v>
      </c>
      <c r="C7" s="3">
        <v>2500</v>
      </c>
      <c r="D7" s="3">
        <f>'OCT 21'!G7:G24</f>
        <v>2500</v>
      </c>
      <c r="E7" s="3">
        <f t="shared" si="0"/>
        <v>5000</v>
      </c>
      <c r="F7" s="3">
        <v>2500</v>
      </c>
      <c r="G7" s="3">
        <f t="shared" si="1"/>
        <v>2500</v>
      </c>
      <c r="H7" s="3"/>
    </row>
    <row r="8" spans="1:10" x14ac:dyDescent="0.25">
      <c r="A8" s="3">
        <v>4</v>
      </c>
      <c r="B8" s="3" t="s">
        <v>74</v>
      </c>
      <c r="C8" s="3">
        <v>2500</v>
      </c>
      <c r="D8" s="3">
        <f>'OCT 21'!G8:G25</f>
        <v>0</v>
      </c>
      <c r="E8" s="3">
        <f t="shared" si="0"/>
        <v>2500</v>
      </c>
      <c r="F8" s="3">
        <v>1000</v>
      </c>
      <c r="G8" s="3">
        <f t="shared" si="1"/>
        <v>1500</v>
      </c>
      <c r="H8" s="3"/>
    </row>
    <row r="9" spans="1:10" x14ac:dyDescent="0.25">
      <c r="A9" s="3">
        <v>5</v>
      </c>
      <c r="B9" s="3" t="s">
        <v>307</v>
      </c>
      <c r="C9" s="3">
        <v>3000</v>
      </c>
      <c r="D9" s="3">
        <f>'OCT 21'!G9:G26</f>
        <v>3000</v>
      </c>
      <c r="E9" s="3">
        <f t="shared" si="0"/>
        <v>6000</v>
      </c>
      <c r="F9" s="3">
        <v>3000</v>
      </c>
      <c r="G9" s="3">
        <f>E9-F9</f>
        <v>3000</v>
      </c>
      <c r="H9" s="3"/>
    </row>
    <row r="10" spans="1:10" x14ac:dyDescent="0.25">
      <c r="A10" s="3">
        <v>6</v>
      </c>
      <c r="B10" s="64" t="s">
        <v>51</v>
      </c>
      <c r="C10" s="3"/>
      <c r="D10" s="3"/>
      <c r="E10" s="3">
        <f t="shared" si="0"/>
        <v>0</v>
      </c>
      <c r="F10" s="3"/>
      <c r="G10" s="3">
        <f t="shared" si="1"/>
        <v>0</v>
      </c>
      <c r="H10" s="3"/>
    </row>
    <row r="11" spans="1:10" x14ac:dyDescent="0.25">
      <c r="A11" s="3">
        <v>7</v>
      </c>
      <c r="B11" s="3" t="s">
        <v>13</v>
      </c>
      <c r="C11" s="3">
        <v>2500</v>
      </c>
      <c r="D11" s="3">
        <f>'OCT 21'!G11:G28</f>
        <v>0</v>
      </c>
      <c r="E11" s="3">
        <f t="shared" si="0"/>
        <v>2500</v>
      </c>
      <c r="F11" s="3">
        <v>2500</v>
      </c>
      <c r="G11" s="3">
        <f t="shared" si="1"/>
        <v>0</v>
      </c>
      <c r="H11" s="3"/>
      <c r="I11" t="s">
        <v>51</v>
      </c>
    </row>
    <row r="12" spans="1:10" x14ac:dyDescent="0.25">
      <c r="A12" s="3">
        <v>8</v>
      </c>
      <c r="B12" s="3" t="s">
        <v>105</v>
      </c>
      <c r="C12" s="3">
        <v>2500</v>
      </c>
      <c r="D12" s="3">
        <f>'OCT 21'!G12:G29</f>
        <v>2700</v>
      </c>
      <c r="E12" s="3">
        <f t="shared" si="0"/>
        <v>5200</v>
      </c>
      <c r="F12" s="3">
        <v>2500</v>
      </c>
      <c r="G12" s="3">
        <f>E12-F12</f>
        <v>2700</v>
      </c>
      <c r="H12" s="3"/>
    </row>
    <row r="13" spans="1:10" x14ac:dyDescent="0.25">
      <c r="A13" s="3">
        <v>9</v>
      </c>
      <c r="B13" s="3" t="s">
        <v>96</v>
      </c>
      <c r="C13" s="3">
        <v>2500</v>
      </c>
      <c r="D13" s="3">
        <f>'OCT 21'!G13:G30</f>
        <v>1920</v>
      </c>
      <c r="E13" s="3">
        <f t="shared" si="0"/>
        <v>4420</v>
      </c>
      <c r="F13" s="3">
        <f>1000+2500</f>
        <v>3500</v>
      </c>
      <c r="G13" s="3">
        <f t="shared" si="1"/>
        <v>920</v>
      </c>
      <c r="H13" s="3"/>
    </row>
    <row r="14" spans="1:10" x14ac:dyDescent="0.25">
      <c r="A14" s="3">
        <v>10</v>
      </c>
      <c r="B14" s="3" t="s">
        <v>319</v>
      </c>
      <c r="C14" s="3">
        <v>2500</v>
      </c>
      <c r="D14" s="3">
        <f>'OCT 21'!G14:G31</f>
        <v>0</v>
      </c>
      <c r="E14" s="3">
        <f t="shared" si="0"/>
        <v>2500</v>
      </c>
      <c r="F14" s="3">
        <v>2500</v>
      </c>
      <c r="G14" s="3">
        <f>E14-F14</f>
        <v>0</v>
      </c>
      <c r="H14" s="3"/>
    </row>
    <row r="15" spans="1:10" x14ac:dyDescent="0.25">
      <c r="A15" s="3">
        <v>11</v>
      </c>
      <c r="B15" s="3" t="s">
        <v>319</v>
      </c>
      <c r="C15" s="3">
        <v>3000</v>
      </c>
      <c r="D15" s="3">
        <f>'OCT 21'!G15:G32</f>
        <v>0</v>
      </c>
      <c r="E15" s="3">
        <f t="shared" si="0"/>
        <v>3000</v>
      </c>
      <c r="F15" s="3">
        <v>3000</v>
      </c>
      <c r="G15" s="3">
        <f t="shared" si="1"/>
        <v>0</v>
      </c>
      <c r="H15" s="3"/>
    </row>
    <row r="16" spans="1:10" x14ac:dyDescent="0.25">
      <c r="A16" s="3">
        <v>12</v>
      </c>
      <c r="B16" s="3" t="s">
        <v>353</v>
      </c>
      <c r="C16" s="3">
        <v>2500</v>
      </c>
      <c r="D16" s="3">
        <f>'OCT 21'!G16:G33</f>
        <v>1500</v>
      </c>
      <c r="E16" s="3">
        <f t="shared" si="0"/>
        <v>4000</v>
      </c>
      <c r="F16" s="3">
        <v>2500</v>
      </c>
      <c r="G16" s="3">
        <f>E16-F16</f>
        <v>1500</v>
      </c>
      <c r="H16" s="3"/>
    </row>
    <row r="17" spans="1:12" x14ac:dyDescent="0.25">
      <c r="A17" s="3">
        <v>13</v>
      </c>
      <c r="B17" s="3" t="s">
        <v>19</v>
      </c>
      <c r="C17" s="3">
        <v>2500</v>
      </c>
      <c r="D17" s="3">
        <f>'OCT 21'!G17:G34</f>
        <v>0</v>
      </c>
      <c r="E17" s="3">
        <f t="shared" si="0"/>
        <v>2500</v>
      </c>
      <c r="F17" s="3">
        <v>2500</v>
      </c>
      <c r="G17" s="3">
        <f t="shared" si="1"/>
        <v>0</v>
      </c>
      <c r="H17" s="3"/>
    </row>
    <row r="18" spans="1:12" x14ac:dyDescent="0.25">
      <c r="A18" s="3">
        <v>14</v>
      </c>
      <c r="B18" s="3" t="s">
        <v>160</v>
      </c>
      <c r="C18" s="3">
        <v>2500</v>
      </c>
      <c r="D18" s="3">
        <f>'OCT 21'!G18:G35</f>
        <v>2500</v>
      </c>
      <c r="E18" s="3">
        <f t="shared" si="0"/>
        <v>5000</v>
      </c>
      <c r="F18" s="3">
        <v>5000</v>
      </c>
      <c r="G18" s="3">
        <f t="shared" si="1"/>
        <v>0</v>
      </c>
      <c r="H18" s="3"/>
    </row>
    <row r="19" spans="1:12" x14ac:dyDescent="0.25">
      <c r="A19" s="3">
        <v>15</v>
      </c>
      <c r="B19" s="58" t="s">
        <v>361</v>
      </c>
      <c r="C19" s="58">
        <v>2500</v>
      </c>
      <c r="D19" s="3">
        <f>'OCT 21'!G19:G36</f>
        <v>3800</v>
      </c>
      <c r="E19" s="3">
        <f t="shared" si="0"/>
        <v>6300</v>
      </c>
      <c r="F19" s="3">
        <f>400+2000</f>
        <v>2400</v>
      </c>
      <c r="G19" s="3">
        <f>E19-F19</f>
        <v>3900</v>
      </c>
      <c r="H19" s="3"/>
    </row>
    <row r="20" spans="1:12" x14ac:dyDescent="0.25">
      <c r="A20" s="3">
        <v>16</v>
      </c>
      <c r="B20" s="3" t="s">
        <v>320</v>
      </c>
      <c r="C20" s="3">
        <v>2500</v>
      </c>
      <c r="D20" s="3">
        <f>'OCT 21'!G20:G37</f>
        <v>3500</v>
      </c>
      <c r="E20" s="3">
        <f>C20+D20</f>
        <v>6000</v>
      </c>
      <c r="F20" s="3"/>
      <c r="G20" s="3">
        <f>E20-F20</f>
        <v>6000</v>
      </c>
      <c r="H20" s="3"/>
    </row>
    <row r="21" spans="1:12" x14ac:dyDescent="0.25">
      <c r="A21" s="3">
        <v>17</v>
      </c>
      <c r="B21" s="3" t="s">
        <v>73</v>
      </c>
      <c r="C21" s="3">
        <v>2500</v>
      </c>
      <c r="D21" s="3">
        <f>'OCT 21'!G21:G38</f>
        <v>0</v>
      </c>
      <c r="E21" s="3">
        <f t="shared" si="0"/>
        <v>2500</v>
      </c>
      <c r="F21" s="3">
        <v>2500</v>
      </c>
      <c r="G21" s="3">
        <f>E21-F21</f>
        <v>0</v>
      </c>
      <c r="H21" s="58"/>
    </row>
    <row r="22" spans="1:12" x14ac:dyDescent="0.25">
      <c r="A22" s="2"/>
      <c r="B22" s="4" t="s">
        <v>24</v>
      </c>
      <c r="C22" s="2">
        <f>SUM(C5:C21)</f>
        <v>42500</v>
      </c>
      <c r="D22" s="2">
        <f>'OCT 21'!G22:G39</f>
        <v>25420</v>
      </c>
      <c r="E22" s="2">
        <f>SUM(E5:E21)</f>
        <v>65420</v>
      </c>
      <c r="F22" s="2">
        <f>SUM(F5:F21)</f>
        <v>42400</v>
      </c>
      <c r="G22" s="2">
        <f>SUM(G5:G21)</f>
        <v>23020</v>
      </c>
      <c r="H22" s="2"/>
      <c r="I22" s="1"/>
    </row>
    <row r="23" spans="1:12" x14ac:dyDescent="0.25">
      <c r="A23" s="3"/>
      <c r="B23" s="27" t="s">
        <v>346</v>
      </c>
      <c r="C23" s="3"/>
      <c r="D23" s="3">
        <f>'SEPT 21'!G23:G42</f>
        <v>3500</v>
      </c>
      <c r="E23" s="3"/>
      <c r="F23" s="3"/>
      <c r="G23" s="27">
        <v>3500</v>
      </c>
      <c r="H23" s="3"/>
    </row>
    <row r="24" spans="1:12" x14ac:dyDescent="0.25">
      <c r="A24" s="12"/>
      <c r="G24">
        <f>G22+G23</f>
        <v>26520</v>
      </c>
    </row>
    <row r="25" spans="1:12" ht="18.75" x14ac:dyDescent="0.3">
      <c r="A25" s="12"/>
      <c r="B25" s="51" t="s">
        <v>27</v>
      </c>
      <c r="C25" s="52"/>
      <c r="D25" s="52"/>
      <c r="E25" s="52"/>
      <c r="F25" s="52"/>
      <c r="G25" s="52"/>
      <c r="H25" s="53"/>
      <c r="I25" s="53"/>
    </row>
    <row r="26" spans="1:12" ht="15.75" x14ac:dyDescent="0.25">
      <c r="A26" s="12"/>
      <c r="B26" s="54" t="s">
        <v>28</v>
      </c>
      <c r="C26" s="54" t="s">
        <v>29</v>
      </c>
      <c r="D26" s="54" t="s">
        <v>30</v>
      </c>
      <c r="E26" s="54" t="s">
        <v>62</v>
      </c>
      <c r="F26" s="54" t="s">
        <v>69</v>
      </c>
      <c r="G26" s="54" t="s">
        <v>29</v>
      </c>
      <c r="H26" s="54" t="s">
        <v>30</v>
      </c>
      <c r="I26" s="54" t="s">
        <v>62</v>
      </c>
      <c r="L26" s="43">
        <f>C27</f>
        <v>42500</v>
      </c>
    </row>
    <row r="27" spans="1:12" x14ac:dyDescent="0.25">
      <c r="A27" s="12"/>
      <c r="B27" s="55" t="s">
        <v>101</v>
      </c>
      <c r="C27" s="50">
        <f>C22</f>
        <v>42500</v>
      </c>
      <c r="D27" s="56">
        <v>0.1</v>
      </c>
      <c r="E27" s="50"/>
      <c r="F27" s="57" t="s">
        <v>101</v>
      </c>
      <c r="G27" s="50">
        <f>F22</f>
        <v>42400</v>
      </c>
      <c r="H27" s="56">
        <v>0.1</v>
      </c>
      <c r="I27" s="58"/>
      <c r="L27">
        <f>D30</f>
        <v>4250</v>
      </c>
    </row>
    <row r="28" spans="1:12" x14ac:dyDescent="0.25">
      <c r="A28" s="12"/>
      <c r="B28" s="58" t="s">
        <v>55</v>
      </c>
      <c r="C28" s="50">
        <f>'OCT 21'!E42</f>
        <v>-5000</v>
      </c>
      <c r="D28" s="58"/>
      <c r="E28" s="58"/>
      <c r="F28" s="58" t="s">
        <v>55</v>
      </c>
      <c r="G28" s="50">
        <f>'OCT 21'!I42</f>
        <v>-31420</v>
      </c>
      <c r="H28" s="58"/>
      <c r="I28" s="58"/>
      <c r="L28" s="43">
        <f>L26-L27</f>
        <v>38250</v>
      </c>
    </row>
    <row r="29" spans="1:12" x14ac:dyDescent="0.25">
      <c r="A29" s="12"/>
      <c r="B29" s="58"/>
      <c r="C29" s="50"/>
      <c r="D29" s="58"/>
      <c r="E29" s="58"/>
      <c r="F29" s="58"/>
      <c r="G29" s="50"/>
      <c r="H29" s="58"/>
      <c r="I29" s="58"/>
      <c r="L29">
        <v>5000</v>
      </c>
    </row>
    <row r="30" spans="1:12" x14ac:dyDescent="0.25">
      <c r="A30" s="12"/>
      <c r="B30" s="58" t="s">
        <v>33</v>
      </c>
      <c r="C30" s="59"/>
      <c r="D30" s="58">
        <f>C27*D27</f>
        <v>4250</v>
      </c>
      <c r="E30" s="58"/>
      <c r="F30" s="58" t="s">
        <v>33</v>
      </c>
      <c r="G30" s="59"/>
      <c r="H30" s="58">
        <f>H27*C27</f>
        <v>4250</v>
      </c>
      <c r="I30" s="58"/>
      <c r="L30" s="43">
        <f>L28-L29</f>
        <v>33250</v>
      </c>
    </row>
    <row r="31" spans="1:12" x14ac:dyDescent="0.25">
      <c r="A31" s="12"/>
      <c r="B31" s="60" t="s">
        <v>34</v>
      </c>
      <c r="C31" s="58"/>
      <c r="D31" s="58"/>
      <c r="E31" s="58"/>
      <c r="F31" s="60" t="s">
        <v>34</v>
      </c>
      <c r="G31" s="58"/>
      <c r="H31" s="58"/>
      <c r="I31" s="58"/>
      <c r="L31">
        <v>1000</v>
      </c>
    </row>
    <row r="32" spans="1:12" x14ac:dyDescent="0.25">
      <c r="A32" s="12"/>
      <c r="B32" s="3" t="s">
        <v>161</v>
      </c>
      <c r="C32" s="3"/>
      <c r="D32" s="3"/>
      <c r="E32" s="3"/>
      <c r="F32" s="3" t="s">
        <v>161</v>
      </c>
      <c r="G32" s="3"/>
      <c r="H32" s="3"/>
      <c r="I32" s="58"/>
      <c r="L32" s="43">
        <f>L30-L31</f>
        <v>32250</v>
      </c>
    </row>
    <row r="33" spans="1:12" x14ac:dyDescent="0.25">
      <c r="A33" s="12"/>
      <c r="B33" s="62"/>
      <c r="C33" s="58"/>
      <c r="D33" s="3"/>
      <c r="E33" s="58"/>
      <c r="F33" s="62"/>
      <c r="G33" s="58"/>
      <c r="H33" s="3"/>
      <c r="I33" s="58"/>
      <c r="L33">
        <v>5000</v>
      </c>
    </row>
    <row r="34" spans="1:12" x14ac:dyDescent="0.25">
      <c r="A34" s="12"/>
      <c r="B34" s="62" t="s">
        <v>375</v>
      </c>
      <c r="D34" s="3">
        <v>1000</v>
      </c>
      <c r="E34" s="58"/>
      <c r="F34" s="62" t="s">
        <v>375</v>
      </c>
      <c r="H34" s="3">
        <v>1000</v>
      </c>
      <c r="I34" s="58"/>
      <c r="L34" s="43">
        <f>L32-L33</f>
        <v>27250</v>
      </c>
    </row>
    <row r="35" spans="1:12" x14ac:dyDescent="0.25">
      <c r="A35" s="12"/>
      <c r="B35" s="62" t="s">
        <v>374</v>
      </c>
      <c r="C35" s="50"/>
      <c r="D35" s="3">
        <v>5000</v>
      </c>
      <c r="E35" s="50"/>
      <c r="F35" s="62" t="s">
        <v>374</v>
      </c>
      <c r="G35" s="50"/>
      <c r="H35" s="3">
        <v>5000</v>
      </c>
      <c r="I35" s="58"/>
      <c r="L35" s="43"/>
    </row>
    <row r="36" spans="1:12" x14ac:dyDescent="0.25">
      <c r="A36" s="12"/>
      <c r="B36" s="62" t="s">
        <v>376</v>
      </c>
      <c r="C36" s="50"/>
      <c r="D36" s="50">
        <v>27250</v>
      </c>
      <c r="E36" s="50"/>
      <c r="F36" s="62" t="s">
        <v>376</v>
      </c>
      <c r="G36" s="50"/>
      <c r="H36" s="50">
        <v>27250</v>
      </c>
      <c r="I36" s="58"/>
      <c r="L36" s="43"/>
    </row>
    <row r="37" spans="1:12" x14ac:dyDescent="0.25">
      <c r="A37" s="12"/>
      <c r="B37" s="62" t="s">
        <v>377</v>
      </c>
      <c r="C37" s="50"/>
      <c r="D37" s="50">
        <v>2062</v>
      </c>
      <c r="E37" s="50"/>
      <c r="F37" s="62" t="s">
        <v>377</v>
      </c>
      <c r="G37" s="50"/>
      <c r="H37" s="50">
        <v>2062</v>
      </c>
      <c r="I37" s="58"/>
    </row>
    <row r="38" spans="1:12" x14ac:dyDescent="0.25">
      <c r="A38" s="12"/>
      <c r="B38" s="62" t="s">
        <v>312</v>
      </c>
      <c r="C38" s="50"/>
      <c r="D38" s="50">
        <v>2500</v>
      </c>
      <c r="E38" s="50"/>
      <c r="F38" s="62" t="s">
        <v>312</v>
      </c>
      <c r="G38" s="50"/>
      <c r="H38" s="50">
        <v>2500</v>
      </c>
      <c r="I38" s="58"/>
      <c r="L38" s="43"/>
    </row>
    <row r="39" spans="1:12" x14ac:dyDescent="0.25">
      <c r="A39" s="12"/>
      <c r="B39" s="62"/>
      <c r="C39" s="50"/>
      <c r="D39" s="50"/>
      <c r="E39" s="50"/>
      <c r="F39" s="62"/>
      <c r="G39" s="50"/>
      <c r="H39" s="50"/>
      <c r="I39" s="58"/>
    </row>
    <row r="40" spans="1:12" x14ac:dyDescent="0.25">
      <c r="A40" s="12"/>
      <c r="B40" s="62"/>
      <c r="C40" s="50"/>
      <c r="D40" s="50"/>
      <c r="E40" s="50"/>
      <c r="F40" s="62"/>
      <c r="G40" s="50"/>
      <c r="H40" s="50"/>
      <c r="I40" s="58"/>
    </row>
    <row r="41" spans="1:12" x14ac:dyDescent="0.25">
      <c r="A41" s="12"/>
      <c r="B41" s="62"/>
      <c r="C41" s="50"/>
      <c r="D41" s="50"/>
      <c r="E41" s="50"/>
      <c r="F41" s="62"/>
      <c r="G41" s="50"/>
      <c r="H41" s="50"/>
      <c r="I41" s="58"/>
    </row>
    <row r="42" spans="1:12" x14ac:dyDescent="0.25">
      <c r="A42" s="12"/>
      <c r="B42" s="55" t="s">
        <v>24</v>
      </c>
      <c r="C42" s="63">
        <f>C27+C28+C29-D30</f>
        <v>33250</v>
      </c>
      <c r="D42" s="55">
        <f>SUM(D32:D41)</f>
        <v>37812</v>
      </c>
      <c r="E42" s="63">
        <f>C42-D42</f>
        <v>-4562</v>
      </c>
      <c r="F42" s="57"/>
      <c r="G42" s="63">
        <f>G27+G28-H30</f>
        <v>6730</v>
      </c>
      <c r="H42" s="63">
        <f>SUM(H32:H41)</f>
        <v>37812</v>
      </c>
      <c r="I42" s="63">
        <f>G42-H42</f>
        <v>-31082</v>
      </c>
    </row>
    <row r="45" spans="1:12" x14ac:dyDescent="0.25">
      <c r="B45" s="12" t="s">
        <v>38</v>
      </c>
      <c r="D45" s="12" t="s">
        <v>36</v>
      </c>
      <c r="F45" s="12"/>
      <c r="G45" s="12" t="s">
        <v>37</v>
      </c>
      <c r="I45" s="43"/>
    </row>
    <row r="46" spans="1:12" x14ac:dyDescent="0.25">
      <c r="B46" t="s">
        <v>163</v>
      </c>
      <c r="D46" s="12" t="s">
        <v>66</v>
      </c>
      <c r="F46" s="68">
        <f>D37+D38+D39</f>
        <v>4562</v>
      </c>
      <c r="G46" s="12" t="s">
        <v>339</v>
      </c>
      <c r="I46" s="43"/>
    </row>
  </sheetData>
  <mergeCells count="1">
    <mergeCell ref="C1:D1"/>
  </mergeCells>
  <pageMargins left="0.7" right="0.7" top="0.75" bottom="0.75" header="0.3" footer="0.3"/>
  <pageSetup paperSize="0" orientation="portrait" horizontalDpi="203" verticalDpi="203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abSelected="1" topLeftCell="A4" workbookViewId="0">
      <selection activeCell="F18" sqref="F18"/>
    </sheetView>
  </sheetViews>
  <sheetFormatPr defaultRowHeight="15" x14ac:dyDescent="0.25"/>
  <cols>
    <col min="2" max="2" width="19" customWidth="1"/>
    <col min="3" max="3" width="16.28515625" customWidth="1"/>
    <col min="4" max="4" width="11.28515625" customWidth="1"/>
    <col min="9" max="9" width="10" bestFit="1" customWidth="1"/>
  </cols>
  <sheetData>
    <row r="1" spans="1:9" ht="21.75" customHeight="1" x14ac:dyDescent="0.25">
      <c r="C1" s="76" t="s">
        <v>59</v>
      </c>
      <c r="D1" s="76"/>
      <c r="E1" s="36"/>
      <c r="F1" s="34"/>
    </row>
    <row r="2" spans="1:9" ht="18" customHeight="1" x14ac:dyDescent="0.25">
      <c r="C2" s="76" t="s">
        <v>60</v>
      </c>
      <c r="D2" s="76"/>
      <c r="E2" s="11"/>
      <c r="F2" s="11"/>
    </row>
    <row r="3" spans="1:9" ht="18.75" customHeight="1" x14ac:dyDescent="0.25">
      <c r="C3" s="75" t="s">
        <v>378</v>
      </c>
      <c r="D3" s="75"/>
      <c r="E3" s="11"/>
      <c r="F3" s="11"/>
    </row>
    <row r="4" spans="1:9" s="74" customFormat="1" ht="33.75" customHeight="1" x14ac:dyDescent="0.25">
      <c r="A4" s="72" t="s">
        <v>0</v>
      </c>
      <c r="B4" s="72" t="s">
        <v>1</v>
      </c>
      <c r="C4" s="72" t="s">
        <v>2</v>
      </c>
      <c r="D4" s="72" t="s">
        <v>3</v>
      </c>
      <c r="E4" s="72" t="s">
        <v>4</v>
      </c>
      <c r="F4" s="72" t="s">
        <v>5</v>
      </c>
      <c r="G4" s="72" t="s">
        <v>6</v>
      </c>
      <c r="H4" s="72"/>
      <c r="I4" s="73"/>
    </row>
    <row r="5" spans="1:9" x14ac:dyDescent="0.25">
      <c r="A5" s="3">
        <v>1</v>
      </c>
      <c r="B5" s="3" t="s">
        <v>91</v>
      </c>
      <c r="C5" s="3">
        <v>4000</v>
      </c>
      <c r="D5" s="3">
        <f>'NOVEMBER 21'!G5:G21</f>
        <v>1000</v>
      </c>
      <c r="E5" s="3">
        <f t="shared" ref="E5:E21" si="0">C5+D5</f>
        <v>5000</v>
      </c>
      <c r="F5" s="3">
        <v>5000</v>
      </c>
      <c r="G5" s="3">
        <f>E5-F5</f>
        <v>0</v>
      </c>
      <c r="H5" s="3"/>
    </row>
    <row r="6" spans="1:9" x14ac:dyDescent="0.25">
      <c r="A6" s="3">
        <v>2</v>
      </c>
      <c r="B6" t="s">
        <v>126</v>
      </c>
      <c r="C6" s="3">
        <v>2500</v>
      </c>
      <c r="D6" s="3">
        <f>'NOVEMBER 21'!G6:G22</f>
        <v>0</v>
      </c>
      <c r="E6" s="3">
        <f t="shared" si="0"/>
        <v>2500</v>
      </c>
      <c r="F6" s="3"/>
      <c r="G6" s="3">
        <f t="shared" ref="G6:G18" si="1">E6-F6</f>
        <v>2500</v>
      </c>
      <c r="H6" s="3"/>
    </row>
    <row r="7" spans="1:9" x14ac:dyDescent="0.25">
      <c r="A7" s="3">
        <v>3</v>
      </c>
      <c r="B7" s="58" t="s">
        <v>352</v>
      </c>
      <c r="C7" s="3">
        <v>2500</v>
      </c>
      <c r="D7" s="3">
        <f>'NOVEMBER 21'!G7:G23</f>
        <v>2500</v>
      </c>
      <c r="E7" s="3">
        <f t="shared" si="0"/>
        <v>5000</v>
      </c>
      <c r="F7" s="3">
        <v>2500</v>
      </c>
      <c r="G7" s="3">
        <f t="shared" si="1"/>
        <v>2500</v>
      </c>
      <c r="H7" s="3"/>
    </row>
    <row r="8" spans="1:9" x14ac:dyDescent="0.25">
      <c r="A8" s="3">
        <v>4</v>
      </c>
      <c r="B8" s="3" t="s">
        <v>74</v>
      </c>
      <c r="C8" s="3">
        <v>2500</v>
      </c>
      <c r="D8" s="3">
        <f>'NOVEMBER 21'!G8:G24</f>
        <v>1500</v>
      </c>
      <c r="E8" s="3">
        <f t="shared" si="0"/>
        <v>4000</v>
      </c>
      <c r="F8" s="3">
        <v>2000</v>
      </c>
      <c r="G8" s="3">
        <f t="shared" si="1"/>
        <v>2000</v>
      </c>
      <c r="H8" s="3"/>
    </row>
    <row r="9" spans="1:9" x14ac:dyDescent="0.25">
      <c r="A9" s="3">
        <v>5</v>
      </c>
      <c r="B9" s="3" t="s">
        <v>307</v>
      </c>
      <c r="C9" s="3">
        <v>3000</v>
      </c>
      <c r="D9" s="3">
        <f>'NOVEMBER 21'!G9:G25</f>
        <v>3000</v>
      </c>
      <c r="E9" s="3">
        <f t="shared" si="0"/>
        <v>6000</v>
      </c>
      <c r="F9" s="3">
        <v>3000</v>
      </c>
      <c r="G9" s="3">
        <f>E9-F9</f>
        <v>3000</v>
      </c>
      <c r="H9" s="3"/>
    </row>
    <row r="10" spans="1:9" x14ac:dyDescent="0.25">
      <c r="A10" s="3">
        <v>6</v>
      </c>
      <c r="B10" s="64" t="s">
        <v>379</v>
      </c>
      <c r="C10" s="3">
        <v>2500</v>
      </c>
      <c r="D10" s="3">
        <f>'NOVEMBER 21'!G10:G26</f>
        <v>0</v>
      </c>
      <c r="E10" s="3">
        <f t="shared" si="0"/>
        <v>2500</v>
      </c>
      <c r="F10" s="3"/>
      <c r="G10" s="3">
        <f t="shared" si="1"/>
        <v>2500</v>
      </c>
      <c r="H10" s="3"/>
      <c r="I10">
        <v>762395783</v>
      </c>
    </row>
    <row r="11" spans="1:9" x14ac:dyDescent="0.25">
      <c r="A11" s="3">
        <v>7</v>
      </c>
      <c r="B11" s="3" t="s">
        <v>13</v>
      </c>
      <c r="C11" s="3">
        <v>2500</v>
      </c>
      <c r="D11" s="3">
        <f>'NOVEMBER 21'!G11:G27</f>
        <v>0</v>
      </c>
      <c r="E11" s="3">
        <f t="shared" si="0"/>
        <v>2500</v>
      </c>
      <c r="F11" s="3"/>
      <c r="G11" s="3">
        <f t="shared" si="1"/>
        <v>2500</v>
      </c>
      <c r="H11" s="3"/>
    </row>
    <row r="12" spans="1:9" x14ac:dyDescent="0.25">
      <c r="A12" s="3">
        <v>8</v>
      </c>
      <c r="B12" s="3" t="s">
        <v>105</v>
      </c>
      <c r="C12" s="3">
        <v>2500</v>
      </c>
      <c r="D12" s="3">
        <f>'NOVEMBER 21'!G12:G28</f>
        <v>2700</v>
      </c>
      <c r="E12" s="3">
        <f t="shared" si="0"/>
        <v>5200</v>
      </c>
      <c r="F12" s="3">
        <v>2500</v>
      </c>
      <c r="G12" s="3">
        <f>E12-F12</f>
        <v>2700</v>
      </c>
      <c r="H12" s="3"/>
    </row>
    <row r="13" spans="1:9" x14ac:dyDescent="0.25">
      <c r="A13" s="3">
        <v>9</v>
      </c>
      <c r="B13" s="3" t="s">
        <v>96</v>
      </c>
      <c r="C13" s="3">
        <v>2500</v>
      </c>
      <c r="D13" s="3">
        <f>'NOVEMBER 21'!G13:G29</f>
        <v>920</v>
      </c>
      <c r="E13" s="3">
        <f t="shared" si="0"/>
        <v>3420</v>
      </c>
      <c r="F13" s="3">
        <v>2000</v>
      </c>
      <c r="G13" s="3">
        <f t="shared" si="1"/>
        <v>1420</v>
      </c>
      <c r="H13" s="3"/>
    </row>
    <row r="14" spans="1:9" x14ac:dyDescent="0.25">
      <c r="A14" s="3">
        <v>10</v>
      </c>
      <c r="B14" s="3" t="s">
        <v>319</v>
      </c>
      <c r="C14" s="3">
        <v>2500</v>
      </c>
      <c r="D14" s="3">
        <f>'NOVEMBER 21'!G14:G30</f>
        <v>0</v>
      </c>
      <c r="E14" s="3">
        <f t="shared" si="0"/>
        <v>2500</v>
      </c>
      <c r="F14" s="3">
        <v>2500</v>
      </c>
      <c r="G14" s="3">
        <f>E14-F14</f>
        <v>0</v>
      </c>
      <c r="H14" s="3"/>
    </row>
    <row r="15" spans="1:9" x14ac:dyDescent="0.25">
      <c r="A15" s="3">
        <v>11</v>
      </c>
      <c r="B15" s="3" t="s">
        <v>319</v>
      </c>
      <c r="C15" s="3">
        <v>3000</v>
      </c>
      <c r="D15" s="3">
        <f>'NOVEMBER 21'!G15:G31</f>
        <v>0</v>
      </c>
      <c r="E15" s="3">
        <f t="shared" si="0"/>
        <v>3000</v>
      </c>
      <c r="F15" s="3">
        <v>3000</v>
      </c>
      <c r="G15" s="3">
        <f t="shared" si="1"/>
        <v>0</v>
      </c>
      <c r="H15" s="3"/>
    </row>
    <row r="16" spans="1:9" x14ac:dyDescent="0.25">
      <c r="A16" s="3">
        <v>12</v>
      </c>
      <c r="B16" s="3" t="s">
        <v>353</v>
      </c>
      <c r="C16" s="3">
        <v>2500</v>
      </c>
      <c r="D16" s="3">
        <f>'NOVEMBER 21'!G16:G32</f>
        <v>1500</v>
      </c>
      <c r="E16" s="3">
        <f t="shared" si="0"/>
        <v>4000</v>
      </c>
      <c r="F16" s="3"/>
      <c r="G16" s="3">
        <f>E16-F16</f>
        <v>4000</v>
      </c>
      <c r="H16" s="3"/>
    </row>
    <row r="17" spans="1:12" x14ac:dyDescent="0.25">
      <c r="A17" s="3">
        <v>13</v>
      </c>
      <c r="B17" s="3" t="s">
        <v>19</v>
      </c>
      <c r="C17" s="3">
        <v>2500</v>
      </c>
      <c r="D17" s="3">
        <f>'NOVEMBER 21'!G17:G33</f>
        <v>0</v>
      </c>
      <c r="E17" s="3">
        <f t="shared" si="0"/>
        <v>2500</v>
      </c>
      <c r="F17" s="3">
        <v>2500</v>
      </c>
      <c r="G17" s="3">
        <f t="shared" si="1"/>
        <v>0</v>
      </c>
      <c r="H17" s="3"/>
    </row>
    <row r="18" spans="1:12" x14ac:dyDescent="0.25">
      <c r="A18" s="3">
        <v>14</v>
      </c>
      <c r="B18" s="3" t="s">
        <v>160</v>
      </c>
      <c r="C18" s="3">
        <v>2500</v>
      </c>
      <c r="D18" s="3">
        <f>'NOVEMBER 21'!G18:G34</f>
        <v>0</v>
      </c>
      <c r="E18" s="3">
        <f t="shared" si="0"/>
        <v>2500</v>
      </c>
      <c r="F18" s="3"/>
      <c r="G18" s="3">
        <f t="shared" si="1"/>
        <v>2500</v>
      </c>
      <c r="H18" s="3"/>
    </row>
    <row r="19" spans="1:12" x14ac:dyDescent="0.25">
      <c r="A19" s="3">
        <v>15</v>
      </c>
      <c r="B19" s="58" t="s">
        <v>361</v>
      </c>
      <c r="C19" s="58"/>
      <c r="D19" s="3">
        <f>'NOVEMBER 21'!G19:G35</f>
        <v>3900</v>
      </c>
      <c r="E19" s="3">
        <f t="shared" si="0"/>
        <v>3900</v>
      </c>
      <c r="F19" s="3"/>
      <c r="G19" s="3">
        <f>E19-F19</f>
        <v>3900</v>
      </c>
      <c r="H19" s="3"/>
    </row>
    <row r="20" spans="1:12" x14ac:dyDescent="0.25">
      <c r="A20" s="3">
        <v>16</v>
      </c>
      <c r="B20" s="3" t="s">
        <v>320</v>
      </c>
      <c r="C20" s="3"/>
      <c r="D20" s="3">
        <f>'NOVEMBER 21'!G20:G36</f>
        <v>6000</v>
      </c>
      <c r="E20" s="3">
        <f>C20+D20</f>
        <v>6000</v>
      </c>
      <c r="F20" s="3">
        <v>1800</v>
      </c>
      <c r="G20" s="3">
        <f>E20-F20</f>
        <v>4200</v>
      </c>
      <c r="H20" s="3"/>
    </row>
    <row r="21" spans="1:12" x14ac:dyDescent="0.25">
      <c r="A21" s="3">
        <v>17</v>
      </c>
      <c r="B21" s="3" t="s">
        <v>73</v>
      </c>
      <c r="C21" s="3">
        <v>2500</v>
      </c>
      <c r="D21" s="3">
        <f>'NOVEMBER 21'!G21:G37</f>
        <v>0</v>
      </c>
      <c r="E21" s="3">
        <f t="shared" si="0"/>
        <v>2500</v>
      </c>
      <c r="F21" s="3">
        <v>2500</v>
      </c>
      <c r="G21" s="3">
        <f>E21-F21</f>
        <v>0</v>
      </c>
      <c r="H21" s="58"/>
    </row>
    <row r="22" spans="1:12" x14ac:dyDescent="0.25">
      <c r="A22" s="2"/>
      <c r="B22" s="4" t="s">
        <v>24</v>
      </c>
      <c r="C22" s="2">
        <f>SUM(C5:C21)</f>
        <v>40000</v>
      </c>
      <c r="D22" s="2">
        <f>SUM(D5:D21)</f>
        <v>23020</v>
      </c>
      <c r="E22" s="2">
        <f>SUM(E5:E21)</f>
        <v>63020</v>
      </c>
      <c r="F22" s="2">
        <f>SUM(F5:F21)</f>
        <v>29300</v>
      </c>
      <c r="G22" s="2">
        <f>SUM(G5:G21)</f>
        <v>33720</v>
      </c>
      <c r="H22" s="2"/>
      <c r="I22" s="1"/>
    </row>
    <row r="23" spans="1:12" x14ac:dyDescent="0.25">
      <c r="A23" s="3"/>
      <c r="B23" s="27" t="s">
        <v>346</v>
      </c>
      <c r="C23" s="3"/>
      <c r="D23" s="3">
        <f>'SEPT 21'!G23:G42</f>
        <v>3500</v>
      </c>
      <c r="E23" s="3"/>
      <c r="F23" s="3"/>
      <c r="G23" s="27">
        <v>3500</v>
      </c>
      <c r="H23" s="3"/>
    </row>
    <row r="24" spans="1:12" x14ac:dyDescent="0.25">
      <c r="A24" s="12"/>
      <c r="G24">
        <f>G22+G23</f>
        <v>37220</v>
      </c>
    </row>
    <row r="25" spans="1:12" ht="18.75" x14ac:dyDescent="0.3">
      <c r="A25" s="12"/>
      <c r="B25" s="51" t="s">
        <v>27</v>
      </c>
      <c r="C25" s="52"/>
      <c r="D25" s="52"/>
      <c r="E25" s="52"/>
      <c r="F25" s="52"/>
      <c r="G25" s="52"/>
      <c r="H25" s="53"/>
      <c r="I25" s="53"/>
    </row>
    <row r="26" spans="1:12" ht="15.75" x14ac:dyDescent="0.25">
      <c r="A26" s="12"/>
      <c r="B26" s="54" t="s">
        <v>28</v>
      </c>
      <c r="C26" s="54" t="s">
        <v>29</v>
      </c>
      <c r="D26" s="54" t="s">
        <v>30</v>
      </c>
      <c r="E26" s="54" t="s">
        <v>62</v>
      </c>
      <c r="F26" s="54" t="s">
        <v>69</v>
      </c>
      <c r="G26" s="54" t="s">
        <v>29</v>
      </c>
      <c r="H26" s="54" t="s">
        <v>30</v>
      </c>
      <c r="I26" s="54" t="s">
        <v>62</v>
      </c>
    </row>
    <row r="27" spans="1:12" x14ac:dyDescent="0.25">
      <c r="A27" s="12"/>
      <c r="B27" s="55" t="s">
        <v>103</v>
      </c>
      <c r="C27" s="50">
        <f>C22</f>
        <v>40000</v>
      </c>
      <c r="D27" s="56">
        <v>0.1</v>
      </c>
      <c r="E27" s="50"/>
      <c r="F27" s="57" t="s">
        <v>103</v>
      </c>
      <c r="G27" s="50">
        <f>F22</f>
        <v>29300</v>
      </c>
      <c r="H27" s="56">
        <v>0.1</v>
      </c>
      <c r="I27" s="58"/>
    </row>
    <row r="28" spans="1:12" x14ac:dyDescent="0.25">
      <c r="A28" s="12"/>
      <c r="B28" s="58" t="s">
        <v>55</v>
      </c>
      <c r="C28" s="50">
        <f>'NOVEMBER 21'!E42</f>
        <v>-4562</v>
      </c>
      <c r="D28" s="58"/>
      <c r="E28" s="58"/>
      <c r="F28" s="58" t="s">
        <v>55</v>
      </c>
      <c r="G28" s="50">
        <f>'NOVEMBER 21'!I42</f>
        <v>-31082</v>
      </c>
      <c r="H28" s="58"/>
      <c r="I28" s="58"/>
    </row>
    <row r="29" spans="1:12" x14ac:dyDescent="0.25">
      <c r="A29" s="12"/>
      <c r="B29" s="58"/>
      <c r="C29" s="50"/>
      <c r="D29" s="58"/>
      <c r="E29" s="58"/>
      <c r="F29" s="58"/>
      <c r="G29" s="50"/>
      <c r="H29" s="58"/>
      <c r="I29" s="58"/>
      <c r="L29" s="43">
        <f>C27</f>
        <v>40000</v>
      </c>
    </row>
    <row r="30" spans="1:12" x14ac:dyDescent="0.25">
      <c r="A30" s="12"/>
      <c r="B30" s="58" t="s">
        <v>33</v>
      </c>
      <c r="C30" s="59"/>
      <c r="D30" s="58">
        <f>C27*D27</f>
        <v>4000</v>
      </c>
      <c r="E30" s="58"/>
      <c r="F30" s="58" t="s">
        <v>33</v>
      </c>
      <c r="G30" s="59"/>
      <c r="H30" s="58">
        <f>H27*C27</f>
        <v>4000</v>
      </c>
      <c r="I30" s="58"/>
      <c r="L30">
        <f>D30</f>
        <v>4000</v>
      </c>
    </row>
    <row r="31" spans="1:12" x14ac:dyDescent="0.25">
      <c r="A31" s="12"/>
      <c r="B31" s="60" t="s">
        <v>34</v>
      </c>
      <c r="C31" s="58"/>
      <c r="D31" s="58"/>
      <c r="E31" s="58"/>
      <c r="F31" s="60" t="s">
        <v>34</v>
      </c>
      <c r="G31" s="58"/>
      <c r="H31" s="58"/>
      <c r="I31" s="58"/>
      <c r="L31" s="43">
        <f>L29-L30</f>
        <v>36000</v>
      </c>
    </row>
    <row r="32" spans="1:12" x14ac:dyDescent="0.25">
      <c r="A32" s="12"/>
      <c r="B32" s="3" t="s">
        <v>161</v>
      </c>
      <c r="C32" s="3"/>
      <c r="D32" s="3"/>
      <c r="E32" s="3"/>
      <c r="F32" s="3" t="s">
        <v>161</v>
      </c>
      <c r="G32" s="3"/>
      <c r="H32" s="3"/>
      <c r="I32" s="58"/>
      <c r="L32" s="43">
        <f>-C28</f>
        <v>4562</v>
      </c>
    </row>
    <row r="33" spans="1:12" x14ac:dyDescent="0.25">
      <c r="A33" s="12"/>
      <c r="B33" s="62" t="s">
        <v>311</v>
      </c>
      <c r="C33" s="58"/>
      <c r="D33" s="3">
        <f>18000+13438</f>
        <v>31438</v>
      </c>
      <c r="E33" s="58"/>
      <c r="F33" s="62" t="s">
        <v>311</v>
      </c>
      <c r="G33" s="58"/>
      <c r="H33" s="3">
        <f>18000+13438</f>
        <v>31438</v>
      </c>
      <c r="I33" s="58"/>
      <c r="L33" s="43">
        <f>L31-L32</f>
        <v>31438</v>
      </c>
    </row>
    <row r="34" spans="1:12" x14ac:dyDescent="0.25">
      <c r="A34" s="12"/>
      <c r="B34" s="62"/>
      <c r="D34" s="3"/>
      <c r="E34" s="58"/>
      <c r="F34" s="62"/>
      <c r="H34" s="3"/>
      <c r="I34" s="58"/>
    </row>
    <row r="35" spans="1:12" x14ac:dyDescent="0.25">
      <c r="A35" s="12"/>
      <c r="B35" s="62"/>
      <c r="C35" s="50"/>
      <c r="D35" s="3"/>
      <c r="E35" s="50"/>
      <c r="F35" s="62"/>
      <c r="G35" s="50"/>
      <c r="H35" s="3"/>
      <c r="I35" s="58"/>
    </row>
    <row r="36" spans="1:12" x14ac:dyDescent="0.25">
      <c r="A36" s="12"/>
      <c r="B36" s="62"/>
      <c r="C36" s="50"/>
      <c r="D36" s="50"/>
      <c r="E36" s="50"/>
      <c r="F36" s="62"/>
      <c r="G36" s="50"/>
      <c r="H36" s="50"/>
      <c r="I36" s="58"/>
    </row>
    <row r="37" spans="1:12" x14ac:dyDescent="0.25">
      <c r="A37" s="12"/>
      <c r="B37" s="62"/>
      <c r="C37" s="50"/>
      <c r="D37" s="50"/>
      <c r="E37" s="50"/>
      <c r="F37" s="62"/>
      <c r="G37" s="50"/>
      <c r="H37" s="50"/>
      <c r="I37" s="58"/>
    </row>
    <row r="38" spans="1:12" x14ac:dyDescent="0.25">
      <c r="A38" s="12"/>
      <c r="B38" s="62"/>
      <c r="C38" s="50"/>
      <c r="D38" s="50"/>
      <c r="E38" s="50"/>
      <c r="F38" s="62"/>
      <c r="G38" s="50"/>
      <c r="H38" s="50"/>
      <c r="I38" s="58"/>
    </row>
    <row r="39" spans="1:12" x14ac:dyDescent="0.25">
      <c r="A39" s="12"/>
      <c r="B39" s="62"/>
      <c r="C39" s="50"/>
      <c r="D39" s="50"/>
      <c r="E39" s="50"/>
      <c r="F39" s="62"/>
      <c r="G39" s="50"/>
      <c r="H39" s="50"/>
      <c r="I39" s="58"/>
    </row>
    <row r="40" spans="1:12" x14ac:dyDescent="0.25">
      <c r="A40" s="12"/>
      <c r="B40" s="62"/>
      <c r="C40" s="50"/>
      <c r="D40" s="50"/>
      <c r="E40" s="50"/>
      <c r="F40" s="62"/>
      <c r="G40" s="50"/>
      <c r="H40" s="50"/>
      <c r="I40" s="58"/>
    </row>
    <row r="41" spans="1:12" x14ac:dyDescent="0.25">
      <c r="A41" s="12"/>
      <c r="B41" s="62"/>
      <c r="C41" s="50"/>
      <c r="D41" s="50"/>
      <c r="E41" s="50"/>
      <c r="F41" s="62"/>
      <c r="G41" s="50"/>
      <c r="H41" s="50"/>
      <c r="I41" s="58"/>
    </row>
    <row r="42" spans="1:12" x14ac:dyDescent="0.25">
      <c r="A42" s="12"/>
      <c r="B42" s="55" t="s">
        <v>24</v>
      </c>
      <c r="C42" s="63">
        <f>C27+C28+C29-D30</f>
        <v>31438</v>
      </c>
      <c r="D42" s="55">
        <f>SUM(D32:D41)</f>
        <v>31438</v>
      </c>
      <c r="E42" s="63">
        <f>C42-D42</f>
        <v>0</v>
      </c>
      <c r="F42" s="57"/>
      <c r="G42" s="63">
        <f>G27+G28-H30</f>
        <v>-5782</v>
      </c>
      <c r="H42" s="63">
        <f>SUM(H32:H41)</f>
        <v>31438</v>
      </c>
      <c r="I42" s="63">
        <f>G42-H42</f>
        <v>-37220</v>
      </c>
    </row>
    <row r="45" spans="1:12" x14ac:dyDescent="0.25">
      <c r="B45" s="12" t="s">
        <v>38</v>
      </c>
      <c r="D45" s="12" t="s">
        <v>36</v>
      </c>
      <c r="F45" s="12"/>
      <c r="G45" s="12" t="s">
        <v>37</v>
      </c>
      <c r="I45" s="43"/>
    </row>
    <row r="46" spans="1:12" x14ac:dyDescent="0.25">
      <c r="B46" t="s">
        <v>163</v>
      </c>
      <c r="D46" s="12" t="s">
        <v>66</v>
      </c>
      <c r="F46" s="68">
        <f>D37+D38+D39</f>
        <v>0</v>
      </c>
      <c r="G46" s="12" t="s">
        <v>339</v>
      </c>
      <c r="I46" s="43"/>
    </row>
  </sheetData>
  <mergeCells count="2">
    <mergeCell ref="C1:D1"/>
    <mergeCell ref="C2:D2"/>
  </mergeCells>
  <pageMargins left="0.7" right="0.7" top="0.75" bottom="0.75" header="0.3" footer="0.3"/>
  <pageSetup paperSize="0" orientation="portrait" horizontalDpi="203" verticalDpi="20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10" workbookViewId="0">
      <selection activeCell="D6" sqref="D6"/>
    </sheetView>
  </sheetViews>
  <sheetFormatPr defaultRowHeight="15" x14ac:dyDescent="0.25"/>
  <cols>
    <col min="1" max="1" width="3.42578125" customWidth="1"/>
    <col min="2" max="2" width="18.85546875" customWidth="1"/>
    <col min="5" max="5" width="10.5703125" customWidth="1"/>
    <col min="6" max="6" width="11.5703125" customWidth="1"/>
    <col min="7" max="7" width="10.42578125" customWidth="1"/>
    <col min="9" max="9" width="12.5703125" customWidth="1"/>
  </cols>
  <sheetData>
    <row r="1" spans="1:10" ht="18.75" x14ac:dyDescent="0.25">
      <c r="C1" s="38" t="s">
        <v>59</v>
      </c>
      <c r="D1" s="39"/>
      <c r="E1" s="36"/>
      <c r="F1" s="34"/>
    </row>
    <row r="2" spans="1:10" ht="18.75" x14ac:dyDescent="0.25">
      <c r="C2" s="38" t="s">
        <v>60</v>
      </c>
      <c r="D2" s="38"/>
      <c r="E2" s="11"/>
      <c r="F2" s="11"/>
    </row>
    <row r="3" spans="1:10" ht="18.75" x14ac:dyDescent="0.25">
      <c r="C3" s="38" t="s">
        <v>63</v>
      </c>
      <c r="D3" s="38"/>
      <c r="E3" s="11"/>
      <c r="F3" s="11"/>
    </row>
    <row r="4" spans="1:10" ht="15.75" customHeight="1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/>
      <c r="I4" s="1"/>
      <c r="J4" s="1"/>
    </row>
    <row r="5" spans="1:10" x14ac:dyDescent="0.25">
      <c r="A5" s="3">
        <v>1</v>
      </c>
      <c r="B5" s="3" t="s">
        <v>7</v>
      </c>
      <c r="C5" s="44">
        <v>4000</v>
      </c>
      <c r="D5" s="44"/>
      <c r="E5" s="44">
        <f>C5+D5</f>
        <v>4000</v>
      </c>
      <c r="F5" s="44">
        <v>4000</v>
      </c>
      <c r="G5" s="44"/>
      <c r="H5" s="44"/>
    </row>
    <row r="6" spans="1:10" x14ac:dyDescent="0.25">
      <c r="A6" s="3">
        <v>2</v>
      </c>
      <c r="B6" s="3" t="s">
        <v>8</v>
      </c>
      <c r="C6" s="44">
        <v>2000</v>
      </c>
      <c r="D6" s="44"/>
      <c r="E6" s="44">
        <f t="shared" ref="E6:E21" si="0">C6+D6</f>
        <v>2000</v>
      </c>
      <c r="F6" s="44">
        <v>2000</v>
      </c>
      <c r="G6" s="44">
        <f t="shared" ref="G6:G21" si="1">E6-F6</f>
        <v>0</v>
      </c>
      <c r="H6" s="44"/>
    </row>
    <row r="7" spans="1:10" x14ac:dyDescent="0.25">
      <c r="A7" s="3">
        <v>3</v>
      </c>
      <c r="B7" s="3" t="s">
        <v>9</v>
      </c>
      <c r="C7" s="44">
        <v>2000</v>
      </c>
      <c r="D7" s="44"/>
      <c r="E7" s="44">
        <f t="shared" si="0"/>
        <v>2000</v>
      </c>
      <c r="F7" s="44">
        <v>2000</v>
      </c>
      <c r="G7" s="44">
        <f t="shared" si="1"/>
        <v>0</v>
      </c>
      <c r="H7" s="44"/>
    </row>
    <row r="8" spans="1:10" x14ac:dyDescent="0.25">
      <c r="A8" s="3">
        <v>4</v>
      </c>
      <c r="B8" s="3" t="s">
        <v>10</v>
      </c>
      <c r="C8" s="44">
        <v>2000</v>
      </c>
      <c r="D8" s="44"/>
      <c r="E8" s="44">
        <f t="shared" si="0"/>
        <v>2000</v>
      </c>
      <c r="F8" s="44">
        <v>2000</v>
      </c>
      <c r="G8" s="44">
        <f t="shared" si="1"/>
        <v>0</v>
      </c>
      <c r="H8" s="44"/>
    </row>
    <row r="9" spans="1:10" x14ac:dyDescent="0.25">
      <c r="A9" s="3">
        <v>5</v>
      </c>
      <c r="B9" s="3" t="s">
        <v>11</v>
      </c>
      <c r="C9" s="44">
        <v>2200</v>
      </c>
      <c r="D9" s="44"/>
      <c r="E9" s="44">
        <f t="shared" si="0"/>
        <v>2200</v>
      </c>
      <c r="F9" s="44">
        <v>2200</v>
      </c>
      <c r="G9" s="44">
        <f t="shared" si="1"/>
        <v>0</v>
      </c>
      <c r="H9" s="44"/>
    </row>
    <row r="10" spans="1:10" x14ac:dyDescent="0.25">
      <c r="A10" s="3">
        <v>6</v>
      </c>
      <c r="B10" s="3" t="s">
        <v>16</v>
      </c>
      <c r="C10" s="44">
        <v>2000</v>
      </c>
      <c r="D10" s="44"/>
      <c r="E10" s="44">
        <f t="shared" si="0"/>
        <v>2000</v>
      </c>
      <c r="F10" s="44">
        <v>2000</v>
      </c>
      <c r="G10" s="44">
        <f t="shared" si="1"/>
        <v>0</v>
      </c>
      <c r="H10" s="44"/>
    </row>
    <row r="11" spans="1:10" x14ac:dyDescent="0.25">
      <c r="A11" s="3">
        <v>7</v>
      </c>
      <c r="B11" s="3" t="s">
        <v>13</v>
      </c>
      <c r="C11" s="44">
        <v>2000</v>
      </c>
      <c r="D11" s="44"/>
      <c r="E11" s="44">
        <f t="shared" si="0"/>
        <v>2000</v>
      </c>
      <c r="F11" s="44">
        <v>2000</v>
      </c>
      <c r="G11" s="44">
        <f t="shared" si="1"/>
        <v>0</v>
      </c>
      <c r="H11" s="44"/>
    </row>
    <row r="12" spans="1:10" x14ac:dyDescent="0.25">
      <c r="A12" s="3">
        <v>8</v>
      </c>
      <c r="B12" s="3" t="s">
        <v>14</v>
      </c>
      <c r="C12" s="44">
        <v>2000</v>
      </c>
      <c r="D12" s="44"/>
      <c r="E12" s="44">
        <f t="shared" si="0"/>
        <v>2000</v>
      </c>
      <c r="F12" s="44">
        <v>2000</v>
      </c>
      <c r="G12" s="44">
        <f t="shared" si="1"/>
        <v>0</v>
      </c>
      <c r="H12" s="44"/>
    </row>
    <row r="13" spans="1:10" x14ac:dyDescent="0.25">
      <c r="A13" s="3">
        <v>9</v>
      </c>
      <c r="B13" s="3" t="s">
        <v>56</v>
      </c>
      <c r="C13" s="44"/>
      <c r="D13" s="44"/>
      <c r="E13" s="44">
        <f t="shared" si="0"/>
        <v>0</v>
      </c>
      <c r="F13" s="44"/>
      <c r="G13" s="44">
        <f t="shared" si="1"/>
        <v>0</v>
      </c>
      <c r="H13" s="44"/>
    </row>
    <row r="14" spans="1:10" x14ac:dyDescent="0.25">
      <c r="A14" s="3">
        <v>10</v>
      </c>
      <c r="B14" s="3" t="s">
        <v>57</v>
      </c>
      <c r="C14" s="44">
        <v>2000</v>
      </c>
      <c r="D14" s="44"/>
      <c r="E14" s="44">
        <f t="shared" si="0"/>
        <v>2000</v>
      </c>
      <c r="F14" s="44">
        <v>2000</v>
      </c>
      <c r="G14" s="44">
        <f t="shared" si="1"/>
        <v>0</v>
      </c>
      <c r="H14" s="44"/>
    </row>
    <row r="15" spans="1:10" x14ac:dyDescent="0.25">
      <c r="A15" s="3">
        <v>11</v>
      </c>
      <c r="B15" s="3" t="s">
        <v>57</v>
      </c>
      <c r="C15" s="44">
        <v>2500</v>
      </c>
      <c r="D15" s="44"/>
      <c r="E15" s="44">
        <f t="shared" si="0"/>
        <v>2500</v>
      </c>
      <c r="F15" s="44">
        <v>2500</v>
      </c>
      <c r="G15" s="44">
        <f t="shared" si="1"/>
        <v>0</v>
      </c>
      <c r="H15" s="44"/>
      <c r="I15" t="s">
        <v>51</v>
      </c>
    </row>
    <row r="16" spans="1:10" x14ac:dyDescent="0.25">
      <c r="A16" s="3">
        <v>12</v>
      </c>
      <c r="B16" s="3" t="s">
        <v>18</v>
      </c>
      <c r="C16" s="44">
        <v>2000</v>
      </c>
      <c r="D16" s="44"/>
      <c r="E16" s="44">
        <f t="shared" si="0"/>
        <v>2000</v>
      </c>
      <c r="F16" s="44">
        <v>2000</v>
      </c>
      <c r="G16" s="44">
        <f t="shared" si="1"/>
        <v>0</v>
      </c>
      <c r="H16" s="44"/>
    </row>
    <row r="17" spans="1:10" x14ac:dyDescent="0.25">
      <c r="A17" s="3">
        <v>13</v>
      </c>
      <c r="B17" s="3" t="s">
        <v>19</v>
      </c>
      <c r="C17" s="44">
        <v>2000</v>
      </c>
      <c r="D17" s="44"/>
      <c r="E17" s="44">
        <f t="shared" si="0"/>
        <v>2000</v>
      </c>
      <c r="F17" s="44">
        <v>2000</v>
      </c>
      <c r="G17" s="44">
        <f t="shared" si="1"/>
        <v>0</v>
      </c>
      <c r="H17" s="44"/>
      <c r="I17" t="s">
        <v>51</v>
      </c>
    </row>
    <row r="18" spans="1:10" x14ac:dyDescent="0.25">
      <c r="A18" s="3">
        <v>14</v>
      </c>
      <c r="B18" s="3" t="s">
        <v>20</v>
      </c>
      <c r="C18" s="44">
        <v>2000</v>
      </c>
      <c r="D18" s="44"/>
      <c r="E18" s="44">
        <f t="shared" si="0"/>
        <v>2000</v>
      </c>
      <c r="F18" s="44">
        <v>2000</v>
      </c>
      <c r="G18" s="44">
        <f t="shared" si="1"/>
        <v>0</v>
      </c>
      <c r="H18" s="44"/>
    </row>
    <row r="19" spans="1:10" x14ac:dyDescent="0.25">
      <c r="A19" s="3">
        <v>15</v>
      </c>
      <c r="B19" s="3" t="s">
        <v>49</v>
      </c>
      <c r="C19" s="44">
        <v>2000</v>
      </c>
      <c r="D19" s="44"/>
      <c r="E19" s="44">
        <f t="shared" si="0"/>
        <v>2000</v>
      </c>
      <c r="F19" s="44">
        <v>2000</v>
      </c>
      <c r="G19" s="44">
        <f t="shared" si="1"/>
        <v>0</v>
      </c>
      <c r="H19" s="44"/>
    </row>
    <row r="20" spans="1:10" x14ac:dyDescent="0.25">
      <c r="A20" s="3">
        <v>16</v>
      </c>
      <c r="B20" s="3" t="s">
        <v>22</v>
      </c>
      <c r="C20" s="44">
        <v>2000</v>
      </c>
      <c r="D20" s="44"/>
      <c r="E20" s="44">
        <f t="shared" si="0"/>
        <v>2000</v>
      </c>
      <c r="F20" s="44">
        <v>2000</v>
      </c>
      <c r="G20" s="44">
        <f t="shared" si="1"/>
        <v>0</v>
      </c>
      <c r="H20" s="44"/>
    </row>
    <row r="21" spans="1:10" x14ac:dyDescent="0.25">
      <c r="A21" s="3">
        <v>17</v>
      </c>
      <c r="B21" s="3" t="s">
        <v>58</v>
      </c>
      <c r="C21" s="44">
        <v>2000</v>
      </c>
      <c r="D21" s="44"/>
      <c r="E21" s="44">
        <f t="shared" si="0"/>
        <v>2000</v>
      </c>
      <c r="F21" s="44">
        <v>2000</v>
      </c>
      <c r="G21" s="44">
        <f t="shared" si="1"/>
        <v>0</v>
      </c>
      <c r="H21" s="44"/>
    </row>
    <row r="22" spans="1:10" x14ac:dyDescent="0.25">
      <c r="A22" s="2"/>
      <c r="B22" s="4" t="s">
        <v>24</v>
      </c>
      <c r="C22" s="45">
        <f>SUM(C5:C21)</f>
        <v>34700</v>
      </c>
      <c r="D22" s="45">
        <f>SUM(D5:D21)</f>
        <v>0</v>
      </c>
      <c r="E22" s="45">
        <f>SUM(E5:E21)</f>
        <v>34700</v>
      </c>
      <c r="F22" s="45">
        <f>SUM(F5:F21)</f>
        <v>34700</v>
      </c>
      <c r="G22" s="45">
        <f>SUM(G5:G21)</f>
        <v>0</v>
      </c>
      <c r="H22" s="45"/>
      <c r="I22" s="1"/>
      <c r="J22" s="1"/>
    </row>
    <row r="23" spans="1:10" x14ac:dyDescent="0.25">
      <c r="A23" s="3"/>
      <c r="B23" s="3"/>
      <c r="C23" s="44"/>
      <c r="D23" s="44"/>
      <c r="E23" s="44"/>
      <c r="F23" s="44"/>
      <c r="G23" s="44"/>
      <c r="H23" s="44"/>
    </row>
    <row r="24" spans="1:10" x14ac:dyDescent="0.25">
      <c r="A24" s="12"/>
      <c r="C24" s="46"/>
      <c r="D24" s="46"/>
      <c r="E24" s="46"/>
      <c r="F24" s="46"/>
      <c r="G24" s="46"/>
      <c r="H24" s="46"/>
    </row>
    <row r="25" spans="1:10" ht="18.75" x14ac:dyDescent="0.3">
      <c r="A25" s="12"/>
      <c r="B25" s="31" t="s">
        <v>27</v>
      </c>
      <c r="C25" s="47"/>
      <c r="D25" s="47"/>
      <c r="E25" s="47"/>
      <c r="F25" s="47"/>
      <c r="G25" s="46"/>
      <c r="H25" s="46"/>
    </row>
    <row r="26" spans="1:10" ht="15.75" x14ac:dyDescent="0.25">
      <c r="A26" s="12"/>
      <c r="B26" s="28" t="s">
        <v>28</v>
      </c>
      <c r="C26" s="48" t="s">
        <v>29</v>
      </c>
      <c r="D26" s="48" t="s">
        <v>30</v>
      </c>
      <c r="E26" s="48" t="s">
        <v>62</v>
      </c>
      <c r="F26" s="48" t="s">
        <v>29</v>
      </c>
      <c r="G26" s="48" t="s">
        <v>30</v>
      </c>
      <c r="H26" s="48" t="s">
        <v>62</v>
      </c>
      <c r="J26" s="29"/>
    </row>
    <row r="27" spans="1:10" x14ac:dyDescent="0.25">
      <c r="A27" s="12"/>
      <c r="B27" s="3" t="s">
        <v>53</v>
      </c>
      <c r="C27" s="44">
        <f>C22</f>
        <v>34700</v>
      </c>
      <c r="D27" s="44">
        <v>0.1</v>
      </c>
      <c r="E27" s="44">
        <f>C27-C28</f>
        <v>35600</v>
      </c>
      <c r="F27" s="44">
        <f>F22</f>
        <v>34700</v>
      </c>
      <c r="G27" s="44">
        <v>0.1</v>
      </c>
      <c r="H27" s="44"/>
    </row>
    <row r="28" spans="1:10" x14ac:dyDescent="0.25">
      <c r="A28" s="12"/>
      <c r="B28" s="3" t="s">
        <v>55</v>
      </c>
      <c r="C28" s="44">
        <f>JAN!E35</f>
        <v>-900</v>
      </c>
      <c r="D28" s="44"/>
      <c r="E28" s="44"/>
      <c r="F28" s="44">
        <v>-900</v>
      </c>
      <c r="G28" s="44"/>
      <c r="H28" s="44"/>
    </row>
    <row r="29" spans="1:10" x14ac:dyDescent="0.25">
      <c r="A29" s="12"/>
      <c r="B29" s="3" t="s">
        <v>33</v>
      </c>
      <c r="C29" s="44"/>
      <c r="D29" s="44">
        <f>C27*D27</f>
        <v>3470</v>
      </c>
      <c r="E29" s="44"/>
      <c r="F29" s="44"/>
      <c r="G29" s="44">
        <f>F27*G27</f>
        <v>3470</v>
      </c>
      <c r="H29" s="44"/>
    </row>
    <row r="30" spans="1:10" x14ac:dyDescent="0.25">
      <c r="A30" s="12"/>
      <c r="B30" s="21"/>
      <c r="C30" s="44">
        <f>C27-D29</f>
        <v>31230</v>
      </c>
      <c r="D30" s="44"/>
      <c r="E30" s="44"/>
      <c r="F30" s="44">
        <f>SUM(F27:F29)</f>
        <v>33800</v>
      </c>
      <c r="G30" s="44"/>
      <c r="H30" s="44"/>
    </row>
    <row r="31" spans="1:10" x14ac:dyDescent="0.25">
      <c r="A31" s="12"/>
      <c r="B31" s="24" t="s">
        <v>34</v>
      </c>
      <c r="C31" s="44"/>
      <c r="D31" s="44"/>
      <c r="E31" s="44"/>
      <c r="F31" s="44"/>
      <c r="G31" s="44"/>
      <c r="H31" s="44"/>
    </row>
    <row r="32" spans="1:10" x14ac:dyDescent="0.25">
      <c r="A32" s="12"/>
      <c r="B32" s="22">
        <v>43139</v>
      </c>
      <c r="C32" s="44"/>
      <c r="D32" s="44">
        <v>10000</v>
      </c>
      <c r="E32" s="44"/>
      <c r="F32" s="22">
        <v>43139</v>
      </c>
      <c r="G32" s="44">
        <v>10000</v>
      </c>
      <c r="H32" s="44"/>
    </row>
    <row r="33" spans="1:10" x14ac:dyDescent="0.25">
      <c r="A33" s="12"/>
      <c r="B33" s="33">
        <v>43140</v>
      </c>
      <c r="C33" s="44"/>
      <c r="D33" s="44">
        <v>10085</v>
      </c>
      <c r="E33" s="44"/>
      <c r="F33" s="33">
        <v>43140</v>
      </c>
      <c r="G33" s="44">
        <v>10085</v>
      </c>
      <c r="H33" s="44"/>
    </row>
    <row r="34" spans="1:10" x14ac:dyDescent="0.25">
      <c r="A34" s="12"/>
      <c r="B34" s="32">
        <v>43144</v>
      </c>
      <c r="C34" s="44"/>
      <c r="D34" s="44">
        <v>10200</v>
      </c>
      <c r="E34" s="44"/>
      <c r="F34" s="32">
        <v>43144</v>
      </c>
      <c r="G34" s="44">
        <v>10200</v>
      </c>
      <c r="H34" s="44"/>
    </row>
    <row r="35" spans="1:10" x14ac:dyDescent="0.25">
      <c r="A35" s="12"/>
      <c r="B35" s="32">
        <v>43154</v>
      </c>
      <c r="C35" s="44"/>
      <c r="D35" s="44">
        <v>2540</v>
      </c>
      <c r="E35" s="44"/>
      <c r="F35" s="32">
        <v>43154</v>
      </c>
      <c r="G35" s="44">
        <v>2540</v>
      </c>
      <c r="H35" s="44"/>
    </row>
    <row r="36" spans="1:10" x14ac:dyDescent="0.25">
      <c r="A36" s="12"/>
      <c r="B36" s="3"/>
      <c r="C36" s="49">
        <f>C28+C30</f>
        <v>30330</v>
      </c>
      <c r="D36" s="49">
        <f>SUM(D32:D35)</f>
        <v>32825</v>
      </c>
      <c r="E36" s="49">
        <f>C36-D36</f>
        <v>-2495</v>
      </c>
      <c r="F36" s="49">
        <f>F30</f>
        <v>33800</v>
      </c>
      <c r="G36" s="49">
        <f>SUM(G29:G35)</f>
        <v>36295</v>
      </c>
      <c r="H36" s="49">
        <f>F36-G36</f>
        <v>-2495</v>
      </c>
      <c r="J36" s="12"/>
    </row>
    <row r="37" spans="1:10" x14ac:dyDescent="0.25">
      <c r="A37" s="12"/>
      <c r="B37" s="27" t="s">
        <v>24</v>
      </c>
      <c r="C37" s="3"/>
      <c r="D37" s="3"/>
      <c r="E37" s="3"/>
      <c r="F37" s="3"/>
      <c r="G37" s="3"/>
      <c r="H37" s="3"/>
      <c r="I37" s="12"/>
    </row>
    <row r="40" spans="1:10" x14ac:dyDescent="0.25">
      <c r="B40" s="12" t="s">
        <v>38</v>
      </c>
      <c r="D40" s="12" t="s">
        <v>36</v>
      </c>
      <c r="F40" s="12"/>
      <c r="G40" s="12" t="s">
        <v>37</v>
      </c>
    </row>
    <row r="41" spans="1:10" x14ac:dyDescent="0.25">
      <c r="D41" s="12"/>
      <c r="F41" s="12"/>
      <c r="G41" s="12"/>
    </row>
    <row r="42" spans="1:10" x14ac:dyDescent="0.25">
      <c r="B42" t="s">
        <v>65</v>
      </c>
      <c r="D42" t="s">
        <v>66</v>
      </c>
      <c r="G42" t="s">
        <v>10</v>
      </c>
    </row>
  </sheetData>
  <pageMargins left="0.25" right="0.25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A4" workbookViewId="0">
      <selection activeCell="D38" sqref="D38"/>
    </sheetView>
  </sheetViews>
  <sheetFormatPr defaultRowHeight="15" x14ac:dyDescent="0.25"/>
  <cols>
    <col min="1" max="1" width="4.140625" customWidth="1"/>
    <col min="2" max="2" width="19.140625" customWidth="1"/>
  </cols>
  <sheetData>
    <row r="1" spans="1:14" ht="18.75" x14ac:dyDescent="0.25">
      <c r="C1" s="38" t="s">
        <v>59</v>
      </c>
      <c r="D1" s="39"/>
      <c r="E1" s="36"/>
      <c r="F1" s="34"/>
    </row>
    <row r="2" spans="1:14" ht="18.75" x14ac:dyDescent="0.25">
      <c r="C2" s="38" t="s">
        <v>60</v>
      </c>
      <c r="D2" s="38"/>
      <c r="E2" s="11"/>
      <c r="F2" s="11"/>
    </row>
    <row r="3" spans="1:14" ht="18.75" x14ac:dyDescent="0.25">
      <c r="C3" s="38" t="s">
        <v>67</v>
      </c>
      <c r="D3" s="38"/>
      <c r="E3" s="11"/>
      <c r="F3" s="11"/>
    </row>
    <row r="4" spans="1:14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/>
      <c r="I4" s="1"/>
    </row>
    <row r="5" spans="1:14" x14ac:dyDescent="0.25">
      <c r="A5" s="3">
        <v>1</v>
      </c>
      <c r="B5" s="3" t="s">
        <v>7</v>
      </c>
      <c r="C5" s="3">
        <v>4000</v>
      </c>
      <c r="D5" s="3"/>
      <c r="E5" s="3">
        <f>C5+D5</f>
        <v>4000</v>
      </c>
      <c r="F5" s="3">
        <v>4000</v>
      </c>
      <c r="G5" s="3">
        <f>E5-F5</f>
        <v>0</v>
      </c>
      <c r="H5" s="3"/>
    </row>
    <row r="6" spans="1:14" x14ac:dyDescent="0.25">
      <c r="A6" s="3">
        <v>2</v>
      </c>
      <c r="B6" s="3" t="s">
        <v>8</v>
      </c>
      <c r="C6" s="3">
        <v>2000</v>
      </c>
      <c r="D6" s="3"/>
      <c r="E6" s="3">
        <f t="shared" ref="E6:E21" si="0">C6+D6</f>
        <v>2000</v>
      </c>
      <c r="F6" s="3">
        <v>2000</v>
      </c>
      <c r="G6" s="3">
        <f t="shared" ref="G6:G21" si="1">E6-F6</f>
        <v>0</v>
      </c>
      <c r="H6" s="3"/>
    </row>
    <row r="7" spans="1:14" x14ac:dyDescent="0.25">
      <c r="A7" s="3">
        <v>3</v>
      </c>
      <c r="B7" s="3" t="s">
        <v>9</v>
      </c>
      <c r="C7" s="3">
        <v>2000</v>
      </c>
      <c r="D7" s="3"/>
      <c r="E7" s="3">
        <f t="shared" si="0"/>
        <v>2000</v>
      </c>
      <c r="F7" s="3">
        <v>2000</v>
      </c>
      <c r="G7" s="3">
        <f t="shared" si="1"/>
        <v>0</v>
      </c>
      <c r="H7" s="3"/>
    </row>
    <row r="8" spans="1:14" x14ac:dyDescent="0.25">
      <c r="A8" s="3">
        <v>4</v>
      </c>
      <c r="B8" s="3" t="s">
        <v>10</v>
      </c>
      <c r="C8" s="3">
        <v>2000</v>
      </c>
      <c r="D8" s="3"/>
      <c r="E8" s="3">
        <f t="shared" si="0"/>
        <v>2000</v>
      </c>
      <c r="F8" s="3">
        <v>2000</v>
      </c>
      <c r="G8" s="3">
        <f t="shared" si="1"/>
        <v>0</v>
      </c>
      <c r="H8" s="3"/>
    </row>
    <row r="9" spans="1:14" x14ac:dyDescent="0.25">
      <c r="A9" s="3">
        <v>5</v>
      </c>
      <c r="B9" s="3" t="s">
        <v>11</v>
      </c>
      <c r="C9" s="3">
        <v>2200</v>
      </c>
      <c r="D9" s="3"/>
      <c r="E9" s="3">
        <f t="shared" si="0"/>
        <v>2200</v>
      </c>
      <c r="F9" s="3">
        <v>2200</v>
      </c>
      <c r="G9" s="3">
        <f t="shared" si="1"/>
        <v>0</v>
      </c>
      <c r="H9" s="3"/>
    </row>
    <row r="10" spans="1:14" x14ac:dyDescent="0.25">
      <c r="A10" s="3">
        <v>6</v>
      </c>
      <c r="B10" s="3" t="s">
        <v>16</v>
      </c>
      <c r="C10" s="3">
        <v>2000</v>
      </c>
      <c r="D10" s="3"/>
      <c r="E10" s="3">
        <f t="shared" si="0"/>
        <v>2000</v>
      </c>
      <c r="F10" s="3">
        <v>1200</v>
      </c>
      <c r="G10" s="3">
        <f t="shared" si="1"/>
        <v>800</v>
      </c>
      <c r="H10" s="3"/>
    </row>
    <row r="11" spans="1:14" x14ac:dyDescent="0.25">
      <c r="A11" s="3">
        <v>7</v>
      </c>
      <c r="B11" s="3" t="s">
        <v>13</v>
      </c>
      <c r="C11" s="3">
        <v>2000</v>
      </c>
      <c r="D11" s="3"/>
      <c r="E11" s="3">
        <f t="shared" si="0"/>
        <v>2000</v>
      </c>
      <c r="F11" s="3">
        <v>2000</v>
      </c>
      <c r="G11" s="3">
        <f t="shared" si="1"/>
        <v>0</v>
      </c>
      <c r="H11" s="3"/>
    </row>
    <row r="12" spans="1:14" x14ac:dyDescent="0.25">
      <c r="A12" s="3">
        <v>8</v>
      </c>
      <c r="B12" s="3" t="s">
        <v>14</v>
      </c>
      <c r="C12" s="3">
        <v>2000</v>
      </c>
      <c r="D12" s="3"/>
      <c r="E12" s="3">
        <f t="shared" si="0"/>
        <v>2000</v>
      </c>
      <c r="F12" s="3">
        <v>2000</v>
      </c>
      <c r="G12" s="3">
        <f t="shared" si="1"/>
        <v>0</v>
      </c>
      <c r="H12" s="3"/>
    </row>
    <row r="13" spans="1:14" x14ac:dyDescent="0.25">
      <c r="A13" s="3">
        <v>9</v>
      </c>
      <c r="B13" s="3" t="s">
        <v>56</v>
      </c>
      <c r="C13" s="3"/>
      <c r="D13" s="3"/>
      <c r="E13" s="3">
        <f t="shared" si="0"/>
        <v>0</v>
      </c>
      <c r="F13" s="3"/>
      <c r="G13" s="3">
        <f t="shared" si="1"/>
        <v>0</v>
      </c>
      <c r="H13" s="3"/>
    </row>
    <row r="14" spans="1:14" x14ac:dyDescent="0.25">
      <c r="A14" s="3">
        <v>10</v>
      </c>
      <c r="B14" s="3" t="s">
        <v>57</v>
      </c>
      <c r="C14" s="3">
        <v>2000</v>
      </c>
      <c r="D14" s="3"/>
      <c r="E14" s="3">
        <f t="shared" si="0"/>
        <v>2000</v>
      </c>
      <c r="F14" s="3">
        <v>2000</v>
      </c>
      <c r="G14" s="3">
        <f t="shared" si="1"/>
        <v>0</v>
      </c>
      <c r="H14" s="3"/>
    </row>
    <row r="15" spans="1:14" x14ac:dyDescent="0.25">
      <c r="A15" s="3">
        <v>11</v>
      </c>
      <c r="B15" s="3" t="s">
        <v>57</v>
      </c>
      <c r="C15" s="3">
        <v>2500</v>
      </c>
      <c r="D15" s="3"/>
      <c r="E15" s="3">
        <f t="shared" si="0"/>
        <v>2500</v>
      </c>
      <c r="F15" s="3">
        <v>2500</v>
      </c>
      <c r="G15" s="3">
        <f t="shared" si="1"/>
        <v>0</v>
      </c>
      <c r="H15" s="3"/>
      <c r="N15">
        <f>C27*D27</f>
        <v>3470</v>
      </c>
    </row>
    <row r="16" spans="1:14" x14ac:dyDescent="0.25">
      <c r="A16" s="3">
        <v>12</v>
      </c>
      <c r="B16" s="3" t="s">
        <v>18</v>
      </c>
      <c r="C16" s="3">
        <v>2000</v>
      </c>
      <c r="D16" s="3"/>
      <c r="E16" s="3">
        <f t="shared" si="0"/>
        <v>2000</v>
      </c>
      <c r="F16" s="3">
        <v>2000</v>
      </c>
      <c r="G16" s="3">
        <f t="shared" si="1"/>
        <v>0</v>
      </c>
      <c r="H16" s="3"/>
      <c r="N16" s="43">
        <f>C27-N15</f>
        <v>31230</v>
      </c>
    </row>
    <row r="17" spans="1:9" x14ac:dyDescent="0.25">
      <c r="A17" s="3">
        <v>13</v>
      </c>
      <c r="B17" s="3" t="s">
        <v>19</v>
      </c>
      <c r="C17" s="3">
        <v>2000</v>
      </c>
      <c r="D17" s="3"/>
      <c r="E17" s="3">
        <f t="shared" si="0"/>
        <v>2000</v>
      </c>
      <c r="F17" s="3">
        <v>2000</v>
      </c>
      <c r="G17" s="3">
        <f t="shared" si="1"/>
        <v>0</v>
      </c>
      <c r="H17" s="3"/>
    </row>
    <row r="18" spans="1:9" x14ac:dyDescent="0.25">
      <c r="A18" s="3">
        <v>14</v>
      </c>
      <c r="B18" s="3" t="s">
        <v>20</v>
      </c>
      <c r="C18" s="3">
        <v>2000</v>
      </c>
      <c r="D18" s="3"/>
      <c r="E18" s="3">
        <f t="shared" si="0"/>
        <v>2000</v>
      </c>
      <c r="F18" s="3">
        <v>2000</v>
      </c>
      <c r="G18" s="3">
        <f t="shared" si="1"/>
        <v>0</v>
      </c>
      <c r="H18" s="3"/>
    </row>
    <row r="19" spans="1:9" x14ac:dyDescent="0.25">
      <c r="A19" s="3">
        <v>15</v>
      </c>
      <c r="B19" s="3" t="s">
        <v>70</v>
      </c>
      <c r="C19" s="3">
        <v>2000</v>
      </c>
      <c r="D19" s="3"/>
      <c r="E19" s="3">
        <f t="shared" si="0"/>
        <v>2000</v>
      </c>
      <c r="F19" s="3">
        <v>2000</v>
      </c>
      <c r="G19" s="3">
        <f t="shared" si="1"/>
        <v>0</v>
      </c>
      <c r="H19" s="3"/>
    </row>
    <row r="20" spans="1:9" x14ac:dyDescent="0.25">
      <c r="A20" s="3">
        <v>16</v>
      </c>
      <c r="B20" s="3" t="s">
        <v>22</v>
      </c>
      <c r="C20" s="3">
        <v>2000</v>
      </c>
      <c r="D20" s="3"/>
      <c r="E20" s="3">
        <f t="shared" si="0"/>
        <v>2000</v>
      </c>
      <c r="F20" s="3">
        <v>2000</v>
      </c>
      <c r="G20" s="3">
        <f t="shared" si="1"/>
        <v>0</v>
      </c>
      <c r="H20" s="3"/>
    </row>
    <row r="21" spans="1:9" x14ac:dyDescent="0.25">
      <c r="A21" s="3">
        <v>17</v>
      </c>
      <c r="B21" s="3" t="s">
        <v>58</v>
      </c>
      <c r="C21" s="3">
        <v>2000</v>
      </c>
      <c r="D21" s="3"/>
      <c r="E21" s="3">
        <f t="shared" si="0"/>
        <v>2000</v>
      </c>
      <c r="F21" s="3">
        <v>2000</v>
      </c>
      <c r="G21" s="3">
        <f t="shared" si="1"/>
        <v>0</v>
      </c>
      <c r="H21" s="3"/>
    </row>
    <row r="22" spans="1:9" x14ac:dyDescent="0.25">
      <c r="A22" s="2"/>
      <c r="B22" s="4" t="s">
        <v>24</v>
      </c>
      <c r="C22" s="2">
        <f>SUM(C5:C21)</f>
        <v>34700</v>
      </c>
      <c r="D22" s="2">
        <f>SUM(D5:D21)</f>
        <v>0</v>
      </c>
      <c r="E22" s="2">
        <f>SUM(E5:E21)</f>
        <v>34700</v>
      </c>
      <c r="F22" s="2">
        <f>SUM(F5:F21)</f>
        <v>33900</v>
      </c>
      <c r="G22" s="2">
        <f>SUM(G5:G21)</f>
        <v>800</v>
      </c>
      <c r="H22" s="2"/>
      <c r="I22" s="1"/>
    </row>
    <row r="23" spans="1:9" x14ac:dyDescent="0.25">
      <c r="A23" s="3"/>
      <c r="B23" s="3"/>
      <c r="C23" s="3"/>
      <c r="D23" s="3"/>
      <c r="E23" s="3"/>
      <c r="F23" s="3"/>
      <c r="G23" s="3"/>
      <c r="H23" s="3"/>
    </row>
    <row r="24" spans="1:9" x14ac:dyDescent="0.25">
      <c r="A24" s="12"/>
    </row>
    <row r="25" spans="1:9" ht="18.75" x14ac:dyDescent="0.3">
      <c r="A25" s="12"/>
      <c r="B25" s="31" t="s">
        <v>27</v>
      </c>
      <c r="C25" s="12"/>
      <c r="D25" s="12"/>
      <c r="E25" s="12"/>
      <c r="F25" s="12"/>
      <c r="G25" s="12"/>
    </row>
    <row r="26" spans="1:9" ht="15.75" x14ac:dyDescent="0.25">
      <c r="A26" s="12"/>
      <c r="B26" s="28" t="s">
        <v>28</v>
      </c>
      <c r="C26" s="28" t="s">
        <v>29</v>
      </c>
      <c r="D26" s="28" t="s">
        <v>30</v>
      </c>
      <c r="E26" s="28" t="s">
        <v>62</v>
      </c>
      <c r="F26" s="28" t="s">
        <v>69</v>
      </c>
      <c r="G26" s="28" t="s">
        <v>29</v>
      </c>
      <c r="H26" s="28" t="s">
        <v>30</v>
      </c>
      <c r="I26" s="28" t="s">
        <v>62</v>
      </c>
    </row>
    <row r="27" spans="1:9" x14ac:dyDescent="0.25">
      <c r="A27" s="12"/>
      <c r="B27" s="2" t="s">
        <v>68</v>
      </c>
      <c r="C27" s="18">
        <f>C22</f>
        <v>34700</v>
      </c>
      <c r="D27" s="5">
        <v>0.1</v>
      </c>
      <c r="E27" s="17">
        <f>C27-C28</f>
        <v>37195</v>
      </c>
      <c r="F27" s="42" t="s">
        <v>68</v>
      </c>
      <c r="G27" s="18">
        <f>F22</f>
        <v>33900</v>
      </c>
      <c r="H27" s="5">
        <v>0.1</v>
      </c>
      <c r="I27" s="3"/>
    </row>
    <row r="28" spans="1:9" x14ac:dyDescent="0.25">
      <c r="A28" s="12"/>
      <c r="B28" s="3" t="s">
        <v>55</v>
      </c>
      <c r="C28" s="18">
        <f>'FEB 18'!E36</f>
        <v>-2495</v>
      </c>
      <c r="D28" s="3"/>
      <c r="E28" s="3"/>
      <c r="F28" s="3" t="s">
        <v>55</v>
      </c>
      <c r="G28" s="18">
        <f>C28</f>
        <v>-2495</v>
      </c>
      <c r="H28" s="3"/>
      <c r="I28" s="3"/>
    </row>
    <row r="29" spans="1:9" x14ac:dyDescent="0.25">
      <c r="A29" s="12"/>
      <c r="B29" s="3" t="s">
        <v>33</v>
      </c>
      <c r="C29" s="17"/>
      <c r="D29" s="3">
        <f>C27*D27</f>
        <v>3470</v>
      </c>
      <c r="E29" s="3"/>
      <c r="F29" s="3"/>
      <c r="G29" s="17"/>
      <c r="H29" s="3">
        <f>D29</f>
        <v>3470</v>
      </c>
      <c r="I29" s="3"/>
    </row>
    <row r="30" spans="1:9" x14ac:dyDescent="0.25">
      <c r="A30" s="12"/>
      <c r="B30" s="21"/>
      <c r="C30" s="17">
        <f>C27+C28</f>
        <v>32205</v>
      </c>
      <c r="D30" s="3"/>
      <c r="E30" s="3"/>
      <c r="F30" s="3"/>
      <c r="G30" s="17">
        <f>SUM(G27:G29)</f>
        <v>31405</v>
      </c>
      <c r="H30" s="3"/>
      <c r="I30" s="3"/>
    </row>
    <row r="31" spans="1:9" x14ac:dyDescent="0.25">
      <c r="A31" s="12"/>
      <c r="B31" s="24" t="s">
        <v>34</v>
      </c>
      <c r="C31" s="3"/>
      <c r="D31" s="3"/>
      <c r="E31" s="3"/>
      <c r="F31" s="3"/>
      <c r="G31" s="3"/>
      <c r="H31" s="3"/>
      <c r="I31" s="3"/>
    </row>
    <row r="32" spans="1:9" x14ac:dyDescent="0.25">
      <c r="A32" s="12"/>
      <c r="B32" s="33">
        <v>43167</v>
      </c>
      <c r="C32" s="3"/>
      <c r="D32" s="3">
        <v>25760</v>
      </c>
      <c r="F32" s="33">
        <v>43167</v>
      </c>
      <c r="G32" s="3"/>
      <c r="H32" s="3">
        <v>25760</v>
      </c>
      <c r="I32" s="3"/>
    </row>
    <row r="33" spans="1:9" x14ac:dyDescent="0.25">
      <c r="A33" s="12"/>
      <c r="B33" s="32">
        <v>43174</v>
      </c>
      <c r="C33" s="3"/>
      <c r="D33" s="3">
        <v>2975</v>
      </c>
      <c r="E33" s="3"/>
      <c r="F33" s="32">
        <v>43174</v>
      </c>
      <c r="G33" s="3"/>
      <c r="H33" s="3">
        <v>2975</v>
      </c>
      <c r="I33" s="3"/>
    </row>
    <row r="34" spans="1:9" x14ac:dyDescent="0.25">
      <c r="A34" s="12"/>
      <c r="B34" s="32"/>
      <c r="C34" s="3"/>
      <c r="D34" s="3"/>
      <c r="E34" s="3"/>
      <c r="F34" s="3"/>
      <c r="G34" s="3"/>
      <c r="H34" s="3"/>
      <c r="I34" s="3"/>
    </row>
    <row r="35" spans="1:9" x14ac:dyDescent="0.25">
      <c r="A35" s="12"/>
      <c r="B35" s="32"/>
      <c r="C35" s="3"/>
      <c r="D35" s="3"/>
      <c r="E35" s="3"/>
      <c r="F35" s="3"/>
      <c r="G35" s="3"/>
      <c r="H35" s="3"/>
      <c r="I35" s="3"/>
    </row>
    <row r="36" spans="1:9" x14ac:dyDescent="0.25">
      <c r="A36" s="12"/>
      <c r="B36" s="3"/>
      <c r="C36" s="30"/>
      <c r="D36" s="30"/>
      <c r="E36" s="30"/>
      <c r="F36" s="30"/>
      <c r="G36" s="3"/>
      <c r="H36" s="3"/>
      <c r="I36" s="3"/>
    </row>
    <row r="37" spans="1:9" x14ac:dyDescent="0.25">
      <c r="A37" s="12"/>
      <c r="B37" s="27" t="s">
        <v>24</v>
      </c>
      <c r="C37" s="17">
        <f>C30</f>
        <v>32205</v>
      </c>
      <c r="D37" s="3">
        <f>SUM(D29:D36)</f>
        <v>32205</v>
      </c>
      <c r="E37" s="17">
        <f>C37-D37</f>
        <v>0</v>
      </c>
      <c r="F37" s="17"/>
      <c r="G37" s="30">
        <f>G30</f>
        <v>31405</v>
      </c>
      <c r="H37" s="30">
        <f>SUM(H29:H36)</f>
        <v>32205</v>
      </c>
      <c r="I37" s="30">
        <f>G37-H37</f>
        <v>-800</v>
      </c>
    </row>
    <row r="40" spans="1:9" x14ac:dyDescent="0.25">
      <c r="B40" s="12" t="s">
        <v>38</v>
      </c>
      <c r="D40" s="12" t="s">
        <v>36</v>
      </c>
      <c r="F40" s="12"/>
      <c r="G40" s="12" t="s">
        <v>37</v>
      </c>
    </row>
    <row r="41" spans="1:9" x14ac:dyDescent="0.25">
      <c r="D41" s="12"/>
      <c r="F41" s="12"/>
      <c r="G41" s="12"/>
    </row>
    <row r="42" spans="1:9" x14ac:dyDescent="0.25">
      <c r="B42" t="s">
        <v>65</v>
      </c>
      <c r="D42" t="s">
        <v>66</v>
      </c>
      <c r="G42" t="s">
        <v>10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4" workbookViewId="0">
      <selection activeCell="D9" sqref="D9"/>
    </sheetView>
  </sheetViews>
  <sheetFormatPr defaultRowHeight="15" x14ac:dyDescent="0.25"/>
  <cols>
    <col min="1" max="1" width="4.42578125" customWidth="1"/>
    <col min="2" max="2" width="18.7109375" customWidth="1"/>
    <col min="4" max="4" width="6.7109375" customWidth="1"/>
    <col min="5" max="5" width="10" customWidth="1"/>
  </cols>
  <sheetData>
    <row r="1" spans="1:9" ht="18.75" x14ac:dyDescent="0.25">
      <c r="C1" s="38" t="s">
        <v>59</v>
      </c>
      <c r="D1" s="39"/>
      <c r="E1" s="36"/>
      <c r="F1" s="34"/>
    </row>
    <row r="2" spans="1:9" ht="18.75" x14ac:dyDescent="0.25">
      <c r="C2" s="38" t="s">
        <v>60</v>
      </c>
      <c r="D2" s="38"/>
      <c r="E2" s="11"/>
      <c r="F2" s="11"/>
    </row>
    <row r="3" spans="1:9" ht="18.75" x14ac:dyDescent="0.25">
      <c r="C3" s="38" t="s">
        <v>72</v>
      </c>
      <c r="D3" s="38"/>
      <c r="E3" s="11"/>
      <c r="F3" s="11"/>
    </row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/>
      <c r="I4" s="1"/>
    </row>
    <row r="5" spans="1:9" x14ac:dyDescent="0.25">
      <c r="A5" s="3">
        <v>1</v>
      </c>
      <c r="B5" s="3" t="s">
        <v>7</v>
      </c>
      <c r="C5" s="3">
        <v>4000</v>
      </c>
      <c r="D5" s="3"/>
      <c r="E5" s="3">
        <f>C5+D5</f>
        <v>4000</v>
      </c>
      <c r="F5" s="3">
        <v>4000</v>
      </c>
      <c r="G5" s="3">
        <f>E5-F5</f>
        <v>0</v>
      </c>
      <c r="H5" s="3"/>
    </row>
    <row r="6" spans="1:9" x14ac:dyDescent="0.25">
      <c r="A6" s="3">
        <v>2</v>
      </c>
      <c r="B6" s="3" t="s">
        <v>8</v>
      </c>
      <c r="C6" s="3">
        <v>2000</v>
      </c>
      <c r="D6" s="3"/>
      <c r="E6" s="3">
        <f t="shared" ref="E6:E21" si="0">C6+D6</f>
        <v>2000</v>
      </c>
      <c r="F6" s="3">
        <v>2000</v>
      </c>
      <c r="G6" s="3">
        <f t="shared" ref="G6:G21" si="1">E6-F6</f>
        <v>0</v>
      </c>
      <c r="H6" s="3"/>
      <c r="I6" t="s">
        <v>51</v>
      </c>
    </row>
    <row r="7" spans="1:9" x14ac:dyDescent="0.25">
      <c r="A7" s="3">
        <v>3</v>
      </c>
      <c r="B7" s="3" t="s">
        <v>9</v>
      </c>
      <c r="C7" s="3">
        <v>2000</v>
      </c>
      <c r="D7" s="3"/>
      <c r="E7" s="3">
        <f t="shared" si="0"/>
        <v>2000</v>
      </c>
      <c r="F7" s="3">
        <v>2000</v>
      </c>
      <c r="G7" s="3">
        <f t="shared" si="1"/>
        <v>0</v>
      </c>
      <c r="H7" s="3"/>
    </row>
    <row r="8" spans="1:9" x14ac:dyDescent="0.25">
      <c r="A8" s="3">
        <v>4</v>
      </c>
      <c r="B8" s="3" t="s">
        <v>74</v>
      </c>
      <c r="C8" s="3">
        <v>2000</v>
      </c>
      <c r="D8" s="3"/>
      <c r="E8" s="3">
        <f t="shared" si="0"/>
        <v>2000</v>
      </c>
      <c r="F8" s="3">
        <v>2000</v>
      </c>
      <c r="G8" s="3">
        <f t="shared" si="1"/>
        <v>0</v>
      </c>
      <c r="H8" s="3"/>
    </row>
    <row r="9" spans="1:9" x14ac:dyDescent="0.25">
      <c r="A9" s="3">
        <v>5</v>
      </c>
      <c r="B9" s="3" t="s">
        <v>11</v>
      </c>
      <c r="C9" s="3">
        <v>2200</v>
      </c>
      <c r="D9" s="3"/>
      <c r="E9" s="3">
        <f t="shared" si="0"/>
        <v>2200</v>
      </c>
      <c r="F9" s="3">
        <v>2200</v>
      </c>
      <c r="G9" s="3">
        <f t="shared" si="1"/>
        <v>0</v>
      </c>
      <c r="H9" s="3"/>
    </row>
    <row r="10" spans="1:9" x14ac:dyDescent="0.25">
      <c r="A10" s="3">
        <v>6</v>
      </c>
      <c r="B10" s="3" t="s">
        <v>16</v>
      </c>
      <c r="C10" s="3">
        <v>2000</v>
      </c>
      <c r="D10" s="3">
        <v>800</v>
      </c>
      <c r="E10" s="3">
        <f t="shared" si="0"/>
        <v>2800</v>
      </c>
      <c r="F10" s="3">
        <v>1800</v>
      </c>
      <c r="G10" s="3">
        <f t="shared" si="1"/>
        <v>1000</v>
      </c>
      <c r="H10" s="3"/>
      <c r="I10" t="s">
        <v>76</v>
      </c>
    </row>
    <row r="11" spans="1:9" x14ac:dyDescent="0.25">
      <c r="A11" s="3">
        <v>7</v>
      </c>
      <c r="B11" s="3" t="s">
        <v>13</v>
      </c>
      <c r="C11" s="3">
        <v>2000</v>
      </c>
      <c r="D11" s="3"/>
      <c r="E11" s="3">
        <f t="shared" si="0"/>
        <v>2000</v>
      </c>
      <c r="F11" s="3">
        <v>2000</v>
      </c>
      <c r="G11" s="3">
        <f t="shared" si="1"/>
        <v>0</v>
      </c>
      <c r="H11" s="3"/>
    </row>
    <row r="12" spans="1:9" x14ac:dyDescent="0.25">
      <c r="A12" s="3">
        <v>8</v>
      </c>
      <c r="B12" s="3" t="s">
        <v>14</v>
      </c>
      <c r="C12" s="3">
        <v>2000</v>
      </c>
      <c r="D12" s="3"/>
      <c r="E12" s="3">
        <f t="shared" si="0"/>
        <v>2000</v>
      </c>
      <c r="F12" s="3">
        <v>2000</v>
      </c>
      <c r="G12" s="3">
        <f t="shared" si="1"/>
        <v>0</v>
      </c>
      <c r="H12" s="3"/>
    </row>
    <row r="13" spans="1:9" x14ac:dyDescent="0.25">
      <c r="A13" s="3">
        <v>9</v>
      </c>
      <c r="B13" s="3" t="s">
        <v>56</v>
      </c>
      <c r="C13" s="3"/>
      <c r="D13" s="3"/>
      <c r="E13" s="3">
        <f t="shared" si="0"/>
        <v>0</v>
      </c>
      <c r="F13" s="3"/>
      <c r="G13" s="3">
        <f t="shared" si="1"/>
        <v>0</v>
      </c>
      <c r="H13" s="3"/>
    </row>
    <row r="14" spans="1:9" x14ac:dyDescent="0.25">
      <c r="A14" s="3">
        <v>10</v>
      </c>
      <c r="B14" s="3" t="s">
        <v>57</v>
      </c>
      <c r="C14" s="3">
        <v>2000</v>
      </c>
      <c r="D14" s="3"/>
      <c r="E14" s="3">
        <f t="shared" si="0"/>
        <v>2000</v>
      </c>
      <c r="F14" s="3">
        <v>2000</v>
      </c>
      <c r="G14" s="3">
        <f t="shared" si="1"/>
        <v>0</v>
      </c>
      <c r="H14" s="3"/>
    </row>
    <row r="15" spans="1:9" x14ac:dyDescent="0.25">
      <c r="A15" s="3">
        <v>11</v>
      </c>
      <c r="B15" s="3" t="s">
        <v>57</v>
      </c>
      <c r="C15" s="3">
        <v>2500</v>
      </c>
      <c r="D15" s="3"/>
      <c r="E15" s="3">
        <f t="shared" si="0"/>
        <v>2500</v>
      </c>
      <c r="F15" s="3">
        <v>2500</v>
      </c>
      <c r="G15" s="3">
        <f t="shared" si="1"/>
        <v>0</v>
      </c>
      <c r="H15" s="3"/>
    </row>
    <row r="16" spans="1:9" x14ac:dyDescent="0.25">
      <c r="A16" s="3">
        <v>12</v>
      </c>
      <c r="B16" s="3" t="s">
        <v>18</v>
      </c>
      <c r="C16" s="3">
        <v>2000</v>
      </c>
      <c r="D16" s="3"/>
      <c r="E16" s="3">
        <f t="shared" si="0"/>
        <v>2000</v>
      </c>
      <c r="F16" s="3">
        <v>2000</v>
      </c>
      <c r="G16" s="3">
        <f t="shared" si="1"/>
        <v>0</v>
      </c>
      <c r="H16" s="3"/>
    </row>
    <row r="17" spans="1:9" x14ac:dyDescent="0.25">
      <c r="A17" s="3">
        <v>13</v>
      </c>
      <c r="B17" s="3" t="s">
        <v>19</v>
      </c>
      <c r="C17" s="3">
        <v>2000</v>
      </c>
      <c r="D17" s="3"/>
      <c r="E17" s="3">
        <f t="shared" si="0"/>
        <v>2000</v>
      </c>
      <c r="F17" s="3">
        <v>2000</v>
      </c>
      <c r="G17" s="3">
        <f t="shared" si="1"/>
        <v>0</v>
      </c>
      <c r="H17" s="3"/>
      <c r="I17" t="s">
        <v>51</v>
      </c>
    </row>
    <row r="18" spans="1:9" x14ac:dyDescent="0.25">
      <c r="A18" s="3">
        <v>14</v>
      </c>
      <c r="B18" s="3" t="s">
        <v>20</v>
      </c>
      <c r="C18" s="3">
        <v>2000</v>
      </c>
      <c r="D18" s="3"/>
      <c r="E18" s="3">
        <f t="shared" si="0"/>
        <v>2000</v>
      </c>
      <c r="F18" s="3">
        <v>2000</v>
      </c>
      <c r="G18" s="3">
        <f t="shared" si="1"/>
        <v>0</v>
      </c>
      <c r="H18" s="3"/>
    </row>
    <row r="19" spans="1:9" x14ac:dyDescent="0.25">
      <c r="A19" s="3">
        <v>15</v>
      </c>
      <c r="B19" s="3" t="s">
        <v>75</v>
      </c>
      <c r="C19" s="3">
        <v>2000</v>
      </c>
      <c r="D19" s="3"/>
      <c r="E19" s="3">
        <f t="shared" si="0"/>
        <v>2000</v>
      </c>
      <c r="F19" s="3">
        <v>2000</v>
      </c>
      <c r="G19" s="3">
        <f t="shared" si="1"/>
        <v>0</v>
      </c>
      <c r="H19" s="3"/>
    </row>
    <row r="20" spans="1:9" x14ac:dyDescent="0.25">
      <c r="A20" s="3">
        <v>16</v>
      </c>
      <c r="B20" s="3" t="s">
        <v>22</v>
      </c>
      <c r="C20" s="3">
        <v>2000</v>
      </c>
      <c r="D20" s="3"/>
      <c r="E20" s="3">
        <f t="shared" si="0"/>
        <v>2000</v>
      </c>
      <c r="F20" s="3">
        <v>2000</v>
      </c>
      <c r="G20" s="3">
        <f t="shared" si="1"/>
        <v>0</v>
      </c>
      <c r="H20" s="3"/>
    </row>
    <row r="21" spans="1:9" x14ac:dyDescent="0.25">
      <c r="A21" s="3">
        <v>17</v>
      </c>
      <c r="B21" s="3" t="s">
        <v>73</v>
      </c>
      <c r="C21" s="3">
        <v>2000</v>
      </c>
      <c r="D21" s="3"/>
      <c r="E21" s="3">
        <f t="shared" si="0"/>
        <v>2000</v>
      </c>
      <c r="F21" s="3">
        <v>2000</v>
      </c>
      <c r="G21" s="3">
        <f t="shared" si="1"/>
        <v>0</v>
      </c>
      <c r="H21" s="3"/>
    </row>
    <row r="22" spans="1:9" x14ac:dyDescent="0.25">
      <c r="A22" s="2"/>
      <c r="B22" s="4" t="s">
        <v>24</v>
      </c>
      <c r="C22" s="2">
        <f>SUM(C5:C21)</f>
        <v>34700</v>
      </c>
      <c r="D22" s="2">
        <f>SUM(D5:D21)</f>
        <v>800</v>
      </c>
      <c r="E22" s="2">
        <f>SUM(E5:E21)</f>
        <v>35500</v>
      </c>
      <c r="F22" s="2">
        <f>SUM(F5:F21)</f>
        <v>34500</v>
      </c>
      <c r="G22" s="2">
        <f>SUM(G5:G21)</f>
        <v>1000</v>
      </c>
      <c r="H22" s="2"/>
      <c r="I22" s="1"/>
    </row>
    <row r="23" spans="1:9" x14ac:dyDescent="0.25">
      <c r="A23" s="3"/>
      <c r="B23" s="3"/>
      <c r="C23" s="3"/>
      <c r="D23" s="3"/>
      <c r="E23" s="3"/>
      <c r="F23" s="3"/>
      <c r="G23" s="3"/>
      <c r="H23" s="3"/>
    </row>
    <row r="24" spans="1:9" x14ac:dyDescent="0.25">
      <c r="A24" s="12"/>
    </row>
    <row r="25" spans="1:9" ht="18.75" x14ac:dyDescent="0.3">
      <c r="A25" s="12"/>
      <c r="B25" s="31" t="s">
        <v>27</v>
      </c>
      <c r="C25" s="12"/>
      <c r="D25" s="12"/>
      <c r="E25" s="12"/>
      <c r="F25" s="12"/>
      <c r="G25" s="12"/>
    </row>
    <row r="26" spans="1:9" ht="15.75" x14ac:dyDescent="0.25">
      <c r="A26" s="12"/>
      <c r="B26" s="28" t="s">
        <v>28</v>
      </c>
      <c r="C26" s="28" t="s">
        <v>29</v>
      </c>
      <c r="D26" s="28" t="s">
        <v>30</v>
      </c>
      <c r="E26" s="28" t="s">
        <v>62</v>
      </c>
      <c r="F26" s="28" t="s">
        <v>69</v>
      </c>
      <c r="G26" s="28" t="s">
        <v>29</v>
      </c>
      <c r="H26" s="28" t="s">
        <v>30</v>
      </c>
      <c r="I26" s="28" t="s">
        <v>62</v>
      </c>
    </row>
    <row r="27" spans="1:9" x14ac:dyDescent="0.25">
      <c r="A27" s="12"/>
      <c r="B27" s="2" t="s">
        <v>71</v>
      </c>
      <c r="C27" s="18">
        <f>C22</f>
        <v>34700</v>
      </c>
      <c r="D27" s="5">
        <v>0.1</v>
      </c>
      <c r="E27" s="18">
        <f>C27-C28</f>
        <v>34700</v>
      </c>
      <c r="F27" s="42" t="s">
        <v>71</v>
      </c>
      <c r="G27" s="18">
        <f>F22</f>
        <v>34500</v>
      </c>
      <c r="H27" s="5">
        <v>0.1</v>
      </c>
      <c r="I27" s="3"/>
    </row>
    <row r="28" spans="1:9" x14ac:dyDescent="0.25">
      <c r="A28" s="12"/>
      <c r="B28" s="3" t="s">
        <v>55</v>
      </c>
      <c r="C28" s="18"/>
      <c r="D28" s="3"/>
      <c r="E28" s="3"/>
      <c r="F28" s="3" t="s">
        <v>55</v>
      </c>
      <c r="G28" s="18">
        <f>'MARCH 18'!I37</f>
        <v>-800</v>
      </c>
      <c r="H28" s="3"/>
      <c r="I28" s="3"/>
    </row>
    <row r="29" spans="1:9" x14ac:dyDescent="0.25">
      <c r="A29" s="12"/>
      <c r="B29" s="3" t="s">
        <v>33</v>
      </c>
      <c r="C29" s="17"/>
      <c r="D29" s="3">
        <f>C27*D27</f>
        <v>3470</v>
      </c>
      <c r="E29" s="3"/>
      <c r="F29" s="3"/>
      <c r="G29" s="17"/>
      <c r="H29" s="3">
        <f>D29</f>
        <v>3470</v>
      </c>
      <c r="I29" s="3"/>
    </row>
    <row r="30" spans="1:9" x14ac:dyDescent="0.25">
      <c r="A30" s="12"/>
      <c r="B30" s="21"/>
      <c r="C30" s="18">
        <f>C27+C28</f>
        <v>34700</v>
      </c>
      <c r="D30" s="18"/>
      <c r="E30" s="18"/>
      <c r="F30" s="18"/>
      <c r="G30" s="18">
        <f>SUM(G27:G29)</f>
        <v>33700</v>
      </c>
      <c r="H30" s="3"/>
      <c r="I30" s="3"/>
    </row>
    <row r="31" spans="1:9" x14ac:dyDescent="0.25">
      <c r="A31" s="12"/>
      <c r="B31" s="24" t="s">
        <v>34</v>
      </c>
      <c r="C31" s="3"/>
      <c r="D31" s="3"/>
      <c r="E31" s="3"/>
      <c r="F31" s="3"/>
      <c r="G31" s="3"/>
      <c r="H31" s="3"/>
      <c r="I31" s="3"/>
    </row>
    <row r="32" spans="1:9" x14ac:dyDescent="0.25">
      <c r="A32" s="12"/>
      <c r="B32" s="33">
        <v>43198</v>
      </c>
      <c r="C32" s="3"/>
      <c r="D32" s="3">
        <v>14000</v>
      </c>
      <c r="F32" s="33">
        <v>43198</v>
      </c>
      <c r="G32" s="3"/>
      <c r="H32" s="3">
        <v>14000</v>
      </c>
      <c r="I32" s="3"/>
    </row>
    <row r="33" spans="1:9" x14ac:dyDescent="0.25">
      <c r="A33" s="12"/>
      <c r="B33" s="32">
        <v>43199</v>
      </c>
      <c r="C33" s="3"/>
      <c r="D33" s="3">
        <v>17230</v>
      </c>
      <c r="E33" s="3"/>
      <c r="F33" s="32">
        <v>43199</v>
      </c>
      <c r="G33" s="3"/>
      <c r="H33" s="3">
        <v>17230</v>
      </c>
      <c r="I33" s="3"/>
    </row>
    <row r="34" spans="1:9" x14ac:dyDescent="0.25">
      <c r="A34" s="12"/>
      <c r="B34" s="32" t="s">
        <v>51</v>
      </c>
      <c r="C34" s="3"/>
      <c r="D34" s="3">
        <f>C17+C6+D10</f>
        <v>4800</v>
      </c>
      <c r="E34" s="3"/>
      <c r="F34" s="32" t="s">
        <v>51</v>
      </c>
      <c r="G34" s="3"/>
      <c r="H34" s="3">
        <f>D34</f>
        <v>4800</v>
      </c>
      <c r="I34" s="3"/>
    </row>
    <row r="35" spans="1:9" x14ac:dyDescent="0.25">
      <c r="A35" s="12"/>
      <c r="B35" s="32"/>
      <c r="C35" s="3"/>
      <c r="D35" s="3"/>
      <c r="E35" s="3"/>
      <c r="F35" s="3"/>
      <c r="G35" s="3"/>
      <c r="H35" s="3"/>
      <c r="I35" s="3"/>
    </row>
    <row r="36" spans="1:9" x14ac:dyDescent="0.25">
      <c r="A36" s="12"/>
      <c r="B36" s="3"/>
      <c r="C36" s="30"/>
      <c r="D36" s="30"/>
      <c r="E36" s="30"/>
      <c r="F36" s="30"/>
      <c r="G36" s="3"/>
      <c r="H36" s="3"/>
      <c r="I36" s="3"/>
    </row>
    <row r="37" spans="1:9" x14ac:dyDescent="0.25">
      <c r="A37" s="12"/>
      <c r="B37" s="27" t="s">
        <v>24</v>
      </c>
      <c r="C37" s="18">
        <f>C30</f>
        <v>34700</v>
      </c>
      <c r="D37" s="3">
        <f>SUM(D29:D36)</f>
        <v>39500</v>
      </c>
      <c r="E37" s="18">
        <f>C37-D37</f>
        <v>-4800</v>
      </c>
      <c r="F37" s="17"/>
      <c r="G37" s="30">
        <f>G30</f>
        <v>33700</v>
      </c>
      <c r="H37" s="30">
        <f>SUM(H29:H36)</f>
        <v>39500</v>
      </c>
      <c r="I37" s="30">
        <f>G37-H37</f>
        <v>-5800</v>
      </c>
    </row>
    <row r="40" spans="1:9" x14ac:dyDescent="0.25">
      <c r="B40" s="12" t="s">
        <v>38</v>
      </c>
      <c r="D40" s="12" t="s">
        <v>36</v>
      </c>
      <c r="F40" s="12"/>
      <c r="G40" s="12" t="s">
        <v>37</v>
      </c>
    </row>
    <row r="41" spans="1:9" x14ac:dyDescent="0.25">
      <c r="D41" s="12"/>
      <c r="F41" s="12"/>
      <c r="G41" s="12"/>
    </row>
    <row r="42" spans="1:9" x14ac:dyDescent="0.25">
      <c r="B42" t="s">
        <v>65</v>
      </c>
      <c r="D42" t="s">
        <v>66</v>
      </c>
      <c r="G42" t="s">
        <v>10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D9" sqref="D9"/>
    </sheetView>
  </sheetViews>
  <sheetFormatPr defaultRowHeight="15" x14ac:dyDescent="0.25"/>
  <cols>
    <col min="1" max="1" width="4.42578125" customWidth="1"/>
    <col min="2" max="2" width="19.140625" customWidth="1"/>
    <col min="3" max="3" width="8.140625" customWidth="1"/>
    <col min="4" max="4" width="7.85546875" customWidth="1"/>
    <col min="5" max="5" width="10.140625" customWidth="1"/>
  </cols>
  <sheetData>
    <row r="1" spans="1:9" ht="18.75" x14ac:dyDescent="0.25">
      <c r="C1" s="38" t="s">
        <v>59</v>
      </c>
      <c r="D1" s="39"/>
      <c r="E1" s="36"/>
      <c r="F1" s="34"/>
    </row>
    <row r="2" spans="1:9" ht="18.75" x14ac:dyDescent="0.25">
      <c r="C2" s="38" t="s">
        <v>60</v>
      </c>
      <c r="D2" s="38"/>
      <c r="E2" s="11"/>
      <c r="F2" s="11"/>
    </row>
    <row r="3" spans="1:9" ht="18.75" x14ac:dyDescent="0.25">
      <c r="C3" s="38" t="s">
        <v>78</v>
      </c>
      <c r="D3" s="38"/>
      <c r="E3" s="11"/>
      <c r="F3" s="11"/>
    </row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/>
      <c r="I4" s="1"/>
    </row>
    <row r="5" spans="1:9" x14ac:dyDescent="0.25">
      <c r="A5" s="3">
        <v>1</v>
      </c>
      <c r="B5" s="3" t="s">
        <v>7</v>
      </c>
      <c r="C5" s="3">
        <v>4000</v>
      </c>
      <c r="D5" s="3"/>
      <c r="E5" s="3">
        <f>C5+D5</f>
        <v>4000</v>
      </c>
      <c r="F5" s="3">
        <v>4000</v>
      </c>
      <c r="G5" s="3">
        <f>E5-F5</f>
        <v>0</v>
      </c>
      <c r="H5" s="3"/>
    </row>
    <row r="6" spans="1:9" x14ac:dyDescent="0.25">
      <c r="A6" s="3">
        <v>2</v>
      </c>
      <c r="B6" s="3" t="s">
        <v>8</v>
      </c>
      <c r="C6" s="3"/>
      <c r="D6" s="3"/>
      <c r="E6" s="3"/>
      <c r="F6" s="3"/>
      <c r="G6" s="3"/>
      <c r="H6" s="3"/>
    </row>
    <row r="7" spans="1:9" x14ac:dyDescent="0.25">
      <c r="A7" s="3">
        <v>3</v>
      </c>
      <c r="B7" s="3" t="s">
        <v>9</v>
      </c>
      <c r="C7" s="3">
        <v>2000</v>
      </c>
      <c r="D7" s="3"/>
      <c r="E7" s="3">
        <f t="shared" ref="E7:E21" si="0">C7+D7</f>
        <v>2000</v>
      </c>
      <c r="F7" s="3">
        <v>2000</v>
      </c>
      <c r="G7" s="3">
        <f t="shared" ref="G7:G21" si="1">E7-F7</f>
        <v>0</v>
      </c>
      <c r="H7" s="3"/>
    </row>
    <row r="8" spans="1:9" x14ac:dyDescent="0.25">
      <c r="A8" s="3">
        <v>4</v>
      </c>
      <c r="B8" s="3" t="s">
        <v>74</v>
      </c>
      <c r="C8" s="3">
        <v>2000</v>
      </c>
      <c r="D8" s="3"/>
      <c r="E8" s="3">
        <f t="shared" si="0"/>
        <v>2000</v>
      </c>
      <c r="F8" s="3">
        <v>2000</v>
      </c>
      <c r="G8" s="3">
        <f t="shared" si="1"/>
        <v>0</v>
      </c>
      <c r="H8" s="3"/>
    </row>
    <row r="9" spans="1:9" x14ac:dyDescent="0.25">
      <c r="A9" s="3">
        <v>5</v>
      </c>
      <c r="B9" s="3" t="s">
        <v>11</v>
      </c>
      <c r="C9" s="3">
        <v>2200</v>
      </c>
      <c r="D9" s="3"/>
      <c r="E9" s="3">
        <f t="shared" si="0"/>
        <v>2200</v>
      </c>
      <c r="F9" s="3">
        <v>2000</v>
      </c>
      <c r="G9" s="3">
        <f t="shared" si="1"/>
        <v>200</v>
      </c>
      <c r="H9" s="3"/>
    </row>
    <row r="10" spans="1:9" x14ac:dyDescent="0.25">
      <c r="A10" s="3">
        <v>6</v>
      </c>
      <c r="B10" s="3" t="s">
        <v>16</v>
      </c>
      <c r="C10" s="3">
        <v>2000</v>
      </c>
      <c r="D10" s="3">
        <v>1000</v>
      </c>
      <c r="E10" s="3">
        <f t="shared" si="0"/>
        <v>3000</v>
      </c>
      <c r="F10" s="3">
        <v>2000</v>
      </c>
      <c r="G10" s="3">
        <f t="shared" si="1"/>
        <v>1000</v>
      </c>
      <c r="H10" s="3"/>
    </row>
    <row r="11" spans="1:9" x14ac:dyDescent="0.25">
      <c r="A11" s="3">
        <v>7</v>
      </c>
      <c r="B11" s="3" t="s">
        <v>13</v>
      </c>
      <c r="C11" s="3">
        <v>2000</v>
      </c>
      <c r="D11" s="3"/>
      <c r="E11" s="3">
        <f t="shared" si="0"/>
        <v>2000</v>
      </c>
      <c r="F11" s="3">
        <v>2000</v>
      </c>
      <c r="G11" s="3">
        <f t="shared" si="1"/>
        <v>0</v>
      </c>
      <c r="H11" s="3"/>
    </row>
    <row r="12" spans="1:9" x14ac:dyDescent="0.25">
      <c r="A12" s="3">
        <v>8</v>
      </c>
      <c r="B12" s="3" t="s">
        <v>14</v>
      </c>
      <c r="C12" s="3">
        <v>2000</v>
      </c>
      <c r="D12" s="3"/>
      <c r="E12" s="3">
        <f t="shared" si="0"/>
        <v>2000</v>
      </c>
      <c r="F12" s="3">
        <v>2000</v>
      </c>
      <c r="G12" s="3">
        <f t="shared" si="1"/>
        <v>0</v>
      </c>
      <c r="H12" s="3"/>
    </row>
    <row r="13" spans="1:9" x14ac:dyDescent="0.25">
      <c r="A13" s="3">
        <v>9</v>
      </c>
      <c r="B13" s="3" t="s">
        <v>56</v>
      </c>
      <c r="C13" s="3"/>
      <c r="D13" s="3"/>
      <c r="E13" s="3">
        <f t="shared" si="0"/>
        <v>0</v>
      </c>
      <c r="F13" s="3"/>
      <c r="G13" s="3">
        <f t="shared" si="1"/>
        <v>0</v>
      </c>
      <c r="H13" s="3"/>
    </row>
    <row r="14" spans="1:9" x14ac:dyDescent="0.25">
      <c r="A14" s="3">
        <v>10</v>
      </c>
      <c r="B14" s="3" t="s">
        <v>57</v>
      </c>
      <c r="C14" s="3">
        <v>2000</v>
      </c>
      <c r="D14" s="3"/>
      <c r="E14" s="3">
        <f t="shared" si="0"/>
        <v>2000</v>
      </c>
      <c r="F14" s="3">
        <v>2000</v>
      </c>
      <c r="G14" s="3">
        <f t="shared" si="1"/>
        <v>0</v>
      </c>
      <c r="H14" s="3"/>
    </row>
    <row r="15" spans="1:9" x14ac:dyDescent="0.25">
      <c r="A15" s="3">
        <v>11</v>
      </c>
      <c r="B15" s="3" t="s">
        <v>57</v>
      </c>
      <c r="C15" s="3">
        <v>2500</v>
      </c>
      <c r="D15" s="3"/>
      <c r="E15" s="3">
        <f t="shared" si="0"/>
        <v>2500</v>
      </c>
      <c r="F15" s="3">
        <v>2500</v>
      </c>
      <c r="G15" s="3">
        <f t="shared" si="1"/>
        <v>0</v>
      </c>
      <c r="H15" s="3"/>
    </row>
    <row r="16" spans="1:9" x14ac:dyDescent="0.25">
      <c r="A16" s="3">
        <v>12</v>
      </c>
      <c r="B16" s="3" t="s">
        <v>18</v>
      </c>
      <c r="C16" s="3">
        <v>2000</v>
      </c>
      <c r="D16" s="3"/>
      <c r="E16" s="3">
        <f t="shared" si="0"/>
        <v>2000</v>
      </c>
      <c r="F16" s="3">
        <v>2000</v>
      </c>
      <c r="G16" s="3">
        <f t="shared" si="1"/>
        <v>0</v>
      </c>
      <c r="H16" s="3"/>
    </row>
    <row r="17" spans="1:9" x14ac:dyDescent="0.25">
      <c r="A17" s="3">
        <v>13</v>
      </c>
      <c r="B17" s="3" t="s">
        <v>19</v>
      </c>
      <c r="C17" s="3">
        <v>2000</v>
      </c>
      <c r="D17" s="3"/>
      <c r="E17" s="3">
        <f t="shared" si="0"/>
        <v>2000</v>
      </c>
      <c r="F17" s="3">
        <v>2000</v>
      </c>
      <c r="G17" s="3">
        <f t="shared" si="1"/>
        <v>0</v>
      </c>
      <c r="H17" s="3"/>
      <c r="I17" t="s">
        <v>51</v>
      </c>
    </row>
    <row r="18" spans="1:9" x14ac:dyDescent="0.25">
      <c r="A18" s="3">
        <v>14</v>
      </c>
      <c r="B18" s="3" t="s">
        <v>20</v>
      </c>
      <c r="C18" s="3">
        <v>2000</v>
      </c>
      <c r="D18" s="3"/>
      <c r="E18" s="3">
        <f t="shared" si="0"/>
        <v>2000</v>
      </c>
      <c r="F18" s="3">
        <v>2000</v>
      </c>
      <c r="G18" s="3">
        <f t="shared" si="1"/>
        <v>0</v>
      </c>
      <c r="H18" s="3"/>
    </row>
    <row r="19" spans="1:9" x14ac:dyDescent="0.25">
      <c r="A19" s="3">
        <v>15</v>
      </c>
      <c r="B19" s="3" t="s">
        <v>75</v>
      </c>
      <c r="C19" s="3">
        <v>2000</v>
      </c>
      <c r="D19" s="3"/>
      <c r="E19" s="3">
        <f t="shared" si="0"/>
        <v>2000</v>
      </c>
      <c r="F19" s="3">
        <v>2000</v>
      </c>
      <c r="G19" s="3">
        <f t="shared" si="1"/>
        <v>0</v>
      </c>
      <c r="H19" s="3"/>
    </row>
    <row r="20" spans="1:9" x14ac:dyDescent="0.25">
      <c r="A20" s="3">
        <v>16</v>
      </c>
      <c r="B20" s="3" t="s">
        <v>22</v>
      </c>
      <c r="C20" s="3">
        <v>2000</v>
      </c>
      <c r="D20" s="3"/>
      <c r="E20" s="3">
        <f t="shared" si="0"/>
        <v>2000</v>
      </c>
      <c r="F20" s="3">
        <v>2000</v>
      </c>
      <c r="G20" s="3">
        <f t="shared" si="1"/>
        <v>0</v>
      </c>
      <c r="H20" s="3"/>
    </row>
    <row r="21" spans="1:9" x14ac:dyDescent="0.25">
      <c r="A21" s="3">
        <v>17</v>
      </c>
      <c r="B21" s="3" t="s">
        <v>73</v>
      </c>
      <c r="C21" s="3">
        <v>2000</v>
      </c>
      <c r="D21" s="3"/>
      <c r="E21" s="3">
        <f t="shared" si="0"/>
        <v>2000</v>
      </c>
      <c r="F21" s="3">
        <v>2000</v>
      </c>
      <c r="G21" s="3">
        <f t="shared" si="1"/>
        <v>0</v>
      </c>
      <c r="H21" s="3"/>
    </row>
    <row r="22" spans="1:9" x14ac:dyDescent="0.25">
      <c r="A22" s="2"/>
      <c r="B22" s="4" t="s">
        <v>24</v>
      </c>
      <c r="C22" s="2">
        <f>SUM(C5:C21)</f>
        <v>32700</v>
      </c>
      <c r="D22" s="2">
        <f>SUM(D5:D21)</f>
        <v>1000</v>
      </c>
      <c r="E22" s="2">
        <f>SUM(E5:E21)</f>
        <v>33700</v>
      </c>
      <c r="F22" s="2">
        <f>SUM(F5:F21)</f>
        <v>32500</v>
      </c>
      <c r="G22" s="2">
        <f>SUM(G5:G21)</f>
        <v>1200</v>
      </c>
      <c r="H22" s="2"/>
      <c r="I22" s="1"/>
    </row>
    <row r="23" spans="1:9" x14ac:dyDescent="0.25">
      <c r="A23" s="3"/>
      <c r="B23" s="3"/>
      <c r="C23" s="3"/>
      <c r="D23" s="3"/>
      <c r="E23" s="3"/>
      <c r="F23" s="3"/>
      <c r="G23" s="3"/>
      <c r="H23" s="3"/>
    </row>
    <row r="24" spans="1:9" x14ac:dyDescent="0.25">
      <c r="A24" s="12"/>
    </row>
    <row r="25" spans="1:9" ht="18.75" x14ac:dyDescent="0.3">
      <c r="A25" s="12"/>
      <c r="B25" s="31" t="s">
        <v>27</v>
      </c>
      <c r="C25" s="12"/>
      <c r="D25" s="12"/>
      <c r="E25" s="12"/>
      <c r="F25" s="12"/>
      <c r="G25" s="12"/>
    </row>
    <row r="26" spans="1:9" ht="15.75" x14ac:dyDescent="0.25">
      <c r="A26" s="12"/>
      <c r="B26" s="28" t="s">
        <v>28</v>
      </c>
      <c r="C26" s="28" t="s">
        <v>29</v>
      </c>
      <c r="D26" s="28" t="s">
        <v>30</v>
      </c>
      <c r="E26" s="28" t="s">
        <v>62</v>
      </c>
      <c r="F26" s="28" t="s">
        <v>69</v>
      </c>
      <c r="G26" s="28" t="s">
        <v>29</v>
      </c>
      <c r="H26" s="28" t="s">
        <v>30</v>
      </c>
      <c r="I26" s="28" t="s">
        <v>62</v>
      </c>
    </row>
    <row r="27" spans="1:9" x14ac:dyDescent="0.25">
      <c r="A27" s="12"/>
      <c r="B27" s="2" t="s">
        <v>77</v>
      </c>
      <c r="C27" s="18">
        <f>C22</f>
        <v>32700</v>
      </c>
      <c r="D27" s="5">
        <v>0.1</v>
      </c>
      <c r="E27" s="18">
        <f>C27-C28</f>
        <v>37500</v>
      </c>
      <c r="F27" s="42" t="s">
        <v>77</v>
      </c>
      <c r="G27" s="18">
        <f>F22</f>
        <v>32500</v>
      </c>
      <c r="H27" s="5">
        <v>0.1</v>
      </c>
      <c r="I27" s="3"/>
    </row>
    <row r="28" spans="1:9" x14ac:dyDescent="0.25">
      <c r="A28" s="12"/>
      <c r="B28" s="3" t="s">
        <v>55</v>
      </c>
      <c r="C28" s="18">
        <f>APRIL!E37</f>
        <v>-4800</v>
      </c>
      <c r="D28" s="3"/>
      <c r="E28" s="3"/>
      <c r="F28" s="3" t="s">
        <v>55</v>
      </c>
      <c r="G28" s="18">
        <f>APRIL!I37</f>
        <v>-5800</v>
      </c>
      <c r="H28" s="3"/>
      <c r="I28" s="3"/>
    </row>
    <row r="29" spans="1:9" x14ac:dyDescent="0.25">
      <c r="A29" s="12"/>
      <c r="B29" s="3" t="s">
        <v>33</v>
      </c>
      <c r="C29" s="17"/>
      <c r="D29" s="3">
        <f>C27*D27</f>
        <v>3270</v>
      </c>
      <c r="E29" s="3"/>
      <c r="F29" s="3"/>
      <c r="G29" s="17"/>
      <c r="H29" s="3">
        <f>D29</f>
        <v>3270</v>
      </c>
      <c r="I29" s="3"/>
    </row>
    <row r="30" spans="1:9" x14ac:dyDescent="0.25">
      <c r="A30" s="12"/>
      <c r="B30" s="21"/>
      <c r="C30" s="18">
        <f>C27+C28</f>
        <v>27900</v>
      </c>
      <c r="D30" s="18"/>
      <c r="E30" s="18"/>
      <c r="F30" s="18"/>
      <c r="G30" s="18">
        <f>SUM(G27:G29)</f>
        <v>26700</v>
      </c>
      <c r="H30" s="3"/>
      <c r="I30" s="3"/>
    </row>
    <row r="31" spans="1:9" x14ac:dyDescent="0.25">
      <c r="A31" s="12"/>
      <c r="B31" s="24" t="s">
        <v>34</v>
      </c>
      <c r="C31" s="3"/>
      <c r="D31" s="3"/>
      <c r="E31" s="3"/>
      <c r="F31" s="3"/>
      <c r="G31" s="3"/>
      <c r="H31" s="3"/>
      <c r="I31" s="3"/>
    </row>
    <row r="32" spans="1:9" x14ac:dyDescent="0.25">
      <c r="A32" s="12"/>
      <c r="B32" s="33">
        <v>43228</v>
      </c>
      <c r="C32" s="3"/>
      <c r="D32" s="3">
        <v>24630</v>
      </c>
      <c r="F32" s="33">
        <v>43228</v>
      </c>
      <c r="G32" s="3"/>
      <c r="H32" s="3">
        <v>24630</v>
      </c>
    </row>
    <row r="33" spans="1:9" x14ac:dyDescent="0.25">
      <c r="A33" s="12"/>
      <c r="B33" s="32" t="s">
        <v>51</v>
      </c>
      <c r="C33" s="3"/>
      <c r="D33" s="3">
        <v>2000</v>
      </c>
      <c r="E33" s="3"/>
      <c r="F33" s="32" t="s">
        <v>51</v>
      </c>
      <c r="G33" s="3"/>
      <c r="H33" s="3">
        <v>2000</v>
      </c>
      <c r="I33" s="3"/>
    </row>
    <row r="34" spans="1:9" x14ac:dyDescent="0.25">
      <c r="A34" s="12"/>
      <c r="B34" s="32"/>
      <c r="C34" s="3"/>
      <c r="D34" s="3"/>
      <c r="E34" s="3"/>
      <c r="F34" s="3"/>
      <c r="G34" s="3"/>
      <c r="H34" s="3"/>
      <c r="I34" s="3"/>
    </row>
    <row r="35" spans="1:9" x14ac:dyDescent="0.25">
      <c r="A35" s="12"/>
      <c r="B35" s="32"/>
      <c r="C35" s="3"/>
      <c r="D35" s="3"/>
      <c r="E35" s="3"/>
      <c r="F35" s="3"/>
      <c r="G35" s="3"/>
      <c r="H35" s="3"/>
      <c r="I35" s="3"/>
    </row>
    <row r="36" spans="1:9" x14ac:dyDescent="0.25">
      <c r="A36" s="12"/>
      <c r="B36" s="3"/>
      <c r="C36" s="30"/>
      <c r="D36" s="30"/>
      <c r="E36" s="30"/>
      <c r="F36" s="30"/>
      <c r="G36" s="3"/>
      <c r="H36" s="3"/>
      <c r="I36" s="3"/>
    </row>
    <row r="37" spans="1:9" x14ac:dyDescent="0.25">
      <c r="A37" s="12"/>
      <c r="B37" s="27" t="s">
        <v>24</v>
      </c>
      <c r="C37" s="18">
        <f>C30</f>
        <v>27900</v>
      </c>
      <c r="D37" s="3">
        <f>SUM(D29:D36)</f>
        <v>29900</v>
      </c>
      <c r="E37" s="18">
        <f>C37-D37</f>
        <v>-2000</v>
      </c>
      <c r="F37" s="17"/>
      <c r="G37" s="30">
        <f>G30</f>
        <v>26700</v>
      </c>
      <c r="H37" s="30">
        <f>SUM(H29:H36)</f>
        <v>29900</v>
      </c>
      <c r="I37" s="30">
        <f>G37-H37</f>
        <v>-3200</v>
      </c>
    </row>
    <row r="40" spans="1:9" x14ac:dyDescent="0.25">
      <c r="B40" s="12" t="s">
        <v>38</v>
      </c>
      <c r="D40" s="12" t="s">
        <v>36</v>
      </c>
      <c r="F40" s="12"/>
      <c r="G40" s="12" t="s">
        <v>37</v>
      </c>
    </row>
    <row r="41" spans="1:9" x14ac:dyDescent="0.25">
      <c r="D41" s="12"/>
      <c r="F41" s="12"/>
      <c r="G41" s="12"/>
    </row>
    <row r="42" spans="1:9" x14ac:dyDescent="0.25">
      <c r="B42" t="s">
        <v>65</v>
      </c>
      <c r="D42" t="s">
        <v>66</v>
      </c>
      <c r="G42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SEPTEMBER</vt:lpstr>
      <vt:lpstr>OCTOMBER</vt:lpstr>
      <vt:lpstr>NOVEMBER</vt:lpstr>
      <vt:lpstr>DEC</vt:lpstr>
      <vt:lpstr>JAN</vt:lpstr>
      <vt:lpstr>FEB 18</vt:lpstr>
      <vt:lpstr>MARCH 18</vt:lpstr>
      <vt:lpstr>APRIL</vt:lpstr>
      <vt:lpstr>MAY</vt:lpstr>
      <vt:lpstr>JUNE18</vt:lpstr>
      <vt:lpstr>JULY</vt:lpstr>
      <vt:lpstr>AUG</vt:lpstr>
      <vt:lpstr>SEP</vt:lpstr>
      <vt:lpstr>OCT</vt:lpstr>
      <vt:lpstr>NOVEMBER </vt:lpstr>
      <vt:lpstr>DECE</vt:lpstr>
      <vt:lpstr>JANUARY </vt:lpstr>
      <vt:lpstr>FEBRUARY</vt:lpstr>
      <vt:lpstr>MARCH </vt:lpstr>
      <vt:lpstr>APRIL </vt:lpstr>
      <vt:lpstr>MAY </vt:lpstr>
      <vt:lpstr>JUNE </vt:lpstr>
      <vt:lpstr>JULY  </vt:lpstr>
      <vt:lpstr>AUGUST 19</vt:lpstr>
      <vt:lpstr>SEPTEMBER 19</vt:lpstr>
      <vt:lpstr>OCTOBER19</vt:lpstr>
      <vt:lpstr>NOVEMBER19</vt:lpstr>
      <vt:lpstr>DECEMBER 19</vt:lpstr>
      <vt:lpstr>JANUARY 20</vt:lpstr>
      <vt:lpstr>FEBRUARY 20</vt:lpstr>
      <vt:lpstr>MARCH 20</vt:lpstr>
      <vt:lpstr>APRIL 20</vt:lpstr>
      <vt:lpstr>MAY 20</vt:lpstr>
      <vt:lpstr>JUNE 20</vt:lpstr>
      <vt:lpstr>JULY 20</vt:lpstr>
      <vt:lpstr>AUGUST 20</vt:lpstr>
      <vt:lpstr>SEPTEMBER 20</vt:lpstr>
      <vt:lpstr>OCTOBER 20</vt:lpstr>
      <vt:lpstr>NOVEMBER20</vt:lpstr>
      <vt:lpstr>DECEMBER 20</vt:lpstr>
      <vt:lpstr>JANUARY 21</vt:lpstr>
      <vt:lpstr>FEBRUARY21</vt:lpstr>
      <vt:lpstr>MARCH 21</vt:lpstr>
      <vt:lpstr>APRIL21</vt:lpstr>
      <vt:lpstr>MAY 21</vt:lpstr>
      <vt:lpstr>JUNE 21</vt:lpstr>
      <vt:lpstr>JULY 21</vt:lpstr>
      <vt:lpstr>AUGUST 21</vt:lpstr>
      <vt:lpstr>SEPT 21</vt:lpstr>
      <vt:lpstr>OCT 21</vt:lpstr>
      <vt:lpstr>NOVEMBER 21</vt:lpstr>
      <vt:lpstr>DECEMBER 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2021-12-15T14:58:39Z</dcterms:modified>
</cp:coreProperties>
</file>